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AJUSTES MRI/AJUSTES MRI Agosto 31/"/>
    </mc:Choice>
  </mc:AlternateContent>
  <xr:revisionPtr revIDLastSave="69" documentId="13_ncr:1_{BFC24B46-A65C-47A2-83CC-0413779BD6D8}" xr6:coauthVersionLast="47" xr6:coauthVersionMax="47" xr10:uidLastSave="{83DC86C0-8C41-4C02-B389-AD9A32AAF4BB}"/>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RIESGOS'!$AF$20:$AF$22</definedName>
    <definedName name="Reputacional">'3 PROBABIL E IMPACTO INHERENTE'!$Y$10:$Y$15</definedName>
    <definedName name="Requiere_Plan_de_Acción">'8 MAPA RIESGOS'!$AF$20:$AF$22</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36" l="1"/>
  <c r="W106" i="9"/>
  <c r="N100" i="9" l="1"/>
  <c r="N94" i="9"/>
  <c r="N88" i="9"/>
  <c r="N82" i="9"/>
  <c r="N76" i="9"/>
  <c r="N70" i="9"/>
  <c r="N64" i="9"/>
  <c r="N58" i="9"/>
  <c r="N52" i="9"/>
  <c r="N46" i="9"/>
  <c r="N40" i="9"/>
  <c r="N34" i="9"/>
  <c r="N28" i="9"/>
  <c r="N22" i="9"/>
  <c r="N16" i="9"/>
  <c r="S16" i="9" l="1"/>
  <c r="L10" i="9"/>
  <c r="N10" i="9"/>
  <c r="U11" i="9"/>
  <c r="U12" i="9"/>
  <c r="U13" i="9"/>
  <c r="U14" i="9"/>
  <c r="U15" i="9"/>
  <c r="B10" i="15" l="1"/>
  <c r="Q33" i="36"/>
  <c r="Q32" i="36"/>
  <c r="I10" i="9"/>
  <c r="J5" i="36"/>
  <c r="L101" i="9"/>
  <c r="L102" i="9"/>
  <c r="L103" i="9"/>
  <c r="L104" i="9"/>
  <c r="L105" i="9"/>
  <c r="L100" i="9"/>
  <c r="L95" i="9"/>
  <c r="L96" i="9"/>
  <c r="L97" i="9"/>
  <c r="L98" i="9"/>
  <c r="L99" i="9"/>
  <c r="L94" i="9"/>
  <c r="B5" i="9"/>
  <c r="N77" i="9"/>
  <c r="N78" i="9"/>
  <c r="N79" i="9"/>
  <c r="N80" i="9"/>
  <c r="N81" i="9"/>
  <c r="A38" i="15"/>
  <c r="J10" i="30"/>
  <c r="J11" i="30"/>
  <c r="B12" i="36" s="1"/>
  <c r="J12" i="30"/>
  <c r="J13" i="30"/>
  <c r="J14" i="30"/>
  <c r="J15" i="30"/>
  <c r="J16" i="30"/>
  <c r="B19" i="36" s="1"/>
  <c r="J17" i="30"/>
  <c r="B17" i="35" s="1"/>
  <c r="J18" i="30"/>
  <c r="B18" i="15" s="1"/>
  <c r="J19" i="30"/>
  <c r="B19" i="15" s="1"/>
  <c r="J20" i="30"/>
  <c r="B70" i="9" s="1"/>
  <c r="J21" i="30"/>
  <c r="B24" i="36" s="1"/>
  <c r="J22" i="30"/>
  <c r="B22" i="15" s="1"/>
  <c r="J23" i="30"/>
  <c r="B30" i="36" s="1"/>
  <c r="J24" i="30"/>
  <c r="B24" i="31" s="1"/>
  <c r="J25" i="30"/>
  <c r="B100" i="9" s="1"/>
  <c r="J26" i="30"/>
  <c r="J27" i="30"/>
  <c r="J28" i="30"/>
  <c r="J29" i="30"/>
  <c r="J30" i="30"/>
  <c r="J31" i="30"/>
  <c r="J32" i="30"/>
  <c r="J33" i="30"/>
  <c r="J34" i="30"/>
  <c r="J35" i="30"/>
  <c r="J36" i="30"/>
  <c r="J37" i="30"/>
  <c r="J38" i="30"/>
  <c r="J39" i="30"/>
  <c r="L125" i="9"/>
  <c r="U125" i="9" s="1"/>
  <c r="I38" i="36" s="1"/>
  <c r="K38" i="36" s="1"/>
  <c r="L126" i="9"/>
  <c r="U126" i="9" s="1"/>
  <c r="I39" i="36" s="1"/>
  <c r="K39" i="36" s="1"/>
  <c r="L127" i="9"/>
  <c r="U127" i="9" s="1"/>
  <c r="I40" i="36" s="1"/>
  <c r="K40" i="36" s="1"/>
  <c r="L128" i="9"/>
  <c r="U128" i="9" s="1"/>
  <c r="I41" i="36" s="1"/>
  <c r="K41" i="36" s="1"/>
  <c r="L129" i="9"/>
  <c r="U129" i="9" s="1"/>
  <c r="I34" i="9"/>
  <c r="Q17" i="36" s="1"/>
  <c r="L131" i="9"/>
  <c r="U131" i="9"/>
  <c r="I44" i="36" s="1"/>
  <c r="K44" i="36" s="1"/>
  <c r="L132" i="9"/>
  <c r="U132" i="9"/>
  <c r="I45" i="36" s="1"/>
  <c r="K45" i="36" s="1"/>
  <c r="L133" i="9"/>
  <c r="U133" i="9" s="1"/>
  <c r="I46" i="36" s="1"/>
  <c r="K46" i="36" s="1"/>
  <c r="L134" i="9"/>
  <c r="U134" i="9" s="1"/>
  <c r="I47" i="36" s="1"/>
  <c r="K47" i="36" s="1"/>
  <c r="A37" i="36"/>
  <c r="A38" i="36"/>
  <c r="A39" i="36"/>
  <c r="A40" i="36"/>
  <c r="A41" i="36"/>
  <c r="A42" i="36"/>
  <c r="A43" i="36"/>
  <c r="A44" i="36"/>
  <c r="A45" i="36"/>
  <c r="A46" i="36"/>
  <c r="A47" i="36"/>
  <c r="L183" i="9"/>
  <c r="U183" i="9" s="1"/>
  <c r="D38" i="35" s="1"/>
  <c r="F38" i="35" s="1"/>
  <c r="L177" i="9"/>
  <c r="U177" i="9" s="1"/>
  <c r="L171" i="9"/>
  <c r="U171" i="9" s="1"/>
  <c r="L165" i="9"/>
  <c r="U165" i="9" s="1"/>
  <c r="L159" i="9"/>
  <c r="U159" i="9" s="1"/>
  <c r="L153" i="9"/>
  <c r="U153" i="9" s="1"/>
  <c r="L147" i="9"/>
  <c r="U147" i="9" s="1"/>
  <c r="L141" i="9"/>
  <c r="U141" i="9"/>
  <c r="D31" i="35" s="1"/>
  <c r="F31" i="35" s="1"/>
  <c r="L135" i="9"/>
  <c r="U135" i="9"/>
  <c r="D30" i="35" s="1"/>
  <c r="F30" i="35" s="1"/>
  <c r="A29" i="35"/>
  <c r="A30" i="35"/>
  <c r="A31" i="35"/>
  <c r="A32" i="35"/>
  <c r="A33" i="35"/>
  <c r="A34" i="35"/>
  <c r="A35" i="35"/>
  <c r="A36" i="35"/>
  <c r="A37" i="35"/>
  <c r="A38" i="35"/>
  <c r="N183" i="9"/>
  <c r="S183" i="9" s="1"/>
  <c r="K183" i="9"/>
  <c r="I183" i="9"/>
  <c r="N182" i="9"/>
  <c r="S182" i="9" s="1"/>
  <c r="L182" i="9"/>
  <c r="U182" i="9" s="1"/>
  <c r="K182" i="9"/>
  <c r="I182" i="9"/>
  <c r="N181" i="9"/>
  <c r="L181" i="9"/>
  <c r="U181" i="9" s="1"/>
  <c r="K181" i="9"/>
  <c r="I181" i="9"/>
  <c r="N180" i="9"/>
  <c r="L180" i="9"/>
  <c r="U180" i="9" s="1"/>
  <c r="K180" i="9"/>
  <c r="I180" i="9"/>
  <c r="N179" i="9"/>
  <c r="L179" i="9"/>
  <c r="U179" i="9" s="1"/>
  <c r="K179" i="9"/>
  <c r="S179" i="9" s="1"/>
  <c r="I179" i="9"/>
  <c r="N178" i="9"/>
  <c r="L178" i="9"/>
  <c r="K178" i="9"/>
  <c r="I178" i="9"/>
  <c r="N177" i="9"/>
  <c r="K177" i="9"/>
  <c r="S177" i="9" s="1"/>
  <c r="I177" i="9"/>
  <c r="N176" i="9"/>
  <c r="L176" i="9"/>
  <c r="U176" i="9" s="1"/>
  <c r="K176" i="9"/>
  <c r="I176" i="9"/>
  <c r="N175" i="9"/>
  <c r="L175" i="9"/>
  <c r="U175" i="9"/>
  <c r="K175" i="9"/>
  <c r="I175" i="9"/>
  <c r="N174" i="9"/>
  <c r="L174" i="9"/>
  <c r="U174" i="9" s="1"/>
  <c r="K174" i="9"/>
  <c r="S174" i="9" s="1"/>
  <c r="I174" i="9"/>
  <c r="N173" i="9"/>
  <c r="L173" i="9"/>
  <c r="U173" i="9" s="1"/>
  <c r="K173" i="9"/>
  <c r="I173" i="9"/>
  <c r="N172" i="9"/>
  <c r="L172" i="9"/>
  <c r="K172" i="9"/>
  <c r="S172" i="9"/>
  <c r="I172" i="9"/>
  <c r="N171" i="9"/>
  <c r="K171" i="9"/>
  <c r="I171" i="9"/>
  <c r="N170" i="9"/>
  <c r="L170" i="9"/>
  <c r="U170" i="9" s="1"/>
  <c r="K170" i="9"/>
  <c r="I170" i="9"/>
  <c r="N169" i="9"/>
  <c r="L169" i="9"/>
  <c r="U169" i="9"/>
  <c r="K169" i="9"/>
  <c r="I169" i="9"/>
  <c r="N168" i="9"/>
  <c r="L168" i="9"/>
  <c r="K168" i="9"/>
  <c r="I168" i="9"/>
  <c r="N167" i="9"/>
  <c r="L167" i="9"/>
  <c r="U167" i="9" s="1"/>
  <c r="K167" i="9"/>
  <c r="I167" i="9"/>
  <c r="N166" i="9"/>
  <c r="L166" i="9"/>
  <c r="K166" i="9"/>
  <c r="S166" i="9" s="1"/>
  <c r="I166" i="9"/>
  <c r="N165" i="9"/>
  <c r="K165" i="9"/>
  <c r="S165" i="9" s="1"/>
  <c r="I165" i="9"/>
  <c r="N164" i="9"/>
  <c r="L164" i="9"/>
  <c r="U164" i="9" s="1"/>
  <c r="K164" i="9"/>
  <c r="I164" i="9"/>
  <c r="N163" i="9"/>
  <c r="L163" i="9"/>
  <c r="U163" i="9" s="1"/>
  <c r="K163" i="9"/>
  <c r="I163" i="9"/>
  <c r="N162" i="9"/>
  <c r="L162" i="9"/>
  <c r="U162" i="9" s="1"/>
  <c r="K162" i="9"/>
  <c r="S162" i="9" s="1"/>
  <c r="I162" i="9"/>
  <c r="N161" i="9"/>
  <c r="L161" i="9"/>
  <c r="U161" i="9" s="1"/>
  <c r="K161" i="9"/>
  <c r="S161" i="9" s="1"/>
  <c r="I161" i="9"/>
  <c r="N160" i="9"/>
  <c r="L160" i="9"/>
  <c r="K160" i="9"/>
  <c r="I160" i="9"/>
  <c r="N159" i="9"/>
  <c r="K159" i="9"/>
  <c r="I159" i="9"/>
  <c r="N158" i="9"/>
  <c r="L158" i="9"/>
  <c r="U158" i="9" s="1"/>
  <c r="K158" i="9"/>
  <c r="I158" i="9"/>
  <c r="N157" i="9"/>
  <c r="L157" i="9"/>
  <c r="U157" i="9" s="1"/>
  <c r="K157" i="9"/>
  <c r="S157" i="9" s="1"/>
  <c r="I157" i="9"/>
  <c r="N156" i="9"/>
  <c r="L156" i="9"/>
  <c r="U156" i="9" s="1"/>
  <c r="K156" i="9"/>
  <c r="I156" i="9"/>
  <c r="N155" i="9"/>
  <c r="L155" i="9"/>
  <c r="U155" i="9" s="1"/>
  <c r="K155" i="9"/>
  <c r="I155" i="9"/>
  <c r="N154" i="9"/>
  <c r="L154" i="9"/>
  <c r="K154" i="9"/>
  <c r="I154" i="9"/>
  <c r="N153" i="9"/>
  <c r="K153" i="9"/>
  <c r="I153" i="9"/>
  <c r="N152" i="9"/>
  <c r="L152" i="9"/>
  <c r="U152" i="9" s="1"/>
  <c r="K152" i="9"/>
  <c r="I152" i="9"/>
  <c r="N151" i="9"/>
  <c r="L151" i="9"/>
  <c r="U151" i="9" s="1"/>
  <c r="K151" i="9"/>
  <c r="I151" i="9"/>
  <c r="N150" i="9"/>
  <c r="L150" i="9"/>
  <c r="U150" i="9" s="1"/>
  <c r="K150" i="9"/>
  <c r="S150" i="9" s="1"/>
  <c r="I150" i="9"/>
  <c r="N149" i="9"/>
  <c r="L149" i="9"/>
  <c r="U149" i="9" s="1"/>
  <c r="K149" i="9"/>
  <c r="S149" i="9" s="1"/>
  <c r="I149" i="9"/>
  <c r="N148" i="9"/>
  <c r="L148" i="9"/>
  <c r="K148" i="9"/>
  <c r="I148" i="9"/>
  <c r="N147" i="9"/>
  <c r="K147" i="9"/>
  <c r="S147" i="9" s="1"/>
  <c r="I147" i="9"/>
  <c r="N146" i="9"/>
  <c r="L146" i="9"/>
  <c r="U146" i="9" s="1"/>
  <c r="K146" i="9"/>
  <c r="S146" i="9" s="1"/>
  <c r="I146" i="9"/>
  <c r="N145" i="9"/>
  <c r="L145" i="9"/>
  <c r="U145" i="9" s="1"/>
  <c r="K145" i="9"/>
  <c r="I145" i="9"/>
  <c r="N144" i="9"/>
  <c r="L144" i="9"/>
  <c r="U144" i="9" s="1"/>
  <c r="K144" i="9"/>
  <c r="I144" i="9"/>
  <c r="N143" i="9"/>
  <c r="L143" i="9"/>
  <c r="U143" i="9" s="1"/>
  <c r="K143" i="9"/>
  <c r="I143" i="9"/>
  <c r="N142" i="9"/>
  <c r="L142" i="9"/>
  <c r="K142" i="9"/>
  <c r="I142" i="9"/>
  <c r="N141" i="9"/>
  <c r="K141" i="9"/>
  <c r="I141" i="9"/>
  <c r="N140" i="9"/>
  <c r="L140" i="9"/>
  <c r="U140" i="9" s="1"/>
  <c r="K140" i="9"/>
  <c r="I140" i="9"/>
  <c r="N139" i="9"/>
  <c r="L139" i="9"/>
  <c r="U139" i="9" s="1"/>
  <c r="K139" i="9"/>
  <c r="I139" i="9"/>
  <c r="N138" i="9"/>
  <c r="L138" i="9"/>
  <c r="U138" i="9" s="1"/>
  <c r="K138" i="9"/>
  <c r="I138" i="9"/>
  <c r="N137" i="9"/>
  <c r="L137" i="9"/>
  <c r="U137" i="9"/>
  <c r="K137" i="9"/>
  <c r="S137" i="9" s="1"/>
  <c r="I137" i="9"/>
  <c r="N136" i="9"/>
  <c r="L136" i="9"/>
  <c r="K136" i="9"/>
  <c r="I136" i="9"/>
  <c r="N135" i="9"/>
  <c r="K135" i="9"/>
  <c r="S135" i="9" s="1"/>
  <c r="I135" i="9"/>
  <c r="N134" i="9"/>
  <c r="K134" i="9"/>
  <c r="S134" i="9" s="1"/>
  <c r="I134" i="9"/>
  <c r="N133" i="9"/>
  <c r="K133" i="9"/>
  <c r="I133" i="9"/>
  <c r="N132" i="9"/>
  <c r="K132" i="9"/>
  <c r="I132" i="9"/>
  <c r="N131" i="9"/>
  <c r="K131" i="9"/>
  <c r="I131" i="9"/>
  <c r="N130" i="9"/>
  <c r="L130" i="9"/>
  <c r="K130" i="9"/>
  <c r="S130" i="9" s="1"/>
  <c r="I130" i="9"/>
  <c r="N129" i="9"/>
  <c r="K129" i="9"/>
  <c r="S129" i="9" s="1"/>
  <c r="I129" i="9"/>
  <c r="N128" i="9"/>
  <c r="K128" i="9"/>
  <c r="I128" i="9"/>
  <c r="N127" i="9"/>
  <c r="K127" i="9"/>
  <c r="I127" i="9"/>
  <c r="N126" i="9"/>
  <c r="K126" i="9"/>
  <c r="S126" i="9" s="1"/>
  <c r="I126" i="9"/>
  <c r="N125" i="9"/>
  <c r="K125" i="9"/>
  <c r="I125" i="9"/>
  <c r="N124" i="9"/>
  <c r="L124" i="9"/>
  <c r="K124" i="9"/>
  <c r="I124" i="9"/>
  <c r="A178" i="9"/>
  <c r="A172" i="9"/>
  <c r="A166" i="9"/>
  <c r="A160" i="9"/>
  <c r="A154" i="9"/>
  <c r="A148" i="9"/>
  <c r="A142" i="9"/>
  <c r="A136" i="9"/>
  <c r="A130" i="9"/>
  <c r="A124" i="9"/>
  <c r="S131" i="9"/>
  <c r="S143" i="9"/>
  <c r="S132" i="9"/>
  <c r="S136" i="9"/>
  <c r="S156" i="9"/>
  <c r="S180" i="9"/>
  <c r="S167" i="9"/>
  <c r="S125" i="9"/>
  <c r="U168" i="9"/>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K34" i="15"/>
  <c r="K35" i="15"/>
  <c r="K36" i="15"/>
  <c r="K37" i="15"/>
  <c r="K38" i="15"/>
  <c r="K39" i="15"/>
  <c r="I29" i="15"/>
  <c r="I30" i="15"/>
  <c r="I31" i="15"/>
  <c r="I32" i="15"/>
  <c r="I33" i="15"/>
  <c r="I34" i="15"/>
  <c r="I35" i="15"/>
  <c r="I36" i="15"/>
  <c r="I37" i="15"/>
  <c r="I38" i="15"/>
  <c r="I39" i="15"/>
  <c r="H29" i="15"/>
  <c r="M29" i="15" s="1"/>
  <c r="N29" i="15" s="1"/>
  <c r="D29" i="31" s="1"/>
  <c r="F37" i="36" s="1"/>
  <c r="H30" i="15"/>
  <c r="H31" i="15"/>
  <c r="M31" i="15" s="1"/>
  <c r="D136" i="9" s="1"/>
  <c r="U136" i="9" s="1"/>
  <c r="H32" i="15"/>
  <c r="M32" i="15" s="1"/>
  <c r="D142" i="9" s="1"/>
  <c r="H33" i="15"/>
  <c r="M33" i="15" s="1"/>
  <c r="D148" i="9" s="1"/>
  <c r="H34" i="15"/>
  <c r="M34" i="15" s="1"/>
  <c r="H35" i="15"/>
  <c r="H36" i="15"/>
  <c r="M36" i="15" s="1"/>
  <c r="H37" i="15"/>
  <c r="H38" i="15"/>
  <c r="H39" i="15"/>
  <c r="D29" i="15"/>
  <c r="D30" i="15"/>
  <c r="D31" i="15"/>
  <c r="D32" i="15"/>
  <c r="E32" i="15" s="1"/>
  <c r="D33" i="15"/>
  <c r="D34" i="15"/>
  <c r="E34" i="15" s="1"/>
  <c r="D35" i="15"/>
  <c r="E35" i="15" s="1"/>
  <c r="C160" i="9" s="1"/>
  <c r="D36" i="15"/>
  <c r="E36" i="15" s="1"/>
  <c r="D37" i="15"/>
  <c r="D38" i="15"/>
  <c r="E38" i="15" s="1"/>
  <c r="D39" i="15"/>
  <c r="A29" i="15"/>
  <c r="A30" i="15"/>
  <c r="A31" i="15"/>
  <c r="A32" i="15"/>
  <c r="A33" i="15"/>
  <c r="A34" i="15"/>
  <c r="A35" i="15"/>
  <c r="A36" i="15"/>
  <c r="A37" i="15"/>
  <c r="A39" i="15"/>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G5" i="36"/>
  <c r="B5" i="36"/>
  <c r="J5" i="37"/>
  <c r="G5" i="37"/>
  <c r="B5" i="37"/>
  <c r="J5" i="35"/>
  <c r="G5" i="35"/>
  <c r="B5" i="35"/>
  <c r="J5" i="9"/>
  <c r="G5" i="9"/>
  <c r="J5" i="31"/>
  <c r="G5" i="31"/>
  <c r="B5" i="31"/>
  <c r="J5" i="15"/>
  <c r="G5" i="15"/>
  <c r="B5" i="15"/>
  <c r="E10" i="30"/>
  <c r="N11" i="9"/>
  <c r="N12" i="9"/>
  <c r="N13" i="9"/>
  <c r="N14" i="9"/>
  <c r="N15" i="9"/>
  <c r="N17" i="9"/>
  <c r="N18" i="9"/>
  <c r="N19" i="9"/>
  <c r="N20" i="9"/>
  <c r="N21" i="9"/>
  <c r="S22" i="9"/>
  <c r="N23" i="9"/>
  <c r="N24" i="9"/>
  <c r="N25" i="9"/>
  <c r="N26" i="9"/>
  <c r="N27" i="9"/>
  <c r="N29" i="9"/>
  <c r="N30" i="9"/>
  <c r="N31" i="9"/>
  <c r="N32" i="9"/>
  <c r="N33" i="9"/>
  <c r="N35" i="9"/>
  <c r="N36" i="9"/>
  <c r="N37" i="9"/>
  <c r="N38" i="9"/>
  <c r="N39" i="9"/>
  <c r="N41" i="9"/>
  <c r="N42" i="9"/>
  <c r="N43" i="9"/>
  <c r="N44" i="9"/>
  <c r="N45" i="9"/>
  <c r="N47" i="9"/>
  <c r="N48" i="9"/>
  <c r="N49" i="9"/>
  <c r="N50" i="9"/>
  <c r="N51" i="9"/>
  <c r="N53" i="9"/>
  <c r="N54" i="9"/>
  <c r="N55" i="9"/>
  <c r="N56" i="9"/>
  <c r="N57" i="9"/>
  <c r="N59" i="9"/>
  <c r="N60" i="9"/>
  <c r="N61" i="9"/>
  <c r="N62" i="9"/>
  <c r="N63" i="9"/>
  <c r="N65" i="9"/>
  <c r="N66" i="9"/>
  <c r="N67" i="9"/>
  <c r="N68" i="9"/>
  <c r="N69" i="9"/>
  <c r="N71" i="9"/>
  <c r="N72" i="9"/>
  <c r="N73" i="9"/>
  <c r="N74" i="9"/>
  <c r="N75" i="9"/>
  <c r="S76" i="9"/>
  <c r="N83" i="9"/>
  <c r="N84" i="9"/>
  <c r="N85" i="9"/>
  <c r="N86" i="9"/>
  <c r="N87" i="9"/>
  <c r="N89" i="9"/>
  <c r="N90" i="9"/>
  <c r="N91" i="9"/>
  <c r="N92" i="9"/>
  <c r="N93" i="9"/>
  <c r="N95" i="9"/>
  <c r="N96" i="9"/>
  <c r="S96" i="9" s="1"/>
  <c r="N97" i="9"/>
  <c r="S97" i="9" s="1"/>
  <c r="N98" i="9"/>
  <c r="N99" i="9"/>
  <c r="N101" i="9"/>
  <c r="N102" i="9"/>
  <c r="N103" i="9"/>
  <c r="N104" i="9"/>
  <c r="S104" i="9" s="1"/>
  <c r="N105" i="9"/>
  <c r="N106" i="9"/>
  <c r="N107" i="9"/>
  <c r="N108" i="9"/>
  <c r="N109" i="9"/>
  <c r="N110" i="9"/>
  <c r="N111" i="9"/>
  <c r="N112" i="9"/>
  <c r="N113" i="9"/>
  <c r="N114" i="9"/>
  <c r="N115" i="9"/>
  <c r="N116" i="9"/>
  <c r="N117" i="9"/>
  <c r="N118" i="9"/>
  <c r="N119" i="9"/>
  <c r="N120" i="9"/>
  <c r="N121" i="9"/>
  <c r="N122" i="9"/>
  <c r="N123" i="9"/>
  <c r="N184" i="9"/>
  <c r="N185" i="9"/>
  <c r="N186" i="9"/>
  <c r="N187" i="9"/>
  <c r="N188" i="9"/>
  <c r="N189" i="9"/>
  <c r="S189" i="9" s="1"/>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106" i="9"/>
  <c r="L107" i="9"/>
  <c r="U107" i="9" s="1"/>
  <c r="L108" i="9"/>
  <c r="U108" i="9" s="1"/>
  <c r="L109" i="9"/>
  <c r="L110" i="9"/>
  <c r="L111" i="9"/>
  <c r="L112" i="9"/>
  <c r="L113" i="9"/>
  <c r="U113" i="9" s="1"/>
  <c r="L114" i="9"/>
  <c r="U114" i="9" s="1"/>
  <c r="L115" i="9"/>
  <c r="U115" i="9" s="1"/>
  <c r="L116" i="9"/>
  <c r="U116" i="9" s="1"/>
  <c r="L117" i="9"/>
  <c r="L118" i="9"/>
  <c r="L119" i="9"/>
  <c r="U119" i="9" s="1"/>
  <c r="L120" i="9"/>
  <c r="U120" i="9" s="1"/>
  <c r="L121" i="9"/>
  <c r="U121" i="9" s="1"/>
  <c r="L122" i="9"/>
  <c r="U122" i="9"/>
  <c r="L123" i="9"/>
  <c r="U123" i="9" s="1"/>
  <c r="L184" i="9"/>
  <c r="L185" i="9"/>
  <c r="U185" i="9" s="1"/>
  <c r="L186" i="9"/>
  <c r="U186" i="9" s="1"/>
  <c r="L187" i="9"/>
  <c r="U187" i="9" s="1"/>
  <c r="L188" i="9"/>
  <c r="U188" i="9" s="1"/>
  <c r="L189" i="9"/>
  <c r="U189" i="9" s="1"/>
  <c r="K11" i="9"/>
  <c r="S11" i="9"/>
  <c r="K12" i="9"/>
  <c r="S12" i="9"/>
  <c r="K13" i="9"/>
  <c r="S13" i="9"/>
  <c r="K14" i="9"/>
  <c r="S14" i="9"/>
  <c r="K15" i="9"/>
  <c r="S15" i="9"/>
  <c r="K16" i="9"/>
  <c r="K17" i="9"/>
  <c r="K18" i="9"/>
  <c r="S18" i="9"/>
  <c r="K19" i="9"/>
  <c r="S19" i="9"/>
  <c r="K20" i="9"/>
  <c r="S20" i="9"/>
  <c r="K21" i="9"/>
  <c r="S21" i="9"/>
  <c r="K22" i="9"/>
  <c r="K23" i="9"/>
  <c r="S23" i="9"/>
  <c r="K24" i="9"/>
  <c r="S24" i="9"/>
  <c r="K25" i="9"/>
  <c r="S25" i="9"/>
  <c r="K26" i="9"/>
  <c r="S26" i="9"/>
  <c r="K27" i="9"/>
  <c r="S27" i="9"/>
  <c r="K28" i="9"/>
  <c r="S28" i="9"/>
  <c r="K29" i="9"/>
  <c r="S29" i="9"/>
  <c r="K30" i="9"/>
  <c r="S30" i="9"/>
  <c r="K31" i="9"/>
  <c r="S31" i="9"/>
  <c r="K32" i="9"/>
  <c r="S32" i="9"/>
  <c r="K33" i="9"/>
  <c r="S33" i="9"/>
  <c r="K34" i="9"/>
  <c r="S34" i="9"/>
  <c r="K35" i="9"/>
  <c r="K36" i="9"/>
  <c r="S36" i="9"/>
  <c r="K37" i="9"/>
  <c r="S37" i="9"/>
  <c r="K38" i="9"/>
  <c r="S38" i="9"/>
  <c r="K39" i="9"/>
  <c r="S39" i="9"/>
  <c r="K40" i="9"/>
  <c r="S40" i="9"/>
  <c r="K41" i="9"/>
  <c r="S41" i="9"/>
  <c r="K42" i="9"/>
  <c r="K43" i="9"/>
  <c r="S43" i="9"/>
  <c r="K44" i="9"/>
  <c r="S44" i="9"/>
  <c r="K45" i="9"/>
  <c r="S45" i="9"/>
  <c r="K46" i="9"/>
  <c r="S46" i="9"/>
  <c r="K47" i="9"/>
  <c r="S47" i="9"/>
  <c r="K48" i="9"/>
  <c r="S48" i="9"/>
  <c r="K49" i="9"/>
  <c r="S49" i="9"/>
  <c r="K50" i="9"/>
  <c r="S50" i="9"/>
  <c r="K51" i="9"/>
  <c r="S51" i="9"/>
  <c r="K52" i="9"/>
  <c r="S52" i="9"/>
  <c r="K53" i="9"/>
  <c r="S53" i="9"/>
  <c r="K54" i="9"/>
  <c r="S54" i="9"/>
  <c r="K55" i="9"/>
  <c r="S55" i="9"/>
  <c r="K56" i="9"/>
  <c r="S56" i="9"/>
  <c r="K57" i="9"/>
  <c r="S57" i="9"/>
  <c r="K58" i="9"/>
  <c r="S58" i="9"/>
  <c r="K59" i="9"/>
  <c r="S59" i="9"/>
  <c r="K60" i="9"/>
  <c r="S60" i="9"/>
  <c r="K61" i="9"/>
  <c r="S61" i="9"/>
  <c r="K62" i="9"/>
  <c r="S62" i="9"/>
  <c r="K63" i="9"/>
  <c r="S63" i="9"/>
  <c r="K64" i="9"/>
  <c r="S64" i="9"/>
  <c r="K65" i="9"/>
  <c r="S65" i="9"/>
  <c r="K66" i="9"/>
  <c r="S66" i="9"/>
  <c r="K67" i="9"/>
  <c r="S67" i="9"/>
  <c r="K68" i="9"/>
  <c r="S68" i="9"/>
  <c r="K69" i="9"/>
  <c r="S69" i="9"/>
  <c r="K70" i="9"/>
  <c r="S70" i="9"/>
  <c r="K71" i="9"/>
  <c r="S71" i="9"/>
  <c r="K72" i="9"/>
  <c r="S72" i="9"/>
  <c r="K73" i="9"/>
  <c r="S73" i="9"/>
  <c r="K74" i="9"/>
  <c r="S74" i="9"/>
  <c r="K75" i="9"/>
  <c r="S75" i="9"/>
  <c r="K76" i="9"/>
  <c r="K77" i="9"/>
  <c r="S77" i="9"/>
  <c r="K78" i="9"/>
  <c r="S78" i="9"/>
  <c r="K79" i="9"/>
  <c r="S79" i="9"/>
  <c r="K80" i="9"/>
  <c r="K81" i="9"/>
  <c r="S81" i="9"/>
  <c r="K82" i="9"/>
  <c r="S82" i="9"/>
  <c r="K83" i="9"/>
  <c r="S83" i="9"/>
  <c r="K84" i="9"/>
  <c r="S84" i="9"/>
  <c r="K85" i="9"/>
  <c r="S85" i="9"/>
  <c r="K86" i="9"/>
  <c r="S86" i="9"/>
  <c r="K87" i="9"/>
  <c r="S87" i="9"/>
  <c r="K88" i="9"/>
  <c r="S88" i="9"/>
  <c r="K89" i="9"/>
  <c r="S89" i="9"/>
  <c r="K90" i="9"/>
  <c r="K91" i="9"/>
  <c r="S91" i="9"/>
  <c r="K92" i="9"/>
  <c r="S92" i="9"/>
  <c r="K93" i="9"/>
  <c r="S93" i="9" s="1"/>
  <c r="K94" i="9"/>
  <c r="S94" i="9" s="1"/>
  <c r="K95" i="9"/>
  <c r="S95" i="9" s="1"/>
  <c r="K96" i="9"/>
  <c r="K97" i="9"/>
  <c r="K98" i="9"/>
  <c r="K99" i="9"/>
  <c r="K100" i="9"/>
  <c r="S100" i="9" s="1"/>
  <c r="K101" i="9"/>
  <c r="K102" i="9"/>
  <c r="S102" i="9" s="1"/>
  <c r="K103" i="9"/>
  <c r="S103" i="9" s="1"/>
  <c r="K104" i="9"/>
  <c r="K105" i="9"/>
  <c r="S105" i="9"/>
  <c r="K106" i="9"/>
  <c r="K107" i="9"/>
  <c r="K108" i="9"/>
  <c r="K109" i="9"/>
  <c r="K110" i="9"/>
  <c r="K111" i="9"/>
  <c r="K112" i="9"/>
  <c r="K113" i="9"/>
  <c r="K114" i="9"/>
  <c r="S114" i="9" s="1"/>
  <c r="K115" i="9"/>
  <c r="K116" i="9"/>
  <c r="K117" i="9"/>
  <c r="K118" i="9"/>
  <c r="K119" i="9"/>
  <c r="K120" i="9"/>
  <c r="K121" i="9"/>
  <c r="K122" i="9"/>
  <c r="K123" i="9"/>
  <c r="K184" i="9"/>
  <c r="K185" i="9"/>
  <c r="K186" i="9"/>
  <c r="K187" i="9"/>
  <c r="K188" i="9"/>
  <c r="K189" i="9"/>
  <c r="I11" i="9"/>
  <c r="I12" i="9"/>
  <c r="I13" i="9"/>
  <c r="I14" i="9"/>
  <c r="I15" i="9"/>
  <c r="I16" i="9"/>
  <c r="Q12" i="36" s="1"/>
  <c r="I17" i="9"/>
  <c r="I18" i="9"/>
  <c r="I19" i="9"/>
  <c r="I20" i="9"/>
  <c r="I21" i="9"/>
  <c r="I22" i="9"/>
  <c r="Q13" i="36" s="1"/>
  <c r="I23" i="9"/>
  <c r="I24" i="9"/>
  <c r="I25" i="9"/>
  <c r="I26" i="9"/>
  <c r="I27" i="9"/>
  <c r="Q35" i="36" s="1"/>
  <c r="I28" i="9"/>
  <c r="Q16" i="36" s="1"/>
  <c r="I29" i="9"/>
  <c r="Q37" i="36" s="1"/>
  <c r="I30" i="9"/>
  <c r="Q38" i="36" s="1"/>
  <c r="I31" i="9"/>
  <c r="Q39" i="36" s="1"/>
  <c r="I32" i="9"/>
  <c r="Q40" i="36" s="1"/>
  <c r="I33" i="9"/>
  <c r="Q41" i="36" s="1"/>
  <c r="I35" i="9"/>
  <c r="Q43" i="36" s="1"/>
  <c r="I36" i="9"/>
  <c r="Q44" i="36" s="1"/>
  <c r="I37" i="9"/>
  <c r="Q45" i="36" s="1"/>
  <c r="I38" i="9"/>
  <c r="Q46" i="36" s="1"/>
  <c r="I39" i="9"/>
  <c r="Q47" i="36" s="1"/>
  <c r="I40" i="9"/>
  <c r="Q18" i="36" s="1"/>
  <c r="I41" i="9"/>
  <c r="I42" i="9"/>
  <c r="I43" i="9"/>
  <c r="I44" i="9"/>
  <c r="I45" i="9"/>
  <c r="I46" i="9"/>
  <c r="Q19" i="36" s="1"/>
  <c r="I47" i="9"/>
  <c r="I48" i="9"/>
  <c r="I49" i="9"/>
  <c r="I50" i="9"/>
  <c r="I51" i="9"/>
  <c r="I52" i="9"/>
  <c r="Q20" i="36" s="1"/>
  <c r="I53" i="9"/>
  <c r="I54" i="9"/>
  <c r="I55" i="9"/>
  <c r="I56" i="9"/>
  <c r="I57" i="9"/>
  <c r="I58" i="9"/>
  <c r="Q21" i="36" s="1"/>
  <c r="I59" i="9"/>
  <c r="I60" i="9"/>
  <c r="I61" i="9"/>
  <c r="I62" i="9"/>
  <c r="I63" i="9"/>
  <c r="I64" i="9"/>
  <c r="Q22" i="36" s="1"/>
  <c r="I65" i="9"/>
  <c r="I66" i="9"/>
  <c r="I67" i="9"/>
  <c r="I68" i="9"/>
  <c r="I69" i="9"/>
  <c r="I70" i="9"/>
  <c r="Q23" i="36" s="1"/>
  <c r="I71" i="9"/>
  <c r="I72" i="9"/>
  <c r="I73" i="9"/>
  <c r="I74" i="9"/>
  <c r="I75" i="9"/>
  <c r="I76" i="9"/>
  <c r="Q24" i="36" s="1"/>
  <c r="I77" i="9"/>
  <c r="I78" i="9"/>
  <c r="I79" i="9"/>
  <c r="I80" i="9"/>
  <c r="I81" i="9"/>
  <c r="I82" i="9"/>
  <c r="Q27" i="36" s="1"/>
  <c r="I83" i="9"/>
  <c r="I84" i="9"/>
  <c r="I85" i="9"/>
  <c r="I86" i="9"/>
  <c r="I87" i="9"/>
  <c r="I88" i="9"/>
  <c r="Q30" i="36" s="1"/>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10" i="9" s="1"/>
  <c r="S35" i="9"/>
  <c r="S42" i="9"/>
  <c r="S99" i="9"/>
  <c r="S80" i="9"/>
  <c r="U111" i="9"/>
  <c r="U110" i="9"/>
  <c r="U117" i="9"/>
  <c r="I35" i="36" s="1"/>
  <c r="K35" i="36" s="1"/>
  <c r="U109" i="9"/>
  <c r="S90" i="9"/>
  <c r="D10" i="15"/>
  <c r="F10" i="15" s="1"/>
  <c r="C10" i="31" s="1"/>
  <c r="D10" i="30"/>
  <c r="A184" i="9"/>
  <c r="A118" i="9"/>
  <c r="A112" i="9"/>
  <c r="A106" i="9"/>
  <c r="A100" i="9"/>
  <c r="A94" i="9"/>
  <c r="A88" i="9"/>
  <c r="A82" i="9"/>
  <c r="A76" i="9"/>
  <c r="A70" i="9"/>
  <c r="A64" i="9"/>
  <c r="A58" i="9"/>
  <c r="A52" i="9"/>
  <c r="A46" i="9"/>
  <c r="A40" i="9"/>
  <c r="A34" i="9"/>
  <c r="A28" i="9"/>
  <c r="A22" i="9"/>
  <c r="A16" i="9"/>
  <c r="Q9" i="36"/>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M16" i="15" s="1"/>
  <c r="N16" i="15" s="1"/>
  <c r="D16" i="31" s="1"/>
  <c r="H17" i="15"/>
  <c r="H18" i="15"/>
  <c r="H19" i="15"/>
  <c r="H20" i="15"/>
  <c r="M20" i="15" s="1"/>
  <c r="H21" i="15"/>
  <c r="H22" i="15"/>
  <c r="H23" i="15"/>
  <c r="H24" i="15"/>
  <c r="H25" i="15"/>
  <c r="H26" i="15"/>
  <c r="M26" i="15" s="1"/>
  <c r="D34" i="36" s="1"/>
  <c r="H27" i="15"/>
  <c r="H28" i="15"/>
  <c r="L10" i="15"/>
  <c r="K11" i="15"/>
  <c r="M11" i="15" s="1"/>
  <c r="D12" i="36" s="1"/>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M27" i="15" s="1"/>
  <c r="D35" i="36" s="1"/>
  <c r="L27" i="15"/>
  <c r="K28" i="15"/>
  <c r="M28" i="15" s="1"/>
  <c r="L28" i="15"/>
  <c r="K10" i="15"/>
  <c r="I11" i="15"/>
  <c r="I12" i="15"/>
  <c r="I13" i="15"/>
  <c r="I14" i="15"/>
  <c r="I15" i="15"/>
  <c r="I16" i="15"/>
  <c r="I17" i="15"/>
  <c r="I18" i="15"/>
  <c r="I19" i="15"/>
  <c r="I20" i="15"/>
  <c r="I21" i="15"/>
  <c r="I22" i="15"/>
  <c r="I23" i="15"/>
  <c r="I24" i="15"/>
  <c r="I25" i="15"/>
  <c r="I26" i="15"/>
  <c r="I27" i="15"/>
  <c r="I28" i="15"/>
  <c r="I10" i="15"/>
  <c r="D11" i="15"/>
  <c r="D12" i="15"/>
  <c r="E12" i="15" s="1"/>
  <c r="D13" i="15"/>
  <c r="D14" i="15"/>
  <c r="F14" i="15" s="1"/>
  <c r="C14" i="31" s="1"/>
  <c r="D15" i="15"/>
  <c r="E15" i="15" s="1"/>
  <c r="C40" i="9" s="1"/>
  <c r="D16" i="15"/>
  <c r="F16" i="15" s="1"/>
  <c r="C16" i="31" s="1"/>
  <c r="E19" i="36" s="1"/>
  <c r="D17" i="15"/>
  <c r="F17" i="15" s="1"/>
  <c r="C17" i="31" s="1"/>
  <c r="D18" i="15"/>
  <c r="E18" i="15" s="1"/>
  <c r="D19" i="15"/>
  <c r="F19" i="15" s="1"/>
  <c r="C19" i="31" s="1"/>
  <c r="D20" i="15"/>
  <c r="E20" i="15" s="1"/>
  <c r="D21" i="15"/>
  <c r="E21" i="15" s="1"/>
  <c r="C76" i="9" s="1"/>
  <c r="D22" i="15"/>
  <c r="E22" i="15" s="1"/>
  <c r="D23" i="15"/>
  <c r="E23" i="15" s="1"/>
  <c r="D24" i="15"/>
  <c r="F24" i="15" s="1"/>
  <c r="C24" i="31" s="1"/>
  <c r="D25" i="15"/>
  <c r="D26" i="15"/>
  <c r="F26" i="15" s="1"/>
  <c r="C26" i="31" s="1"/>
  <c r="D27" i="15"/>
  <c r="D28" i="15"/>
  <c r="B22" i="9"/>
  <c r="B28" i="9"/>
  <c r="B34" i="9"/>
  <c r="B15" i="31"/>
  <c r="B52" i="9"/>
  <c r="B58" i="9"/>
  <c r="A36" i="36"/>
  <c r="A35" i="36"/>
  <c r="A34" i="36"/>
  <c r="A33" i="36"/>
  <c r="A32" i="36"/>
  <c r="A30" i="36"/>
  <c r="A27" i="36"/>
  <c r="A24" i="36"/>
  <c r="A23" i="36"/>
  <c r="A22" i="36"/>
  <c r="A21" i="36"/>
  <c r="A20" i="36"/>
  <c r="A19" i="36"/>
  <c r="A18" i="36"/>
  <c r="B17" i="36"/>
  <c r="A17" i="36"/>
  <c r="A16" i="36"/>
  <c r="A13" i="36"/>
  <c r="A12"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A25" i="15"/>
  <c r="A26" i="15"/>
  <c r="A27" i="15"/>
  <c r="A28" i="15"/>
  <c r="A17" i="15"/>
  <c r="A16" i="15"/>
  <c r="A15" i="15"/>
  <c r="A14" i="15"/>
  <c r="A13" i="15"/>
  <c r="A12" i="15"/>
  <c r="A11" i="15"/>
  <c r="A10" i="15"/>
  <c r="E11" i="15"/>
  <c r="C12" i="36" s="1"/>
  <c r="F11" i="15"/>
  <c r="C11" i="31" s="1"/>
  <c r="E13" i="15"/>
  <c r="C28" i="9" s="1"/>
  <c r="F13" i="15"/>
  <c r="C13" i="31" s="1"/>
  <c r="F20" i="15"/>
  <c r="C20" i="31" s="1"/>
  <c r="B14" i="15"/>
  <c r="B14" i="35"/>
  <c r="B13" i="31"/>
  <c r="B13" i="15"/>
  <c r="B14" i="31"/>
  <c r="B40" i="9"/>
  <c r="B15" i="15"/>
  <c r="B15" i="35"/>
  <c r="B18" i="36"/>
  <c r="B16" i="9"/>
  <c r="B16" i="31"/>
  <c r="B12" i="31"/>
  <c r="B12" i="35"/>
  <c r="B13" i="36"/>
  <c r="B21" i="36"/>
  <c r="B12" i="15"/>
  <c r="B17" i="15"/>
  <c r="B13" i="35"/>
  <c r="B11" i="31"/>
  <c r="B16" i="15"/>
  <c r="B25" i="15"/>
  <c r="B25" i="31"/>
  <c r="B25" i="35"/>
  <c r="B16" i="36"/>
  <c r="B33" i="36"/>
  <c r="E16" i="15"/>
  <c r="C46" i="9" s="1"/>
  <c r="B10" i="35"/>
  <c r="B9" i="36"/>
  <c r="B10" i="9"/>
  <c r="B10" i="31"/>
  <c r="S133" i="9" l="1"/>
  <c r="S127" i="9"/>
  <c r="S112" i="9"/>
  <c r="S113" i="9"/>
  <c r="S122" i="9"/>
  <c r="S188" i="9"/>
  <c r="S154" i="9"/>
  <c r="S152" i="9"/>
  <c r="S142" i="9"/>
  <c r="W160" i="9"/>
  <c r="D35" i="35"/>
  <c r="F35" i="35" s="1"/>
  <c r="W154" i="9"/>
  <c r="D34" i="35"/>
  <c r="F34" i="35" s="1"/>
  <c r="S139" i="9"/>
  <c r="S181" i="9"/>
  <c r="S169" i="9"/>
  <c r="S163" i="9"/>
  <c r="S160" i="9"/>
  <c r="S155" i="9"/>
  <c r="S151" i="9"/>
  <c r="S144" i="9"/>
  <c r="S141" i="9"/>
  <c r="S140" i="9"/>
  <c r="S115" i="9"/>
  <c r="S117" i="9"/>
  <c r="S119" i="9"/>
  <c r="S121" i="9"/>
  <c r="S123" i="9"/>
  <c r="S184" i="9"/>
  <c r="S106" i="9"/>
  <c r="S107" i="9"/>
  <c r="S111" i="9"/>
  <c r="S116" i="9"/>
  <c r="S118" i="9"/>
  <c r="I34" i="36"/>
  <c r="D26" i="35"/>
  <c r="F26" i="35" s="1"/>
  <c r="E37" i="15"/>
  <c r="C45" i="36" s="1"/>
  <c r="F37" i="15"/>
  <c r="C37" i="31" s="1"/>
  <c r="E39" i="15"/>
  <c r="F39" i="15"/>
  <c r="C39" i="31" s="1"/>
  <c r="M39" i="15"/>
  <c r="N39" i="15" s="1"/>
  <c r="D39" i="31" s="1"/>
  <c r="F47" i="36" s="1"/>
  <c r="M38" i="15"/>
  <c r="D42" i="36"/>
  <c r="D154" i="9"/>
  <c r="U154" i="9" s="1"/>
  <c r="N36" i="15"/>
  <c r="D36" i="31" s="1"/>
  <c r="F44" i="36" s="1"/>
  <c r="D166" i="9"/>
  <c r="U166" i="9" s="1"/>
  <c r="D44" i="36"/>
  <c r="F29" i="15"/>
  <c r="C29" i="31" s="1"/>
  <c r="E29" i="15"/>
  <c r="E30" i="15"/>
  <c r="F30" i="15"/>
  <c r="C30" i="31" s="1"/>
  <c r="F31" i="15"/>
  <c r="C31" i="31" s="1"/>
  <c r="E31" i="15"/>
  <c r="F33" i="15"/>
  <c r="C33" i="31" s="1"/>
  <c r="E33" i="15"/>
  <c r="T45" i="9"/>
  <c r="T41" i="9"/>
  <c r="T43" i="9"/>
  <c r="T44" i="9"/>
  <c r="T42" i="9"/>
  <c r="T40" i="9"/>
  <c r="T80" i="9"/>
  <c r="T85" i="9"/>
  <c r="T82" i="9"/>
  <c r="T84" i="9"/>
  <c r="T87" i="9"/>
  <c r="T77" i="9"/>
  <c r="T81" i="9"/>
  <c r="T83" i="9"/>
  <c r="T86" i="9"/>
  <c r="T78" i="9"/>
  <c r="T79" i="9"/>
  <c r="T76" i="9"/>
  <c r="E25" i="15"/>
  <c r="F25" i="15"/>
  <c r="C25" i="31" s="1"/>
  <c r="E33" i="36" s="1"/>
  <c r="F27" i="15"/>
  <c r="C27" i="31" s="1"/>
  <c r="E27" i="15"/>
  <c r="E28" i="15"/>
  <c r="F28" i="15"/>
  <c r="C28" i="31" s="1"/>
  <c r="T33" i="9"/>
  <c r="T28" i="9"/>
  <c r="T32" i="9"/>
  <c r="T31" i="9"/>
  <c r="T29" i="9"/>
  <c r="T30" i="9"/>
  <c r="T47" i="9"/>
  <c r="T51" i="9"/>
  <c r="T46" i="9"/>
  <c r="T49" i="9"/>
  <c r="T50" i="9"/>
  <c r="T48" i="9"/>
  <c r="B26" i="31"/>
  <c r="B26" i="15"/>
  <c r="B106" i="9"/>
  <c r="B26" i="35"/>
  <c r="B34" i="36"/>
  <c r="B27" i="31"/>
  <c r="B27" i="15"/>
  <c r="B27" i="35"/>
  <c r="B35" i="36"/>
  <c r="B112" i="9"/>
  <c r="B36" i="36"/>
  <c r="B28" i="31"/>
  <c r="B28" i="15"/>
  <c r="B28" i="35"/>
  <c r="B118" i="9"/>
  <c r="B29" i="15"/>
  <c r="B124" i="9"/>
  <c r="B29" i="35"/>
  <c r="B29" i="31"/>
  <c r="B37" i="36"/>
  <c r="B30" i="31"/>
  <c r="B130" i="9"/>
  <c r="B38" i="36"/>
  <c r="B30" i="35"/>
  <c r="B30" i="15"/>
  <c r="B136" i="9"/>
  <c r="B39" i="36"/>
  <c r="B31" i="31"/>
  <c r="B31" i="15"/>
  <c r="B31" i="35"/>
  <c r="B32" i="15"/>
  <c r="B142" i="9"/>
  <c r="B40" i="36"/>
  <c r="B32" i="31"/>
  <c r="B32" i="35"/>
  <c r="B41" i="36"/>
  <c r="B33" i="15"/>
  <c r="B33" i="35"/>
  <c r="B33" i="31"/>
  <c r="B148" i="9"/>
  <c r="B34" i="35"/>
  <c r="B42" i="36"/>
  <c r="B34" i="31"/>
  <c r="B34" i="15"/>
  <c r="B154" i="9"/>
  <c r="B35" i="15"/>
  <c r="B35" i="35"/>
  <c r="B35" i="31"/>
  <c r="B160" i="9"/>
  <c r="B43" i="36"/>
  <c r="B36" i="35"/>
  <c r="B36" i="15"/>
  <c r="B36" i="31"/>
  <c r="B44" i="36"/>
  <c r="B166" i="9"/>
  <c r="B37" i="15"/>
  <c r="B172" i="9"/>
  <c r="B45" i="36"/>
  <c r="B37" i="31"/>
  <c r="B37" i="35"/>
  <c r="B38" i="31"/>
  <c r="B178" i="9"/>
  <c r="B46" i="36"/>
  <c r="B38" i="35"/>
  <c r="B38" i="15"/>
  <c r="B39" i="31"/>
  <c r="B47" i="36"/>
  <c r="B39" i="35"/>
  <c r="B39" i="15"/>
  <c r="B184" i="9"/>
  <c r="U10" i="9"/>
  <c r="B16" i="35"/>
  <c r="B46" i="9"/>
  <c r="M19" i="15"/>
  <c r="N19" i="15" s="1"/>
  <c r="D19" i="31" s="1"/>
  <c r="F22" i="36" s="1"/>
  <c r="M18" i="15"/>
  <c r="N18" i="15" s="1"/>
  <c r="D18" i="31" s="1"/>
  <c r="F21" i="36" s="1"/>
  <c r="M17" i="15"/>
  <c r="D52" i="9" s="1"/>
  <c r="U55" i="9" s="1"/>
  <c r="M10" i="15"/>
  <c r="E19" i="15"/>
  <c r="F18" i="15"/>
  <c r="C18" i="31" s="1"/>
  <c r="E17" i="15"/>
  <c r="C19" i="36"/>
  <c r="E14" i="15"/>
  <c r="C17" i="36" s="1"/>
  <c r="E10" i="15"/>
  <c r="S17" i="9"/>
  <c r="S101" i="9"/>
  <c r="S98" i="9"/>
  <c r="D39" i="35"/>
  <c r="F39" i="35" s="1"/>
  <c r="W184" i="9"/>
  <c r="D36" i="35"/>
  <c r="F36" i="35" s="1"/>
  <c r="W166" i="9"/>
  <c r="W142" i="9"/>
  <c r="D32" i="35"/>
  <c r="F32" i="35" s="1"/>
  <c r="S124" i="9"/>
  <c r="S178" i="9"/>
  <c r="S153" i="9"/>
  <c r="W130" i="9"/>
  <c r="S138" i="9"/>
  <c r="S164" i="9"/>
  <c r="S171" i="9"/>
  <c r="S175" i="9"/>
  <c r="S168" i="9"/>
  <c r="S187" i="9"/>
  <c r="S186" i="9"/>
  <c r="S176" i="9"/>
  <c r="S185" i="9"/>
  <c r="U148" i="9"/>
  <c r="S158" i="9"/>
  <c r="S120" i="9"/>
  <c r="S173" i="9"/>
  <c r="W178" i="9"/>
  <c r="S159" i="9"/>
  <c r="S109" i="9"/>
  <c r="S108" i="9"/>
  <c r="S148" i="9"/>
  <c r="S110" i="9"/>
  <c r="S128" i="9"/>
  <c r="S170" i="9"/>
  <c r="W136" i="9"/>
  <c r="S145" i="9"/>
  <c r="W172" i="9"/>
  <c r="D37" i="35"/>
  <c r="F37" i="35" s="1"/>
  <c r="D28" i="35"/>
  <c r="F28" i="35" s="1"/>
  <c r="I36" i="36"/>
  <c r="K36" i="36" s="1"/>
  <c r="W118" i="9"/>
  <c r="W124" i="9"/>
  <c r="I42" i="36"/>
  <c r="K42" i="36" s="1"/>
  <c r="D29" i="35"/>
  <c r="F29" i="35" s="1"/>
  <c r="W148" i="9"/>
  <c r="D33" i="35"/>
  <c r="F33" i="35" s="1"/>
  <c r="W112" i="9"/>
  <c r="D27" i="35"/>
  <c r="F27" i="35" s="1"/>
  <c r="U142" i="9"/>
  <c r="D19" i="36"/>
  <c r="D46" i="9"/>
  <c r="U46" i="9" s="1"/>
  <c r="D9" i="36"/>
  <c r="D10" i="9"/>
  <c r="M21" i="15"/>
  <c r="M15" i="15"/>
  <c r="M14" i="15"/>
  <c r="D17" i="36" s="1"/>
  <c r="D21" i="36"/>
  <c r="M13" i="15"/>
  <c r="N13" i="15" s="1"/>
  <c r="D13" i="31" s="1"/>
  <c r="D58" i="9"/>
  <c r="M12" i="15"/>
  <c r="M25" i="15"/>
  <c r="D33" i="36" s="1"/>
  <c r="M24" i="15"/>
  <c r="N24" i="15" s="1"/>
  <c r="D24" i="31" s="1"/>
  <c r="F32" i="36" s="1"/>
  <c r="M23" i="15"/>
  <c r="D30" i="36" s="1"/>
  <c r="M22" i="15"/>
  <c r="D27" i="36" s="1"/>
  <c r="N12" i="15"/>
  <c r="D12" i="31" s="1"/>
  <c r="F13" i="36" s="1"/>
  <c r="D13" i="36"/>
  <c r="D22" i="9"/>
  <c r="N11" i="15"/>
  <c r="D11" i="31" s="1"/>
  <c r="F12" i="36" s="1"/>
  <c r="D16" i="9"/>
  <c r="U19" i="9" s="1"/>
  <c r="N21" i="15"/>
  <c r="D21" i="31" s="1"/>
  <c r="F24" i="36" s="1"/>
  <c r="D76" i="9"/>
  <c r="U77" i="9" s="1"/>
  <c r="D24" i="36"/>
  <c r="D23" i="36"/>
  <c r="N20" i="15"/>
  <c r="D20" i="31" s="1"/>
  <c r="F23" i="36" s="1"/>
  <c r="D70" i="9"/>
  <c r="N10" i="15"/>
  <c r="D10" i="31" s="1"/>
  <c r="F9" i="36" s="1"/>
  <c r="D40" i="9"/>
  <c r="U16" i="9"/>
  <c r="D20" i="36"/>
  <c r="D34" i="9"/>
  <c r="C82" i="9"/>
  <c r="C27" i="36"/>
  <c r="C23" i="36"/>
  <c r="C70" i="9"/>
  <c r="C21" i="36"/>
  <c r="C58" i="9"/>
  <c r="C22" i="9"/>
  <c r="C13" i="36"/>
  <c r="E24" i="15"/>
  <c r="C94" i="9" s="1"/>
  <c r="C16" i="9"/>
  <c r="F21" i="15"/>
  <c r="C21" i="31" s="1"/>
  <c r="E24" i="36" s="1"/>
  <c r="F23" i="15"/>
  <c r="C23" i="31" s="1"/>
  <c r="E30" i="36" s="1"/>
  <c r="F22" i="15"/>
  <c r="C22" i="31" s="1"/>
  <c r="E27" i="36" s="1"/>
  <c r="F15" i="15"/>
  <c r="C15" i="31" s="1"/>
  <c r="E15" i="31" s="1"/>
  <c r="G18" i="36" s="1"/>
  <c r="F12" i="15"/>
  <c r="C12" i="31" s="1"/>
  <c r="E13" i="36" s="1"/>
  <c r="N28" i="15"/>
  <c r="D28" i="31" s="1"/>
  <c r="F36" i="36" s="1"/>
  <c r="D36" i="36"/>
  <c r="D118" i="9"/>
  <c r="U118" i="9" s="1"/>
  <c r="F19" i="36"/>
  <c r="E16" i="31"/>
  <c r="G19" i="36" s="1"/>
  <c r="C166" i="9"/>
  <c r="C44" i="36"/>
  <c r="N14" i="15"/>
  <c r="D14" i="31" s="1"/>
  <c r="F17" i="36" s="1"/>
  <c r="F36" i="15"/>
  <c r="C36" i="31" s="1"/>
  <c r="E44" i="36" s="1"/>
  <c r="F35" i="15"/>
  <c r="C35" i="31" s="1"/>
  <c r="E43" i="36" s="1"/>
  <c r="F34" i="15"/>
  <c r="C34" i="31" s="1"/>
  <c r="E26" i="15"/>
  <c r="N31" i="15"/>
  <c r="D31" i="31" s="1"/>
  <c r="F39" i="36" s="1"/>
  <c r="M37" i="15"/>
  <c r="N26" i="15"/>
  <c r="D26" i="31" s="1"/>
  <c r="F34" i="36" s="1"/>
  <c r="M35" i="15"/>
  <c r="D106" i="9"/>
  <c r="U106" i="9" s="1"/>
  <c r="M30" i="15"/>
  <c r="E37" i="31"/>
  <c r="G45" i="36" s="1"/>
  <c r="E45" i="36"/>
  <c r="E20" i="36"/>
  <c r="C46" i="36"/>
  <c r="C178" i="9"/>
  <c r="E9" i="36"/>
  <c r="E36" i="31"/>
  <c r="G44" i="36" s="1"/>
  <c r="N38" i="15"/>
  <c r="D38" i="31" s="1"/>
  <c r="F46" i="36" s="1"/>
  <c r="D46" i="36"/>
  <c r="D178" i="9"/>
  <c r="U178" i="9" s="1"/>
  <c r="E12" i="36"/>
  <c r="C154" i="9"/>
  <c r="C42" i="36"/>
  <c r="E42" i="36"/>
  <c r="E34" i="31"/>
  <c r="G42" i="36" s="1"/>
  <c r="E17" i="36"/>
  <c r="C142" i="9"/>
  <c r="C40" i="36"/>
  <c r="C30" i="36"/>
  <c r="C88" i="9"/>
  <c r="E19" i="31"/>
  <c r="G22" i="36" s="1"/>
  <c r="D184" i="9"/>
  <c r="U184" i="9" s="1"/>
  <c r="D47" i="36"/>
  <c r="E32" i="36"/>
  <c r="D172" i="9"/>
  <c r="U172" i="9" s="1"/>
  <c r="D45" i="36"/>
  <c r="N37" i="15"/>
  <c r="D37" i="31" s="1"/>
  <c r="F45" i="36" s="1"/>
  <c r="E34" i="36"/>
  <c r="E26" i="31"/>
  <c r="G34" i="36" s="1"/>
  <c r="D43" i="36"/>
  <c r="D160" i="9"/>
  <c r="U160" i="9" s="1"/>
  <c r="N35" i="15"/>
  <c r="D35" i="31" s="1"/>
  <c r="F43" i="36" s="1"/>
  <c r="E20" i="31"/>
  <c r="G23" i="36" s="1"/>
  <c r="E23" i="36"/>
  <c r="U52" i="9"/>
  <c r="U54" i="9"/>
  <c r="U56" i="9"/>
  <c r="C100" i="9"/>
  <c r="C33" i="36"/>
  <c r="E39" i="31"/>
  <c r="G47" i="36" s="1"/>
  <c r="E47" i="36"/>
  <c r="D38" i="36"/>
  <c r="N30" i="15"/>
  <c r="D30" i="31" s="1"/>
  <c r="F38" i="36" s="1"/>
  <c r="D130" i="9"/>
  <c r="U130" i="9" s="1"/>
  <c r="I43" i="36" s="1"/>
  <c r="K43" i="36" s="1"/>
  <c r="C47" i="36"/>
  <c r="C184" i="9"/>
  <c r="D64" i="9"/>
  <c r="N32" i="15"/>
  <c r="D32" i="31" s="1"/>
  <c r="F40" i="36" s="1"/>
  <c r="D124" i="9"/>
  <c r="U124" i="9" s="1"/>
  <c r="I37" i="36" s="1"/>
  <c r="K37" i="36" s="1"/>
  <c r="N33" i="15"/>
  <c r="D33" i="31" s="1"/>
  <c r="F41" i="36" s="1"/>
  <c r="D40" i="36"/>
  <c r="D37" i="36"/>
  <c r="D41" i="36"/>
  <c r="C24" i="36"/>
  <c r="C16" i="36"/>
  <c r="D22" i="36"/>
  <c r="F38" i="15"/>
  <c r="C38" i="31" s="1"/>
  <c r="F32" i="15"/>
  <c r="C32" i="31" s="1"/>
  <c r="N34" i="15"/>
  <c r="D34" i="31" s="1"/>
  <c r="F42" i="36" s="1"/>
  <c r="C18" i="36"/>
  <c r="D112" i="9"/>
  <c r="U112" i="9" s="1"/>
  <c r="U78" i="9"/>
  <c r="E16" i="36"/>
  <c r="E35" i="31"/>
  <c r="G43" i="36" s="1"/>
  <c r="N27" i="15"/>
  <c r="D27" i="31" s="1"/>
  <c r="F35" i="36" s="1"/>
  <c r="E22" i="36"/>
  <c r="C43" i="36"/>
  <c r="D39" i="36"/>
  <c r="C172" i="9"/>
  <c r="B24" i="35"/>
  <c r="B94" i="9"/>
  <c r="B23" i="35"/>
  <c r="B23" i="31"/>
  <c r="B23" i="15"/>
  <c r="B88" i="9"/>
  <c r="B24" i="15"/>
  <c r="B32" i="36"/>
  <c r="B76" i="9"/>
  <c r="B20" i="15"/>
  <c r="B23" i="36"/>
  <c r="B20" i="31"/>
  <c r="B20" i="35"/>
  <c r="B22" i="36"/>
  <c r="B64" i="9"/>
  <c r="B18" i="35"/>
  <c r="B18" i="31"/>
  <c r="B19" i="35"/>
  <c r="B19" i="31"/>
  <c r="B17" i="31"/>
  <c r="B20" i="36"/>
  <c r="B11" i="35"/>
  <c r="B11" i="15"/>
  <c r="B82" i="9"/>
  <c r="B22" i="35"/>
  <c r="B21" i="31"/>
  <c r="B21" i="15"/>
  <c r="B21" i="35"/>
  <c r="B22" i="31"/>
  <c r="B27" i="36"/>
  <c r="E37" i="36" l="1"/>
  <c r="E29" i="31"/>
  <c r="G37" i="36" s="1"/>
  <c r="C38" i="36"/>
  <c r="C130" i="9"/>
  <c r="E30" i="31"/>
  <c r="G38" i="36" s="1"/>
  <c r="E38" i="36"/>
  <c r="E39" i="36"/>
  <c r="E31" i="31"/>
  <c r="G39" i="36" s="1"/>
  <c r="C39" i="36"/>
  <c r="C136" i="9"/>
  <c r="E41" i="36"/>
  <c r="E33" i="31"/>
  <c r="G41" i="36" s="1"/>
  <c r="E35" i="36"/>
  <c r="E27" i="31"/>
  <c r="G35" i="36" s="1"/>
  <c r="C36" i="36"/>
  <c r="C118" i="9"/>
  <c r="C37" i="36"/>
  <c r="C124" i="9"/>
  <c r="C41" i="36"/>
  <c r="C148" i="9"/>
  <c r="C35" i="36"/>
  <c r="C112" i="9"/>
  <c r="E28" i="31"/>
  <c r="G36" i="36" s="1"/>
  <c r="E36" i="36"/>
  <c r="E21" i="36"/>
  <c r="E18" i="31"/>
  <c r="G21" i="36" s="1"/>
  <c r="C9" i="36"/>
  <c r="C10" i="9"/>
  <c r="N15" i="15"/>
  <c r="D15" i="31" s="1"/>
  <c r="F18" i="36" s="1"/>
  <c r="D18" i="36"/>
  <c r="U41" i="9"/>
  <c r="U44" i="9"/>
  <c r="U42" i="9"/>
  <c r="T72" i="9"/>
  <c r="T74" i="9"/>
  <c r="T73" i="9"/>
  <c r="T70" i="9"/>
  <c r="T71" i="9"/>
  <c r="T75" i="9"/>
  <c r="T61" i="9"/>
  <c r="T60" i="9"/>
  <c r="T58" i="9"/>
  <c r="T63" i="9"/>
  <c r="T59" i="9"/>
  <c r="T62" i="9"/>
  <c r="T26" i="9"/>
  <c r="T24" i="9"/>
  <c r="T27" i="9"/>
  <c r="T25" i="9"/>
  <c r="T23" i="9"/>
  <c r="T22" i="9"/>
  <c r="T95" i="9"/>
  <c r="T99" i="9"/>
  <c r="T96" i="9"/>
  <c r="T97" i="9"/>
  <c r="T98" i="9"/>
  <c r="T94" i="9"/>
  <c r="T17" i="9"/>
  <c r="T18" i="9"/>
  <c r="T19" i="9"/>
  <c r="T16" i="9"/>
  <c r="T20" i="9"/>
  <c r="T21" i="9"/>
  <c r="T92" i="9"/>
  <c r="T89" i="9"/>
  <c r="T93" i="9"/>
  <c r="T90" i="9"/>
  <c r="T88" i="9"/>
  <c r="T91" i="9"/>
  <c r="T108" i="9"/>
  <c r="T113" i="9"/>
  <c r="T118" i="9"/>
  <c r="T123" i="9"/>
  <c r="T128" i="9"/>
  <c r="T132" i="9"/>
  <c r="H45" i="36" s="1"/>
  <c r="J45" i="36" s="1"/>
  <c r="L45" i="36" s="1"/>
  <c r="N45" i="36" s="1"/>
  <c r="M45" i="36" s="1"/>
  <c r="P45" i="36" s="1"/>
  <c r="T139" i="9"/>
  <c r="T145" i="9"/>
  <c r="T149" i="9"/>
  <c r="T157" i="9"/>
  <c r="T162" i="9"/>
  <c r="T169" i="9"/>
  <c r="T173" i="9"/>
  <c r="T181" i="9"/>
  <c r="T187" i="9"/>
  <c r="T104" i="9"/>
  <c r="T107" i="9"/>
  <c r="T111" i="9"/>
  <c r="T114" i="9"/>
  <c r="T116" i="9"/>
  <c r="T121" i="9"/>
  <c r="T125" i="9"/>
  <c r="H38" i="36" s="1"/>
  <c r="J38" i="36" s="1"/>
  <c r="L38" i="36" s="1"/>
  <c r="N38" i="36" s="1"/>
  <c r="M38" i="36" s="1"/>
  <c r="P38" i="36" s="1"/>
  <c r="T131" i="9"/>
  <c r="T150" i="9"/>
  <c r="T138" i="9"/>
  <c r="T142" i="9"/>
  <c r="T148" i="9"/>
  <c r="T153" i="9"/>
  <c r="T158" i="9"/>
  <c r="T160" i="9"/>
  <c r="T165" i="9"/>
  <c r="T170" i="9"/>
  <c r="T175" i="9"/>
  <c r="T179" i="9"/>
  <c r="T184" i="9"/>
  <c r="T100" i="9"/>
  <c r="T101" i="9"/>
  <c r="T106" i="9"/>
  <c r="T112" i="9"/>
  <c r="T105" i="9"/>
  <c r="T129" i="9"/>
  <c r="T136" i="9"/>
  <c r="T141" i="9"/>
  <c r="T146" i="9"/>
  <c r="T151" i="9"/>
  <c r="T156" i="9"/>
  <c r="T163" i="9"/>
  <c r="T167" i="9"/>
  <c r="T172" i="9"/>
  <c r="T177" i="9"/>
  <c r="T183" i="9"/>
  <c r="T188" i="9"/>
  <c r="T119" i="9"/>
  <c r="T122" i="9"/>
  <c r="T127" i="9"/>
  <c r="T133" i="9"/>
  <c r="T140" i="9"/>
  <c r="T144" i="9"/>
  <c r="T154" i="9"/>
  <c r="T103" i="9"/>
  <c r="T109" i="9"/>
  <c r="T110" i="9"/>
  <c r="T115" i="9"/>
  <c r="T117" i="9"/>
  <c r="V112" i="9" s="1"/>
  <c r="T120" i="9"/>
  <c r="T126" i="9"/>
  <c r="T130" i="9"/>
  <c r="H43" i="36" s="1"/>
  <c r="J43" i="36" s="1"/>
  <c r="L43" i="36" s="1"/>
  <c r="N43" i="36" s="1"/>
  <c r="M43" i="36" s="1"/>
  <c r="P43" i="36" s="1"/>
  <c r="T135" i="9"/>
  <c r="T137" i="9"/>
  <c r="T143" i="9"/>
  <c r="T147" i="9"/>
  <c r="T152" i="9"/>
  <c r="T155" i="9"/>
  <c r="T134" i="9"/>
  <c r="T164" i="9"/>
  <c r="T171" i="9"/>
  <c r="T176" i="9"/>
  <c r="T178" i="9"/>
  <c r="T185" i="9"/>
  <c r="T161" i="9"/>
  <c r="T168" i="9"/>
  <c r="T174" i="9"/>
  <c r="T182" i="9"/>
  <c r="T186" i="9"/>
  <c r="T124" i="9"/>
  <c r="H37" i="36" s="1"/>
  <c r="J37" i="36" s="1"/>
  <c r="L37" i="36" s="1"/>
  <c r="N37" i="36" s="1"/>
  <c r="M37" i="36" s="1"/>
  <c r="P37" i="36" s="1"/>
  <c r="T166" i="9"/>
  <c r="T180" i="9"/>
  <c r="T189" i="9"/>
  <c r="T102" i="9"/>
  <c r="T159" i="9"/>
  <c r="V154" i="9" s="1"/>
  <c r="D100" i="9"/>
  <c r="D32" i="36"/>
  <c r="E24" i="31"/>
  <c r="G32" i="36" s="1"/>
  <c r="D88" i="9"/>
  <c r="U92" i="9" s="1"/>
  <c r="N23" i="15"/>
  <c r="D23" i="31" s="1"/>
  <c r="F30" i="36" s="1"/>
  <c r="U57" i="9"/>
  <c r="I20" i="36" s="1"/>
  <c r="K20" i="36" s="1"/>
  <c r="U53" i="9"/>
  <c r="N17" i="15"/>
  <c r="D17" i="31" s="1"/>
  <c r="F20" i="36" s="1"/>
  <c r="U50" i="9"/>
  <c r="U48" i="9"/>
  <c r="U49" i="9"/>
  <c r="U40" i="9"/>
  <c r="F16" i="36"/>
  <c r="E13" i="31"/>
  <c r="G16" i="36" s="1"/>
  <c r="D16" i="36"/>
  <c r="D28" i="9"/>
  <c r="E11" i="31"/>
  <c r="G12" i="36" s="1"/>
  <c r="E10" i="31"/>
  <c r="G9" i="36" s="1"/>
  <c r="C22" i="36"/>
  <c r="C64" i="9"/>
  <c r="C20" i="36"/>
  <c r="C52" i="9"/>
  <c r="C34" i="9"/>
  <c r="E12" i="31"/>
  <c r="G13" i="36" s="1"/>
  <c r="U51" i="9"/>
  <c r="U47" i="9"/>
  <c r="U58" i="9"/>
  <c r="U59" i="9"/>
  <c r="U60" i="9"/>
  <c r="U62" i="9"/>
  <c r="U63" i="9"/>
  <c r="U61" i="9"/>
  <c r="D82" i="9"/>
  <c r="D94" i="9"/>
  <c r="U98" i="9" s="1"/>
  <c r="N25" i="15"/>
  <c r="D25" i="31" s="1"/>
  <c r="N22" i="15"/>
  <c r="D22" i="31" s="1"/>
  <c r="F27" i="36" s="1"/>
  <c r="U26" i="9"/>
  <c r="U23" i="9"/>
  <c r="U25" i="9"/>
  <c r="U24" i="9"/>
  <c r="U22" i="9"/>
  <c r="U27" i="9"/>
  <c r="U20" i="9"/>
  <c r="U21" i="9"/>
  <c r="U17" i="9"/>
  <c r="U18" i="9"/>
  <c r="W10" i="9"/>
  <c r="D10" i="35"/>
  <c r="U70" i="9"/>
  <c r="U73" i="9"/>
  <c r="U75" i="9"/>
  <c r="U71" i="9"/>
  <c r="U74" i="9"/>
  <c r="U72" i="9"/>
  <c r="U36" i="9"/>
  <c r="U35" i="9"/>
  <c r="U37" i="9"/>
  <c r="U38" i="9"/>
  <c r="U34" i="9"/>
  <c r="U39" i="9"/>
  <c r="U43" i="9"/>
  <c r="U45" i="9"/>
  <c r="U29" i="9"/>
  <c r="U76" i="9"/>
  <c r="U80" i="9"/>
  <c r="U79" i="9"/>
  <c r="U81" i="9"/>
  <c r="H40" i="36"/>
  <c r="J40" i="36" s="1"/>
  <c r="L40" i="36" s="1"/>
  <c r="N40" i="36" s="1"/>
  <c r="M40" i="36" s="1"/>
  <c r="P40" i="36" s="1"/>
  <c r="H46" i="36"/>
  <c r="J46" i="36" s="1"/>
  <c r="L46" i="36" s="1"/>
  <c r="N46" i="36" s="1"/>
  <c r="M46" i="36" s="1"/>
  <c r="P46" i="36" s="1"/>
  <c r="C23" i="35"/>
  <c r="E23" i="35" s="1"/>
  <c r="E18" i="36"/>
  <c r="V142" i="9"/>
  <c r="E22" i="31"/>
  <c r="G27" i="36" s="1"/>
  <c r="V40" i="9"/>
  <c r="C24" i="35"/>
  <c r="E24" i="35" s="1"/>
  <c r="C11" i="35"/>
  <c r="E11" i="35" s="1"/>
  <c r="C32" i="36"/>
  <c r="H41" i="36"/>
  <c r="J41" i="36" s="1"/>
  <c r="L41" i="36" s="1"/>
  <c r="N41" i="36" s="1"/>
  <c r="M41" i="36" s="1"/>
  <c r="P41" i="36" s="1"/>
  <c r="E21" i="31"/>
  <c r="G24" i="36" s="1"/>
  <c r="C106" i="9"/>
  <c r="C34" i="36"/>
  <c r="E14" i="31"/>
  <c r="G17" i="36" s="1"/>
  <c r="U83" i="9"/>
  <c r="U86" i="9"/>
  <c r="U85" i="9"/>
  <c r="K12" i="31"/>
  <c r="E12" i="37" s="1"/>
  <c r="J10" i="31"/>
  <c r="D10" i="37" s="1"/>
  <c r="U102" i="9"/>
  <c r="U103" i="9"/>
  <c r="U104" i="9"/>
  <c r="U105" i="9"/>
  <c r="U100" i="9"/>
  <c r="U101" i="9"/>
  <c r="I10" i="31"/>
  <c r="C10" i="37" s="1"/>
  <c r="M10" i="31"/>
  <c r="G10" i="37" s="1"/>
  <c r="U91" i="9"/>
  <c r="U93" i="9"/>
  <c r="U68" i="9"/>
  <c r="U65" i="9"/>
  <c r="U66" i="9"/>
  <c r="U64" i="9"/>
  <c r="U67" i="9"/>
  <c r="U69" i="9"/>
  <c r="L11" i="31"/>
  <c r="F11" i="37" s="1"/>
  <c r="M14" i="31"/>
  <c r="G14" i="37" s="1"/>
  <c r="E17" i="31"/>
  <c r="G20" i="36" s="1"/>
  <c r="E40" i="36"/>
  <c r="E32" i="31"/>
  <c r="G40" i="36" s="1"/>
  <c r="E38" i="31"/>
  <c r="G46" i="36" s="1"/>
  <c r="E46" i="36"/>
  <c r="T10" i="9" l="1"/>
  <c r="T15" i="9"/>
  <c r="V10" i="9" s="1"/>
  <c r="T13" i="9"/>
  <c r="T12" i="9"/>
  <c r="T14" i="9"/>
  <c r="T11" i="9"/>
  <c r="U31" i="9"/>
  <c r="U30" i="9"/>
  <c r="T66" i="9"/>
  <c r="T67" i="9"/>
  <c r="T68" i="9"/>
  <c r="T65" i="9"/>
  <c r="T64" i="9"/>
  <c r="T69" i="9"/>
  <c r="T53" i="9"/>
  <c r="T57" i="9"/>
  <c r="T55" i="9"/>
  <c r="T52" i="9"/>
  <c r="T54" i="9"/>
  <c r="T56" i="9"/>
  <c r="T37" i="9"/>
  <c r="T35" i="9"/>
  <c r="T39" i="9"/>
  <c r="V34" i="9" s="1"/>
  <c r="T36" i="9"/>
  <c r="T34" i="9"/>
  <c r="T38" i="9"/>
  <c r="U82" i="9"/>
  <c r="U84" i="9"/>
  <c r="W52" i="9"/>
  <c r="D17" i="35"/>
  <c r="F17" i="35" s="1"/>
  <c r="U88" i="9"/>
  <c r="U89" i="9"/>
  <c r="F33" i="36"/>
  <c r="E25" i="31"/>
  <c r="G33" i="36" s="1"/>
  <c r="B18" i="33" s="1"/>
  <c r="U97" i="9"/>
  <c r="E23" i="31"/>
  <c r="G30" i="36" s="1"/>
  <c r="B17" i="33" s="1"/>
  <c r="U96" i="9"/>
  <c r="U95" i="9"/>
  <c r="U94" i="9"/>
  <c r="U99" i="9"/>
  <c r="U90" i="9"/>
  <c r="L10" i="31"/>
  <c r="F10" i="37" s="1"/>
  <c r="L14" i="31"/>
  <c r="F14" i="37" s="1"/>
  <c r="J11" i="31"/>
  <c r="D11" i="37" s="1"/>
  <c r="I13" i="31"/>
  <c r="C13" i="37" s="1"/>
  <c r="J13" i="31"/>
  <c r="D13" i="37" s="1"/>
  <c r="J12" i="31"/>
  <c r="D12" i="37" s="1"/>
  <c r="M13" i="31"/>
  <c r="G13" i="37" s="1"/>
  <c r="L13" i="31"/>
  <c r="F13" i="37" s="1"/>
  <c r="K10" i="31"/>
  <c r="E10" i="37" s="1"/>
  <c r="I12" i="31"/>
  <c r="C12" i="37" s="1"/>
  <c r="I14" i="31"/>
  <c r="C14" i="37" s="1"/>
  <c r="M12" i="31"/>
  <c r="G12" i="37" s="1"/>
  <c r="U28" i="9"/>
  <c r="U33" i="9"/>
  <c r="U32" i="9"/>
  <c r="H44" i="36"/>
  <c r="J44" i="36" s="1"/>
  <c r="L44" i="36" s="1"/>
  <c r="N44" i="36" s="1"/>
  <c r="M44" i="36" s="1"/>
  <c r="P44" i="36" s="1"/>
  <c r="V88" i="9"/>
  <c r="H39" i="36"/>
  <c r="J39" i="36" s="1"/>
  <c r="L39" i="36" s="1"/>
  <c r="N39" i="36" s="1"/>
  <c r="M39" i="36" s="1"/>
  <c r="P39" i="36" s="1"/>
  <c r="V76" i="9"/>
  <c r="H47" i="36"/>
  <c r="J47" i="36" s="1"/>
  <c r="L47" i="36" s="1"/>
  <c r="N47" i="36" s="1"/>
  <c r="M47" i="36" s="1"/>
  <c r="P47" i="36" s="1"/>
  <c r="H18" i="36"/>
  <c r="J18" i="36" s="1"/>
  <c r="C15" i="35"/>
  <c r="E15" i="35" s="1"/>
  <c r="H30" i="36"/>
  <c r="J30" i="36" s="1"/>
  <c r="C32" i="35"/>
  <c r="E32" i="35" s="1"/>
  <c r="G32" i="35" s="1"/>
  <c r="H12" i="36"/>
  <c r="J12" i="36" s="1"/>
  <c r="V16" i="9"/>
  <c r="D16" i="35"/>
  <c r="F16" i="35" s="1"/>
  <c r="I19" i="36"/>
  <c r="K19" i="36" s="1"/>
  <c r="W46" i="9"/>
  <c r="I21" i="36"/>
  <c r="K21" i="36" s="1"/>
  <c r="D18" i="35"/>
  <c r="F18" i="35" s="1"/>
  <c r="W58" i="9"/>
  <c r="K11" i="31"/>
  <c r="E11" i="37" s="1"/>
  <c r="M11" i="31"/>
  <c r="G11" i="37" s="1"/>
  <c r="K14" i="31"/>
  <c r="E14" i="37" s="1"/>
  <c r="I11" i="31"/>
  <c r="C11" i="37" s="1"/>
  <c r="L12" i="31"/>
  <c r="F12" i="37" s="1"/>
  <c r="U87" i="9"/>
  <c r="I27" i="36" s="1"/>
  <c r="K27" i="36" s="1"/>
  <c r="K13" i="31"/>
  <c r="E13" i="37" s="1"/>
  <c r="J14" i="31"/>
  <c r="D14" i="37" s="1"/>
  <c r="W22" i="9"/>
  <c r="D12" i="35"/>
  <c r="F12" i="35" s="1"/>
  <c r="I13" i="36"/>
  <c r="K13" i="36" s="1"/>
  <c r="D11" i="35"/>
  <c r="F11" i="35" s="1"/>
  <c r="G11" i="35" s="1"/>
  <c r="I12" i="36"/>
  <c r="K12" i="36" s="1"/>
  <c r="W16" i="9"/>
  <c r="W76" i="9"/>
  <c r="I24" i="36"/>
  <c r="K24" i="36" s="1"/>
  <c r="D21" i="35"/>
  <c r="F21" i="35" s="1"/>
  <c r="W70" i="9"/>
  <c r="D20" i="35"/>
  <c r="F20" i="35" s="1"/>
  <c r="I23" i="36"/>
  <c r="K23" i="36" s="1"/>
  <c r="W40" i="9"/>
  <c r="D15" i="35"/>
  <c r="F15" i="35" s="1"/>
  <c r="I18" i="36"/>
  <c r="K18" i="36" s="1"/>
  <c r="I9" i="36"/>
  <c r="F10" i="35"/>
  <c r="K9" i="36" s="1"/>
  <c r="W34" i="9"/>
  <c r="I17" i="36"/>
  <c r="K17" i="36" s="1"/>
  <c r="D14" i="35"/>
  <c r="F14" i="35" s="1"/>
  <c r="V100" i="9"/>
  <c r="H33" i="36"/>
  <c r="J33" i="36" s="1"/>
  <c r="C25" i="35"/>
  <c r="E25" i="35" s="1"/>
  <c r="C27" i="35"/>
  <c r="E27" i="35" s="1"/>
  <c r="G27" i="35" s="1"/>
  <c r="H36" i="36"/>
  <c r="J36" i="36" s="1"/>
  <c r="L36" i="36" s="1"/>
  <c r="N36" i="36" s="1"/>
  <c r="M36" i="36" s="1"/>
  <c r="P36" i="36" s="1"/>
  <c r="V118" i="9"/>
  <c r="C28" i="35"/>
  <c r="E28" i="35" s="1"/>
  <c r="G28" i="35" s="1"/>
  <c r="C31" i="35"/>
  <c r="E31" i="35" s="1"/>
  <c r="G31" i="35" s="1"/>
  <c r="V136" i="9"/>
  <c r="H17" i="36"/>
  <c r="J17" i="36" s="1"/>
  <c r="C14" i="35"/>
  <c r="E14" i="35" s="1"/>
  <c r="H35" i="36"/>
  <c r="J35" i="36" s="1"/>
  <c r="L35" i="36" s="1"/>
  <c r="N35" i="36" s="1"/>
  <c r="M35" i="36" s="1"/>
  <c r="P35" i="36" s="1"/>
  <c r="V94" i="9"/>
  <c r="C34" i="35"/>
  <c r="E34" i="35" s="1"/>
  <c r="G34" i="35" s="1"/>
  <c r="H27" i="36"/>
  <c r="J27" i="36" s="1"/>
  <c r="C22" i="35"/>
  <c r="E22" i="35" s="1"/>
  <c r="V82" i="9"/>
  <c r="V184" i="9"/>
  <c r="C39" i="35"/>
  <c r="E39" i="35" s="1"/>
  <c r="G39" i="35" s="1"/>
  <c r="H32" i="36"/>
  <c r="J32" i="36" s="1"/>
  <c r="C35" i="35"/>
  <c r="E35" i="35" s="1"/>
  <c r="G35" i="35" s="1"/>
  <c r="V160" i="9"/>
  <c r="V28" i="9"/>
  <c r="H16" i="36"/>
  <c r="J16" i="36" s="1"/>
  <c r="C13" i="35"/>
  <c r="E13" i="35" s="1"/>
  <c r="H20" i="36"/>
  <c r="J20" i="36" s="1"/>
  <c r="L20" i="36" s="1"/>
  <c r="N20" i="36" s="1"/>
  <c r="M20" i="36" s="1"/>
  <c r="P20" i="36" s="1"/>
  <c r="V52" i="9"/>
  <c r="C17" i="35"/>
  <c r="E17" i="35" s="1"/>
  <c r="G17" i="35" s="1"/>
  <c r="H34" i="36"/>
  <c r="J34" i="36" s="1"/>
  <c r="L34" i="36" s="1"/>
  <c r="N34" i="36" s="1"/>
  <c r="M34" i="36" s="1"/>
  <c r="P34" i="36" s="1"/>
  <c r="C26" i="35"/>
  <c r="E26" i="35" s="1"/>
  <c r="G26" i="35" s="1"/>
  <c r="V106" i="9"/>
  <c r="V22" i="9"/>
  <c r="C12" i="35"/>
  <c r="E12" i="35" s="1"/>
  <c r="H13" i="36"/>
  <c r="J13" i="36" s="1"/>
  <c r="C37" i="35"/>
  <c r="E37" i="35" s="1"/>
  <c r="G37" i="35" s="1"/>
  <c r="V172" i="9"/>
  <c r="C33" i="35"/>
  <c r="E33" i="35" s="1"/>
  <c r="G33" i="35" s="1"/>
  <c r="V148" i="9"/>
  <c r="B16" i="33"/>
  <c r="W94" i="9"/>
  <c r="D24" i="35"/>
  <c r="F24" i="35" s="1"/>
  <c r="G24" i="35" s="1"/>
  <c r="I32" i="36"/>
  <c r="K32" i="36" s="1"/>
  <c r="W64" i="9"/>
  <c r="D19" i="35"/>
  <c r="F19" i="35" s="1"/>
  <c r="I22" i="36"/>
  <c r="K22" i="36" s="1"/>
  <c r="W100" i="9"/>
  <c r="D25" i="35"/>
  <c r="F25" i="35" s="1"/>
  <c r="I33" i="36"/>
  <c r="K33" i="36" s="1"/>
  <c r="I30" i="36"/>
  <c r="K30" i="36" s="1"/>
  <c r="D23" i="35"/>
  <c r="F23" i="35" s="1"/>
  <c r="G23" i="35" s="1"/>
  <c r="W88" i="9"/>
  <c r="L18" i="36" l="1"/>
  <c r="N18" i="36" s="1"/>
  <c r="M18" i="36" s="1"/>
  <c r="P18" i="36" s="1"/>
  <c r="G15" i="35"/>
  <c r="L13" i="36"/>
  <c r="N13" i="36" s="1"/>
  <c r="M13" i="36" s="1"/>
  <c r="P13" i="36" s="1"/>
  <c r="L30" i="36"/>
  <c r="N31" i="36" s="1"/>
  <c r="M30" i="36" s="1"/>
  <c r="P31" i="36" s="1"/>
  <c r="H23" i="36"/>
  <c r="J23" i="36" s="1"/>
  <c r="V70" i="9"/>
  <c r="B15" i="33"/>
  <c r="B19" i="33" s="1"/>
  <c r="C17" i="33" s="1"/>
  <c r="L27" i="36"/>
  <c r="N29" i="36" s="1"/>
  <c r="M27" i="36" s="1"/>
  <c r="P29" i="36" s="1"/>
  <c r="L23" i="36"/>
  <c r="N23" i="36" s="1"/>
  <c r="M23" i="36" s="1"/>
  <c r="P23" i="36" s="1"/>
  <c r="G14" i="35"/>
  <c r="L17" i="36"/>
  <c r="N17" i="36" s="1"/>
  <c r="M17" i="36" s="1"/>
  <c r="P17" i="36" s="1"/>
  <c r="D13" i="35"/>
  <c r="F13" i="35" s="1"/>
  <c r="G13" i="35" s="1"/>
  <c r="I16" i="36"/>
  <c r="K16" i="36" s="1"/>
  <c r="L16" i="36" s="1"/>
  <c r="N16" i="36" s="1"/>
  <c r="M16" i="36" s="1"/>
  <c r="P16" i="36" s="1"/>
  <c r="W28" i="9"/>
  <c r="G12" i="35"/>
  <c r="L12" i="36"/>
  <c r="N12" i="36" s="1"/>
  <c r="M12" i="36" s="1"/>
  <c r="P12" i="36" s="1"/>
  <c r="G25" i="35"/>
  <c r="C20" i="35"/>
  <c r="E20" i="35" s="1"/>
  <c r="G20" i="35" s="1"/>
  <c r="H24" i="36"/>
  <c r="J24" i="36" s="1"/>
  <c r="L24" i="36" s="1"/>
  <c r="N26" i="36" s="1"/>
  <c r="M24" i="36" s="1"/>
  <c r="P26" i="36" s="1"/>
  <c r="C21" i="35"/>
  <c r="E21" i="35" s="1"/>
  <c r="G21" i="35" s="1"/>
  <c r="H22" i="36"/>
  <c r="J22" i="36" s="1"/>
  <c r="L22" i="36" s="1"/>
  <c r="N22" i="36" s="1"/>
  <c r="M22" i="36" s="1"/>
  <c r="P22" i="36" s="1"/>
  <c r="V64" i="9"/>
  <c r="C19" i="35"/>
  <c r="E19" i="35" s="1"/>
  <c r="G19" i="35" s="1"/>
  <c r="C16" i="35"/>
  <c r="E16" i="35" s="1"/>
  <c r="G16" i="35" s="1"/>
  <c r="V46" i="9"/>
  <c r="H19" i="36"/>
  <c r="J19" i="36" s="1"/>
  <c r="L19" i="36" s="1"/>
  <c r="N19" i="36" s="1"/>
  <c r="M19" i="36" s="1"/>
  <c r="P19" i="36" s="1"/>
  <c r="C36" i="35"/>
  <c r="E36" i="35" s="1"/>
  <c r="G36" i="35" s="1"/>
  <c r="V166" i="9"/>
  <c r="C29" i="35"/>
  <c r="E29" i="35" s="1"/>
  <c r="G29" i="35" s="1"/>
  <c r="V124" i="9"/>
  <c r="H42" i="36"/>
  <c r="J42" i="36" s="1"/>
  <c r="L42" i="36" s="1"/>
  <c r="N42" i="36" s="1"/>
  <c r="M42" i="36" s="1"/>
  <c r="P42" i="36" s="1"/>
  <c r="C10" i="35"/>
  <c r="C38" i="35"/>
  <c r="E38" i="35" s="1"/>
  <c r="G38" i="35" s="1"/>
  <c r="V178" i="9"/>
  <c r="V58" i="9"/>
  <c r="C18" i="35"/>
  <c r="E18" i="35" s="1"/>
  <c r="G18" i="35" s="1"/>
  <c r="H21" i="36"/>
  <c r="J21" i="36" s="1"/>
  <c r="L21" i="36" s="1"/>
  <c r="N21" i="36" s="1"/>
  <c r="M21" i="36" s="1"/>
  <c r="P21" i="36" s="1"/>
  <c r="V130" i="9"/>
  <c r="C30" i="35"/>
  <c r="E30" i="35" s="1"/>
  <c r="G30" i="35" s="1"/>
  <c r="L32" i="36"/>
  <c r="N32" i="36" s="1"/>
  <c r="M32" i="36" s="1"/>
  <c r="P32" i="36" s="1"/>
  <c r="L33" i="36"/>
  <c r="N33" i="36" s="1"/>
  <c r="M33" i="36" s="1"/>
  <c r="P33" i="36" s="1"/>
  <c r="W82" i="9"/>
  <c r="D22" i="35"/>
  <c r="F22" i="35" s="1"/>
  <c r="G22" i="35" s="1"/>
  <c r="E10" i="35" l="1"/>
  <c r="H9" i="36"/>
  <c r="C19" i="33"/>
  <c r="C16" i="33"/>
  <c r="C18" i="33"/>
  <c r="B22" i="33"/>
  <c r="C15" i="33"/>
  <c r="O11" i="35" l="1"/>
  <c r="O11" i="37" s="1"/>
  <c r="K14" i="35"/>
  <c r="K14" i="37" s="1"/>
  <c r="O10" i="35"/>
  <c r="O10" i="37" s="1"/>
  <c r="K13" i="35"/>
  <c r="K13" i="37" s="1"/>
  <c r="K11" i="35"/>
  <c r="K11" i="37" s="1"/>
  <c r="M10" i="35"/>
  <c r="M10" i="37" s="1"/>
  <c r="L10" i="35"/>
  <c r="L10" i="37" s="1"/>
  <c r="N11" i="35"/>
  <c r="N11" i="37" s="1"/>
  <c r="N12" i="35"/>
  <c r="N12" i="37" s="1"/>
  <c r="M13" i="35"/>
  <c r="M13" i="37" s="1"/>
  <c r="M14" i="35"/>
  <c r="M14" i="37" s="1"/>
  <c r="L11" i="35"/>
  <c r="L11" i="37" s="1"/>
  <c r="L13" i="35"/>
  <c r="L13" i="37" s="1"/>
  <c r="K10" i="35"/>
  <c r="K10" i="37" s="1"/>
  <c r="L14" i="35"/>
  <c r="L14" i="37" s="1"/>
  <c r="N10" i="35"/>
  <c r="N10" i="37" s="1"/>
  <c r="O12" i="35"/>
  <c r="O12" i="37" s="1"/>
  <c r="K12" i="35"/>
  <c r="K12" i="37" s="1"/>
  <c r="N13" i="35"/>
  <c r="N13" i="37" s="1"/>
  <c r="M11" i="35"/>
  <c r="M11" i="37" s="1"/>
  <c r="G10" i="35"/>
  <c r="L9" i="36" s="1"/>
  <c r="M12" i="35"/>
  <c r="M12" i="37" s="1"/>
  <c r="J9" i="36"/>
  <c r="L12" i="35"/>
  <c r="L12" i="37" s="1"/>
  <c r="N14" i="35"/>
  <c r="N14" i="37" s="1"/>
  <c r="O13" i="35"/>
  <c r="O13" i="37" s="1"/>
  <c r="O14" i="35"/>
  <c r="O14" i="37" s="1"/>
  <c r="D17" i="33" l="1"/>
  <c r="D16" i="33"/>
  <c r="N9" i="36"/>
  <c r="M9" i="36" s="1"/>
  <c r="P9" i="36" s="1"/>
  <c r="D18" i="33"/>
  <c r="D15" i="33"/>
  <c r="D19" i="33" l="1"/>
  <c r="E19" i="33" s="1"/>
  <c r="E18" i="33" l="1"/>
  <c r="E15" i="33"/>
  <c r="E16" i="33"/>
  <c r="E17" i="33"/>
  <c r="D22" i="33"/>
</calcChain>
</file>

<file path=xl/sharedStrings.xml><?xml version="1.0" encoding="utf-8"?>
<sst xmlns="http://schemas.openxmlformats.org/spreadsheetml/2006/main" count="1699" uniqueCount="538">
  <si>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</si>
  <si>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</si>
  <si>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</si>
  <si>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</si>
  <si>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</si>
  <si>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</si>
  <si>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</si>
  <si>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</si>
  <si>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</si>
  <si>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</si>
  <si>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</si>
  <si>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</si>
  <si>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</si>
  <si>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</si>
  <si>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</si>
  <si>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</si>
  <si>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</si>
  <si>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</si>
  <si>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</si>
  <si>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</si>
  <si>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</si>
  <si>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</si>
  <si>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</si>
  <si>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</si>
  <si>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</si>
  <si>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</si>
  <si>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</si>
  <si>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</si>
  <si>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</si>
  <si>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</si>
  <si>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</si>
  <si>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</si>
  <si>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</si>
  <si>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</si>
  <si>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</si>
  <si>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</si>
  <si>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</si>
  <si>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</si>
  <si>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</si>
  <si>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</si>
  <si>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</si>
  <si>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</si>
  <si>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</si>
  <si>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</si>
  <si>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</si>
  <si>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</si>
  <si>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</si>
  <si>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</si>
  <si>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</si>
  <si>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</si>
  <si>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</si>
  <si>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</si>
  <si>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</si>
  <si>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</si>
  <si>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</si>
  <si>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</si>
  <si>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</si>
  <si>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</si>
  <si>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</si>
  <si>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</si>
  <si>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</si>
  <si>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</si>
  <si>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</si>
  <si>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</si>
  <si>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</si>
  <si>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</si>
  <si>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</si>
  <si>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</si>
  <si>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</si>
  <si>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</si>
  <si>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</si>
  <si>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</si>
  <si>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Estado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</si>
  <si>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</si>
  <si>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</si>
  <si>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</si>
  <si>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</si>
  <si>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</si>
  <si>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</si>
  <si>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</si>
  <si>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ENTIDAD:</t>
  </si>
  <si>
    <t>PROCESO:</t>
  </si>
  <si>
    <t>OBJETIVO DEL PROCESO:</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</si>
  <si>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</si>
  <si>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</si>
  <si>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</si>
  <si>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</si>
  <si>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</si>
  <si>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</si>
  <si>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</si>
  <si>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</si>
  <si>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</si>
  <si>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</si>
  <si>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</si>
  <si>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</si>
  <si>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</si>
  <si>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</si>
  <si>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</si>
  <si>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</si>
  <si>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</si>
  <si>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</si>
  <si>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</si>
  <si>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</si>
  <si>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</si>
  <si>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</si>
  <si>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</si>
  <si>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</si>
  <si>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</si>
  <si>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</si>
  <si>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</si>
  <si>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</si>
  <si>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</si>
  <si>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</si>
  <si>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</si>
  <si>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</si>
  <si>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</si>
  <si>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</si>
  <si>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</si>
  <si>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</si>
  <si>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</si>
  <si>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</si>
  <si>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</si>
  <si>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</si>
  <si>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</si>
  <si>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</si>
  <si>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</si>
  <si>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</si>
  <si>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</si>
  <si>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</si>
  <si>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</si>
  <si>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</si>
  <si>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</si>
  <si>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</si>
  <si>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</si>
  <si>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</si>
  <si>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</si>
  <si>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</si>
  <si>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</si>
  <si>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</si>
  <si>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</si>
  <si>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</si>
  <si>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</si>
  <si>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</si>
  <si>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</si>
  <si>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</si>
  <si>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</si>
  <si>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</si>
  <si>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</si>
  <si>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</si>
  <si>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</si>
  <si>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</si>
  <si>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</si>
  <si>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</si>
  <si>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</si>
  <si>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</si>
  <si>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</si>
  <si>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</si>
  <si>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</si>
  <si>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</si>
  <si>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</si>
  <si>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</si>
  <si>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</si>
  <si>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</si>
  <si>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</si>
  <si>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</si>
  <si>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</si>
  <si>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</si>
  <si>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</si>
  <si>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</si>
  <si>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</si>
  <si>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</si>
  <si>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</si>
  <si>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</si>
  <si>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</si>
  <si>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</si>
  <si>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</si>
  <si>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</si>
  <si>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</si>
  <si>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</si>
  <si>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</si>
  <si>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</si>
  <si>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</si>
  <si>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</si>
  <si>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</si>
  <si>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</si>
  <si>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</si>
  <si>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</si>
  <si>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</si>
  <si>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</si>
  <si>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</si>
  <si>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</si>
  <si>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</si>
  <si>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</si>
  <si>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</si>
  <si>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</si>
  <si>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</si>
  <si>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</si>
  <si>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</si>
  <si>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</si>
  <si>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</si>
  <si>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</si>
  <si>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</si>
  <si>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</si>
  <si>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</si>
  <si>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</si>
  <si>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</si>
  <si>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</si>
  <si>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</si>
  <si>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</si>
  <si>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</si>
  <si>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</si>
  <si>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</si>
  <si>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</si>
  <si>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</si>
  <si>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</si>
  <si>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</si>
  <si>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</si>
  <si>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</si>
  <si>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</si>
  <si>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</si>
  <si>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</si>
  <si>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</si>
  <si>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</si>
  <si>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</si>
  <si>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</si>
  <si>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</si>
  <si>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</si>
  <si>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</si>
  <si>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</si>
  <si>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</si>
  <si>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</si>
  <si>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</si>
  <si>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</si>
  <si>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</si>
  <si>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</si>
  <si>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</si>
  <si>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</si>
  <si>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</si>
  <si>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</si>
  <si>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</si>
  <si>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</si>
  <si>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</si>
  <si>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</si>
  <si>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</si>
  <si>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</si>
  <si>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</si>
  <si>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</si>
  <si>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</si>
  <si>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</si>
  <si>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</si>
  <si>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</si>
  <si>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</si>
  <si>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</si>
  <si>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</si>
  <si>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</si>
  <si>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</si>
  <si>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</si>
  <si>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</si>
  <si>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</si>
  <si>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</si>
  <si>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</si>
  <si>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</si>
  <si>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</si>
  <si>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</si>
  <si>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</si>
  <si>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</si>
  <si>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</si>
  <si>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</si>
  <si>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</si>
  <si>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</si>
  <si>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</si>
  <si>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</si>
  <si>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</si>
  <si>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</si>
  <si>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</si>
  <si>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</si>
  <si>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</si>
  <si>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</si>
  <si>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</si>
  <si>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</si>
  <si>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</si>
  <si>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</si>
  <si>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</si>
  <si>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</si>
  <si>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</si>
  <si>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</si>
  <si>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</si>
  <si>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</si>
  <si>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</si>
  <si>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</si>
  <si>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</si>
  <si>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</si>
  <si>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</si>
  <si>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</si>
  <si>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</si>
  <si>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</si>
  <si>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</si>
  <si>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</si>
  <si>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</si>
  <si>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</si>
  <si>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</si>
  <si>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</si>
  <si>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VALORACIÓN DEL CONTROL</t>
  </si>
  <si>
    <t xml:space="preserve">Peso del Control + Peso de la implementación </t>
  </si>
  <si>
    <t>% Probabilidad Riesgo Inherente-(% Probabilidad Riesgo Inherente*Valor Total del Control)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</si>
  <si>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</si>
  <si>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</si>
  <si>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</si>
  <si>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</si>
  <si>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</si>
  <si>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</si>
  <si>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</si>
  <si>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</si>
  <si>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</si>
  <si>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</si>
  <si>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</si>
  <si>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</si>
  <si>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</si>
  <si>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</si>
  <si>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</si>
  <si>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</si>
  <si>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</si>
  <si>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</si>
  <si>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</si>
  <si>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</si>
  <si>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</si>
  <si>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</si>
  <si>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</si>
  <si>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</si>
  <si>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Definición del Tratamiento</t>
  </si>
  <si>
    <t>Descripción de la Acción, basado en el análisis de causas</t>
  </si>
  <si>
    <t>Responsable 
(Cargo)</t>
  </si>
  <si>
    <t>Fecha de Inicio</t>
  </si>
  <si>
    <t>Fecha de Finalización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</si>
  <si>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</si>
  <si>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</si>
  <si>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</si>
  <si>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</si>
  <si>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</si>
  <si>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</si>
  <si>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</si>
  <si>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</si>
  <si>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</si>
  <si>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</si>
  <si>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</si>
  <si>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</si>
  <si>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</si>
  <si>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</si>
  <si>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</si>
  <si>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</si>
  <si>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</si>
  <si>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 xml:space="preserve">Determine el tratamiento a seguir </t>
  </si>
  <si>
    <t>VIGENCIA:</t>
  </si>
  <si>
    <t>Soporte</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</si>
  <si>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</si>
  <si>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t>Plan de Acción
Descripción de la Acción, basado en el análisis de causas
Responsable (Cargo)
Soporte
Fecha de Inicio
Fecha de Finalización</t>
  </si>
  <si>
    <t>Alcance del Proceso</t>
  </si>
  <si>
    <t>Diligencie el alcance del proceso.</t>
  </si>
  <si>
    <t>MAPA DE RIESGOS INTEGRALES</t>
  </si>
  <si>
    <t>Matriz Mapa de Riesgos Integrales</t>
  </si>
  <si>
    <t>R21</t>
  </si>
  <si>
    <t>R22</t>
  </si>
  <si>
    <t>R23</t>
  </si>
  <si>
    <t>R24</t>
  </si>
  <si>
    <t>R25</t>
  </si>
  <si>
    <t>R26</t>
  </si>
  <si>
    <t>R27</t>
  </si>
  <si>
    <t>R28</t>
  </si>
  <si>
    <t>R29</t>
  </si>
  <si>
    <t>R30</t>
  </si>
  <si>
    <t>Cuatrimestral</t>
  </si>
  <si>
    <t>Anual</t>
  </si>
  <si>
    <t>Código: F-DPM-10100-238,37-068</t>
  </si>
  <si>
    <t>Versión: 0.0</t>
  </si>
  <si>
    <t>PROCESO PLANEACIÓN ESTRATÉGICA</t>
  </si>
  <si>
    <t>Fecha: 21-05-2026</t>
  </si>
  <si>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</si>
  <si>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</si>
  <si>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</si>
  <si>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</si>
  <si>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</si>
  <si>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</si>
  <si>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</si>
  <si>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</si>
  <si>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ALCALDÍA DE BUCARAMANGA</t>
  </si>
  <si>
    <t>investigaciones y sanciones disciplinarias por entes de control,</t>
  </si>
  <si>
    <t>debilidades en la publicación y actualización de la información obligatoria en la página web institucional,</t>
  </si>
  <si>
    <t>incumplimiento de las acciones establecidas en los planes de mejoramiento derivados de auditorías internas y externas,</t>
  </si>
  <si>
    <t>debilidades en el seguimiento y cumplimiento de los tiempos definidos para su ejecución.</t>
  </si>
  <si>
    <t>la falta de seguimiento al cumplimiento de metas del Plan de Desarrollo Municipal programadas para la vigencia.</t>
  </si>
  <si>
    <t>deficiencias en la actualización, verificación y control del inventario de bienes muebles.</t>
  </si>
  <si>
    <t>pérdida, extravío, hurto o faltantes en inventario de bienes muebles de la entidad,</t>
  </si>
  <si>
    <t>pago de sanción e intereses moratorios,</t>
  </si>
  <si>
    <t>de conformidad con las Tablas de Retención Documental, Tablas de Valoración Documental y las directrices emitidas por el Archivo General de la Nación.</t>
  </si>
  <si>
    <t>aplica los lineamientos y procedimientos establecidos para la organización, inventario, conservación y transferencias documentales,</t>
  </si>
  <si>
    <t>El profesional asignado por el líder del proceso</t>
  </si>
  <si>
    <t>de acuerdo con los lineamientos establecidos en la Resolución 1519 de 2020 y sus anexos.</t>
  </si>
  <si>
    <t>verifica la información sujeta a publicación y actualización en la página web institucional,</t>
  </si>
  <si>
    <t>La profesional encargada</t>
  </si>
  <si>
    <t>a través de seguimientos con los responsables de su cumplimiento</t>
  </si>
  <si>
    <t>revisa las acciones correctivas establecidas y plasmadas en los Planes de Mejoramiento de auditorías internas y externas suscritos,</t>
  </si>
  <si>
    <t>con el fin de gestionar oportunamente la apropiación de recursos y la solicitud de vigencias futuras que garanticen el cumplimiento de las metas programadas para la vigencia.</t>
  </si>
  <si>
    <t>verifica el avance en el cumplimiento físico de las metas y la ejecución de los recursos financieros del Plan de Desarrollo Municipal 2026-2027, mediante seguimiento periódico,</t>
  </si>
  <si>
    <t>El servidor público</t>
  </si>
  <si>
    <t>a través de la revisión y validación de la información registrada en el formato Estado Actual del Inventario Resumido del Servidor Público F-INV-8500-238,37-015 y el reporte oportuno de novedades o inconsistencias al área de Inventarios.</t>
  </si>
  <si>
    <t>verifica la existencia y estado de los bienes muebles asignados a su cargo,</t>
  </si>
  <si>
    <t>La persona encargada</t>
  </si>
  <si>
    <t>a través del seguimiento y validación de las fechas de vencimiento y respuesta registradas en los mecanismos institucionales de control y seguimiento, identificando alertas frente a posibles incumplimientos.</t>
  </si>
  <si>
    <t>Acta de transferencia documental F-GDO-8600-238,37-022</t>
  </si>
  <si>
    <t>Informe de seguimiento a la organización documental F-GDO-8600-238,37-033</t>
  </si>
  <si>
    <t>Informe de seguimiento a la organización documental F-GDO-8600-238,37-003</t>
  </si>
  <si>
    <t>Solicitar al área TIC la publicación del 100% de la información y documentos a cargo de la Secretaría de Educación, de conformidad con los lineamientos y estándares establecidos en la Resolución 1519 de 2020.</t>
  </si>
  <si>
    <t>Solicitudes de publicación enviados al área TIC</t>
  </si>
  <si>
    <t>Realizar seguimiento trimestral a las acciones correctivas establecidas en los Planes de Mejoramiento derivados de auditorías internas y externas, en articulación con los responsables de su cumplimiento, con el fin de verificar el avance y evidencias de las actividades dentro de los términos establecidos.</t>
  </si>
  <si>
    <t>Actas de seguimiento (3)</t>
  </si>
  <si>
    <t>Acta de reunión (4)</t>
  </si>
  <si>
    <t>Correo de reporte de conformidad o novedad al proceso de inventarios</t>
  </si>
  <si>
    <t>inconsistencias en la caracterización y registro de la información de los estudiantes en el SIMAT,</t>
  </si>
  <si>
    <t>deficiencias en el suministro, actualización y validación de la información reportada por las Instituciones Educativas, generando disminución en la asignación de recursos del Sistema General de Participaciones para la prestación del servicio educativo.</t>
  </si>
  <si>
    <t>publicaciones extemporáneas en el SECOP,</t>
  </si>
  <si>
    <t>demoras en la entrega y remisión de la información requerida para la gestión contractual.</t>
  </si>
  <si>
    <t>posibles investigaciones y sanciones disciplinarias por entes de control,</t>
  </si>
  <si>
    <t>incumplimiento de la Ley 594 del 2000 en los documentos generados por la Secretaría de Educación.</t>
  </si>
  <si>
    <t>incumplimiento de los lineamientos establecidos en la Ley 1712 de 2014 y la Resolución 1519 de 2020 del MINTIC.</t>
  </si>
  <si>
    <t>deficiencias en la gestión de las etapas precontractual, contractual y postcontractual,</t>
  </si>
  <si>
    <t>incumplimiento de los lineamientos, requisitos y obligaciones establecidos en la normatividad vigente y en los documentos contractuales, generando pagos sobre obligaciones parcialmente ejecutadas o no cumplidas.</t>
  </si>
  <si>
    <t xml:space="preserve"> trámite inoportuno a los requerimientos de los entes de control y vigilancia, de acuerdo con sus lineamientos y términos de ley.</t>
  </si>
  <si>
    <t>afectaciones en la disponibilidad y ejecución de los recursos del Sistema General de Participaciones (SGP) administrados por la Secretaría de Educación,</t>
  </si>
  <si>
    <t>inconsistencias en los procesos financieros y de tesorería relacionados con el manejo de pagos y descuentos efectuados sobre dichos recursos.</t>
  </si>
  <si>
    <t>demoras en el trámite de novedades de retiro y liquidación derivadas del fallecimiento del personal docente, directivo docente y administrativo de las Instituciones Educativas Oficiales,</t>
  </si>
  <si>
    <t>falencias en los procesos de gestión y actualización de la información administrativa y de nómina.</t>
  </si>
  <si>
    <t>incumplimiento de los criterios de priorización establecidos en la resolución expedida por el Área de Cobertura de la Secretaría de Educación de Bucaramanga.</t>
  </si>
  <si>
    <t>soborno entrante en los trámites administrativos del personal docente, directivo docente y administrativo, al recibir o solicitar ventajas indebidas en actuaciones relacionadas con traslados, permutas, nombramientos en vacancias temporales, ascensos o mejoramientos salariales,</t>
  </si>
  <si>
    <t>al incumplimiento de los requisitos y lineamientos establecidos.</t>
  </si>
  <si>
    <t>soborno entrante en la asignación de cupos a Instituciones Educativas, al recibir o solicitar ventajas indebidas para favorecer el acceso al servicio educativo,</t>
  </si>
  <si>
    <t>soborno entrante en los procesos de liquidación y pago de nómina del personal docente, directivo docente y administrativo, al aceptar o solicitar ventajas indebidas para autorizar pagos de salarios u horas extras diferentes a las aprobadas,</t>
  </si>
  <si>
    <t>deficiencias en la validación de requisitos, novedades y soportes establecidos.</t>
  </si>
  <si>
    <t>corrupción en el trámite de licencias, registros y autorizaciones de funcionamiento de Instituciones Educativas y programas de Educación para el Trabajo y Desarrollo Humano (EDTH),</t>
  </si>
  <si>
    <t>favorecimientos, priorización, agilización o aprobación indebida de solicitudes sin el cumplimiento de los requisitos, términos y criterios establecidos.</t>
  </si>
  <si>
    <t>soborno entrante en los procesos de contratación, al recibir o solicitar ventajas indebidas para favorecer la adjudicación de contratos,</t>
  </si>
  <si>
    <t>incumplimiento de los principios y requisitos establecidos en la normatividad vigente.</t>
  </si>
  <si>
    <t>GESTIÓN DE SERVICIOS DE LA EDUCACIÓN PÚBLICA</t>
  </si>
  <si>
    <t>El Área de Archivo de la Secretaría de Educación</t>
  </si>
  <si>
    <t>La Secretaría de Educación</t>
  </si>
  <si>
    <t>verifica el cumplimiento de los términos establecidos para la atención de los requerimientos de los entes de control y vigilancia asignados a la Secretaría de Educación,</t>
  </si>
  <si>
    <t>El profesional especializado y su equipo de Cobertura de la SEB</t>
  </si>
  <si>
    <t>a través de la validación de la información en el sistema.</t>
  </si>
  <si>
    <t>Los profesionales encargados del área de Contratación</t>
  </si>
  <si>
    <t>verifican las publicaciones de los contratos de la Secretaría de Educación en el SECOP,</t>
  </si>
  <si>
    <t>a través de seguimientos a muestras representativas.</t>
  </si>
  <si>
    <t>verifica que la información suministrada en el SIMAT por las instituciones educativas sea la idónea,</t>
  </si>
  <si>
    <t>Los profesionales encargados de la contratación y los supervisores designados</t>
  </si>
  <si>
    <t>verifican el cumplimiento de los lineamientos, requisitos y obligaciones establecidos en la normatividad vigente y en los documentos contractuales durante las etapas precontractual, contractual y postcontractual de los procesos celebrados por la Secretaría de Educación, diferentes a contratos de prestación de servicios,</t>
  </si>
  <si>
    <t>mediante la aplicación de listas de chequeo y revisión del avance y ejecución contractual.</t>
  </si>
  <si>
    <t>El profesional del área de presupuesto de la Secretaría de Educación</t>
  </si>
  <si>
    <t>a través de los soportes recibidos del área de tesorería de la Secretaría de Educación</t>
  </si>
  <si>
    <t>verifica los movimientos bancarios,</t>
  </si>
  <si>
    <t>El área de talento humano</t>
  </si>
  <si>
    <t xml:space="preserve">verifica el cumplimiento de los requisitos establecidos en la normatividad vigente para el pago de la liquidación de personal docente, directivo docente y administrativo de Instituciones Educativas Oficiales fallecidos, </t>
  </si>
  <si>
    <t>a los beneficiarios que acrediten el derecho.</t>
  </si>
  <si>
    <t>El personal de Talento Humano</t>
  </si>
  <si>
    <t>verifica que las actuaciones relacionadas con traslados, permutas, nombramientos en vacancias temporales, ascensos y mejoramientos salariales del personal docente, directivo docente y administrativo,</t>
  </si>
  <si>
    <t>se encuentren debidamente soportadas de conformidad con la normatividad vigente</t>
  </si>
  <si>
    <t xml:space="preserve">El profesional responsable del Área de Cobertura de la Secretaría de Educación de Bucaramanga </t>
  </si>
  <si>
    <t>verifica la aplicación de los criterios de priorización establecidos en la resolución vigente y los lineamientos del Ministerio de Educación Nacional para la asignación de cupos escolares,</t>
  </si>
  <si>
    <t>con el fin de garantizar la transparencia y objetividad en el acceso al servicio educativo.</t>
  </si>
  <si>
    <t>El personal encargado de nómina</t>
  </si>
  <si>
    <t xml:space="preserve">verifica la prenómina y los soportes de horas extras del personal docente, directivo docente y administrativo, </t>
  </si>
  <si>
    <t>con el fin de validar que los pagos y reconocimientos económicos correspondan a las novedades y requisitos debidamente aprobados.</t>
  </si>
  <si>
    <t>El profesional responsable del proceso de Inspección y Vigilancia</t>
  </si>
  <si>
    <t>verifica el cumplimiento de los requisitos, términos y criterios establecidos en la circular vigente emitida por la Secretaría de Educación de Bucaramanga para el trámite de licencias, registros y funcionamiento de Instituciones Educativas y programas de Educación para el Trabajo y Desarrollo Humano (EDTH),</t>
  </si>
  <si>
    <t>con el fin de garantizar la transparencia, objetividad y legalidad del proceso.</t>
  </si>
  <si>
    <t>Los profesionales encargados de la contratación</t>
  </si>
  <si>
    <t>verifican la aplicación de los lineamientos y requisitos establecidos en la normatividad vigente durante la etapa precontractual de los procesos adelantados por la Secretaría de Educación, diferentes a contratos de prestación de servicios, mediante la revisión de los documentos y soportes que hacen parte del proceso contractual,</t>
  </si>
  <si>
    <t>con el fin de evitar omisiones o actuaciones que favorezcan indebidamente la celebración de contratos.</t>
  </si>
  <si>
    <t>Realizar una asistencia técnica semestral a los administradores de las bases de datos del SIMAT.</t>
  </si>
  <si>
    <t>Convocatoria previa, control de asistencia, memorias de la socialización (presentación, registro fotográfico, etc) (2)</t>
  </si>
  <si>
    <t>Realizar un reporte anual de verificación de la calidad de la información del SIMAT.</t>
  </si>
  <si>
    <t>Matriz de seguimiento de calidad de la información (1)</t>
  </si>
  <si>
    <t>Solicitar una (1) vez al año a las Instituciones Educativas, mediante correo electrónico, la verificación, justificación y subsanación frente a los hallazgos identificados en los reportes de calidad de la información registrada en el SIMAT.</t>
  </si>
  <si>
    <t>Correo electrónico remitido a las IE (1)</t>
  </si>
  <si>
    <t>Realizar un seguimiento cuatrimestral a una muestra aleatoria del 10% de los contratos suscritos por la SEB en ejecución</t>
  </si>
  <si>
    <t>Acta de reunión (3)</t>
  </si>
  <si>
    <t>Dar cumplimiento del 100% del plan de trabajo establecido por la Secretaría de Educación para las Transferencias documentales primarias de la Secretaría de Educación, en los tiempos establecidos en el cronograma para la vigencia 2026 por la Secretaría Administrativa - Archivo Central en referencia a Transferencias documentales primarias.</t>
  </si>
  <si>
    <t>Dar cumplimiento del 100% del plan de trabajo establecido por la Secretaría de educación para la Organización de documentos producidos de todas las áreas de la Secretaría de Educación.</t>
  </si>
  <si>
    <t>Dar cumplimiento del 100% del plan de trabajo establecido por la Secretaría de educación para la Elaboración de los inventarios documentales de documentos producidos por todas las áreas de   la Secretaría de Educación.</t>
  </si>
  <si>
    <t>Realizar reuniones trimestrales de seguimiento, lideradas por la Secretaria de Despacho, para verificar el cumplimiento de las metas del Plan de Desarrollo Municipal 2026-2027, mediante el análisis y validación de los reportes de avance físico y financiero, e identificar oportunamente posibles desviaciones o incumplimientos frente a lo programado, con el fin de adoptar las acciones correctivas a que haya lugar.</t>
  </si>
  <si>
    <t>Realizar semestralmente la verificación física y validación de los bienes muebles asignados a cada servidor público, mediante la revisión del formato Estado Actual del Inventario Resumido del Servidor Público F-INV-8500-238,37-015 y reportando oportunamente al área de Inventarios las novedades o inconsistencias identificadas.</t>
  </si>
  <si>
    <t>Realizar un seguimiento trimestral al 100% de los contratos celebrados por la Secretaría de Educación diferentes a contratos de prestación de servicios, con el fin de verificar el cumplimiento de los requisitos y lineamientos establecidos en las etapas precontractual, contractual y postcontractual.</t>
  </si>
  <si>
    <t>Dar respuesta oportuna al 100% de las PQRS enviadas por los entes de control y vigilancia asignadas a la Secretaría de Educación a través del Sistema Gestión de Solicitudes del Ciudadano - GSC y SAC</t>
  </si>
  <si>
    <t>Indicador cuatrimestral de respuesta a tiempo / total de PQRSD de entes de control asignadas mediante el GSC y SAC</t>
  </si>
  <si>
    <t>Realizar mensualmente las conciliaciones bancarias de las cuentas a cargo de la Secretaría de Educación, con el propósito de identificar y reportar a la Secretaría de Hacienda cuando se presenten las novedades que afecten el cierre financiero</t>
  </si>
  <si>
    <t xml:space="preserve">Hoja de cálculo de conciliaciones de cuentas bancarias (enero a noviembre) y reporte de novedades cuando se presenten  </t>
  </si>
  <si>
    <t>Expedir el 100% de los actos administrativos de traslados, de conformidad con la normatividad vigente</t>
  </si>
  <si>
    <t>Actos administrativos de traslados</t>
  </si>
  <si>
    <t>Expedir el 100% de las certificaciones de cumplimiento de requisitos legales para posesión de nombramientos en vacancia temporal</t>
  </si>
  <si>
    <t>Certificaciones de cumplimiento de requisitos legales</t>
  </si>
  <si>
    <t>Generar el 100% de la Hojas de estudio de escalafón para ascensos o mejoramiento salarial</t>
  </si>
  <si>
    <t>Hojas de estudio de escalafón</t>
  </si>
  <si>
    <t>Suscribir una (1) resolución anual que establezca los criterios de priorización para la asignación de cupos escolares, de conformidad con los lineamientos del Ministerio de Educación Nacional.</t>
  </si>
  <si>
    <t>Acta de reunión</t>
  </si>
  <si>
    <t>Divulgar una (1) vez al año la oferta educativa oficial y los criterios de asignación de cupos escolares a través de los canales institucionales definidos por la Secretaría de Educación de Bucaramanga.</t>
  </si>
  <si>
    <t>Evidencias de Publicaciones realizadas en el portal web y demás medios oficiales</t>
  </si>
  <si>
    <t>Realizar una (1) mesa de trabajo anual con la Oficina TIC para validar inconsistencias o errores identificados en el sistema de información y en el cruce de datos del proceso de asignación de cupos escolares.</t>
  </si>
  <si>
    <t>Realizar diez (10) seguimientos a muestras aleatorias de la prenómina del personal docente, directivo docente y administrativo, verificando las novedades, requisitos y soportes correspondientes.</t>
  </si>
  <si>
    <t>Actas de revisión de prenómina (10)</t>
  </si>
  <si>
    <t>Realizar ocho (8) seguimientos anuales a las planillas de horas extras remitidas por las Instituciones Educativas Oficiales, verificando el cumplimiento de los requisitos y soportes establecidos para la emisión del visto bueno correspondiente.</t>
  </si>
  <si>
    <t>Planillas (8) de relación de horas extras por institución y formatos de reporte de horas extras diligenciados y con visto bueno</t>
  </si>
  <si>
    <t>Realizar un (1) seguimiento mensual por parte del proceso de Inspección y Vigilancia al cumplimiento de los requisitos, términos y criterios establecidos en la circular vigente emitida por la Secretaría de Educación de Bucaramanga para el trámite de licencias, registros y autorizaciones de funcionamiento de Instituciones Educativas y programas de Educación para el Trabajo y Desarrollo Humano (EDTH).</t>
  </si>
  <si>
    <t>Acta de reunión (8)</t>
  </si>
  <si>
    <t>Realizar seguimiento trimestral mediante una muestra aleatoria del 20% de los procesos contractuales adelantados por la Secretaría de Educación, diferentes a contratos de prestación de servicios, con el fin de verificar la trazabilidad y cumplimiento de las actuaciones desarrolladas en la etapa precontractual, evitando omisiones o actuaciones que favorezcan indebidamente la celebración de contratos.</t>
  </si>
  <si>
    <t>ALCANCE:</t>
  </si>
  <si>
    <t xml:space="preserve">Profesional especializado y  equipo de Cobertura </t>
  </si>
  <si>
    <t>Equipo de Contratación</t>
  </si>
  <si>
    <t>Servidores públicos y contratistas</t>
  </si>
  <si>
    <t>Lider de proceso y
Profesional encargada</t>
  </si>
  <si>
    <t>Lider de Jurídica SEB</t>
  </si>
  <si>
    <t>Servidores públicos Secretaría de Educación</t>
  </si>
  <si>
    <t>Secretaria de Educación, supervisores y equipo de contratación</t>
  </si>
  <si>
    <t>Secretaria de Educación y Profesional encargado</t>
  </si>
  <si>
    <t>Profesional encargado</t>
  </si>
  <si>
    <t>Profesional universitario area de presupuesto de la Secretaría de Educación</t>
  </si>
  <si>
    <t>Líder de Talento Humano y Líder de Jurídica.</t>
  </si>
  <si>
    <t>Líder de Talento Humano y Subsecretario de Despacho</t>
  </si>
  <si>
    <t>Profesionales Universitarios de Cobertura Educativa</t>
  </si>
  <si>
    <t>Líder de Inspección, Control y Vigilancia</t>
  </si>
  <si>
    <t>Actores involucrados en el proceso contractual</t>
  </si>
  <si>
    <t>Proveer a la comunidad de Bucaramanga de un servicio educativo pertinente, universal y equitativo, a través de sus Instituciones Educativas, desarrollando en la Secretaría de Educación de Bucaramanga procesos innovadores de planeación, ejecución, control e inspección basados en las tecnologías de información y comunicaciones con el fin de lograr un excelente servicio al cliente, aplicando el mejoramiento continuo y la prevención de riesgos operativos.</t>
  </si>
  <si>
    <t>Inicia con un análisis estratégico del sector educativo, que abarca la evaluación de los recursos humanos y la infraestructura física disponible. Esto permite desarrollar una oferta educativa adaptada a las necesidades de la comunidad, asegurando la calidad del servicio y la prevención del riesgo operativo, en la permanencia de los estudiantes y el adecuado mantenimiento de las instalaciones. Finaliza asegurando la trayectoria educativa hasta la educación media.</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</si>
  <si>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</si>
  <si>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</si>
  <si>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</si>
  <si>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</si>
  <si>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</si>
  <si>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</si>
  <si>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</si>
  <si>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</si>
  <si>
    <t>Resolución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</si>
</sst>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ont>
    <font>
      <b/>
      <sz val="12"/>
      <name val="Arial"/>
      <family val="2"/>
    </font>
    <font>
      <sz val="8"/>
      <color theme="1"/>
      <name val="Arial"/>
      <family val="2"/>
    </font>
    <font>
      <sz val="10"/>
      <color theme="1"/>
      <name val="Calibri"/>
      <family val="2"/>
      <scheme val="minor"/>
    </font>
  </fonts>
  <fills count="18">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3"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8">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xf numFmtId="0" fontId="55" fillId="0" borderId="0"/>
  </cellStyleXfs>
  <cellXfs count="638">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2" fillId="4" borderId="48" xfId="0" applyFont="1" applyFill="1" applyBorder="1" applyAlignment="1">
      <alignment horizontal="center" vertical="center" wrapText="1"/>
    </xf>
    <xf numFmtId="0" fontId="2" fillId="4" borderId="82" xfId="0" applyFont="1" applyFill="1" applyBorder="1" applyAlignment="1">
      <alignment horizontal="center" vertical="center" wrapText="1"/>
    </xf>
    <xf numFmtId="14" fontId="2" fillId="4" borderId="93" xfId="0" applyNumberFormat="1" applyFont="1" applyFill="1" applyBorder="1" applyAlignment="1">
      <alignment horizontal="center" vertical="center" wrapText="1"/>
    </xf>
    <xf numFmtId="0" fontId="9" fillId="0" borderId="1" xfId="2" applyFont="1" applyBorder="1" applyAlignment="1">
      <alignment horizontal="center" vertical="center" wrapText="1"/>
    </xf>
    <xf numFmtId="0" fontId="9" fillId="0" borderId="0" xfId="2" applyFont="1" applyAlignment="1">
      <alignment horizontal="center" vertical="center" wrapText="1"/>
    </xf>
    <xf numFmtId="0" fontId="54" fillId="0" borderId="1" xfId="0" applyFont="1" applyBorder="1" applyAlignment="1">
      <alignment horizontal="justify" vertical="center" wrapText="1"/>
    </xf>
    <xf numFmtId="0" fontId="54" fillId="0" borderId="1" xfId="0" applyFont="1" applyBorder="1" applyAlignment="1">
      <alignment vertical="center" wrapText="1"/>
    </xf>
    <xf numFmtId="9" fontId="4" fillId="0" borderId="4" xfId="0" applyNumberFormat="1" applyFont="1" applyBorder="1" applyAlignment="1">
      <alignment horizontal="center" vertical="center" wrapText="1"/>
    </xf>
    <xf numFmtId="0" fontId="4" fillId="0" borderId="4" xfId="2" applyFont="1" applyBorder="1" applyAlignment="1">
      <alignment horizontal="left" vertical="center" wrapText="1"/>
    </xf>
    <xf numFmtId="0" fontId="4" fillId="3" borderId="4" xfId="2"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2"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0" fontId="4" fillId="3" borderId="28" xfId="2" applyFont="1" applyFill="1" applyBorder="1" applyAlignment="1" applyProtection="1">
      <alignment horizontal="center" vertical="center" wrapText="1"/>
      <protection locked="0"/>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9" fontId="20" fillId="0" borderId="75"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4" borderId="86" xfId="0" applyFont="1" applyFill="1" applyBorder="1" applyAlignment="1">
      <alignment horizontal="center" vertical="center" wrapText="1"/>
    </xf>
    <xf numFmtId="0" fontId="2" fillId="4" borderId="79" xfId="0" applyFont="1" applyFill="1" applyBorder="1" applyAlignment="1">
      <alignment horizontal="center" vertical="center" wrapText="1"/>
    </xf>
    <xf numFmtId="14" fontId="2" fillId="4" borderId="92" xfId="0" applyNumberFormat="1"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2" fillId="3" borderId="1" xfId="0" applyFont="1" applyFill="1" applyBorder="1" applyAlignment="1">
      <alignment horizontal="center" vertical="center" wrapText="1"/>
    </xf>
    <xf numFmtId="0" fontId="14" fillId="0" borderId="0" xfId="0" applyFont="1" applyAlignment="1">
      <alignment horizontal="center" vertical="center" wrapText="1"/>
    </xf>
    <xf numFmtId="0" fontId="4" fillId="3" borderId="1" xfId="2" applyFont="1" applyFill="1" applyBorder="1" applyAlignment="1" applyProtection="1">
      <alignment horizontal="left" vertical="center"/>
      <protection locked="0"/>
    </xf>
    <xf numFmtId="0" fontId="13" fillId="0" borderId="5" xfId="2" applyFont="1" applyBorder="1" applyAlignment="1">
      <alignment horizontal="center" vertical="center" wrapText="1"/>
    </xf>
    <xf numFmtId="0" fontId="13" fillId="0" borderId="70" xfId="2" applyFont="1" applyBorder="1" applyAlignment="1">
      <alignment horizontal="center" vertical="center" wrapText="1"/>
    </xf>
    <xf numFmtId="14" fontId="13" fillId="0" borderId="5" xfId="2" applyNumberFormat="1" applyFont="1" applyBorder="1" applyAlignment="1">
      <alignment horizontal="center" vertical="center" wrapText="1"/>
    </xf>
    <xf numFmtId="0" fontId="2" fillId="0" borderId="102" xfId="2" applyBorder="1" applyAlignment="1">
      <alignment horizontal="center" vertical="center" wrapText="1"/>
    </xf>
    <xf numFmtId="0" fontId="2" fillId="0" borderId="75" xfId="2" applyBorder="1" applyAlignment="1">
      <alignment horizontal="center" vertical="center" wrapText="1"/>
    </xf>
    <xf numFmtId="9" fontId="2" fillId="0" borderId="75" xfId="2" applyNumberFormat="1" applyBorder="1" applyAlignment="1">
      <alignment horizontal="center" vertical="center" wrapText="1"/>
    </xf>
    <xf numFmtId="0" fontId="2" fillId="0" borderId="6" xfId="2" applyBorder="1" applyAlignment="1">
      <alignment horizontal="center" vertical="center" wrapText="1"/>
    </xf>
    <xf numFmtId="0" fontId="2" fillId="3" borderId="75" xfId="2" applyFill="1" applyBorder="1" applyAlignment="1" applyProtection="1">
      <alignment horizontal="center" vertical="center" wrapText="1"/>
      <protection locked="0"/>
    </xf>
    <xf numFmtId="0" fontId="2" fillId="3" borderId="75" xfId="2" applyFill="1" applyBorder="1" applyAlignment="1">
      <alignment horizontal="center" vertical="center" wrapText="1"/>
    </xf>
    <xf numFmtId="0" fontId="2" fillId="3" borderId="6" xfId="2" applyFill="1" applyBorder="1" applyAlignment="1" applyProtection="1">
      <alignment horizontal="center" vertical="center" wrapText="1"/>
      <protection locked="0"/>
    </xf>
    <xf numFmtId="14" fontId="2" fillId="3" borderId="6" xfId="2" applyNumberFormat="1" applyFill="1" applyBorder="1" applyAlignment="1" applyProtection="1">
      <alignment horizontal="center" vertical="center" wrapText="1"/>
      <protection locked="0"/>
    </xf>
    <xf numFmtId="14" fontId="2" fillId="3" borderId="25" xfId="2" applyNumberFormat="1" applyFill="1" applyBorder="1" applyAlignment="1" applyProtection="1">
      <alignment horizontal="center" vertical="center" wrapText="1"/>
      <protection locked="0"/>
    </xf>
    <xf numFmtId="14" fontId="2" fillId="3" borderId="26" xfId="2" applyNumberFormat="1" applyFill="1" applyBorder="1" applyAlignment="1" applyProtection="1">
      <alignment horizontal="center" vertical="center" wrapText="1"/>
      <protection locked="0"/>
    </xf>
    <xf numFmtId="0" fontId="2" fillId="0" borderId="103" xfId="2" applyBorder="1" applyAlignment="1">
      <alignment horizontal="center" vertical="center" wrapText="1"/>
    </xf>
    <xf numFmtId="0" fontId="2" fillId="0" borderId="78" xfId="2" applyBorder="1" applyAlignment="1">
      <alignment horizontal="center" vertical="center" wrapText="1"/>
    </xf>
    <xf numFmtId="9" fontId="2" fillId="0" borderId="78" xfId="2" applyNumberFormat="1" applyBorder="1" applyAlignment="1">
      <alignment horizontal="center" vertical="center" wrapText="1"/>
    </xf>
    <xf numFmtId="0" fontId="2" fillId="0" borderId="28" xfId="2" applyBorder="1" applyAlignment="1">
      <alignment horizontal="center" vertical="center" wrapText="1"/>
    </xf>
    <xf numFmtId="0" fontId="2" fillId="3" borderId="78" xfId="2" applyFill="1" applyBorder="1" applyAlignment="1" applyProtection="1">
      <alignment horizontal="center" vertical="center" wrapText="1"/>
      <protection locked="0"/>
    </xf>
    <xf numFmtId="0" fontId="2" fillId="3" borderId="78" xfId="2" applyFill="1" applyBorder="1" applyAlignment="1">
      <alignment horizontal="center" vertical="center" wrapText="1"/>
    </xf>
    <xf numFmtId="0" fontId="2" fillId="3" borderId="28" xfId="2" applyFill="1" applyBorder="1" applyAlignment="1" applyProtection="1">
      <alignment horizontal="center" vertical="center" wrapText="1"/>
      <protection locked="0"/>
    </xf>
    <xf numFmtId="14" fontId="2" fillId="3" borderId="28" xfId="2" applyNumberFormat="1" applyFill="1" applyBorder="1" applyAlignment="1" applyProtection="1">
      <alignment horizontal="center" vertical="center" wrapText="1"/>
      <protection locked="0"/>
    </xf>
    <xf numFmtId="14" fontId="2" fillId="3" borderId="29" xfId="2" applyNumberFormat="1" applyFill="1" applyBorder="1" applyAlignment="1" applyProtection="1">
      <alignment horizontal="center" vertical="center" wrapText="1"/>
      <protection locked="0"/>
    </xf>
    <xf numFmtId="0" fontId="2" fillId="0" borderId="104" xfId="2" applyBorder="1" applyAlignment="1">
      <alignment horizontal="center" vertical="center" wrapText="1"/>
    </xf>
    <xf numFmtId="0" fontId="2" fillId="0" borderId="101" xfId="2" applyBorder="1" applyAlignment="1">
      <alignment horizontal="center" vertical="center" wrapText="1"/>
    </xf>
    <xf numFmtId="9" fontId="2" fillId="0" borderId="101" xfId="2" applyNumberFormat="1" applyBorder="1" applyAlignment="1">
      <alignment horizontal="center" vertical="center" wrapText="1"/>
    </xf>
    <xf numFmtId="9" fontId="20" fillId="0" borderId="101" xfId="0" applyNumberFormat="1" applyFont="1" applyBorder="1" applyAlignment="1">
      <alignment horizontal="center" vertical="center" wrapText="1"/>
    </xf>
    <xf numFmtId="0" fontId="2" fillId="3" borderId="101" xfId="2" applyFill="1" applyBorder="1" applyAlignment="1" applyProtection="1">
      <alignment horizontal="center" vertical="center" wrapText="1"/>
      <protection locked="0"/>
    </xf>
    <xf numFmtId="0" fontId="2" fillId="3" borderId="101" xfId="2" applyFill="1" applyBorder="1" applyAlignment="1">
      <alignment horizontal="center" vertical="center" wrapText="1"/>
    </xf>
    <xf numFmtId="14" fontId="2" fillId="3" borderId="101" xfId="2" applyNumberFormat="1" applyFill="1" applyBorder="1" applyAlignment="1" applyProtection="1">
      <alignment horizontal="center" vertical="center" wrapText="1"/>
      <protection locked="0"/>
    </xf>
    <xf numFmtId="14" fontId="2" fillId="3" borderId="105" xfId="2" applyNumberFormat="1" applyFill="1" applyBorder="1" applyAlignment="1" applyProtection="1">
      <alignment horizontal="center" vertical="center" wrapText="1"/>
      <protection locked="0"/>
    </xf>
    <xf numFmtId="14" fontId="2" fillId="3" borderId="75" xfId="2" applyNumberFormat="1" applyFill="1" applyBorder="1" applyAlignment="1" applyProtection="1">
      <alignment horizontal="center" vertical="center" wrapText="1"/>
      <protection locked="0"/>
    </xf>
    <xf numFmtId="14" fontId="2" fillId="3" borderId="106" xfId="2" applyNumberFormat="1" applyFill="1" applyBorder="1" applyAlignment="1" applyProtection="1">
      <alignment horizontal="center" vertical="center" wrapText="1"/>
      <protection locked="0"/>
    </xf>
    <xf numFmtId="0" fontId="2" fillId="3" borderId="6" xfId="2" applyFill="1" applyBorder="1" applyAlignment="1">
      <alignment horizontal="center" vertical="center" wrapText="1"/>
    </xf>
    <xf numFmtId="0" fontId="2" fillId="3" borderId="28" xfId="2" applyFill="1" applyBorder="1" applyAlignment="1">
      <alignment horizontal="center" vertical="center" wrapText="1"/>
    </xf>
    <xf numFmtId="14" fontId="2" fillId="3" borderId="78" xfId="2" applyNumberFormat="1" applyFill="1" applyBorder="1" applyAlignment="1" applyProtection="1">
      <alignment horizontal="center" vertical="center" wrapText="1"/>
      <protection locked="0"/>
    </xf>
    <xf numFmtId="14" fontId="2" fillId="3" borderId="99" xfId="2" applyNumberFormat="1" applyFill="1" applyBorder="1" applyAlignment="1" applyProtection="1">
      <alignment horizontal="center" vertical="center" wrapText="1"/>
      <protection locked="0"/>
    </xf>
    <xf numFmtId="14" fontId="2" fillId="3" borderId="5" xfId="2" applyNumberFormat="1" applyFill="1" applyBorder="1" applyAlignment="1" applyProtection="1">
      <alignment horizontal="center" vertical="center" wrapText="1"/>
      <protection locked="0"/>
    </xf>
    <xf numFmtId="14" fontId="2" fillId="3" borderId="38" xfId="2" applyNumberFormat="1" applyFill="1" applyBorder="1" applyAlignment="1" applyProtection="1">
      <alignment horizontal="center" vertical="center" wrapText="1"/>
      <protection locked="0"/>
    </xf>
    <xf numFmtId="0" fontId="2" fillId="17" borderId="24" xfId="2" applyFill="1" applyBorder="1" applyAlignment="1">
      <alignment horizontal="center" vertical="center" wrapText="1"/>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2" fillId="3" borderId="75" xfId="2" applyFill="1" applyBorder="1" applyAlignment="1" applyProtection="1">
      <alignment horizontal="center" vertical="center" wrapText="1"/>
      <protection locked="0"/>
    </xf>
    <xf numFmtId="0" fontId="2" fillId="3" borderId="7" xfId="2" applyFill="1" applyBorder="1" applyAlignment="1" applyProtection="1">
      <alignment horizontal="center" vertical="center" wrapText="1"/>
      <protection locked="0"/>
    </xf>
    <xf numFmtId="0" fontId="2" fillId="3" borderId="78" xfId="2" applyFill="1" applyBorder="1" applyAlignment="1" applyProtection="1">
      <alignment horizontal="center" vertical="center" wrapText="1"/>
      <protection locked="0"/>
    </xf>
    <xf numFmtId="0" fontId="2" fillId="3" borderId="75" xfId="2" applyFill="1" applyBorder="1" applyAlignment="1">
      <alignment horizontal="center" vertical="center" wrapText="1"/>
    </xf>
    <xf numFmtId="0" fontId="2" fillId="3" borderId="7" xfId="2" applyFill="1" applyBorder="1" applyAlignment="1">
      <alignment horizontal="center" vertical="center" wrapText="1"/>
    </xf>
    <xf numFmtId="0" fontId="2" fillId="3" borderId="78" xfId="2" applyFill="1" applyBorder="1" applyAlignment="1">
      <alignment horizontal="center" vertical="center" wrapText="1"/>
    </xf>
    <xf numFmtId="0" fontId="2" fillId="0" borderId="75" xfId="2" applyBorder="1" applyAlignment="1">
      <alignment horizontal="center" vertical="center" wrapText="1"/>
    </xf>
    <xf numFmtId="0" fontId="2" fillId="0" borderId="7" xfId="2" applyBorder="1" applyAlignment="1">
      <alignment horizontal="center" vertical="center" wrapText="1"/>
    </xf>
    <xf numFmtId="0" fontId="2" fillId="0" borderId="78" xfId="2" applyBorder="1" applyAlignment="1">
      <alignment horizontal="center" vertical="center" wrapText="1"/>
    </xf>
    <xf numFmtId="0" fontId="2" fillId="3" borderId="6" xfId="2" applyFill="1" applyBorder="1" applyAlignment="1">
      <alignment horizontal="center" vertical="center" wrapText="1"/>
    </xf>
    <xf numFmtId="0" fontId="2" fillId="3" borderId="1" xfId="2" applyFill="1" applyBorder="1" applyAlignment="1">
      <alignment horizontal="center" vertical="center" wrapText="1"/>
    </xf>
    <xf numFmtId="0" fontId="2" fillId="3" borderId="28" xfId="2" applyFill="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75" xfId="0" applyNumberFormat="1" applyFont="1" applyBorder="1" applyAlignment="1">
      <alignment horizontal="center" vertical="center" wrapText="1"/>
    </xf>
    <xf numFmtId="9" fontId="20" fillId="0" borderId="7"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0" fontId="22" fillId="0" borderId="94" xfId="0" applyFont="1" applyBorder="1" applyAlignment="1" applyProtection="1">
      <alignment horizontal="center" vertical="center"/>
      <protection locked="0"/>
    </xf>
    <xf numFmtId="0" fontId="2" fillId="3" borderId="6" xfId="2" applyFill="1" applyBorder="1" applyAlignment="1" applyProtection="1">
      <alignment horizontal="center" vertical="center" wrapText="1"/>
      <protection locked="0"/>
    </xf>
    <xf numFmtId="0" fontId="2" fillId="3" borderId="1" xfId="2" applyFill="1" applyBorder="1" applyAlignment="1" applyProtection="1">
      <alignment horizontal="center" vertical="center" wrapText="1"/>
      <protection locked="0"/>
    </xf>
    <xf numFmtId="0" fontId="2" fillId="3" borderId="28" xfId="2" applyFill="1" applyBorder="1" applyAlignment="1" applyProtection="1">
      <alignment horizontal="center" vertical="center" wrapText="1"/>
      <protection locked="0"/>
    </xf>
    <xf numFmtId="0" fontId="2" fillId="0" borderId="6" xfId="2" applyBorder="1" applyAlignment="1">
      <alignment horizontal="center" vertical="center" wrapText="1"/>
    </xf>
    <xf numFmtId="0" fontId="2" fillId="0" borderId="1" xfId="2" applyBorder="1" applyAlignment="1">
      <alignment horizontal="center" vertical="center" wrapText="1"/>
    </xf>
    <xf numFmtId="0" fontId="2" fillId="0" borderId="28" xfId="2" applyBorder="1" applyAlignment="1">
      <alignment horizontal="center" vertical="center" wrapText="1"/>
    </xf>
    <xf numFmtId="9" fontId="20" fillId="0" borderId="5" xfId="0" applyNumberFormat="1" applyFont="1" applyBorder="1" applyAlignment="1">
      <alignment horizontal="center" vertical="center" wrapText="1"/>
    </xf>
    <xf numFmtId="9" fontId="2" fillId="0" borderId="6" xfId="2" applyNumberFormat="1" applyBorder="1" applyAlignment="1">
      <alignment horizontal="center" vertical="center" wrapText="1"/>
    </xf>
    <xf numFmtId="9" fontId="2" fillId="0" borderId="1" xfId="2" applyNumberFormat="1" applyBorder="1" applyAlignment="1">
      <alignment horizontal="center" vertical="center" wrapText="1"/>
    </xf>
    <xf numFmtId="9" fontId="2" fillId="0" borderId="5" xfId="2" applyNumberFormat="1" applyBorder="1" applyAlignment="1">
      <alignment horizontal="center" vertical="center" wrapText="1"/>
    </xf>
    <xf numFmtId="0" fontId="2" fillId="0" borderId="5" xfId="2" applyBorder="1" applyAlignment="1">
      <alignment horizontal="center" vertical="center" wrapText="1"/>
    </xf>
    <xf numFmtId="0" fontId="2" fillId="0" borderId="34" xfId="2" applyBorder="1" applyAlignment="1">
      <alignment horizontal="center" vertical="center" wrapText="1"/>
    </xf>
    <xf numFmtId="0" fontId="2" fillId="0" borderId="3" xfId="2" applyBorder="1" applyAlignment="1">
      <alignment horizontal="center" vertical="center" wrapText="1"/>
    </xf>
    <xf numFmtId="0" fontId="2" fillId="0" borderId="27" xfId="2" applyBorder="1" applyAlignment="1">
      <alignment horizontal="center" vertical="center" wrapText="1"/>
    </xf>
    <xf numFmtId="9" fontId="2" fillId="0" borderId="28" xfId="2" applyNumberFormat="1" applyBorder="1" applyAlignment="1">
      <alignment horizontal="center" vertical="center" wrapText="1"/>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53" fillId="0" borderId="83"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53" fillId="0" borderId="89" xfId="2" applyFont="1" applyBorder="1" applyAlignment="1" applyProtection="1">
      <alignment horizontal="center" vertical="center"/>
      <protection locked="0"/>
    </xf>
    <xf numFmtId="0" fontId="53" fillId="0" borderId="90" xfId="2" applyFont="1" applyBorder="1" applyAlignment="1" applyProtection="1">
      <alignment horizontal="center" vertical="center"/>
      <protection locked="0"/>
    </xf>
    <xf numFmtId="0" fontId="53" fillId="0" borderId="91" xfId="2" applyFont="1" applyBorder="1" applyAlignment="1" applyProtection="1">
      <alignment horizontal="center" vertical="center"/>
      <protection locked="0"/>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2" fillId="0" borderId="102" xfId="2" applyBorder="1" applyAlignment="1">
      <alignment horizontal="center" vertical="center" wrapText="1"/>
    </xf>
    <xf numFmtId="0" fontId="2" fillId="0" borderId="100" xfId="2" applyBorder="1" applyAlignment="1">
      <alignment horizontal="center" vertical="center" wrapText="1"/>
    </xf>
    <xf numFmtId="0" fontId="2" fillId="0" borderId="103" xfId="2" applyBorder="1" applyAlignment="1">
      <alignment horizontal="center" vertical="center" wrapText="1"/>
    </xf>
    <xf numFmtId="9" fontId="2" fillId="0" borderId="75" xfId="2" applyNumberFormat="1" applyBorder="1" applyAlignment="1">
      <alignment horizontal="center" vertical="center" wrapText="1"/>
    </xf>
    <xf numFmtId="9" fontId="2" fillId="0" borderId="7" xfId="2" applyNumberFormat="1" applyBorder="1" applyAlignment="1">
      <alignment horizontal="center" vertical="center" wrapText="1"/>
    </xf>
    <xf numFmtId="9" fontId="2" fillId="0" borderId="78" xfId="2" applyNumberFormat="1" applyBorder="1" applyAlignment="1">
      <alignment horizontal="center" vertical="center" wrapText="1"/>
    </xf>
    <xf numFmtId="0" fontId="2" fillId="0" borderId="76" xfId="2"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5" xfId="2" applyFill="1" applyBorder="1" applyAlignment="1">
      <alignment horizontal="center" vertical="center"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7"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4" borderId="68"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14" fontId="8" fillId="4" borderId="0" xfId="0" applyNumberFormat="1" applyFont="1" applyFill="1" applyAlignment="1">
      <alignment horizontal="left" wrapText="1"/>
    </xf>
    <xf numFmtId="0" fontId="41" fillId="4" borderId="69"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41" fillId="4" borderId="54"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53" xfId="0" applyFont="1" applyFill="1" applyBorder="1" applyAlignment="1">
      <alignment horizontal="left"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49" xfId="5" applyFont="1" applyFill="1" applyBorder="1" applyAlignment="1">
      <alignment horizontal="left" vertical="top" wrapText="1" readingOrder="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0" fillId="0" borderId="4"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0" xfId="0" applyNumberFormat="1" applyFont="1" applyBorder="1" applyAlignment="1">
      <alignment horizontal="center" vertical="center" wrapText="1"/>
    </xf>
    <xf numFmtId="0" fontId="6" fillId="0" borderId="43" xfId="2" applyFont="1" applyBorder="1" applyAlignment="1">
      <alignment horizontal="center" vertical="center" wrapText="1"/>
    </xf>
    <xf numFmtId="0" fontId="6" fillId="0" borderId="64" xfId="2" applyFont="1" applyBorder="1" applyAlignment="1">
      <alignment horizontal="center" vertical="center" wrapText="1"/>
    </xf>
    <xf numFmtId="0" fontId="6" fillId="0" borderId="65" xfId="2" applyFont="1" applyBorder="1" applyAlignment="1">
      <alignment horizontal="center" vertical="center" wrapText="1"/>
    </xf>
    <xf numFmtId="0" fontId="6" fillId="0" borderId="34" xfId="2" applyFont="1" applyBorder="1" applyAlignment="1">
      <alignment horizontal="left" vertical="center" wrapText="1"/>
    </xf>
    <xf numFmtId="0" fontId="6" fillId="0" borderId="3" xfId="2" applyFont="1" applyBorder="1" applyAlignment="1">
      <alignment horizontal="left" vertical="center" wrapText="1"/>
    </xf>
    <xf numFmtId="0" fontId="6" fillId="0" borderId="27" xfId="2" applyFont="1" applyBorder="1" applyAlignment="1">
      <alignment horizontal="left" vertical="center" wrapText="1"/>
    </xf>
    <xf numFmtId="0" fontId="6" fillId="0" borderId="30" xfId="2" applyFont="1" applyBorder="1" applyAlignment="1">
      <alignment horizontal="center" vertical="center" wrapText="1"/>
    </xf>
    <xf numFmtId="0" fontId="6" fillId="0" borderId="40" xfId="2" applyFont="1" applyBorder="1" applyAlignment="1">
      <alignment horizontal="center" vertical="center" wrapText="1"/>
    </xf>
    <xf numFmtId="0" fontId="6" fillId="0" borderId="24"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cellXfs>
  <cellStyles count="8">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2 3" xfId="7" xr:uid="{525ABC9D-431A-460A-9890-25960547A2C9}"/>
    <cellStyle name="Normal 3" xfId="3" xr:uid="{00000000-0005-0000-0000-000005000000}"/>
    <cellStyle name="Porcentaje" xfId="6" builtinId="5"/>
  </cellStyles>
  <dxfs count="24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464865</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3" name="Text Box 16">
          <a:extLst>
            <a:ext uri="{FF2B5EF4-FFF2-40B4-BE49-F238E27FC236}">
              <a16:creationId xmlns:a16="http://schemas.microsoft.com/office/drawing/2014/main" id="{07054FBE-46CA-4937-B15D-C2619B18DBC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4" name="Text Box 17">
          <a:extLst>
            <a:ext uri="{FF2B5EF4-FFF2-40B4-BE49-F238E27FC236}">
              <a16:creationId xmlns:a16="http://schemas.microsoft.com/office/drawing/2014/main" id="{2E90C4CA-7B54-412D-9E4C-E5FAAC1F5D9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5" name="Text Box 18">
          <a:extLst>
            <a:ext uri="{FF2B5EF4-FFF2-40B4-BE49-F238E27FC236}">
              <a16:creationId xmlns:a16="http://schemas.microsoft.com/office/drawing/2014/main" id="{304863A5-20C5-40EE-B6DD-131822599DB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6" name="Text Box 19">
          <a:extLst>
            <a:ext uri="{FF2B5EF4-FFF2-40B4-BE49-F238E27FC236}">
              <a16:creationId xmlns:a16="http://schemas.microsoft.com/office/drawing/2014/main" id="{A1840E32-8309-4C5E-9E54-2AF3685CC1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7" name="Text Box 16">
          <a:extLst>
            <a:ext uri="{FF2B5EF4-FFF2-40B4-BE49-F238E27FC236}">
              <a16:creationId xmlns:a16="http://schemas.microsoft.com/office/drawing/2014/main" id="{C9497269-443D-4655-85E6-01A40BF427D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8" name="Text Box 17">
          <a:extLst>
            <a:ext uri="{FF2B5EF4-FFF2-40B4-BE49-F238E27FC236}">
              <a16:creationId xmlns:a16="http://schemas.microsoft.com/office/drawing/2014/main" id="{42A8FFE6-9D1D-4B16-BF4B-0F10F098717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9" name="Text Box 18">
          <a:extLst>
            <a:ext uri="{FF2B5EF4-FFF2-40B4-BE49-F238E27FC236}">
              <a16:creationId xmlns:a16="http://schemas.microsoft.com/office/drawing/2014/main" id="{BB7573FD-DF90-48AD-B60C-4CC84DEA6B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70" name="Text Box 19">
          <a:extLst>
            <a:ext uri="{FF2B5EF4-FFF2-40B4-BE49-F238E27FC236}">
              <a16:creationId xmlns:a16="http://schemas.microsoft.com/office/drawing/2014/main" id="{F980FAB0-5BDD-4107-8947-0A1077E2BB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1048576</xdr:row>
      <xdr:rowOff>159404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42</xdr:row>
      <xdr:rowOff>342523</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47</xdr:row>
      <xdr:rowOff>0</xdr:rowOff>
    </xdr:from>
    <xdr:to>
      <xdr:col>4</xdr:col>
      <xdr:colOff>90438</xdr:colOff>
      <xdr:row>49</xdr:row>
      <xdr:rowOff>108323</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47</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47</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47</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1048576</xdr:row>
      <xdr:rowOff>117396</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0" tableBorderDxfId="239" headerRowCellStyle="Normal 2">
  <autoFilter ref="F9:K39" xr:uid="{00000000-0009-0000-0100-000001000000}"/>
  <tableColumns count="6">
    <tableColumn id="2" xr3:uid="{00000000-0010-0000-0000-000002000000}" name="TIPOLOGÍA" dataDxfId="238" dataCellStyle="Normal 2"/>
    <tableColumn id="3" xr3:uid="{00000000-0010-0000-0000-000003000000}" name="¿QUÉ? _x000a_IMPACTO" dataDxfId="237" dataCellStyle="Normal 2"/>
    <tableColumn id="4" xr3:uid="{00000000-0010-0000-0000-000004000000}" name="¿CÓMO?_x000a_CAUSA INMEDIATA _x000a_(Iniciar con la palabra _x000a_por)" dataDxfId="236" dataCellStyle="Normal 2"/>
    <tableColumn id="5" xr3:uid="{00000000-0010-0000-0000-000005000000}" name="¿PORQUÉ?_x000a_CAUSA RAÍZ_x000a_(Iniciar con _x000a_debido a/a causa de)" dataDxfId="235" dataCellStyle="Normal 2"/>
    <tableColumn id="6" xr3:uid="{00000000-0010-0000-0000-000006000000}" name="DESCRIPCIÓN DEL RIESGO" dataDxfId="234">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2" dataDxfId="231">
  <autoFilter ref="A31:E35" xr:uid="{00000000-0009-0000-0100-000006000000}"/>
  <tableColumns count="5">
    <tableColumn id="1" xr3:uid="{00000000-0010-0000-0100-000001000000}" name="Gestión" dataDxfId="230"/>
    <tableColumn id="2" xr3:uid="{00000000-0010-0000-0100-000002000000}" name="Fiscal" dataDxfId="229"/>
    <tableColumn id="3" xr3:uid="{00000000-0010-0000-0100-000003000000}" name="Seguridad_Información" dataDxfId="228"/>
    <tableColumn id="4" xr3:uid="{00000000-0010-0000-0100-000004000000}" name="Integridad_Pública_Corrupción" dataDxfId="227"/>
    <tableColumn id="5" xr3:uid="{00000000-0010-0000-0100-000005000000}" name="Integridad_Pública_LA_FT_FP" dataDxfId="22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25" dataDxfId="224">
  <autoFilter ref="A38:F47" xr:uid="{00000000-0009-0000-0100-000002000000}"/>
  <tableColumns count="6">
    <tableColumn id="1" xr3:uid="{00000000-0010-0000-0200-000001000000}" name="Ejecución_administración_de_procesos" dataDxfId="223"/>
    <tableColumn id="2" xr3:uid="{00000000-0010-0000-0200-000002000000}" name="Transacción_u_Operación_aplica_para_LA_FT_FP" dataDxfId="222"/>
    <tableColumn id="3" xr3:uid="{00000000-0010-0000-0200-000003000000}" name="Talento_Humano" dataDxfId="221"/>
    <tableColumn id="4" xr3:uid="{00000000-0010-0000-0200-000004000000}" name="Tecnología" dataDxfId="220"/>
    <tableColumn id="5" xr3:uid="{00000000-0010-0000-0200-000005000000}" name="Infraestructura" dataDxfId="219"/>
    <tableColumn id="6" xr3:uid="{00000000-0010-0000-0200-000006000000}" name="Evento_externo" dataDxfId="21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17" dataDxfId="216">
  <autoFilter ref="H37:I43" xr:uid="{00000000-0009-0000-0100-000003000000}"/>
  <tableColumns count="2">
    <tableColumn id="1" xr3:uid="{00000000-0010-0000-0300-000001000000}" name="FACTOR DE RIESGO" dataDxfId="215"/>
    <tableColumn id="2" xr3:uid="{00000000-0010-0000-0300-000002000000}" name="Descripción" dataDxfId="21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85546875" style="187" customWidth="1"/>
    <col min="2" max="3" width="24.42578125" style="187" customWidth="1"/>
    <col min="4" max="4" width="16" style="187" customWidth="1"/>
    <col min="5" max="5" width="24.42578125" style="187" customWidth="1"/>
    <col min="6" max="6" width="27.42578125" style="187" customWidth="1"/>
    <col min="7" max="8" width="24.42578125" style="187" customWidth="1"/>
    <col min="9" max="9" width="4.28515625" style="187" customWidth="1"/>
    <col min="10" max="16384" width="11.42578125" style="187" hidden="1"/>
  </cols>
  <sheetData>
    <row r="1" spans="2:8" ht="15.75" thickBot="1" x14ac:dyDescent="0.3"/>
    <row r="2" spans="2:8" ht="18" x14ac:dyDescent="0.25">
      <c r="B2" s="503" t="s">
        <v>359</v>
      </c>
      <c r="C2" s="504"/>
      <c r="D2" s="504"/>
      <c r="E2" s="504"/>
      <c r="F2" s="504"/>
      <c r="G2" s="504"/>
      <c r="H2" s="505"/>
    </row>
    <row r="3" spans="2:8" x14ac:dyDescent="0.25">
      <c r="B3" s="188"/>
      <c r="C3" s="189"/>
      <c r="D3" s="189"/>
      <c r="E3" s="189"/>
      <c r="F3" s="189"/>
      <c r="G3" s="189"/>
      <c r="H3" s="190"/>
    </row>
    <row r="4" spans="2:8" ht="63" customHeight="1" x14ac:dyDescent="0.25">
      <c r="B4" s="506" t="s">
        <v>0</v>
      </c>
      <c r="C4" s="507"/>
      <c r="D4" s="507"/>
      <c r="E4" s="507"/>
      <c r="F4" s="507"/>
      <c r="G4" s="507"/>
      <c r="H4" s="508"/>
    </row>
    <row r="5" spans="2:8" ht="63" customHeight="1" x14ac:dyDescent="0.25">
      <c r="B5" s="509"/>
      <c r="C5" s="510"/>
      <c r="D5" s="510"/>
      <c r="E5" s="510"/>
      <c r="F5" s="510"/>
      <c r="G5" s="510"/>
      <c r="H5" s="511"/>
    </row>
    <row r="6" spans="2:8" ht="16.5" x14ac:dyDescent="0.25">
      <c r="B6" s="498" t="s">
        <v>1</v>
      </c>
      <c r="C6" s="512"/>
      <c r="D6" s="512"/>
      <c r="E6" s="512"/>
      <c r="F6" s="512"/>
      <c r="G6" s="512"/>
      <c r="H6" s="513"/>
    </row>
    <row r="7" spans="2:8" ht="95.25" customHeight="1" x14ac:dyDescent="0.25">
      <c r="B7" s="514" t="s">
        <v>2</v>
      </c>
      <c r="C7" s="515"/>
      <c r="D7" s="515"/>
      <c r="E7" s="515"/>
      <c r="F7" s="515"/>
      <c r="G7" s="515"/>
      <c r="H7" s="516"/>
    </row>
    <row r="8" spans="2:8" ht="16.5" x14ac:dyDescent="0.25">
      <c r="B8" s="167"/>
      <c r="C8" s="168"/>
      <c r="D8" s="168"/>
      <c r="E8" s="168"/>
      <c r="F8" s="168"/>
      <c r="G8" s="168"/>
      <c r="H8" s="169"/>
    </row>
    <row r="9" spans="2:8" ht="20.45" customHeight="1" x14ac:dyDescent="0.25">
      <c r="B9" s="518" t="s">
        <v>3</v>
      </c>
      <c r="C9" s="519"/>
      <c r="D9" s="519"/>
      <c r="E9" s="519"/>
      <c r="F9" s="519"/>
      <c r="G9" s="519"/>
      <c r="H9" s="520"/>
    </row>
    <row r="10" spans="2:8" ht="16.5" x14ac:dyDescent="0.25">
      <c r="B10" s="173"/>
      <c r="C10" s="174"/>
      <c r="D10" s="174"/>
      <c r="E10" s="174"/>
      <c r="F10" s="174"/>
      <c r="G10" s="174"/>
      <c r="H10" s="175"/>
    </row>
    <row r="11" spans="2:8" ht="20.45" customHeight="1" x14ac:dyDescent="0.25">
      <c r="B11" s="521" t="s">
        <v>4</v>
      </c>
      <c r="C11" s="522"/>
      <c r="D11" s="522"/>
      <c r="E11" s="522"/>
      <c r="F11" s="522"/>
      <c r="G11" s="522"/>
      <c r="H11" s="523"/>
    </row>
    <row r="12" spans="2:8" s="208" customFormat="1" ht="20.45" customHeight="1" x14ac:dyDescent="0.25">
      <c r="B12" s="464"/>
      <c r="C12" s="465"/>
      <c r="D12" s="465"/>
      <c r="E12" s="465"/>
      <c r="F12" s="465"/>
      <c r="G12" s="465"/>
      <c r="H12" s="466"/>
    </row>
    <row r="13" spans="2:8" ht="20.45" customHeight="1" x14ac:dyDescent="0.25">
      <c r="B13" s="498" t="s">
        <v>5</v>
      </c>
      <c r="C13" s="499"/>
      <c r="D13" s="499"/>
      <c r="E13" s="499"/>
      <c r="F13" s="499"/>
      <c r="G13" s="499"/>
      <c r="H13" s="500"/>
    </row>
    <row r="14" spans="2:8" ht="9" customHeight="1" x14ac:dyDescent="0.25">
      <c r="B14" s="498"/>
      <c r="C14" s="499"/>
      <c r="D14" s="499"/>
      <c r="E14" s="499"/>
      <c r="F14" s="499"/>
      <c r="G14" s="499"/>
      <c r="H14" s="500"/>
    </row>
    <row r="15" spans="2:8" ht="16.5" x14ac:dyDescent="0.25">
      <c r="B15" s="498" t="s">
        <v>6</v>
      </c>
      <c r="C15" s="499"/>
      <c r="D15" s="499"/>
      <c r="E15" s="499"/>
      <c r="F15" s="499"/>
      <c r="G15" s="499"/>
      <c r="H15" s="500"/>
    </row>
    <row r="16" spans="2:8" ht="16.5" x14ac:dyDescent="0.25">
      <c r="B16" s="170"/>
      <c r="C16" s="171"/>
      <c r="D16" s="171"/>
      <c r="E16" s="171"/>
      <c r="F16" s="171"/>
      <c r="G16" s="171"/>
      <c r="H16" s="172"/>
    </row>
    <row r="17" spans="2:8" ht="18.75" customHeight="1" x14ac:dyDescent="0.25">
      <c r="B17" s="498" t="s">
        <v>7</v>
      </c>
      <c r="C17" s="499"/>
      <c r="D17" s="499"/>
      <c r="E17" s="499"/>
      <c r="F17" s="499"/>
      <c r="G17" s="499"/>
      <c r="H17" s="500"/>
    </row>
    <row r="18" spans="2:8" ht="18.75" customHeight="1" x14ac:dyDescent="0.25">
      <c r="B18" s="170"/>
      <c r="C18" s="171"/>
      <c r="D18" s="171"/>
      <c r="E18" s="171"/>
      <c r="F18" s="171"/>
      <c r="G18" s="171"/>
      <c r="H18" s="172"/>
    </row>
    <row r="19" spans="2:8" ht="18.75" customHeight="1" x14ac:dyDescent="0.25">
      <c r="B19" s="498" t="s">
        <v>8</v>
      </c>
      <c r="C19" s="499"/>
      <c r="D19" s="499"/>
      <c r="E19" s="499"/>
      <c r="F19" s="499"/>
      <c r="G19" s="499"/>
      <c r="H19" s="500"/>
    </row>
    <row r="20" spans="2:8" ht="18.75" customHeight="1" thickBot="1" x14ac:dyDescent="0.3">
      <c r="B20" s="146"/>
      <c r="C20" s="176"/>
      <c r="D20" s="176"/>
      <c r="E20" s="176"/>
      <c r="F20" s="176"/>
      <c r="G20" s="176"/>
      <c r="H20" s="177"/>
    </row>
    <row r="21" spans="2:8" ht="15.75" thickTop="1" x14ac:dyDescent="0.25">
      <c r="B21" s="191"/>
      <c r="C21" s="481" t="s">
        <v>9</v>
      </c>
      <c r="D21" s="482"/>
      <c r="E21" s="483" t="s">
        <v>10</v>
      </c>
      <c r="F21" s="484"/>
      <c r="G21" s="196"/>
      <c r="H21" s="192"/>
    </row>
    <row r="22" spans="2:8" ht="35.25" customHeight="1" x14ac:dyDescent="0.25">
      <c r="B22" s="191"/>
      <c r="C22" s="494" t="s">
        <v>11</v>
      </c>
      <c r="D22" s="473"/>
      <c r="E22" s="474" t="s">
        <v>12</v>
      </c>
      <c r="F22" s="475"/>
      <c r="G22" s="196"/>
      <c r="H22" s="192"/>
    </row>
    <row r="23" spans="2:8" ht="17.25" customHeight="1" x14ac:dyDescent="0.25">
      <c r="B23" s="191"/>
      <c r="C23" s="494" t="s">
        <v>13</v>
      </c>
      <c r="D23" s="473"/>
      <c r="E23" s="474" t="s">
        <v>14</v>
      </c>
      <c r="F23" s="475"/>
      <c r="G23" s="196"/>
      <c r="H23" s="192"/>
    </row>
    <row r="24" spans="2:8" ht="17.25" customHeight="1" x14ac:dyDescent="0.25">
      <c r="B24" s="191"/>
      <c r="C24" s="501" t="s">
        <v>356</v>
      </c>
      <c r="D24" s="502"/>
      <c r="E24" s="474" t="s">
        <v>357</v>
      </c>
      <c r="F24" s="475"/>
      <c r="G24" s="196"/>
      <c r="H24" s="192"/>
    </row>
    <row r="25" spans="2:8" ht="46.5" customHeight="1" x14ac:dyDescent="0.25">
      <c r="B25" s="191"/>
      <c r="C25" s="494" t="s">
        <v>15</v>
      </c>
      <c r="D25" s="473"/>
      <c r="E25" s="524" t="s">
        <v>16</v>
      </c>
      <c r="F25" s="525"/>
      <c r="G25" s="196"/>
      <c r="H25" s="192"/>
    </row>
    <row r="26" spans="2:8" ht="69.75" customHeight="1" x14ac:dyDescent="0.25">
      <c r="B26" s="191"/>
      <c r="C26" s="494" t="s">
        <v>17</v>
      </c>
      <c r="D26" s="473"/>
      <c r="E26" s="474" t="s">
        <v>18</v>
      </c>
      <c r="F26" s="475"/>
      <c r="G26" s="196"/>
      <c r="H26" s="192"/>
    </row>
    <row r="27" spans="2:8" ht="69.75" customHeight="1" x14ac:dyDescent="0.25">
      <c r="B27" s="191"/>
      <c r="C27" s="489" t="s">
        <v>19</v>
      </c>
      <c r="D27" s="485"/>
      <c r="E27" s="468" t="s">
        <v>20</v>
      </c>
      <c r="F27" s="469"/>
      <c r="G27" s="196"/>
      <c r="H27" s="192"/>
    </row>
    <row r="28" spans="2:8" ht="69.75" customHeight="1" x14ac:dyDescent="0.25">
      <c r="B28" s="191"/>
      <c r="C28" s="489" t="s">
        <v>21</v>
      </c>
      <c r="D28" s="485"/>
      <c r="E28" s="468" t="s">
        <v>22</v>
      </c>
      <c r="F28" s="469"/>
      <c r="G28" s="196"/>
      <c r="H28" s="192"/>
    </row>
    <row r="29" spans="2:8" ht="69.75" customHeight="1" x14ac:dyDescent="0.25">
      <c r="B29" s="191"/>
      <c r="C29" s="489" t="s">
        <v>23</v>
      </c>
      <c r="D29" s="485"/>
      <c r="E29" s="468" t="s">
        <v>24</v>
      </c>
      <c r="F29" s="469"/>
      <c r="G29" s="196"/>
      <c r="H29" s="192"/>
    </row>
    <row r="30" spans="2:8" ht="111.75" customHeight="1" x14ac:dyDescent="0.25">
      <c r="B30" s="191"/>
      <c r="C30" s="489" t="s">
        <v>25</v>
      </c>
      <c r="D30" s="485"/>
      <c r="E30" s="468" t="s">
        <v>26</v>
      </c>
      <c r="F30" s="469"/>
      <c r="G30" s="196"/>
      <c r="H30" s="192"/>
    </row>
    <row r="31" spans="2:8" ht="121.5" customHeight="1" x14ac:dyDescent="0.25">
      <c r="B31" s="191"/>
      <c r="C31" s="489" t="s">
        <v>27</v>
      </c>
      <c r="D31" s="485"/>
      <c r="E31" s="468" t="s">
        <v>28</v>
      </c>
      <c r="F31" s="469"/>
      <c r="G31" s="196"/>
      <c r="H31" s="192"/>
    </row>
    <row r="32" spans="2:8" ht="86.25" customHeight="1" x14ac:dyDescent="0.25">
      <c r="B32" s="191"/>
      <c r="C32" s="489" t="s">
        <v>29</v>
      </c>
      <c r="D32" s="485"/>
      <c r="E32" s="468" t="s">
        <v>30</v>
      </c>
      <c r="F32" s="469"/>
      <c r="G32" s="196"/>
      <c r="H32" s="192"/>
    </row>
    <row r="33" spans="2:8" ht="69.75" customHeight="1" x14ac:dyDescent="0.25">
      <c r="B33" s="191"/>
      <c r="C33" s="489" t="s">
        <v>31</v>
      </c>
      <c r="D33" s="485"/>
      <c r="E33" s="468" t="s">
        <v>32</v>
      </c>
      <c r="F33" s="469"/>
      <c r="G33" s="196"/>
      <c r="H33" s="192"/>
    </row>
    <row r="34" spans="2:8" x14ac:dyDescent="0.25">
      <c r="B34" s="191"/>
      <c r="C34" s="181"/>
      <c r="D34" s="181"/>
      <c r="E34" s="182"/>
      <c r="F34" s="182"/>
      <c r="G34" s="196"/>
      <c r="H34" s="192"/>
    </row>
    <row r="35" spans="2:8" ht="16.5" x14ac:dyDescent="0.25">
      <c r="B35" s="498" t="s">
        <v>33</v>
      </c>
      <c r="C35" s="499"/>
      <c r="D35" s="499"/>
      <c r="E35" s="499"/>
      <c r="F35" s="499"/>
      <c r="G35" s="499"/>
      <c r="H35" s="500"/>
    </row>
    <row r="36" spans="2:8" ht="14.45" customHeight="1" thickBot="1" x14ac:dyDescent="0.3">
      <c r="B36" s="197"/>
      <c r="C36" s="186"/>
      <c r="D36" s="186"/>
      <c r="E36" s="186"/>
      <c r="F36" s="186"/>
      <c r="G36" s="186"/>
      <c r="H36" s="198"/>
    </row>
    <row r="37" spans="2:8" ht="14.45" customHeight="1" thickTop="1" x14ac:dyDescent="0.25">
      <c r="B37" s="197"/>
      <c r="C37" s="481" t="s">
        <v>9</v>
      </c>
      <c r="D37" s="482"/>
      <c r="E37" s="483" t="s">
        <v>10</v>
      </c>
      <c r="F37" s="484"/>
      <c r="G37" s="186"/>
      <c r="H37" s="198"/>
    </row>
    <row r="38" spans="2:8" ht="90" customHeight="1" x14ac:dyDescent="0.25">
      <c r="B38" s="197"/>
      <c r="C38" s="489" t="s">
        <v>34</v>
      </c>
      <c r="D38" s="485"/>
      <c r="E38" s="468" t="s">
        <v>35</v>
      </c>
      <c r="F38" s="469"/>
      <c r="G38" s="186"/>
      <c r="H38" s="198"/>
    </row>
    <row r="39" spans="2:8" ht="53.45" customHeight="1" x14ac:dyDescent="0.25">
      <c r="B39" s="197"/>
      <c r="C39" s="489" t="s">
        <v>36</v>
      </c>
      <c r="D39" s="485"/>
      <c r="E39" s="468" t="s">
        <v>37</v>
      </c>
      <c r="F39" s="469"/>
      <c r="G39" s="186"/>
      <c r="H39" s="198"/>
    </row>
    <row r="40" spans="2:8" ht="54" customHeight="1" x14ac:dyDescent="0.25">
      <c r="B40" s="197"/>
      <c r="C40" s="489" t="s">
        <v>38</v>
      </c>
      <c r="D40" s="485"/>
      <c r="E40" s="468" t="s">
        <v>39</v>
      </c>
      <c r="F40" s="469"/>
      <c r="G40" s="186"/>
      <c r="H40" s="198"/>
    </row>
    <row r="41" spans="2:8" ht="32.450000000000003" customHeight="1" x14ac:dyDescent="0.25">
      <c r="B41" s="197"/>
      <c r="C41" s="489" t="s">
        <v>40</v>
      </c>
      <c r="D41" s="485"/>
      <c r="E41" s="468" t="s">
        <v>41</v>
      </c>
      <c r="F41" s="469"/>
      <c r="G41" s="186"/>
      <c r="H41" s="198"/>
    </row>
    <row r="42" spans="2:8" ht="16.5" x14ac:dyDescent="0.25">
      <c r="B42" s="197"/>
      <c r="C42" s="186"/>
      <c r="D42" s="186"/>
      <c r="E42" s="186"/>
      <c r="F42" s="186"/>
      <c r="G42" s="186"/>
      <c r="H42" s="198"/>
    </row>
    <row r="43" spans="2:8" ht="18.75" customHeight="1" x14ac:dyDescent="0.25">
      <c r="B43" s="486" t="s">
        <v>42</v>
      </c>
      <c r="C43" s="487"/>
      <c r="D43" s="487"/>
      <c r="E43" s="487"/>
      <c r="F43" s="487"/>
      <c r="G43" s="487"/>
      <c r="H43" s="488"/>
    </row>
    <row r="44" spans="2:8" ht="18.75" customHeight="1" x14ac:dyDescent="0.25">
      <c r="B44" s="183"/>
      <c r="C44" s="184"/>
      <c r="D44" s="184"/>
      <c r="E44" s="184"/>
      <c r="F44" s="184"/>
      <c r="G44" s="184"/>
      <c r="H44" s="185"/>
    </row>
    <row r="45" spans="2:8" ht="18.75" customHeight="1" x14ac:dyDescent="0.25">
      <c r="B45" s="498" t="s">
        <v>43</v>
      </c>
      <c r="C45" s="499"/>
      <c r="D45" s="499"/>
      <c r="E45" s="499"/>
      <c r="F45" s="499"/>
      <c r="G45" s="499"/>
      <c r="H45" s="500"/>
    </row>
    <row r="46" spans="2:8" ht="18.75" customHeight="1" thickBot="1" x14ac:dyDescent="0.3">
      <c r="B46" s="146"/>
      <c r="C46" s="176"/>
      <c r="D46" s="176"/>
      <c r="E46" s="176"/>
      <c r="F46" s="176"/>
      <c r="G46" s="176"/>
      <c r="H46" s="177"/>
    </row>
    <row r="47" spans="2:8" ht="18.75" customHeight="1" thickTop="1" x14ac:dyDescent="0.25">
      <c r="B47" s="146"/>
      <c r="C47" s="481" t="s">
        <v>9</v>
      </c>
      <c r="D47" s="482"/>
      <c r="E47" s="483" t="s">
        <v>10</v>
      </c>
      <c r="F47" s="484"/>
      <c r="G47" s="176"/>
      <c r="H47" s="177"/>
    </row>
    <row r="48" spans="2:8" ht="53.25" customHeight="1" x14ac:dyDescent="0.25">
      <c r="B48" s="146"/>
      <c r="C48" s="470" t="s">
        <v>44</v>
      </c>
      <c r="D48" s="471"/>
      <c r="E48" s="468" t="s">
        <v>45</v>
      </c>
      <c r="F48" s="469"/>
      <c r="G48" s="176"/>
      <c r="H48" s="177"/>
    </row>
    <row r="49" spans="2:8" ht="54" customHeight="1" x14ac:dyDescent="0.25">
      <c r="B49" s="146"/>
      <c r="C49" s="470" t="s">
        <v>46</v>
      </c>
      <c r="D49" s="471"/>
      <c r="E49" s="468" t="s">
        <v>47</v>
      </c>
      <c r="F49" s="469"/>
      <c r="G49" s="176"/>
      <c r="H49" s="177"/>
    </row>
    <row r="50" spans="2:8" ht="51.95" customHeight="1" x14ac:dyDescent="0.25">
      <c r="B50" s="146"/>
      <c r="C50" s="470" t="s">
        <v>48</v>
      </c>
      <c r="D50" s="471"/>
      <c r="E50" s="468" t="s">
        <v>49</v>
      </c>
      <c r="F50" s="469"/>
      <c r="G50" s="176"/>
      <c r="H50" s="177"/>
    </row>
    <row r="51" spans="2:8" ht="53.45" customHeight="1" x14ac:dyDescent="0.25">
      <c r="B51" s="146"/>
      <c r="C51" s="470" t="s">
        <v>50</v>
      </c>
      <c r="D51" s="471"/>
      <c r="E51" s="468" t="s">
        <v>49</v>
      </c>
      <c r="F51" s="469"/>
      <c r="G51" s="176"/>
      <c r="H51" s="177"/>
    </row>
    <row r="52" spans="2:8" ht="48.75" customHeight="1" x14ac:dyDescent="0.25">
      <c r="B52" s="146"/>
      <c r="C52" s="470" t="s">
        <v>51</v>
      </c>
      <c r="D52" s="471"/>
      <c r="E52" s="468" t="s">
        <v>52</v>
      </c>
      <c r="F52" s="469"/>
      <c r="G52" s="176"/>
      <c r="H52" s="177"/>
    </row>
    <row r="53" spans="2:8" ht="49.5" customHeight="1" x14ac:dyDescent="0.25">
      <c r="B53" s="146"/>
      <c r="C53" s="470" t="s">
        <v>53</v>
      </c>
      <c r="D53" s="471"/>
      <c r="E53" s="468" t="s">
        <v>54</v>
      </c>
      <c r="F53" s="469"/>
      <c r="G53" s="176"/>
      <c r="H53" s="177"/>
    </row>
    <row r="54" spans="2:8" ht="50.25" customHeight="1" x14ac:dyDescent="0.25">
      <c r="B54" s="146"/>
      <c r="C54" s="470" t="s">
        <v>55</v>
      </c>
      <c r="D54" s="471"/>
      <c r="E54" s="468" t="s">
        <v>56</v>
      </c>
      <c r="F54" s="469"/>
      <c r="G54" s="176"/>
      <c r="H54" s="177"/>
    </row>
    <row r="55" spans="2:8" ht="29.45" customHeight="1" x14ac:dyDescent="0.25">
      <c r="B55" s="146"/>
      <c r="C55" s="470" t="s">
        <v>57</v>
      </c>
      <c r="D55" s="471"/>
      <c r="E55" s="468" t="s">
        <v>58</v>
      </c>
      <c r="F55" s="469"/>
      <c r="G55" s="176"/>
      <c r="H55" s="177"/>
    </row>
    <row r="56" spans="2:8" ht="39.950000000000003" customHeight="1" x14ac:dyDescent="0.25">
      <c r="B56" s="146"/>
      <c r="C56" s="470" t="s">
        <v>59</v>
      </c>
      <c r="D56" s="471"/>
      <c r="E56" s="468" t="s">
        <v>60</v>
      </c>
      <c r="F56" s="469"/>
      <c r="G56" s="176"/>
      <c r="H56" s="177"/>
    </row>
    <row r="57" spans="2:8" ht="29.45" customHeight="1" x14ac:dyDescent="0.25">
      <c r="B57" s="146"/>
      <c r="C57" s="470" t="s">
        <v>61</v>
      </c>
      <c r="D57" s="471"/>
      <c r="E57" s="468" t="s">
        <v>62</v>
      </c>
      <c r="F57" s="469"/>
      <c r="G57" s="176"/>
      <c r="H57" s="177"/>
    </row>
    <row r="58" spans="2:8" ht="18.75" customHeight="1" x14ac:dyDescent="0.25">
      <c r="B58" s="146"/>
      <c r="C58" s="176"/>
      <c r="D58" s="176"/>
      <c r="E58" s="176"/>
      <c r="F58" s="176"/>
      <c r="G58" s="176"/>
      <c r="H58" s="177"/>
    </row>
    <row r="59" spans="2:8" ht="18.75" customHeight="1" x14ac:dyDescent="0.25">
      <c r="B59" s="495" t="s">
        <v>63</v>
      </c>
      <c r="C59" s="496"/>
      <c r="D59" s="496"/>
      <c r="E59" s="496"/>
      <c r="F59" s="496"/>
      <c r="G59" s="496"/>
      <c r="H59" s="497"/>
    </row>
    <row r="60" spans="2:8" ht="18.75" customHeight="1" x14ac:dyDescent="0.25">
      <c r="B60" s="146"/>
      <c r="C60" s="176"/>
      <c r="D60" s="176"/>
      <c r="E60" s="176"/>
      <c r="F60" s="176"/>
      <c r="G60" s="176"/>
      <c r="H60" s="177"/>
    </row>
    <row r="61" spans="2:8" ht="18.75" customHeight="1" x14ac:dyDescent="0.25">
      <c r="B61" s="476" t="s">
        <v>64</v>
      </c>
      <c r="C61" s="477"/>
      <c r="D61" s="477"/>
      <c r="E61" s="477"/>
      <c r="F61" s="477"/>
      <c r="G61" s="477"/>
      <c r="H61" s="478"/>
    </row>
    <row r="62" spans="2:8" ht="18.75" customHeight="1" x14ac:dyDescent="0.25">
      <c r="B62" s="170"/>
      <c r="C62" s="171"/>
      <c r="D62" s="171"/>
      <c r="E62" s="171"/>
      <c r="F62" s="171"/>
      <c r="G62" s="171"/>
      <c r="H62" s="172"/>
    </row>
    <row r="63" spans="2:8" ht="30" customHeight="1" x14ac:dyDescent="0.25">
      <c r="B63" s="498" t="s">
        <v>65</v>
      </c>
      <c r="C63" s="499"/>
      <c r="D63" s="499"/>
      <c r="E63" s="499"/>
      <c r="F63" s="499"/>
      <c r="G63" s="499"/>
      <c r="H63" s="500"/>
    </row>
    <row r="64" spans="2:8" ht="17.25" thickBot="1" x14ac:dyDescent="0.3">
      <c r="B64" s="146"/>
      <c r="C64" s="176"/>
      <c r="D64" s="176"/>
      <c r="E64" s="176"/>
      <c r="F64" s="176"/>
      <c r="G64" s="176"/>
      <c r="H64" s="177"/>
    </row>
    <row r="65" spans="2:8" ht="30" customHeight="1" thickTop="1" x14ac:dyDescent="0.25">
      <c r="B65" s="146"/>
      <c r="C65" s="481" t="s">
        <v>9</v>
      </c>
      <c r="D65" s="482"/>
      <c r="E65" s="483" t="s">
        <v>10</v>
      </c>
      <c r="F65" s="484"/>
      <c r="G65" s="176"/>
      <c r="H65" s="177"/>
    </row>
    <row r="66" spans="2:8" ht="30" customHeight="1" x14ac:dyDescent="0.25">
      <c r="B66" s="146"/>
      <c r="C66" s="470" t="s">
        <v>66</v>
      </c>
      <c r="D66" s="471"/>
      <c r="E66" s="468" t="s">
        <v>67</v>
      </c>
      <c r="F66" s="469"/>
      <c r="G66" s="176"/>
      <c r="H66" s="177"/>
    </row>
    <row r="67" spans="2:8" ht="44.45" customHeight="1" x14ac:dyDescent="0.25">
      <c r="B67" s="146"/>
      <c r="C67" s="470" t="s">
        <v>68</v>
      </c>
      <c r="D67" s="471"/>
      <c r="E67" s="468" t="s">
        <v>69</v>
      </c>
      <c r="F67" s="469"/>
      <c r="G67" s="176"/>
      <c r="H67" s="177"/>
    </row>
    <row r="68" spans="2:8" ht="51" customHeight="1" x14ac:dyDescent="0.25">
      <c r="B68" s="146"/>
      <c r="C68" s="470" t="s">
        <v>70</v>
      </c>
      <c r="D68" s="471"/>
      <c r="E68" s="468" t="s">
        <v>71</v>
      </c>
      <c r="F68" s="469"/>
      <c r="G68" s="176"/>
      <c r="H68" s="177"/>
    </row>
    <row r="69" spans="2:8" ht="104.25" customHeight="1" x14ac:dyDescent="0.25">
      <c r="B69" s="146"/>
      <c r="C69" s="470" t="s">
        <v>355</v>
      </c>
      <c r="D69" s="471"/>
      <c r="E69" s="468" t="s">
        <v>354</v>
      </c>
      <c r="F69" s="469"/>
      <c r="G69" s="176"/>
      <c r="H69" s="177"/>
    </row>
    <row r="70" spans="2:8" ht="30" customHeight="1" x14ac:dyDescent="0.25">
      <c r="B70" s="146"/>
      <c r="C70" s="176"/>
      <c r="D70" s="176"/>
      <c r="E70" s="176"/>
      <c r="F70" s="176"/>
      <c r="G70" s="176"/>
      <c r="H70" s="177"/>
    </row>
    <row r="71" spans="2:8" ht="18.75" customHeight="1" x14ac:dyDescent="0.25">
      <c r="B71" s="476" t="s">
        <v>73</v>
      </c>
      <c r="C71" s="477"/>
      <c r="D71" s="477"/>
      <c r="E71" s="477"/>
      <c r="F71" s="477"/>
      <c r="G71" s="477"/>
      <c r="H71" s="478"/>
    </row>
    <row r="72" spans="2:8" ht="18.75" customHeight="1" x14ac:dyDescent="0.25">
      <c r="B72" s="178"/>
      <c r="C72" s="179"/>
      <c r="D72" s="179"/>
      <c r="E72" s="179"/>
      <c r="F72" s="179"/>
      <c r="G72" s="179"/>
      <c r="H72" s="180"/>
    </row>
    <row r="73" spans="2:8" ht="18.75" customHeight="1" x14ac:dyDescent="0.25">
      <c r="B73" s="476" t="s">
        <v>74</v>
      </c>
      <c r="C73" s="477"/>
      <c r="D73" s="477"/>
      <c r="E73" s="477"/>
      <c r="F73" s="477"/>
      <c r="G73" s="477"/>
      <c r="H73" s="478"/>
    </row>
    <row r="74" spans="2:8" ht="18.75" customHeight="1" x14ac:dyDescent="0.25">
      <c r="B74" s="178"/>
      <c r="C74" s="179"/>
      <c r="D74" s="179"/>
      <c r="E74" s="179"/>
      <c r="F74" s="179"/>
      <c r="G74" s="179"/>
      <c r="H74" s="180"/>
    </row>
    <row r="75" spans="2:8" ht="18.75" customHeight="1" x14ac:dyDescent="0.25">
      <c r="B75" s="476" t="s">
        <v>75</v>
      </c>
      <c r="C75" s="477"/>
      <c r="D75" s="477"/>
      <c r="E75" s="477"/>
      <c r="F75" s="477"/>
      <c r="G75" s="477"/>
      <c r="H75" s="478"/>
    </row>
    <row r="76" spans="2:8" ht="16.5" x14ac:dyDescent="0.25">
      <c r="B76" s="146"/>
      <c r="C76" s="199"/>
      <c r="D76" s="199"/>
      <c r="E76" s="199"/>
      <c r="F76" s="199"/>
      <c r="G76" s="199"/>
      <c r="H76" s="147"/>
    </row>
    <row r="77" spans="2:8" ht="16.5" x14ac:dyDescent="0.25">
      <c r="B77" s="146"/>
      <c r="C77" s="199"/>
      <c r="D77" s="199"/>
      <c r="E77" s="199"/>
      <c r="F77" s="199"/>
      <c r="G77" s="199"/>
      <c r="H77" s="147"/>
    </row>
    <row r="78" spans="2:8" ht="16.5" hidden="1" x14ac:dyDescent="0.25">
      <c r="B78" s="146" t="s">
        <v>76</v>
      </c>
      <c r="C78" s="199"/>
      <c r="D78" s="199"/>
      <c r="E78" s="199"/>
      <c r="F78" s="199"/>
      <c r="G78" s="199"/>
      <c r="H78" s="147"/>
    </row>
    <row r="79" spans="2:8" ht="16.5" x14ac:dyDescent="0.25">
      <c r="B79" s="146"/>
      <c r="C79" s="199"/>
      <c r="D79" s="199"/>
      <c r="E79" s="199"/>
      <c r="F79" s="199"/>
      <c r="G79" s="199"/>
      <c r="H79" s="147"/>
    </row>
    <row r="80" spans="2:8" ht="15.75" thickBot="1" x14ac:dyDescent="0.3">
      <c r="B80" s="191"/>
      <c r="C80" s="196"/>
      <c r="D80" s="200"/>
      <c r="E80" s="201"/>
      <c r="F80" s="201"/>
      <c r="G80" s="202"/>
      <c r="H80" s="192"/>
    </row>
    <row r="81" spans="2:8" ht="15.75" thickTop="1" x14ac:dyDescent="0.25">
      <c r="B81" s="263" t="s">
        <v>77</v>
      </c>
      <c r="C81" s="517" t="s">
        <v>9</v>
      </c>
      <c r="D81" s="482"/>
      <c r="E81" s="483" t="s">
        <v>10</v>
      </c>
      <c r="F81" s="484"/>
      <c r="G81" s="196"/>
      <c r="H81" s="192"/>
    </row>
    <row r="82" spans="2:8" s="145" customFormat="1" ht="24.75" customHeight="1" x14ac:dyDescent="0.25">
      <c r="B82" s="206">
        <v>2</v>
      </c>
      <c r="C82" s="472" t="s">
        <v>11</v>
      </c>
      <c r="D82" s="473"/>
      <c r="E82" s="474" t="s">
        <v>12</v>
      </c>
      <c r="F82" s="475"/>
      <c r="G82" s="203"/>
      <c r="H82" s="148"/>
    </row>
    <row r="83" spans="2:8" s="145" customFormat="1" ht="17.25" customHeight="1" x14ac:dyDescent="0.25">
      <c r="B83" s="206">
        <v>2</v>
      </c>
      <c r="C83" s="472" t="s">
        <v>13</v>
      </c>
      <c r="D83" s="473"/>
      <c r="E83" s="474" t="s">
        <v>14</v>
      </c>
      <c r="F83" s="475"/>
      <c r="G83" s="203"/>
      <c r="H83" s="148"/>
    </row>
    <row r="84" spans="2:8" s="145" customFormat="1" ht="25.5" customHeight="1" x14ac:dyDescent="0.25">
      <c r="B84" s="206">
        <v>2</v>
      </c>
      <c r="C84" s="472" t="s">
        <v>356</v>
      </c>
      <c r="D84" s="473"/>
      <c r="E84" s="474" t="s">
        <v>357</v>
      </c>
      <c r="F84" s="475"/>
      <c r="G84" s="203"/>
      <c r="H84" s="148"/>
    </row>
    <row r="85" spans="2:8" s="145" customFormat="1" ht="25.5" customHeight="1" x14ac:dyDescent="0.25">
      <c r="B85" s="206">
        <v>2</v>
      </c>
      <c r="C85" s="472" t="s">
        <v>15</v>
      </c>
      <c r="D85" s="473"/>
      <c r="E85" s="474" t="s">
        <v>16</v>
      </c>
      <c r="F85" s="475"/>
      <c r="G85" s="203"/>
      <c r="H85" s="148"/>
    </row>
    <row r="86" spans="2:8" s="145" customFormat="1" ht="66.95" customHeight="1" x14ac:dyDescent="0.25">
      <c r="B86" s="206">
        <v>2</v>
      </c>
      <c r="C86" s="472" t="s">
        <v>17</v>
      </c>
      <c r="D86" s="473"/>
      <c r="E86" s="474" t="s">
        <v>18</v>
      </c>
      <c r="F86" s="475"/>
      <c r="G86" s="203"/>
      <c r="H86" s="148"/>
    </row>
    <row r="87" spans="2:8" s="145" customFormat="1" ht="67.5" customHeight="1" x14ac:dyDescent="0.25">
      <c r="B87" s="206">
        <v>2</v>
      </c>
      <c r="C87" s="471" t="s">
        <v>19</v>
      </c>
      <c r="D87" s="485"/>
      <c r="E87" s="468" t="s">
        <v>20</v>
      </c>
      <c r="F87" s="469"/>
      <c r="G87" s="203"/>
      <c r="H87" s="148"/>
    </row>
    <row r="88" spans="2:8" s="145" customFormat="1" ht="43.5" customHeight="1" x14ac:dyDescent="0.25">
      <c r="B88" s="206">
        <v>2</v>
      </c>
      <c r="C88" s="471" t="s">
        <v>21</v>
      </c>
      <c r="D88" s="485"/>
      <c r="E88" s="468" t="s">
        <v>22</v>
      </c>
      <c r="F88" s="469"/>
      <c r="G88" s="203"/>
      <c r="H88" s="148"/>
    </row>
    <row r="89" spans="2:8" s="145" customFormat="1" ht="35.25" customHeight="1" x14ac:dyDescent="0.25">
      <c r="B89" s="206">
        <v>2</v>
      </c>
      <c r="C89" s="471" t="s">
        <v>23</v>
      </c>
      <c r="D89" s="485"/>
      <c r="E89" s="468" t="s">
        <v>24</v>
      </c>
      <c r="F89" s="469"/>
      <c r="G89" s="203"/>
      <c r="H89" s="148"/>
    </row>
    <row r="90" spans="2:8" s="145" customFormat="1" ht="72.75" customHeight="1" x14ac:dyDescent="0.25">
      <c r="B90" s="206">
        <v>2</v>
      </c>
      <c r="C90" s="471" t="s">
        <v>25</v>
      </c>
      <c r="D90" s="485"/>
      <c r="E90" s="468" t="s">
        <v>78</v>
      </c>
      <c r="F90" s="469"/>
      <c r="G90" s="203"/>
      <c r="H90" s="148"/>
    </row>
    <row r="91" spans="2:8" s="145" customFormat="1" ht="93.95" customHeight="1" x14ac:dyDescent="0.25">
      <c r="B91" s="206">
        <v>2</v>
      </c>
      <c r="C91" s="471" t="s">
        <v>27</v>
      </c>
      <c r="D91" s="485"/>
      <c r="E91" s="468" t="s">
        <v>28</v>
      </c>
      <c r="F91" s="469"/>
      <c r="G91" s="203"/>
      <c r="H91" s="148"/>
    </row>
    <row r="92" spans="2:8" s="145" customFormat="1" ht="93.95" customHeight="1" x14ac:dyDescent="0.25">
      <c r="B92" s="206">
        <v>2</v>
      </c>
      <c r="C92" s="471" t="s">
        <v>29</v>
      </c>
      <c r="D92" s="485"/>
      <c r="E92" s="468" t="s">
        <v>30</v>
      </c>
      <c r="F92" s="469"/>
      <c r="G92" s="203"/>
      <c r="H92" s="148"/>
    </row>
    <row r="93" spans="2:8" s="145" customFormat="1" x14ac:dyDescent="0.25">
      <c r="B93" s="206">
        <v>2</v>
      </c>
      <c r="C93" s="471" t="s">
        <v>31</v>
      </c>
      <c r="D93" s="485"/>
      <c r="E93" s="468" t="s">
        <v>32</v>
      </c>
      <c r="F93" s="469"/>
      <c r="G93" s="203"/>
      <c r="H93" s="148"/>
    </row>
    <row r="94" spans="2:8" s="145" customFormat="1" ht="66.75" customHeight="1" x14ac:dyDescent="0.25">
      <c r="B94" s="206">
        <v>3</v>
      </c>
      <c r="C94" s="471" t="s">
        <v>34</v>
      </c>
      <c r="D94" s="485"/>
      <c r="E94" s="468" t="s">
        <v>35</v>
      </c>
      <c r="F94" s="469"/>
      <c r="G94" s="203"/>
      <c r="H94" s="148"/>
    </row>
    <row r="95" spans="2:8" s="145" customFormat="1" ht="66.75" customHeight="1" x14ac:dyDescent="0.25">
      <c r="B95" s="206">
        <v>3</v>
      </c>
      <c r="C95" s="471" t="s">
        <v>36</v>
      </c>
      <c r="D95" s="485"/>
      <c r="E95" s="468" t="s">
        <v>37</v>
      </c>
      <c r="F95" s="469"/>
      <c r="G95" s="203"/>
      <c r="H95" s="148"/>
    </row>
    <row r="96" spans="2:8" s="145" customFormat="1" ht="62.45" customHeight="1" x14ac:dyDescent="0.25">
      <c r="B96" s="206">
        <v>3</v>
      </c>
      <c r="C96" s="471" t="s">
        <v>38</v>
      </c>
      <c r="D96" s="485"/>
      <c r="E96" s="468" t="s">
        <v>39</v>
      </c>
      <c r="F96" s="469"/>
      <c r="G96" s="203"/>
      <c r="H96" s="148"/>
    </row>
    <row r="97" spans="2:8" s="145" customFormat="1" ht="38.450000000000003" customHeight="1" x14ac:dyDescent="0.25">
      <c r="B97" s="206">
        <v>3</v>
      </c>
      <c r="C97" s="471" t="s">
        <v>40</v>
      </c>
      <c r="D97" s="485"/>
      <c r="E97" s="468" t="s">
        <v>41</v>
      </c>
      <c r="F97" s="469"/>
      <c r="G97" s="203"/>
      <c r="H97" s="148"/>
    </row>
    <row r="98" spans="2:8" ht="59.25" customHeight="1" x14ac:dyDescent="0.25">
      <c r="B98" s="207">
        <v>5</v>
      </c>
      <c r="C98" s="480" t="s">
        <v>44</v>
      </c>
      <c r="D98" s="471"/>
      <c r="E98" s="468" t="s">
        <v>79</v>
      </c>
      <c r="F98" s="469"/>
      <c r="G98" s="196"/>
      <c r="H98" s="192"/>
    </row>
    <row r="99" spans="2:8" ht="59.25" customHeight="1" x14ac:dyDescent="0.25">
      <c r="B99" s="207">
        <v>5</v>
      </c>
      <c r="C99" s="480" t="s">
        <v>46</v>
      </c>
      <c r="D99" s="471"/>
      <c r="E99" s="468" t="s">
        <v>47</v>
      </c>
      <c r="F99" s="469"/>
      <c r="G99" s="196"/>
      <c r="H99" s="192"/>
    </row>
    <row r="100" spans="2:8" ht="59.25" customHeight="1" x14ac:dyDescent="0.25">
      <c r="B100" s="207">
        <v>5</v>
      </c>
      <c r="C100" s="480" t="s">
        <v>48</v>
      </c>
      <c r="D100" s="471"/>
      <c r="E100" s="468" t="s">
        <v>49</v>
      </c>
      <c r="F100" s="469"/>
      <c r="G100" s="196"/>
      <c r="H100" s="192"/>
    </row>
    <row r="101" spans="2:8" ht="59.25" customHeight="1" x14ac:dyDescent="0.25">
      <c r="B101" s="207">
        <v>5</v>
      </c>
      <c r="C101" s="480" t="s">
        <v>50</v>
      </c>
      <c r="D101" s="471"/>
      <c r="E101" s="468" t="s">
        <v>49</v>
      </c>
      <c r="F101" s="469"/>
      <c r="G101" s="196"/>
      <c r="H101" s="192"/>
    </row>
    <row r="102" spans="2:8" ht="47.45" customHeight="1" x14ac:dyDescent="0.25">
      <c r="B102" s="207">
        <v>5</v>
      </c>
      <c r="C102" s="480" t="s">
        <v>51</v>
      </c>
      <c r="D102" s="471"/>
      <c r="E102" s="468" t="s">
        <v>52</v>
      </c>
      <c r="F102" s="469"/>
      <c r="G102" s="196"/>
      <c r="H102" s="192"/>
    </row>
    <row r="103" spans="2:8" ht="45.75" customHeight="1" x14ac:dyDescent="0.25">
      <c r="B103" s="207">
        <v>5</v>
      </c>
      <c r="C103" s="480" t="s">
        <v>53</v>
      </c>
      <c r="D103" s="471"/>
      <c r="E103" s="468" t="s">
        <v>54</v>
      </c>
      <c r="F103" s="469"/>
      <c r="G103" s="196"/>
      <c r="H103" s="192"/>
    </row>
    <row r="104" spans="2:8" ht="32.450000000000003" customHeight="1" x14ac:dyDescent="0.25">
      <c r="B104" s="207">
        <v>5</v>
      </c>
      <c r="C104" s="480" t="s">
        <v>55</v>
      </c>
      <c r="D104" s="471"/>
      <c r="E104" s="468" t="s">
        <v>56</v>
      </c>
      <c r="F104" s="469"/>
      <c r="G104" s="196"/>
      <c r="H104" s="192"/>
    </row>
    <row r="105" spans="2:8" ht="33.75" customHeight="1" x14ac:dyDescent="0.25">
      <c r="B105" s="207">
        <v>5</v>
      </c>
      <c r="C105" s="480" t="s">
        <v>57</v>
      </c>
      <c r="D105" s="471"/>
      <c r="E105" s="468" t="s">
        <v>58</v>
      </c>
      <c r="F105" s="469"/>
      <c r="G105" s="196"/>
      <c r="H105" s="192"/>
    </row>
    <row r="106" spans="2:8" ht="33.75" customHeight="1" x14ac:dyDescent="0.25">
      <c r="B106" s="207">
        <v>5</v>
      </c>
      <c r="C106" s="480" t="s">
        <v>59</v>
      </c>
      <c r="D106" s="471"/>
      <c r="E106" s="468" t="s">
        <v>60</v>
      </c>
      <c r="F106" s="469"/>
      <c r="G106" s="196"/>
      <c r="H106" s="192"/>
    </row>
    <row r="107" spans="2:8" x14ac:dyDescent="0.25">
      <c r="B107" s="207">
        <v>5</v>
      </c>
      <c r="C107" s="480" t="s">
        <v>61</v>
      </c>
      <c r="D107" s="471"/>
      <c r="E107" s="468" t="s">
        <v>62</v>
      </c>
      <c r="F107" s="469"/>
      <c r="G107" s="196"/>
      <c r="H107" s="192"/>
    </row>
    <row r="108" spans="2:8" ht="24.95" customHeight="1" x14ac:dyDescent="0.25">
      <c r="B108" s="207">
        <v>8</v>
      </c>
      <c r="C108" s="480" t="s">
        <v>66</v>
      </c>
      <c r="D108" s="471"/>
      <c r="E108" s="468" t="s">
        <v>67</v>
      </c>
      <c r="F108" s="469"/>
      <c r="G108" s="196"/>
      <c r="H108" s="192"/>
    </row>
    <row r="109" spans="2:8" ht="46.5" customHeight="1" x14ac:dyDescent="0.25">
      <c r="B109" s="207">
        <v>8</v>
      </c>
      <c r="C109" s="480" t="s">
        <v>68</v>
      </c>
      <c r="D109" s="471"/>
      <c r="E109" s="468" t="s">
        <v>69</v>
      </c>
      <c r="F109" s="469"/>
      <c r="G109" s="196"/>
      <c r="H109" s="192"/>
    </row>
    <row r="110" spans="2:8" ht="46.5" customHeight="1" x14ac:dyDescent="0.25">
      <c r="B110" s="207">
        <v>8</v>
      </c>
      <c r="C110" s="480" t="s">
        <v>70</v>
      </c>
      <c r="D110" s="471"/>
      <c r="E110" s="468" t="s">
        <v>71</v>
      </c>
      <c r="F110" s="469"/>
      <c r="G110" s="196"/>
      <c r="H110" s="192"/>
    </row>
    <row r="111" spans="2:8" s="145" customFormat="1" ht="103.5" customHeight="1" x14ac:dyDescent="0.25">
      <c r="B111" s="206">
        <v>8</v>
      </c>
      <c r="C111" s="480" t="s">
        <v>355</v>
      </c>
      <c r="D111" s="471"/>
      <c r="E111" s="468" t="s">
        <v>354</v>
      </c>
      <c r="F111" s="469"/>
      <c r="G111" s="203"/>
      <c r="H111" s="148"/>
    </row>
    <row r="112" spans="2:8" ht="6.75" customHeight="1" thickBot="1" x14ac:dyDescent="0.3">
      <c r="B112" s="191"/>
      <c r="C112" s="490"/>
      <c r="D112" s="491"/>
      <c r="E112" s="492"/>
      <c r="F112" s="493"/>
      <c r="G112" s="196"/>
      <c r="H112" s="192"/>
    </row>
    <row r="113" spans="2:9" ht="15.75" thickTop="1" x14ac:dyDescent="0.25">
      <c r="B113" s="191"/>
      <c r="C113" s="204"/>
      <c r="D113" s="204"/>
      <c r="E113" s="205"/>
      <c r="F113" s="205"/>
      <c r="G113" s="196"/>
      <c r="H113" s="192"/>
    </row>
    <row r="114" spans="2:9" ht="15.75" thickBot="1" x14ac:dyDescent="0.3">
      <c r="B114" s="193"/>
      <c r="C114" s="194"/>
      <c r="D114" s="194"/>
      <c r="E114" s="194"/>
      <c r="F114" s="194"/>
      <c r="G114" s="194"/>
      <c r="H114" s="195"/>
    </row>
    <row r="115" spans="2:9" ht="15.75" thickBot="1" x14ac:dyDescent="0.3"/>
    <row r="116" spans="2:9" ht="16.5" thickTop="1" thickBot="1" x14ac:dyDescent="0.3">
      <c r="B116" s="424" t="s">
        <v>376</v>
      </c>
      <c r="C116" s="424"/>
      <c r="D116" s="424"/>
      <c r="E116" s="424"/>
      <c r="F116" s="424"/>
      <c r="G116" s="424"/>
      <c r="H116" s="424"/>
      <c r="I116" s="310"/>
    </row>
    <row r="117" spans="2:9" ht="16.5" thickTop="1" thickBot="1" x14ac:dyDescent="0.3">
      <c r="B117" s="312" t="s">
        <v>377</v>
      </c>
      <c r="C117" s="424" t="s">
        <v>378</v>
      </c>
      <c r="D117" s="424"/>
      <c r="E117" s="424" t="s">
        <v>379</v>
      </c>
      <c r="F117" s="424"/>
      <c r="G117" s="424" t="s">
        <v>380</v>
      </c>
      <c r="H117" s="424"/>
      <c r="I117" s="310"/>
    </row>
    <row r="118" spans="2:9" ht="84.6" customHeight="1" thickTop="1" thickBot="1" x14ac:dyDescent="0.3">
      <c r="B118" s="313" t="s">
        <v>381</v>
      </c>
      <c r="C118" s="399">
        <v>46163</v>
      </c>
      <c r="D118" s="399"/>
      <c r="E118" s="400" t="s">
        <v>382</v>
      </c>
      <c r="F118" s="400"/>
      <c r="G118" s="401" t="s">
        <v>383</v>
      </c>
      <c r="H118" s="401"/>
      <c r="I118" s="311"/>
    </row>
    <row r="119" spans="2:9" ht="48" customHeight="1" thickTop="1" x14ac:dyDescent="0.25">
      <c r="B119" s="467"/>
      <c r="C119" s="467"/>
    </row>
    <row r="120" spans="2:9" x14ac:dyDescent="0.25">
      <c r="B120" s="479"/>
      <c r="C120" s="479"/>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A25" zoomScale="80" zoomScaleNormal="80" workbookViewId="0">
      <selection activeCell="G26" sqref="G26"/>
    </sheetView>
  </sheetViews>
  <sheetFormatPr baseColWidth="10" defaultColWidth="0" defaultRowHeight="14.25" x14ac:dyDescent="0.25"/>
  <cols>
    <col min="1" max="1" width="27.140625" style="4" customWidth="1"/>
    <col min="2" max="2" width="32.5703125" style="4" customWidth="1"/>
    <col min="3" max="3" width="22.85546875" style="4" customWidth="1"/>
    <col min="4" max="4" width="21.28515625" style="4" hidden="1" customWidth="1"/>
    <col min="5" max="5" width="42.85546875" style="4" customWidth="1"/>
    <col min="6" max="6" width="19.42578125" style="4" customWidth="1"/>
    <col min="7" max="7" width="46.5703125" style="4" bestFit="1" customWidth="1"/>
    <col min="8" max="8" width="33.85546875" style="4" customWidth="1"/>
    <col min="9" max="9" width="28.42578125" style="4" customWidth="1"/>
    <col min="10" max="10" width="53" style="27" customWidth="1"/>
    <col min="11" max="11" width="39.42578125" style="27"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2" ht="20.100000000000001" customHeight="1" thickTop="1" x14ac:dyDescent="0.25">
      <c r="A1" s="440"/>
      <c r="B1" s="443" t="s">
        <v>374</v>
      </c>
      <c r="C1" s="444"/>
      <c r="D1" s="444"/>
      <c r="E1" s="444"/>
      <c r="F1" s="444"/>
      <c r="G1" s="444"/>
      <c r="H1" s="444"/>
      <c r="I1" s="445"/>
      <c r="J1" s="352" t="s">
        <v>372</v>
      </c>
      <c r="K1" s="322"/>
      <c r="L1" s="252"/>
    </row>
    <row r="2" spans="1:12" ht="20.100000000000001" customHeight="1" x14ac:dyDescent="0.25">
      <c r="A2" s="441"/>
      <c r="B2" s="446"/>
      <c r="C2" s="447"/>
      <c r="D2" s="447"/>
      <c r="E2" s="447"/>
      <c r="F2" s="447"/>
      <c r="G2" s="447"/>
      <c r="H2" s="447"/>
      <c r="I2" s="448"/>
      <c r="J2" s="353" t="s">
        <v>375</v>
      </c>
      <c r="K2" s="323"/>
      <c r="L2" s="252"/>
    </row>
    <row r="3" spans="1:12" s="3" customFormat="1" ht="16.5" thickBot="1" x14ac:dyDescent="0.25">
      <c r="A3" s="442"/>
      <c r="B3" s="449" t="s">
        <v>358</v>
      </c>
      <c r="C3" s="450"/>
      <c r="D3" s="450"/>
      <c r="E3" s="450"/>
      <c r="F3" s="450"/>
      <c r="G3" s="450"/>
      <c r="H3" s="450"/>
      <c r="I3" s="451"/>
      <c r="J3" s="354" t="s">
        <v>373</v>
      </c>
      <c r="K3" s="324"/>
      <c r="L3" s="253"/>
    </row>
    <row r="4" spans="1:12" s="3" customFormat="1" ht="17.100000000000001" customHeight="1" thickTop="1" x14ac:dyDescent="0.2">
      <c r="A4" s="452"/>
      <c r="B4" s="453"/>
      <c r="C4" s="453"/>
      <c r="D4" s="453"/>
      <c r="E4" s="453"/>
      <c r="F4" s="453"/>
      <c r="G4" s="453"/>
      <c r="H4" s="453"/>
      <c r="I4" s="453"/>
      <c r="J4" s="453"/>
      <c r="K4" s="454"/>
    </row>
    <row r="5" spans="1:12" ht="27" customHeight="1" x14ac:dyDescent="0.25">
      <c r="A5" s="11" t="s">
        <v>80</v>
      </c>
      <c r="B5" s="258" t="s">
        <v>384</v>
      </c>
      <c r="C5" s="259"/>
      <c r="D5" s="259"/>
      <c r="E5" s="260"/>
      <c r="F5" s="243" t="s">
        <v>81</v>
      </c>
      <c r="G5" s="258" t="s">
        <v>441</v>
      </c>
      <c r="H5" s="260"/>
      <c r="I5" s="243" t="s">
        <v>352</v>
      </c>
      <c r="J5" s="280">
        <v>2026</v>
      </c>
      <c r="K5" s="286"/>
    </row>
    <row r="6" spans="1:12" ht="75" customHeight="1" x14ac:dyDescent="0.25">
      <c r="A6" s="222" t="s">
        <v>82</v>
      </c>
      <c r="B6" s="527" t="s">
        <v>527</v>
      </c>
      <c r="C6" s="528"/>
      <c r="D6" s="528"/>
      <c r="E6" s="529"/>
      <c r="F6" s="243" t="s">
        <v>511</v>
      </c>
      <c r="G6" s="530" t="s">
        <v>528</v>
      </c>
      <c r="H6" s="531"/>
      <c r="I6" s="531"/>
      <c r="J6" s="531"/>
      <c r="K6" s="532"/>
    </row>
    <row r="7" spans="1:12" ht="15" x14ac:dyDescent="0.25">
      <c r="F7" s="163"/>
      <c r="G7" s="164"/>
      <c r="H7" s="164"/>
      <c r="I7" s="165"/>
      <c r="J7" s="166"/>
    </row>
    <row r="8" spans="1:12" ht="21" customHeight="1" x14ac:dyDescent="0.25">
      <c r="A8" s="526" t="s">
        <v>83</v>
      </c>
      <c r="B8" s="526" t="s">
        <v>84</v>
      </c>
      <c r="C8" s="526"/>
      <c r="D8" s="526"/>
      <c r="E8" s="526"/>
    </row>
    <row r="9" spans="1:12" s="27" customFormat="1" ht="77.45" customHeight="1" x14ac:dyDescent="0.25">
      <c r="A9" s="526"/>
      <c r="B9" s="105" t="s">
        <v>85</v>
      </c>
      <c r="C9" s="105" t="s">
        <v>86</v>
      </c>
      <c r="D9" s="105" t="s">
        <v>87</v>
      </c>
      <c r="E9" s="105" t="s">
        <v>88</v>
      </c>
      <c r="F9" s="240" t="s">
        <v>89</v>
      </c>
      <c r="G9" s="243" t="s">
        <v>19</v>
      </c>
      <c r="H9" s="243" t="s">
        <v>90</v>
      </c>
      <c r="I9" s="243" t="s">
        <v>91</v>
      </c>
      <c r="J9" s="243" t="s">
        <v>25</v>
      </c>
      <c r="K9" s="240" t="s">
        <v>92</v>
      </c>
    </row>
    <row r="10" spans="1:12" s="5" customFormat="1" ht="156.6" customHeight="1" x14ac:dyDescent="0.25">
      <c r="A10" s="1" t="s">
        <v>93</v>
      </c>
      <c r="B10" s="2" t="s">
        <v>189</v>
      </c>
      <c r="C10" s="2" t="s">
        <v>193</v>
      </c>
      <c r="D10" s="122" t="str">
        <f>+IF(B10='11 FORMULAS'!$B$4,'11 FORMULAS'!$C$4,IF(B10='11 FORMULAS'!$B$6,'11 FORMULAS'!$C$6,IF(B10='11 FORMULAS'!$B$8,'11 FORMULAS'!$C$8,IF(B10='11 FORMULAS'!$B$10,'11 FORMULAS'!$C$10,""))))</f>
        <v/>
      </c>
      <c r="E10" s="223"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168</v>
      </c>
      <c r="G10" s="1" t="s">
        <v>183</v>
      </c>
      <c r="H10" s="241" t="s">
        <v>417</v>
      </c>
      <c r="I10" s="241" t="s">
        <v>418</v>
      </c>
      <c r="J10" s="355" t="str">
        <f>(CONCATENATE(Tabla1[[#This Row],[¿QUÉ? 
IMPACTO]]," ","por ",Tabla1[[#This Row],[¿CÓMO?
CAUSA INMEDIATA 
(Iniciar con la palabra 
por)]]," ","debido a"," ",Tabla1[[#This Row],[¿PORQUÉ?
CAUSA RAÍZ
(Iniciar con 
debido a/a causa de)]]))</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K10" s="244"/>
    </row>
    <row r="11" spans="1:12" s="5" customFormat="1" ht="156.6" customHeight="1" x14ac:dyDescent="0.25">
      <c r="A11" s="1" t="s">
        <v>98</v>
      </c>
      <c r="B11" s="2" t="s">
        <v>189</v>
      </c>
      <c r="C11" s="2" t="s">
        <v>193</v>
      </c>
      <c r="D11" s="122" t="str">
        <f>+IF(B11='11 FORMULAS'!$B$4,'11 FORMULAS'!$C$4,IF(B11='11 FORMULAS'!$B$6,'11 FORMULAS'!$C$6,IF(B11='11 FORMULAS'!$B$8,'11 FORMULAS'!$C$8,IF(B11='11 FORMULAS'!$B$10,'11 FORMULAS'!$C$10,""))))</f>
        <v/>
      </c>
      <c r="E11" s="223"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168</v>
      </c>
      <c r="G11" s="1" t="s">
        <v>180</v>
      </c>
      <c r="H11" s="241" t="s">
        <v>419</v>
      </c>
      <c r="I11" s="241" t="s">
        <v>420</v>
      </c>
      <c r="J11" s="355" t="str">
        <f>(CONCATENATE(Tabla1[[#This Row],[¿QUÉ? 
IMPACTO]]," ","por ",Tabla1[[#This Row],[¿CÓMO?
CAUSA INMEDIATA 
(Iniciar con la palabra 
por)]]," ","debido a"," ",Tabla1[[#This Row],[¿PORQUÉ?
CAUSA RAÍZ
(Iniciar con 
debido a/a causa de)]]))</f>
        <v>Posibilidad de afectación reputacional por publicaciones extemporáneas en el SECOP, debido a demoras en la entrega y remisión de la información requerida para la gestión contractual.</v>
      </c>
      <c r="K11" s="244"/>
    </row>
    <row r="12" spans="1:12" ht="156.6" customHeight="1" x14ac:dyDescent="0.25">
      <c r="A12" s="1" t="s">
        <v>99</v>
      </c>
      <c r="B12" s="2" t="s">
        <v>189</v>
      </c>
      <c r="C12" s="2" t="s">
        <v>193</v>
      </c>
      <c r="D12" s="122" t="str">
        <f>+IF(B12='11 FORMULAS'!$B$4,'11 FORMULAS'!$C$4,IF(B12='11 FORMULAS'!$B$6,'11 FORMULAS'!$C$6,IF(B12='11 FORMULAS'!$B$8,'11 FORMULAS'!$C$8,IF(B12='11 FORMULAS'!$B$10,'11 FORMULAS'!$C$10,""))))</f>
        <v/>
      </c>
      <c r="E12" s="223"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168</v>
      </c>
      <c r="G12" s="1" t="s">
        <v>180</v>
      </c>
      <c r="H12" s="241" t="s">
        <v>421</v>
      </c>
      <c r="I12" s="241" t="s">
        <v>422</v>
      </c>
      <c r="J12" s="355" t="str">
        <f>(CONCATENATE(Tabla1[[#This Row],[¿QUÉ? 
IMPACTO]]," ","por ",Tabla1[[#This Row],[¿CÓMO?
CAUSA INMEDIATA 
(Iniciar con la palabra 
por)]]," ","debido a"," ",Tabla1[[#This Row],[¿PORQUÉ?
CAUSA RAÍZ
(Iniciar con 
debido a/a causa de)]]))</f>
        <v>Posibilidad de afectación reputacional por posibles investigaciones y sanciones disciplinarias por entes de control, debido a incumplimiento de la Ley 594 del 2000 en los documentos generados por la Secretaría de Educación.</v>
      </c>
      <c r="K12" s="244"/>
    </row>
    <row r="13" spans="1:12" ht="156.6" customHeight="1" x14ac:dyDescent="0.25">
      <c r="A13" s="1" t="s">
        <v>100</v>
      </c>
      <c r="B13" s="2" t="s">
        <v>189</v>
      </c>
      <c r="C13" s="2" t="s">
        <v>193</v>
      </c>
      <c r="D13" s="122" t="str">
        <f>+IF(B13='11 FORMULAS'!$B$4,'11 FORMULAS'!$C$4,IF(B13='11 FORMULAS'!$B$6,'11 FORMULAS'!$C$6,IF(B13='11 FORMULAS'!$B$8,'11 FORMULAS'!$C$8,IF(B13='11 FORMULAS'!$B$10,'11 FORMULAS'!$C$10,""))))</f>
        <v/>
      </c>
      <c r="E13" s="223"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168</v>
      </c>
      <c r="G13" s="1" t="s">
        <v>180</v>
      </c>
      <c r="H13" s="241" t="s">
        <v>387</v>
      </c>
      <c r="I13" s="241" t="s">
        <v>388</v>
      </c>
      <c r="J13" s="355" t="str">
        <f>(CONCATENATE(Tabla1[[#This Row],[¿QUÉ? 
IMPACTO]]," ","por ",Tabla1[[#This Row],[¿CÓMO?
CAUSA INMEDIATA 
(Iniciar con la palabra 
por)]]," ","debido a"," ",Tabla1[[#This Row],[¿PORQUÉ?
CAUSA RAÍZ
(Iniciar con 
debido a/a causa de)]]))</f>
        <v>Posibilidad de afectación reputacional por incumplimiento de las acciones establecidas en los planes de mejoramiento derivados de auditorías internas y externas, debido a debilidades en el seguimiento y cumplimiento de los tiempos definidos para su ejecución.</v>
      </c>
      <c r="K13" s="327"/>
    </row>
    <row r="14" spans="1:12" ht="156.6" customHeight="1" x14ac:dyDescent="0.25">
      <c r="A14" s="1" t="s">
        <v>101</v>
      </c>
      <c r="B14" s="2" t="s">
        <v>189</v>
      </c>
      <c r="C14" s="2" t="s">
        <v>193</v>
      </c>
      <c r="D14" s="122" t="str">
        <f>+IF(B14='11 FORMULAS'!$B$4,'11 FORMULAS'!$C$4,IF(B14='11 FORMULAS'!$B$6,'11 FORMULAS'!$C$6,IF(B14='11 FORMULAS'!$B$8,'11 FORMULAS'!$C$8,IF(B14='11 FORMULAS'!$B$10,'11 FORMULAS'!$C$10,""))))</f>
        <v/>
      </c>
      <c r="E14" s="223"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168</v>
      </c>
      <c r="G14" s="1" t="s">
        <v>180</v>
      </c>
      <c r="H14" s="241" t="s">
        <v>386</v>
      </c>
      <c r="I14" s="241" t="s">
        <v>423</v>
      </c>
      <c r="J14" s="355"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14" s="327"/>
    </row>
    <row r="15" spans="1:12" ht="156.6" customHeight="1" x14ac:dyDescent="0.25">
      <c r="A15" s="1" t="s">
        <v>102</v>
      </c>
      <c r="B15" s="2" t="s">
        <v>189</v>
      </c>
      <c r="C15" s="2" t="s">
        <v>193</v>
      </c>
      <c r="D15" s="122" t="str">
        <f>+IF(B15='11 FORMULAS'!$B$4,'11 FORMULAS'!$C$4,IF(B15='11 FORMULAS'!$B$6,'11 FORMULAS'!$C$6,IF(B15='11 FORMULAS'!$B$8,'11 FORMULAS'!$C$8,IF(B15='11 FORMULAS'!$B$10,'11 FORMULAS'!$C$10,""))))</f>
        <v/>
      </c>
      <c r="E15" s="223"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168</v>
      </c>
      <c r="G15" s="1" t="s">
        <v>180</v>
      </c>
      <c r="H15" s="241" t="s">
        <v>385</v>
      </c>
      <c r="I15" s="241" t="s">
        <v>389</v>
      </c>
      <c r="J15" s="355"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la falta de seguimiento al cumplimiento de metas del Plan de Desarrollo Municipal programadas para la vigencia.</v>
      </c>
      <c r="K15" s="327"/>
    </row>
    <row r="16" spans="1:12" ht="156.6" customHeight="1" x14ac:dyDescent="0.25">
      <c r="A16" s="1" t="s">
        <v>103</v>
      </c>
      <c r="B16" s="2" t="s">
        <v>189</v>
      </c>
      <c r="C16" s="2" t="s">
        <v>193</v>
      </c>
      <c r="D16" s="122" t="str">
        <f>+IF(B16='11 FORMULAS'!$B$4,'11 FORMULAS'!$C$4,IF(B16='11 FORMULAS'!$B$6,'11 FORMULAS'!$C$6,IF(B16='11 FORMULAS'!$B$8,'11 FORMULAS'!$C$8,IF(B16='11 FORMULAS'!$B$10,'11 FORMULAS'!$C$10,""))))</f>
        <v/>
      </c>
      <c r="E16" s="223"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96</v>
      </c>
      <c r="G16" s="1" t="s">
        <v>97</v>
      </c>
      <c r="H16" s="241" t="s">
        <v>391</v>
      </c>
      <c r="I16" s="241" t="s">
        <v>390</v>
      </c>
      <c r="J16" s="355" t="str">
        <f>(CONCATENATE(Tabla1[[#This Row],[¿QUÉ? 
IMPACTO]]," ","por ",Tabla1[[#This Row],[¿CÓMO?
CAUSA INMEDIATA 
(Iniciar con la palabra 
por)]]," ","debido a"," ",Tabla1[[#This Row],[¿PORQUÉ?
CAUSA RAÍZ
(Iniciar con 
debido a/a causa de)]]))</f>
        <v>Posibilidad  de efecto dañoso sobre bienes de uso público por pérdida, extravío, hurto o faltantes en inventario de bienes muebles de la entidad, debido a deficiencias en la actualización, verificación y control del inventario de bienes muebles.</v>
      </c>
      <c r="K16" s="327"/>
    </row>
    <row r="17" spans="1:11" ht="156.6" customHeight="1" x14ac:dyDescent="0.25">
      <c r="A17" s="1" t="s">
        <v>104</v>
      </c>
      <c r="B17" s="2" t="s">
        <v>189</v>
      </c>
      <c r="C17" s="2" t="s">
        <v>193</v>
      </c>
      <c r="D17" s="122" t="str">
        <f>+IF(B17='11 FORMULAS'!$B$4,'11 FORMULAS'!$C$4,IF(B17='11 FORMULAS'!$B$6,'11 FORMULAS'!$C$6,IF(B17='11 FORMULAS'!$B$8,'11 FORMULAS'!$C$8,IF(B17='11 FORMULAS'!$B$10,'11 FORMULAS'!$C$10,""))))</f>
        <v/>
      </c>
      <c r="E17" s="223"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96</v>
      </c>
      <c r="G17" s="1" t="s">
        <v>177</v>
      </c>
      <c r="H17" s="241" t="s">
        <v>424</v>
      </c>
      <c r="I17" s="241" t="s">
        <v>425</v>
      </c>
      <c r="J17" s="355" t="str">
        <f>(CONCATENATE(Tabla1[[#This Row],[¿QUÉ? 
IMPACTO]]," ","por ",Tabla1[[#This Row],[¿CÓMO?
CAUSA INMEDIATA 
(Iniciar con la palabra 
por)]]," ","debido a"," ",Tabla1[[#This Row],[¿PORQUÉ?
CAUSA RAÍZ
(Iniciar con 
debido a/a causa de)]]))</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K17" s="327"/>
    </row>
    <row r="18" spans="1:11" s="6" customFormat="1" ht="156.6" customHeight="1" x14ac:dyDescent="0.25">
      <c r="A18" s="1" t="s">
        <v>105</v>
      </c>
      <c r="B18" s="2" t="s">
        <v>189</v>
      </c>
      <c r="C18" s="2" t="s">
        <v>193</v>
      </c>
      <c r="D18" s="122" t="str">
        <f>+IF(B18='11 FORMULAS'!$B$4,'11 FORMULAS'!$C$4,IF(B18='11 FORMULAS'!$B$6,'11 FORMULAS'!$C$6,IF(B18='11 FORMULAS'!$B$8,'11 FORMULAS'!$C$8,IF(B18='11 FORMULAS'!$B$10,'11 FORMULAS'!$C$10,""))))</f>
        <v/>
      </c>
      <c r="E18" s="223"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96</v>
      </c>
      <c r="G18" s="1" t="s">
        <v>177</v>
      </c>
      <c r="H18" s="241" t="s">
        <v>392</v>
      </c>
      <c r="I18" s="241" t="s">
        <v>426</v>
      </c>
      <c r="J18" s="355" t="str">
        <f>(CONCATENATE(Tabla1[[#This Row],[¿QUÉ? 
IMPACTO]]," ","por ",Tabla1[[#This Row],[¿CÓMO?
CAUSA INMEDIATA 
(Iniciar con la palabra 
por)]]," ","debido a"," ",Tabla1[[#This Row],[¿PORQUÉ?
CAUSA RAÍZ
(Iniciar con 
debido a/a causa de)]]))</f>
        <v>Posibilidad  de efecto dañoso sobre el recurso público por pago de sanción e intereses moratorios, debido a  trámite inoportuno a los requerimientos de los entes de control y vigilancia, de acuerdo con sus lineamientos y términos de ley.</v>
      </c>
      <c r="K18" s="328"/>
    </row>
    <row r="19" spans="1:11" s="6" customFormat="1" ht="156.6" customHeight="1" x14ac:dyDescent="0.25">
      <c r="A19" s="1" t="s">
        <v>106</v>
      </c>
      <c r="B19" s="2" t="s">
        <v>189</v>
      </c>
      <c r="C19" s="2" t="s">
        <v>193</v>
      </c>
      <c r="D19" s="122" t="str">
        <f>+IF(B19='11 FORMULAS'!$B$4,'11 FORMULAS'!$C$4,IF(B19='11 FORMULAS'!$B$6,'11 FORMULAS'!$C$6,IF(B19='11 FORMULAS'!$B$8,'11 FORMULAS'!$C$8,IF(B19='11 FORMULAS'!$B$10,'11 FORMULAS'!$C$10,""))))</f>
        <v/>
      </c>
      <c r="E19" s="223"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168</v>
      </c>
      <c r="G19" s="1" t="s">
        <v>183</v>
      </c>
      <c r="H19" s="241" t="s">
        <v>427</v>
      </c>
      <c r="I19" s="241" t="s">
        <v>428</v>
      </c>
      <c r="J19" s="355" t="str">
        <f>(CONCATENATE(Tabla1[[#This Row],[¿QUÉ? 
IMPACTO]]," ","por ",Tabla1[[#This Row],[¿CÓMO?
CAUSA INMEDIATA 
(Iniciar con la palabra 
por)]]," ","debido a"," ",Tabla1[[#This Row],[¿PORQUÉ?
CAUSA RAÍZ
(Iniciar con 
debido a/a causa de)]]))</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K19" s="327"/>
    </row>
    <row r="20" spans="1:11" s="6" customFormat="1" ht="156.6" customHeight="1" x14ac:dyDescent="0.25">
      <c r="A20" s="1" t="s">
        <v>107</v>
      </c>
      <c r="B20" s="2" t="s">
        <v>189</v>
      </c>
      <c r="C20" s="2" t="s">
        <v>193</v>
      </c>
      <c r="D20" s="122" t="str">
        <f>+IF(B20='11 FORMULAS'!$B$4,'11 FORMULAS'!$C$4,IF(B20='11 FORMULAS'!$B$6,'11 FORMULAS'!$C$6,IF(B20='11 FORMULAS'!$B$8,'11 FORMULAS'!$C$8,IF(B20='11 FORMULAS'!$B$10,'11 FORMULAS'!$C$10,""))))</f>
        <v/>
      </c>
      <c r="E20" s="223"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168</v>
      </c>
      <c r="G20" s="1" t="s">
        <v>180</v>
      </c>
      <c r="H20" s="241" t="s">
        <v>429</v>
      </c>
      <c r="I20" s="241" t="s">
        <v>430</v>
      </c>
      <c r="J20" s="355" t="str">
        <f>(CONCATENATE(Tabla1[[#This Row],[¿QUÉ? 
IMPACTO]]," ","por ",Tabla1[[#This Row],[¿CÓMO?
CAUSA INMEDIATA 
(Iniciar con la palabra 
por)]]," ","debido a"," ",Tabla1[[#This Row],[¿PORQUÉ?
CAUSA RAÍZ
(Iniciar con 
debido a/a causa de)]]))</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K20" s="327"/>
    </row>
    <row r="21" spans="1:11" s="6" customFormat="1" ht="156.6" customHeight="1" x14ac:dyDescent="0.25">
      <c r="A21" s="1" t="s">
        <v>108</v>
      </c>
      <c r="B21" s="2" t="s">
        <v>164</v>
      </c>
      <c r="C21" s="2" t="s">
        <v>201</v>
      </c>
      <c r="D21" s="122" t="str">
        <f>+IF(B21='11 FORMULAS'!$B$4,'11 FORMULAS'!$C$4,IF(B21='11 FORMULAS'!$B$6,'11 FORMULAS'!$C$6,IF(B21='11 FORMULAS'!$B$8,'11 FORMULAS'!$C$8,IF(B21='11 FORMULAS'!$B$10,'11 FORMULAS'!$C$10,""))))</f>
        <v/>
      </c>
      <c r="E21" s="223" t="str">
        <f>+IFERROR(VLOOKUP(B21,Tabla3[],2,0),"")</f>
        <v>Eventos relacionados con las conductas o comportamientos de los empleados que afectan la Integridad Pública</v>
      </c>
      <c r="F21" s="1" t="s">
        <v>174</v>
      </c>
      <c r="G21" s="1" t="s">
        <v>182</v>
      </c>
      <c r="H21" s="241" t="s">
        <v>432</v>
      </c>
      <c r="I21" s="241" t="s">
        <v>433</v>
      </c>
      <c r="J21" s="355" t="str">
        <f>(CONCATENATE(Tabla1[[#This Row],[¿QUÉ? 
IMPACTO]]," ","por ",Tabla1[[#This Row],[¿CÓMO?
CAUSA INMEDIATA 
(Iniciar con la palabra 
por)]]," ","debido a"," ",Tabla1[[#This Row],[¿PORQUÉ?
CAUSA RAÍZ
(Iniciar con 
debido a/a causa de)]]))</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K21" s="208"/>
    </row>
    <row r="22" spans="1:11" s="6" customFormat="1" ht="156.6" customHeight="1" x14ac:dyDescent="0.25">
      <c r="A22" s="1" t="s">
        <v>109</v>
      </c>
      <c r="B22" s="2" t="s">
        <v>164</v>
      </c>
      <c r="C22" s="2" t="s">
        <v>201</v>
      </c>
      <c r="D22" s="122" t="str">
        <f>+IF(B22='11 FORMULAS'!$B$4,'11 FORMULAS'!$C$4,IF(B22='11 FORMULAS'!$B$6,'11 FORMULAS'!$C$6,IF(B22='11 FORMULAS'!$B$8,'11 FORMULAS'!$C$8,IF(B22='11 FORMULAS'!$B$10,'11 FORMULAS'!$C$10,""))))</f>
        <v/>
      </c>
      <c r="E22" s="223" t="str">
        <f>+IFERROR(VLOOKUP(B22,Tabla3[],2,0),"")</f>
        <v>Eventos relacionados con las conductas o comportamientos de los empleados que afectan la Integridad Pública</v>
      </c>
      <c r="F22" s="1" t="s">
        <v>174</v>
      </c>
      <c r="G22" s="1" t="s">
        <v>182</v>
      </c>
      <c r="H22" s="241" t="s">
        <v>434</v>
      </c>
      <c r="I22" s="241" t="s">
        <v>431</v>
      </c>
      <c r="J22" s="355" t="str">
        <f>(CONCATENATE(Tabla1[[#This Row],[¿QUÉ? 
IMPACTO]]," ","por ",Tabla1[[#This Row],[¿CÓMO?
CAUSA INMEDIATA 
(Iniciar con la palabra 
por)]]," ","debido a"," ",Tabla1[[#This Row],[¿PORQUÉ?
CAUSA RAÍZ
(Iniciar con 
debido a/a causa de)]]))</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K22" s="208"/>
    </row>
    <row r="23" spans="1:11" s="6" customFormat="1" ht="129.6" customHeight="1" x14ac:dyDescent="0.25">
      <c r="A23" s="1" t="s">
        <v>110</v>
      </c>
      <c r="B23" s="2" t="s">
        <v>164</v>
      </c>
      <c r="C23" s="2" t="s">
        <v>201</v>
      </c>
      <c r="D23" s="122" t="str">
        <f>+IF(B23='11 FORMULAS'!$B$4,'11 FORMULAS'!$C$4,IF(B23='11 FORMULAS'!$B$6,'11 FORMULAS'!$C$6,IF(B23='11 FORMULAS'!$B$8,'11 FORMULAS'!$C$8,IF(B23='11 FORMULAS'!$B$10,'11 FORMULAS'!$C$10,""))))</f>
        <v/>
      </c>
      <c r="E23" s="223" t="str">
        <f>+IFERROR(VLOOKUP(B23,Tabla3[],2,0),"")</f>
        <v>Eventos relacionados con las conductas o comportamientos de los empleados que afectan la Integridad Pública</v>
      </c>
      <c r="F23" s="1" t="s">
        <v>174</v>
      </c>
      <c r="G23" s="1" t="s">
        <v>182</v>
      </c>
      <c r="H23" s="241" t="s">
        <v>435</v>
      </c>
      <c r="I23" s="241" t="s">
        <v>436</v>
      </c>
      <c r="J23" s="355" t="str">
        <f>(CONCATENATE(Tabla1[[#This Row],[¿QUÉ? 
IMPACTO]]," ","por ",Tabla1[[#This Row],[¿CÓMO?
CAUSA INMEDIATA 
(Iniciar con la palabra 
por)]]," ","debido a"," ",Tabla1[[#This Row],[¿PORQUÉ?
CAUSA RAÍZ
(Iniciar con 
debido a/a causa de)]]))</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K23" s="208"/>
    </row>
    <row r="24" spans="1:11" s="6" customFormat="1" ht="156" customHeight="1" x14ac:dyDescent="0.25">
      <c r="A24" s="1" t="s">
        <v>111</v>
      </c>
      <c r="B24" s="2" t="s">
        <v>164</v>
      </c>
      <c r="C24" s="2" t="s">
        <v>215</v>
      </c>
      <c r="D24" s="122" t="str">
        <f>+IF(B24='11 FORMULAS'!$B$4,'11 FORMULAS'!$C$4,IF(B24='11 FORMULAS'!$B$6,'11 FORMULAS'!$C$6,IF(B24='11 FORMULAS'!$B$8,'11 FORMULAS'!$C$8,IF(B24='11 FORMULAS'!$B$10,'11 FORMULAS'!$C$10,""))))</f>
        <v/>
      </c>
      <c r="E24" s="223" t="str">
        <f>+IFERROR(VLOOKUP(B24,Tabla3[],2,0),"")</f>
        <v>Eventos relacionados con las conductas o comportamientos de los empleados que afectan la Integridad Pública</v>
      </c>
      <c r="F24" s="1" t="s">
        <v>174</v>
      </c>
      <c r="G24" s="1" t="s">
        <v>182</v>
      </c>
      <c r="H24" s="241" t="s">
        <v>437</v>
      </c>
      <c r="I24" s="241" t="s">
        <v>438</v>
      </c>
      <c r="J24" s="355" t="str">
        <f>(CONCATENATE(Tabla1[[#This Row],[¿QUÉ? 
IMPACTO]]," ","por ",Tabla1[[#This Row],[¿CÓMO?
CAUSA INMEDIATA 
(Iniciar con la palabra 
por)]]," ","debido a"," ",Tabla1[[#This Row],[¿PORQUÉ?
CAUSA RAÍZ
(Iniciar con 
debido a/a causa de)]]))</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K24" s="325"/>
    </row>
    <row r="25" spans="1:11" s="6" customFormat="1" ht="107.25" customHeight="1" x14ac:dyDescent="0.25">
      <c r="A25" s="1" t="s">
        <v>112</v>
      </c>
      <c r="B25" s="2" t="s">
        <v>164</v>
      </c>
      <c r="C25" s="2" t="s">
        <v>201</v>
      </c>
      <c r="D25" s="122" t="str">
        <f>+IF(B25='11 FORMULAS'!$B$4,'11 FORMULAS'!$C$4,IF(B25='11 FORMULAS'!$B$6,'11 FORMULAS'!$C$6,IF(B25='11 FORMULAS'!$B$8,'11 FORMULAS'!$C$8,IF(B25='11 FORMULAS'!$B$10,'11 FORMULAS'!$C$10,""))))</f>
        <v/>
      </c>
      <c r="E25" s="223" t="str">
        <f>+IFERROR(VLOOKUP(B25,Tabla3[],2,0),"")</f>
        <v>Eventos relacionados con las conductas o comportamientos de los empleados que afectan la Integridad Pública</v>
      </c>
      <c r="F25" s="1" t="s">
        <v>174</v>
      </c>
      <c r="G25" s="1" t="s">
        <v>182</v>
      </c>
      <c r="H25" s="241" t="s">
        <v>439</v>
      </c>
      <c r="I25" s="241" t="s">
        <v>440</v>
      </c>
      <c r="J25" s="356" t="str">
        <f>(CONCATENATE(Tabla1[[#This Row],[¿QUÉ? 
IMPACTO]]," ","por ",Tabla1[[#This Row],[¿CÓMO?
CAUSA INMEDIATA 
(Iniciar con la palabra 
por)]]," ","debido a"," ",Tabla1[[#This Row],[¿PORQUÉ?
CAUSA RAÍZ
(Iniciar con 
debido a/a causa de)]]))</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K25" s="208"/>
    </row>
    <row r="26" spans="1:11" s="6" customFormat="1" ht="138" customHeight="1" x14ac:dyDescent="0.25">
      <c r="A26" s="1" t="s">
        <v>113</v>
      </c>
      <c r="B26" s="2" t="s">
        <v>94</v>
      </c>
      <c r="C26" s="2" t="s">
        <v>194</v>
      </c>
      <c r="D26" s="122" t="str">
        <f>+IF(B26='11 FORMULAS'!$B$4,'11 FORMULAS'!$C$4,IF(B26='11 FORMULAS'!$B$6,'11 FORMULAS'!$C$6,IF(B26='11 FORMULAS'!$B$8,'11 FORMULAS'!$C$8,IF(B26='11 FORMULAS'!$B$10,'11 FORMULAS'!$C$10,""))))</f>
        <v/>
      </c>
      <c r="E26" s="223" t="str">
        <f>+IFERROR(VLOOKUP(B26,Tabla3[],2,0),"")</f>
        <v>Eventos relacionados con transacciones y Operaciones realizadas por un cliente o usuario, que accede o entrega un bien o servicio a la entidad, a través de los canales dispuestos y en una jurisdicción específica.</v>
      </c>
      <c r="F26" s="1" t="s">
        <v>175</v>
      </c>
      <c r="G26" s="1" t="s">
        <v>179</v>
      </c>
      <c r="H26" s="241" t="s">
        <v>529</v>
      </c>
      <c r="I26" s="241" t="s">
        <v>530</v>
      </c>
      <c r="J26" s="356"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26" s="325"/>
    </row>
    <row r="27" spans="1:11" s="6" customFormat="1" ht="93" hidden="1" customHeight="1" x14ac:dyDescent="0.25">
      <c r="A27" s="1" t="s">
        <v>114</v>
      </c>
      <c r="B27" s="2"/>
      <c r="C27" s="2"/>
      <c r="D27" s="122" t="str">
        <f>+IF(B27='11 FORMULAS'!$B$4,'11 FORMULAS'!$C$4,IF(B27='11 FORMULAS'!$B$6,'11 FORMULAS'!$C$6,IF(B27='11 FORMULAS'!$B$8,'11 FORMULAS'!$C$8,IF(B27='11 FORMULAS'!$B$10,'11 FORMULAS'!$C$10,""))))</f>
        <v/>
      </c>
      <c r="E27" s="223" t="str">
        <f>+IFERROR(VLOOKUP(B27,Tabla3[],2,0),"")</f>
        <v/>
      </c>
      <c r="F27" s="1"/>
      <c r="G27" s="1"/>
      <c r="H27" s="241"/>
      <c r="I27" s="241"/>
      <c r="J27" s="356" t="str">
        <f>(CONCATENATE(Tabla1[[#This Row],[¿QUÉ? 
IMPACTO]]," ","por ",Tabla1[[#This Row],[¿CÓMO?
CAUSA INMEDIATA 
(Iniciar con la palabra 
por)]]," ","debido a"," ",Tabla1[[#This Row],[¿PORQUÉ?
CAUSA RAÍZ
(Iniciar con 
debido a/a causa de)]]))</f>
        <v xml:space="preserve"> por  debido a </v>
      </c>
      <c r="K27" s="325"/>
    </row>
    <row r="28" spans="1:11" s="6" customFormat="1" ht="93" hidden="1" customHeight="1" x14ac:dyDescent="0.25">
      <c r="A28" s="1" t="s">
        <v>115</v>
      </c>
      <c r="B28" s="2"/>
      <c r="C28" s="2"/>
      <c r="D28" s="122" t="str">
        <f>+IF(B28='11 FORMULAS'!$B$4,'11 FORMULAS'!$C$4,IF(B28='11 FORMULAS'!$B$6,'11 FORMULAS'!$C$6,IF(B28='11 FORMULAS'!$B$8,'11 FORMULAS'!$C$8,IF(B28='11 FORMULAS'!$B$10,'11 FORMULAS'!$C$10,""))))</f>
        <v/>
      </c>
      <c r="E28" s="223" t="str">
        <f>+IFERROR(VLOOKUP(B28,Tabla3[],2,0),"")</f>
        <v/>
      </c>
      <c r="F28" s="1"/>
      <c r="G28" s="1"/>
      <c r="H28" s="241"/>
      <c r="I28" s="241"/>
      <c r="J28" s="356" t="str">
        <f>(CONCATENATE(Tabla1[[#This Row],[¿QUÉ? 
IMPACTO]]," ","por ",Tabla1[[#This Row],[¿CÓMO?
CAUSA INMEDIATA 
(Iniciar con la palabra 
por)]]," ","debido a"," ",Tabla1[[#This Row],[¿PORQUÉ?
CAUSA RAÍZ
(Iniciar con 
debido a/a causa de)]]))</f>
        <v xml:space="preserve"> por  debido a </v>
      </c>
      <c r="K28" s="325"/>
    </row>
    <row r="29" spans="1:11" s="6" customFormat="1" ht="93" hidden="1" customHeight="1" x14ac:dyDescent="0.25">
      <c r="A29" s="1" t="s">
        <v>116</v>
      </c>
      <c r="B29" s="2"/>
      <c r="C29" s="2"/>
      <c r="D29" s="122"/>
      <c r="E29" s="223" t="str">
        <f>+IFERROR(VLOOKUP(B29,Tabla3[],2,0),"")</f>
        <v/>
      </c>
      <c r="F29" s="265"/>
      <c r="G29" s="265"/>
      <c r="H29" s="266"/>
      <c r="I29" s="266"/>
      <c r="J29" s="357" t="str">
        <f>(CONCATENATE(Tabla1[[#This Row],[¿QUÉ? 
IMPACTO]]," ","por ",Tabla1[[#This Row],[¿CÓMO?
CAUSA INMEDIATA 
(Iniciar con la palabra 
por)]]," ","debido a"," ",Tabla1[[#This Row],[¿PORQUÉ?
CAUSA RAÍZ
(Iniciar con 
debido a/a causa de)]]))</f>
        <v xml:space="preserve"> por  debido a </v>
      </c>
      <c r="K29" s="325"/>
    </row>
    <row r="30" spans="1:11" s="6" customFormat="1" ht="93" hidden="1" customHeight="1" x14ac:dyDescent="0.25">
      <c r="A30" s="1" t="s">
        <v>360</v>
      </c>
      <c r="B30" s="2"/>
      <c r="C30" s="2"/>
      <c r="D30" s="122"/>
      <c r="E30" s="223" t="str">
        <f>+IFERROR(VLOOKUP(B30,Tabla3[],2,0),"")</f>
        <v/>
      </c>
      <c r="F30" s="265"/>
      <c r="G30" s="265"/>
      <c r="H30" s="266"/>
      <c r="I30" s="266"/>
      <c r="J30" s="357" t="str">
        <f>(CONCATENATE(Tabla1[[#This Row],[¿QUÉ? 
IMPACTO]]," ","por ",Tabla1[[#This Row],[¿CÓMO?
CAUSA INMEDIATA 
(Iniciar con la palabra 
por)]]," ","debido a"," ",Tabla1[[#This Row],[¿PORQUÉ?
CAUSA RAÍZ
(Iniciar con 
debido a/a causa de)]]))</f>
        <v xml:space="preserve"> por  debido a </v>
      </c>
      <c r="K30" s="325"/>
    </row>
    <row r="31" spans="1:11" s="6" customFormat="1" ht="93" hidden="1" customHeight="1" x14ac:dyDescent="0.25">
      <c r="A31" s="1" t="s">
        <v>361</v>
      </c>
      <c r="B31" s="2"/>
      <c r="C31" s="2"/>
      <c r="D31" s="122"/>
      <c r="E31" s="223" t="str">
        <f>+IFERROR(VLOOKUP(B31,Tabla3[],2,0),"")</f>
        <v/>
      </c>
      <c r="F31" s="265"/>
      <c r="G31" s="265"/>
      <c r="H31" s="266"/>
      <c r="I31" s="266"/>
      <c r="J31" s="357" t="str">
        <f>(CONCATENATE(Tabla1[[#This Row],[¿QUÉ? 
IMPACTO]]," ","por ",Tabla1[[#This Row],[¿CÓMO?
CAUSA INMEDIATA 
(Iniciar con la palabra 
por)]]," ","debido a"," ",Tabla1[[#This Row],[¿PORQUÉ?
CAUSA RAÍZ
(Iniciar con 
debido a/a causa de)]]))</f>
        <v xml:space="preserve"> por  debido a </v>
      </c>
      <c r="K31" s="325"/>
    </row>
    <row r="32" spans="1:11" s="6" customFormat="1" ht="93" hidden="1" customHeight="1" x14ac:dyDescent="0.25">
      <c r="A32" s="1" t="s">
        <v>362</v>
      </c>
      <c r="B32" s="2"/>
      <c r="C32" s="2"/>
      <c r="D32" s="122"/>
      <c r="E32" s="223" t="str">
        <f>+IFERROR(VLOOKUP(B32,Tabla3[],2,0),"")</f>
        <v/>
      </c>
      <c r="F32" s="265"/>
      <c r="G32" s="265"/>
      <c r="H32" s="266"/>
      <c r="I32" s="266"/>
      <c r="J32" s="357" t="str">
        <f>(CONCATENATE(Tabla1[[#This Row],[¿QUÉ? 
IMPACTO]]," ","por ",Tabla1[[#This Row],[¿CÓMO?
CAUSA INMEDIATA 
(Iniciar con la palabra 
por)]]," ","debido a"," ",Tabla1[[#This Row],[¿PORQUÉ?
CAUSA RAÍZ
(Iniciar con 
debido a/a causa de)]]))</f>
        <v xml:space="preserve"> por  debido a </v>
      </c>
      <c r="K32" s="325"/>
    </row>
    <row r="33" spans="1:11" s="6" customFormat="1" ht="93" hidden="1" customHeight="1" x14ac:dyDescent="0.25">
      <c r="A33" s="1" t="s">
        <v>363</v>
      </c>
      <c r="B33" s="2"/>
      <c r="C33" s="2"/>
      <c r="D33" s="122"/>
      <c r="E33" s="223" t="str">
        <f>+IFERROR(VLOOKUP(B33,Tabla3[],2,0),"")</f>
        <v/>
      </c>
      <c r="F33" s="265"/>
      <c r="G33" s="265"/>
      <c r="H33" s="266"/>
      <c r="I33" s="266"/>
      <c r="J33" s="357" t="str">
        <f>(CONCATENATE(Tabla1[[#This Row],[¿QUÉ? 
IMPACTO]]," ","por ",Tabla1[[#This Row],[¿CÓMO?
CAUSA INMEDIATA 
(Iniciar con la palabra 
por)]]," ","debido a"," ",Tabla1[[#This Row],[¿PORQUÉ?
CAUSA RAÍZ
(Iniciar con 
debido a/a causa de)]]))</f>
        <v xml:space="preserve"> por  debido a </v>
      </c>
      <c r="K33" s="325"/>
    </row>
    <row r="34" spans="1:11" s="6" customFormat="1" ht="93" hidden="1" customHeight="1" x14ac:dyDescent="0.25">
      <c r="A34" s="1" t="s">
        <v>364</v>
      </c>
      <c r="B34" s="2"/>
      <c r="C34" s="2"/>
      <c r="D34" s="122"/>
      <c r="E34" s="223" t="str">
        <f>+IFERROR(VLOOKUP(B34,Tabla3[],2,0),"")</f>
        <v/>
      </c>
      <c r="F34" s="265"/>
      <c r="G34" s="265"/>
      <c r="H34" s="266"/>
      <c r="I34" s="266"/>
      <c r="J34" s="357" t="str">
        <f>(CONCATENATE(Tabla1[[#This Row],[¿QUÉ? 
IMPACTO]]," ","por ",Tabla1[[#This Row],[¿CÓMO?
CAUSA INMEDIATA 
(Iniciar con la palabra 
por)]]," ","debido a"," ",Tabla1[[#This Row],[¿PORQUÉ?
CAUSA RAÍZ
(Iniciar con 
debido a/a causa de)]]))</f>
        <v xml:space="preserve"> por  debido a </v>
      </c>
      <c r="K34" s="325"/>
    </row>
    <row r="35" spans="1:11" s="6" customFormat="1" ht="93" hidden="1" customHeight="1" x14ac:dyDescent="0.25">
      <c r="A35" s="1" t="s">
        <v>365</v>
      </c>
      <c r="B35" s="2"/>
      <c r="C35" s="2"/>
      <c r="D35" s="122"/>
      <c r="E35" s="223" t="str">
        <f>+IFERROR(VLOOKUP(B35,Tabla3[],2,0),"")</f>
        <v/>
      </c>
      <c r="F35" s="265"/>
      <c r="G35" s="265"/>
      <c r="H35" s="266"/>
      <c r="I35" s="266"/>
      <c r="J35" s="357" t="str">
        <f>(CONCATENATE(Tabla1[[#This Row],[¿QUÉ? 
IMPACTO]]," ","por ",Tabla1[[#This Row],[¿CÓMO?
CAUSA INMEDIATA 
(Iniciar con la palabra 
por)]]," ","debido a"," ",Tabla1[[#This Row],[¿PORQUÉ?
CAUSA RAÍZ
(Iniciar con 
debido a/a causa de)]]))</f>
        <v xml:space="preserve"> por  debido a </v>
      </c>
      <c r="K35" s="325"/>
    </row>
    <row r="36" spans="1:11" s="6" customFormat="1" ht="93" hidden="1" customHeight="1" x14ac:dyDescent="0.25">
      <c r="A36" s="1" t="s">
        <v>366</v>
      </c>
      <c r="B36" s="2"/>
      <c r="C36" s="2"/>
      <c r="D36" s="122"/>
      <c r="E36" s="223" t="str">
        <f>+IFERROR(VLOOKUP(B36,Tabla3[],2,0),"")</f>
        <v/>
      </c>
      <c r="F36" s="265"/>
      <c r="G36" s="265"/>
      <c r="H36" s="266"/>
      <c r="I36" s="266"/>
      <c r="J36" s="357" t="str">
        <f>(CONCATENATE(Tabla1[[#This Row],[¿QUÉ? 
IMPACTO]]," ","por ",Tabla1[[#This Row],[¿CÓMO?
CAUSA INMEDIATA 
(Iniciar con la palabra 
por)]]," ","debido a"," ",Tabla1[[#This Row],[¿PORQUÉ?
CAUSA RAÍZ
(Iniciar con 
debido a/a causa de)]]))</f>
        <v xml:space="preserve"> por  debido a </v>
      </c>
      <c r="K36" s="325"/>
    </row>
    <row r="37" spans="1:11" s="6" customFormat="1" ht="93" hidden="1" customHeight="1" x14ac:dyDescent="0.25">
      <c r="A37" s="1" t="s">
        <v>367</v>
      </c>
      <c r="B37" s="2"/>
      <c r="C37" s="2"/>
      <c r="D37" s="122"/>
      <c r="E37" s="223" t="str">
        <f>+IFERROR(VLOOKUP(B37,Tabla3[],2,0),"")</f>
        <v/>
      </c>
      <c r="F37" s="265"/>
      <c r="G37" s="265"/>
      <c r="H37" s="266"/>
      <c r="I37" s="266"/>
      <c r="J37" s="357" t="str">
        <f>(CONCATENATE(Tabla1[[#This Row],[¿QUÉ? 
IMPACTO]]," ","por ",Tabla1[[#This Row],[¿CÓMO?
CAUSA INMEDIATA 
(Iniciar con la palabra 
por)]]," ","debido a"," ",Tabla1[[#This Row],[¿PORQUÉ?
CAUSA RAÍZ
(Iniciar con 
debido a/a causa de)]]))</f>
        <v xml:space="preserve"> por  debido a </v>
      </c>
      <c r="K37" s="325"/>
    </row>
    <row r="38" spans="1:11" s="6" customFormat="1" ht="93" hidden="1" customHeight="1" x14ac:dyDescent="0.25">
      <c r="A38" s="1" t="s">
        <v>368</v>
      </c>
      <c r="B38" s="2"/>
      <c r="C38" s="2"/>
      <c r="D38" s="122"/>
      <c r="E38" s="223" t="str">
        <f>+IFERROR(VLOOKUP(B38,Tabla3[],2,0),"")</f>
        <v/>
      </c>
      <c r="F38" s="265"/>
      <c r="G38" s="265"/>
      <c r="H38" s="266"/>
      <c r="I38" s="266"/>
      <c r="J38" s="357" t="str">
        <f>(CONCATENATE(Tabla1[[#This Row],[¿QUÉ? 
IMPACTO]]," ","por ",Tabla1[[#This Row],[¿CÓMO?
CAUSA INMEDIATA 
(Iniciar con la palabra 
por)]]," ","debido a"," ",Tabla1[[#This Row],[¿PORQUÉ?
CAUSA RAÍZ
(Iniciar con 
debido a/a causa de)]]))</f>
        <v xml:space="preserve"> por  debido a </v>
      </c>
      <c r="K38" s="325"/>
    </row>
    <row r="39" spans="1:11" s="6" customFormat="1" ht="93" hidden="1" customHeight="1" x14ac:dyDescent="0.25">
      <c r="A39" s="1" t="s">
        <v>369</v>
      </c>
      <c r="B39" s="2"/>
      <c r="C39" s="2"/>
      <c r="D39" s="122" t="str">
        <f>+IF(B39='11 FORMULAS'!$B$4,'11 FORMULAS'!$C$4,IF(B39='11 FORMULAS'!$B$6,'11 FORMULAS'!$C$6,IF(B39='11 FORMULAS'!$B$8,'11 FORMULAS'!$C$8,IF(B39='11 FORMULAS'!$B$10,'11 FORMULAS'!$C$10,""))))</f>
        <v/>
      </c>
      <c r="E39" s="223" t="str">
        <f>+IFERROR(VLOOKUP(B39,Tabla3[],2,0),"")</f>
        <v/>
      </c>
      <c r="F39" s="1"/>
      <c r="G39" s="1"/>
      <c r="H39" s="242"/>
      <c r="I39" s="242"/>
      <c r="J39" s="356" t="str">
        <f>(CONCATENATE(Tabla1[[#This Row],[¿QUÉ? 
IMPACTO]]," ","por ",Tabla1[[#This Row],[¿CÓMO?
CAUSA INMEDIATA 
(Iniciar con la palabra 
por)]]," ","debido a"," ",Tabla1[[#This Row],[¿PORQUÉ?
CAUSA RAÍZ
(Iniciar con 
debido a/a causa de)]]))</f>
        <v xml:space="preserve"> por  debido a </v>
      </c>
      <c r="K39" s="325"/>
    </row>
    <row r="40" spans="1:11" s="6" customFormat="1" ht="18.75" thickBot="1" x14ac:dyDescent="0.3">
      <c r="F40" s="7"/>
      <c r="G40" s="7"/>
      <c r="H40" s="7"/>
      <c r="I40" s="7"/>
      <c r="J40" s="358"/>
      <c r="K40" s="326"/>
    </row>
    <row r="41" spans="1:11" ht="15.75" thickTop="1" thickBot="1" x14ac:dyDescent="0.25">
      <c r="A41" s="424" t="s">
        <v>376</v>
      </c>
      <c r="B41" s="424"/>
      <c r="C41" s="424"/>
      <c r="D41" s="424"/>
      <c r="E41" s="424"/>
      <c r="F41" s="424"/>
      <c r="G41" s="424"/>
      <c r="H41" s="3"/>
      <c r="I41" s="3"/>
    </row>
    <row r="42" spans="1:11" ht="15.75" thickTop="1" thickBot="1" x14ac:dyDescent="0.25">
      <c r="A42" s="312" t="s">
        <v>377</v>
      </c>
      <c r="B42" s="424" t="s">
        <v>378</v>
      </c>
      <c r="C42" s="424"/>
      <c r="D42" s="424" t="s">
        <v>379</v>
      </c>
      <c r="E42" s="424"/>
      <c r="F42" s="424" t="s">
        <v>380</v>
      </c>
      <c r="G42" s="424"/>
      <c r="H42" s="3"/>
      <c r="I42" s="3"/>
    </row>
    <row r="43" spans="1:11" ht="67.5" customHeight="1" thickTop="1" thickBot="1" x14ac:dyDescent="0.3">
      <c r="A43" s="313" t="s">
        <v>381</v>
      </c>
      <c r="B43" s="399">
        <v>46163</v>
      </c>
      <c r="C43" s="399"/>
      <c r="D43" s="400" t="s">
        <v>382</v>
      </c>
      <c r="E43" s="400"/>
      <c r="F43" s="401" t="s">
        <v>383</v>
      </c>
      <c r="G43" s="401"/>
      <c r="H43" s="8"/>
      <c r="I43" s="8"/>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9"/>
    </row>
    <row r="55" spans="24:26" x14ac:dyDescent="0.25">
      <c r="Z55" s="9"/>
    </row>
    <row r="56" spans="24:26" x14ac:dyDescent="0.25">
      <c r="Z56" s="9"/>
    </row>
    <row r="57" spans="24:26" x14ac:dyDescent="0.25">
      <c r="Z57" s="9"/>
    </row>
    <row r="58" spans="24:26" x14ac:dyDescent="0.25">
      <c r="Z58" s="9"/>
    </row>
    <row r="59" spans="24:26" x14ac:dyDescent="0.25">
      <c r="Z59" s="9"/>
    </row>
    <row r="60" spans="24:26" x14ac:dyDescent="0.25">
      <c r="Z60" s="9"/>
    </row>
    <row r="61" spans="24:26" x14ac:dyDescent="0.25">
      <c r="Z61" s="9"/>
    </row>
    <row r="62" spans="24:26" ht="14.25" customHeight="1" x14ac:dyDescent="0.25">
      <c r="Z62" s="9"/>
    </row>
    <row r="63" spans="24:26" x14ac:dyDescent="0.25">
      <c r="Z63" s="9"/>
    </row>
  </sheetData>
  <sheetProtection formatCells="0" formatColumns="0" formatRows="0" sort="0" autoFilter="0" pivotTables="0"/>
  <mergeCells count="15">
    <mergeCell ref="B1:I2"/>
    <mergeCell ref="B3:I3"/>
    <mergeCell ref="B8:E8"/>
    <mergeCell ref="A8:A9"/>
    <mergeCell ref="A4:K4"/>
    <mergeCell ref="B6:E6"/>
    <mergeCell ref="G6:K6"/>
    <mergeCell ref="A1:A3"/>
    <mergeCell ref="A41:G41"/>
    <mergeCell ref="B42:C42"/>
    <mergeCell ref="D42:E42"/>
    <mergeCell ref="F42:G42"/>
    <mergeCell ref="B43:C43"/>
    <mergeCell ref="D43:E43"/>
    <mergeCell ref="F43:G4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F24" zoomScale="80" zoomScaleNormal="85" zoomScaleSheetLayoutView="80" workbookViewId="0">
      <selection activeCell="G26" sqref="G26"/>
    </sheetView>
  </sheetViews>
  <sheetFormatPr baseColWidth="10" defaultColWidth="14.42578125" defaultRowHeight="14.25" x14ac:dyDescent="0.25"/>
  <cols>
    <col min="1" max="1" width="18.140625" style="4" customWidth="1"/>
    <col min="2" max="2" width="48.140625" style="27" customWidth="1"/>
    <col min="3" max="3" width="28.42578125" style="27" customWidth="1"/>
    <col min="4" max="4" width="21.140625" style="4" customWidth="1"/>
    <col min="5" max="5" width="14" style="12" customWidth="1"/>
    <col min="6" max="6" width="14.42578125" style="4" customWidth="1"/>
    <col min="7" max="7" width="45.85546875" style="12" bestFit="1" customWidth="1"/>
    <col min="8" max="8" width="16.5703125" style="12" customWidth="1"/>
    <col min="9" max="9" width="21.28515625" style="12" customWidth="1"/>
    <col min="10" max="10" width="30.7109375" style="12" customWidth="1"/>
    <col min="11" max="11" width="24.42578125" style="12" customWidth="1"/>
    <col min="12" max="12" width="10.140625" style="12" customWidth="1"/>
    <col min="13" max="13" width="17.5703125" style="159" customWidth="1"/>
    <col min="14" max="14" width="15.85546875" style="159" customWidth="1"/>
    <col min="15" max="15" width="8" style="4" customWidth="1"/>
    <col min="16" max="16" width="21.42578125" style="4" customWidth="1"/>
    <col min="17" max="17" width="32.85546875" style="4" customWidth="1"/>
    <col min="18" max="18" width="12.42578125" style="27" customWidth="1"/>
    <col min="19" max="19" width="16.5703125" style="27" customWidth="1"/>
    <col min="20" max="20" width="17.85546875" style="4" customWidth="1"/>
    <col min="21" max="21" width="5.42578125" style="4" customWidth="1"/>
    <col min="22" max="22" width="14.140625" style="4" bestFit="1" customWidth="1"/>
    <col min="23" max="23" width="14.85546875" style="4" bestFit="1" customWidth="1"/>
    <col min="24" max="24" width="27.425781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20.100000000000001" customHeight="1" thickTop="1" x14ac:dyDescent="0.25">
      <c r="A1" s="440"/>
      <c r="B1" s="443" t="s">
        <v>374</v>
      </c>
      <c r="C1" s="444"/>
      <c r="D1" s="444"/>
      <c r="E1" s="444"/>
      <c r="F1" s="444"/>
      <c r="G1" s="444"/>
      <c r="H1" s="444"/>
      <c r="I1" s="445"/>
      <c r="J1" s="304" t="s">
        <v>372</v>
      </c>
      <c r="K1" s="305"/>
      <c r="L1" s="252"/>
      <c r="M1" s="4"/>
      <c r="N1" s="4"/>
      <c r="R1" s="4"/>
      <c r="S1" s="4"/>
    </row>
    <row r="2" spans="1:25" ht="20.100000000000001" customHeight="1" x14ac:dyDescent="0.25">
      <c r="A2" s="441"/>
      <c r="B2" s="446"/>
      <c r="C2" s="447"/>
      <c r="D2" s="447"/>
      <c r="E2" s="447"/>
      <c r="F2" s="447"/>
      <c r="G2" s="447"/>
      <c r="H2" s="447"/>
      <c r="I2" s="448"/>
      <c r="J2" s="306" t="s">
        <v>375</v>
      </c>
      <c r="K2" s="307"/>
      <c r="L2" s="252"/>
      <c r="M2" s="4"/>
      <c r="N2" s="4"/>
      <c r="R2" s="4"/>
      <c r="S2" s="4"/>
    </row>
    <row r="3" spans="1:25" s="3" customFormat="1" ht="16.5" thickBot="1" x14ac:dyDescent="0.25">
      <c r="A3" s="442"/>
      <c r="B3" s="449" t="s">
        <v>358</v>
      </c>
      <c r="C3" s="450"/>
      <c r="D3" s="450"/>
      <c r="E3" s="450"/>
      <c r="F3" s="450"/>
      <c r="G3" s="450"/>
      <c r="H3" s="450"/>
      <c r="I3" s="451"/>
      <c r="J3" s="308" t="s">
        <v>373</v>
      </c>
      <c r="K3" s="309"/>
      <c r="L3" s="253"/>
    </row>
    <row r="4" spans="1:25" s="3" customFormat="1" ht="17.100000000000001" customHeight="1" thickTop="1" x14ac:dyDescent="0.2">
      <c r="A4" s="452"/>
      <c r="B4" s="453"/>
      <c r="C4" s="453"/>
      <c r="D4" s="453"/>
      <c r="E4" s="453"/>
      <c r="F4" s="453"/>
      <c r="G4" s="453"/>
      <c r="H4" s="453"/>
      <c r="I4" s="453"/>
      <c r="J4" s="453"/>
      <c r="K4" s="454"/>
    </row>
    <row r="5" spans="1:25" ht="27" customHeight="1" x14ac:dyDescent="0.25">
      <c r="A5" s="11" t="s">
        <v>80</v>
      </c>
      <c r="B5" s="258" t="str">
        <f>'2 IDENTIFICACIÓN'!B5</f>
        <v>ALCALDÍA DE BUCARAMANGA</v>
      </c>
      <c r="C5" s="259"/>
      <c r="D5" s="259"/>
      <c r="E5" s="260"/>
      <c r="F5" s="243" t="s">
        <v>81</v>
      </c>
      <c r="G5" s="258" t="str">
        <f>'2 IDENTIFICACIÓN'!G5</f>
        <v>GESTIÓN DE SERVICIOS DE LA EDUCACIÓN PÚBLICA</v>
      </c>
      <c r="H5" s="260"/>
      <c r="I5" s="243" t="s">
        <v>352</v>
      </c>
      <c r="J5" s="261">
        <f>'2 IDENTIFICACIÓN'!J5</f>
        <v>2026</v>
      </c>
      <c r="K5" s="262"/>
      <c r="L5" s="4"/>
      <c r="M5" s="4"/>
      <c r="N5" s="4"/>
      <c r="R5" s="4"/>
      <c r="S5" s="4"/>
    </row>
    <row r="6" spans="1:25" ht="15.75" thickBot="1" x14ac:dyDescent="0.3">
      <c r="A6" s="163"/>
      <c r="B6" s="254"/>
      <c r="C6" s="254"/>
      <c r="D6" s="254"/>
      <c r="E6" s="254"/>
      <c r="F6" s="255"/>
      <c r="G6" s="256"/>
      <c r="H6" s="256"/>
      <c r="I6" s="256"/>
      <c r="J6" s="256"/>
      <c r="K6" s="256"/>
      <c r="L6" s="4"/>
      <c r="M6" s="4"/>
      <c r="N6" s="4"/>
      <c r="R6" s="4"/>
      <c r="S6" s="4"/>
    </row>
    <row r="7" spans="1:25" s="3" customFormat="1" ht="15.75" thickBot="1" x14ac:dyDescent="0.25">
      <c r="A7" s="257"/>
      <c r="B7" s="162"/>
      <c r="C7" s="162"/>
      <c r="D7" s="162"/>
      <c r="E7" s="13"/>
      <c r="F7" s="13"/>
      <c r="G7" s="539" t="s">
        <v>250</v>
      </c>
      <c r="H7" s="540"/>
      <c r="I7" s="540"/>
      <c r="J7" s="540"/>
      <c r="K7" s="540"/>
      <c r="L7" s="540"/>
      <c r="M7" s="540"/>
      <c r="N7" s="541"/>
      <c r="R7" s="126"/>
      <c r="S7" s="126"/>
    </row>
    <row r="8" spans="1:25" s="15" customFormat="1" ht="14.25" customHeight="1" thickBot="1" x14ac:dyDescent="0.3">
      <c r="A8" s="14"/>
      <c r="B8" s="14"/>
      <c r="C8" s="539" t="s">
        <v>251</v>
      </c>
      <c r="D8" s="540"/>
      <c r="E8" s="540"/>
      <c r="F8" s="541"/>
      <c r="G8" s="542" t="s">
        <v>36</v>
      </c>
      <c r="H8" s="543"/>
      <c r="I8" s="544"/>
      <c r="J8" s="542" t="s">
        <v>38</v>
      </c>
      <c r="K8" s="543"/>
      <c r="L8" s="544"/>
      <c r="M8" s="542" t="s">
        <v>252</v>
      </c>
      <c r="N8" s="544"/>
      <c r="P8" s="536" t="s">
        <v>253</v>
      </c>
      <c r="Q8" s="537"/>
      <c r="R8" s="537"/>
      <c r="S8" s="537"/>
      <c r="T8" s="538"/>
      <c r="V8" s="533" t="s">
        <v>254</v>
      </c>
      <c r="W8" s="534"/>
      <c r="X8" s="534"/>
      <c r="Y8" s="535"/>
    </row>
    <row r="9" spans="1:25" s="108" customFormat="1" ht="42.75" x14ac:dyDescent="0.25">
      <c r="A9" s="138" t="s">
        <v>255</v>
      </c>
      <c r="B9" s="137" t="s">
        <v>256</v>
      </c>
      <c r="C9" s="153" t="s">
        <v>34</v>
      </c>
      <c r="D9" s="154" t="s">
        <v>257</v>
      </c>
      <c r="E9" s="155" t="s">
        <v>258</v>
      </c>
      <c r="F9" s="156" t="s">
        <v>259</v>
      </c>
      <c r="G9" s="130" t="s">
        <v>36</v>
      </c>
      <c r="H9" s="131" t="s">
        <v>260</v>
      </c>
      <c r="I9" s="133" t="s">
        <v>261</v>
      </c>
      <c r="J9" s="130" t="s">
        <v>38</v>
      </c>
      <c r="K9" s="131" t="s">
        <v>260</v>
      </c>
      <c r="L9" s="133" t="s">
        <v>261</v>
      </c>
      <c r="M9" s="130" t="s">
        <v>262</v>
      </c>
      <c r="N9" s="132" t="s">
        <v>263</v>
      </c>
      <c r="P9" s="16" t="s">
        <v>261</v>
      </c>
      <c r="Q9" s="17" t="s">
        <v>257</v>
      </c>
      <c r="R9" s="17" t="s">
        <v>264</v>
      </c>
      <c r="S9" s="17" t="s">
        <v>265</v>
      </c>
      <c r="T9" s="18" t="s">
        <v>139</v>
      </c>
      <c r="V9" s="16" t="s">
        <v>261</v>
      </c>
      <c r="W9" s="17" t="s">
        <v>266</v>
      </c>
      <c r="X9" s="17" t="s">
        <v>267</v>
      </c>
      <c r="Y9" s="18" t="s">
        <v>38</v>
      </c>
    </row>
    <row r="10" spans="1:25" ht="137.44999999999999" customHeight="1" x14ac:dyDescent="0.25">
      <c r="A10" s="19" t="str">
        <f>'2 IDENTIFICACIÓN'!A10</f>
        <v>R1</v>
      </c>
      <c r="B10" s="149"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10" s="150">
        <v>68647</v>
      </c>
      <c r="D10" s="127" t="str">
        <f t="shared" ref="D10:D39" si="0">+IF(C10="","",IF(C10&lt;=$S$10,$Q$10,IF(C10&lt;=$S$11,$Q$11,IF(C10&lt;=$S$12,$Q$12,IF(C10&lt;=$S$13,$Q$13,IF(C10&gt;=$R$14,$Q$14,""))))))</f>
        <v>La actividad que conlleva el riesgo se ejecuta más de 5.000 veces por año</v>
      </c>
      <c r="E10" s="128">
        <f t="shared" ref="E10:E39" si="1">+IF(D10="","",IF(D10=$Q$10,$T$10,IF(D10=$Q$11,$T$11,IF(D10=$Q$12,$T$12,IF(D10=$Q$13,$T$13,IF(D10=$Q$14,$T$14))))))</f>
        <v>1</v>
      </c>
      <c r="F10" s="20" t="str">
        <f t="shared" ref="F10:F39" si="2">+IF(D10="","",IF(D10=$Q$10,$P$10,IF(D10=$Q$11,$P$11,IF(D10=$Q$12,$P$12,IF(D10=$Q$13,$P$13,IF(D10=$Q$14,$P$14))))))</f>
        <v>Muy Alta</v>
      </c>
      <c r="G10" s="135" t="s">
        <v>286</v>
      </c>
      <c r="H10" s="129">
        <f>+IF(G10="","",IF(G10="N/A","",IF(OR(G10=$X$10,G10=$Y$10),$W$10,IF(OR(G10=$X$11,G10=$Y$11),$W$11,IF(OR(G10=$X$12,G10=$Y$12),$W$12,IF(OR(G10=$X$13,G10=$Y$13),$W$13,IF(OR(G10=$X$14,G10=$Y$14),$W$14)))))))</f>
        <v>0.8</v>
      </c>
      <c r="I10" s="134" t="str">
        <f t="shared" ref="I10:I39" si="3">+IF(G10="","",IF(G10="N/A","",IF(OR(G10=$X$10,G10=$Y$10),$V$10,IF(OR(G10=$X$11,G10=$Y$11),$V$11,IF(OR(G10=$X$12,G10=$Y$12),$V$12,IF(OR(G10=$X$13,G10=$Y$13),$V$13,IF(OR(G10=$X$14,G10=$Y$14),$V$14)))))))</f>
        <v>Mayor</v>
      </c>
      <c r="J10" s="135" t="s">
        <v>282</v>
      </c>
      <c r="K10" s="129">
        <f t="shared" ref="K10:K39" si="4">+IF(J10="","",IF(J10="N/A","",IF(OR(J10=$X$10,J10=$Y$10),$W$10,IF(OR(J10=$X$11,J10=$Y$11),$W$11,IF(OR(J10=$X$12,J10=$Y$12),$W$12,IF(OR(J10=$X$13,J10=$Y$13),$W$13,IF(OR(J10=$X$14,J10=$Y$14),$W$14)))))))</f>
        <v>0.6</v>
      </c>
      <c r="L10" s="134" t="str">
        <f t="shared" ref="L10:L39" si="5">+IF(J10="","",IF(J10="N/A","",IF(OR(J10=$X$10,J10=$Y$10),$V$10,IF(OR(J10=$X$11,J10=$Y$11),$V$11,IF(OR(J10=$X$12,J10=$Y$12),$V$12,IF(OR(J10=$X$13,J10=$Y$13),$V$13,IF(OR(J10=$X$14,J10=$Y$14),$V$14)))))))</f>
        <v>Moderado</v>
      </c>
      <c r="M10" s="157">
        <f>+IF(H10="",K10,IF(K10="",H10,IF(H10&gt;K10,H10,K10)))</f>
        <v>0.8</v>
      </c>
      <c r="N10" s="158" t="str">
        <f>+IF(M10="","",IF(M10=$W$10,$V$10,IF(M10=$W$11,$V$11,IF(M10=$W$12,$V$12,IF(M10=$W$13,$V$13,IF(M10=$W$14,$V$14))))))</f>
        <v>Mayor</v>
      </c>
      <c r="P10" s="218" t="s">
        <v>270</v>
      </c>
      <c r="Q10" s="21" t="s">
        <v>271</v>
      </c>
      <c r="R10" s="272">
        <v>0</v>
      </c>
      <c r="S10" s="272">
        <v>2</v>
      </c>
      <c r="T10" s="22">
        <v>0.2</v>
      </c>
      <c r="V10" s="218" t="s">
        <v>272</v>
      </c>
      <c r="W10" s="23">
        <v>0.2</v>
      </c>
      <c r="X10" s="272" t="s">
        <v>273</v>
      </c>
      <c r="Y10" s="275" t="s">
        <v>269</v>
      </c>
    </row>
    <row r="11" spans="1:25" ht="137.44999999999999" customHeight="1" x14ac:dyDescent="0.25">
      <c r="A11" s="19" t="str">
        <f>'2 IDENTIFICACIÓN'!A11</f>
        <v>R2</v>
      </c>
      <c r="B11" s="149" t="str">
        <f>+'2 IDENTIFICACIÓN'!J11</f>
        <v>Posibilidad de afectación reputacional por publicaciones extemporáneas en el SECOP, debido a demoras en la entrega y remisión de la información requerida para la gestión contractual.</v>
      </c>
      <c r="C11" s="151">
        <v>439</v>
      </c>
      <c r="D11" s="127" t="str">
        <f t="shared" si="0"/>
        <v>La actividad que conlleva el riesgo se ejecuta de 24 a 500 veces por año</v>
      </c>
      <c r="E11" s="128">
        <f t="shared" si="1"/>
        <v>0.6</v>
      </c>
      <c r="F11" s="20" t="str">
        <f t="shared" si="2"/>
        <v>Media</v>
      </c>
      <c r="G11" s="135" t="s">
        <v>293</v>
      </c>
      <c r="H11" s="129" t="str">
        <f t="shared" ref="H11:H39" si="6">+IF(G11="","",IF(G11="N/A","",IF(OR(G11=$X$10,G11=$Y$10),$W$10,IF(OR(G11=$X$11,G11=$Y$11),$W$11,IF(OR(G11=$X$12,G11=$Y$12),$W$12,IF(OR(G11=$X$13,G11=$Y$13),$W$13,IF(OR(G11=$X$14,G11=$Y$14),$W$14)))))))</f>
        <v/>
      </c>
      <c r="I11" s="134" t="str">
        <f t="shared" si="3"/>
        <v/>
      </c>
      <c r="J11" s="135" t="s">
        <v>269</v>
      </c>
      <c r="K11" s="129">
        <f t="shared" si="4"/>
        <v>0.2</v>
      </c>
      <c r="L11" s="134" t="str">
        <f t="shared" si="5"/>
        <v>Leve</v>
      </c>
      <c r="M11" s="157">
        <f>+IF(H11="",K11,IF(K11="",H11,IF(H11&gt;K11,H11,K11)))</f>
        <v>0.2</v>
      </c>
      <c r="N11" s="158" t="str">
        <f t="shared" ref="N11:N39" si="7">+IF(M11="","",IF(M11=$W$10,$V$10,IF(M11=$W$11,$V$11,IF(M11=$W$12,$V$12,IF(M11=$W$13,$V$13,IF(M11=$W$14,$V$14))))))</f>
        <v>Leve</v>
      </c>
      <c r="P11" s="219" t="s">
        <v>274</v>
      </c>
      <c r="Q11" s="24" t="s">
        <v>275</v>
      </c>
      <c r="R11" s="272">
        <v>3</v>
      </c>
      <c r="S11" s="272">
        <v>24</v>
      </c>
      <c r="T11" s="22">
        <v>0.4</v>
      </c>
      <c r="V11" s="219" t="s">
        <v>276</v>
      </c>
      <c r="W11" s="23">
        <v>0.4</v>
      </c>
      <c r="X11" s="272" t="s">
        <v>268</v>
      </c>
      <c r="Y11" s="276" t="s">
        <v>277</v>
      </c>
    </row>
    <row r="12" spans="1:25" ht="137.44999999999999" customHeight="1" x14ac:dyDescent="0.25">
      <c r="A12" s="19" t="str">
        <f>'2 IDENTIFICACIÓN'!A12</f>
        <v>R3</v>
      </c>
      <c r="B12" s="149" t="str">
        <f>+'2 IDENTIFICACIÓN'!J12</f>
        <v>Posibilidad de afectación reputacional por posibles investigaciones y sanciones disciplinarias por entes de control, debido a incumplimiento de la Ley 594 del 2000 en los documentos generados por la Secretaría de Educación.</v>
      </c>
      <c r="C12" s="151">
        <v>360</v>
      </c>
      <c r="D12" s="127" t="str">
        <f t="shared" si="0"/>
        <v>La actividad que conlleva el riesgo se ejecuta de 24 a 500 veces por año</v>
      </c>
      <c r="E12" s="128">
        <f t="shared" si="1"/>
        <v>0.6</v>
      </c>
      <c r="F12" s="20" t="str">
        <f t="shared" si="2"/>
        <v>Media</v>
      </c>
      <c r="G12" s="135" t="s">
        <v>293</v>
      </c>
      <c r="H12" s="129" t="str">
        <f t="shared" si="6"/>
        <v/>
      </c>
      <c r="I12" s="134" t="str">
        <f t="shared" si="3"/>
        <v/>
      </c>
      <c r="J12" s="135" t="s">
        <v>282</v>
      </c>
      <c r="K12" s="129">
        <f t="shared" si="4"/>
        <v>0.6</v>
      </c>
      <c r="L12" s="134" t="str">
        <f t="shared" si="5"/>
        <v>Moderado</v>
      </c>
      <c r="M12" s="157">
        <f t="shared" ref="M12:M39" si="8">+IF(H12="",K12,IF(K12="",H12,IF(H12&gt;K12,H12,K12)))</f>
        <v>0.6</v>
      </c>
      <c r="N12" s="158" t="str">
        <f t="shared" si="7"/>
        <v>Moderado</v>
      </c>
      <c r="P12" s="220" t="s">
        <v>278</v>
      </c>
      <c r="Q12" s="24" t="s">
        <v>279</v>
      </c>
      <c r="R12" s="272">
        <v>25</v>
      </c>
      <c r="S12" s="272">
        <v>500</v>
      </c>
      <c r="T12" s="22">
        <v>0.6</v>
      </c>
      <c r="V12" s="220" t="s">
        <v>280</v>
      </c>
      <c r="W12" s="23">
        <v>0.6</v>
      </c>
      <c r="X12" s="272" t="s">
        <v>281</v>
      </c>
      <c r="Y12" s="276" t="s">
        <v>282</v>
      </c>
    </row>
    <row r="13" spans="1:25" ht="137.44999999999999" customHeight="1" x14ac:dyDescent="0.25">
      <c r="A13" s="19" t="str">
        <f>'2 IDENTIFICACIÓN'!A13</f>
        <v>R4</v>
      </c>
      <c r="B13" s="149"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13" s="151">
        <v>2</v>
      </c>
      <c r="D13" s="127" t="str">
        <f t="shared" si="0"/>
        <v>La actividad que conlleva el riesgo se ejecuta como máximos 2 veces por año</v>
      </c>
      <c r="E13" s="128">
        <f t="shared" si="1"/>
        <v>0.2</v>
      </c>
      <c r="F13" s="20" t="str">
        <f t="shared" si="2"/>
        <v>Muy Baja</v>
      </c>
      <c r="G13" s="135" t="s">
        <v>293</v>
      </c>
      <c r="H13" s="129" t="str">
        <f t="shared" si="6"/>
        <v/>
      </c>
      <c r="I13" s="134" t="str">
        <f t="shared" si="3"/>
        <v/>
      </c>
      <c r="J13" s="135" t="s">
        <v>282</v>
      </c>
      <c r="K13" s="129">
        <f t="shared" si="4"/>
        <v>0.6</v>
      </c>
      <c r="L13" s="134" t="str">
        <f t="shared" si="5"/>
        <v>Moderado</v>
      </c>
      <c r="M13" s="157">
        <f t="shared" si="8"/>
        <v>0.6</v>
      </c>
      <c r="N13" s="158" t="str">
        <f t="shared" si="7"/>
        <v>Moderado</v>
      </c>
      <c r="P13" s="25" t="s">
        <v>283</v>
      </c>
      <c r="Q13" s="24" t="s">
        <v>284</v>
      </c>
      <c r="R13" s="272">
        <v>501</v>
      </c>
      <c r="S13" s="272">
        <v>5000</v>
      </c>
      <c r="T13" s="22">
        <v>0.8</v>
      </c>
      <c r="V13" s="25" t="s">
        <v>285</v>
      </c>
      <c r="W13" s="23">
        <v>0.8</v>
      </c>
      <c r="X13" s="272" t="s">
        <v>286</v>
      </c>
      <c r="Y13" s="276" t="s">
        <v>287</v>
      </c>
    </row>
    <row r="14" spans="1:25" ht="137.44999999999999" customHeight="1" thickBot="1" x14ac:dyDescent="0.3">
      <c r="A14" s="19" t="str">
        <f>'2 IDENTIFICACIÓN'!A14</f>
        <v>R5</v>
      </c>
      <c r="B14" s="149"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4" s="151">
        <v>243</v>
      </c>
      <c r="D14" s="127" t="str">
        <f t="shared" si="0"/>
        <v>La actividad que conlleva el riesgo se ejecuta de 24 a 500 veces por año</v>
      </c>
      <c r="E14" s="128">
        <f t="shared" si="1"/>
        <v>0.6</v>
      </c>
      <c r="F14" s="20" t="str">
        <f t="shared" si="2"/>
        <v>Media</v>
      </c>
      <c r="G14" s="135" t="s">
        <v>293</v>
      </c>
      <c r="H14" s="129" t="str">
        <f t="shared" si="6"/>
        <v/>
      </c>
      <c r="I14" s="134" t="str">
        <f t="shared" si="3"/>
        <v/>
      </c>
      <c r="J14" s="135" t="s">
        <v>282</v>
      </c>
      <c r="K14" s="129">
        <f t="shared" si="4"/>
        <v>0.6</v>
      </c>
      <c r="L14" s="134" t="str">
        <f t="shared" si="5"/>
        <v>Moderado</v>
      </c>
      <c r="M14" s="157">
        <f t="shared" si="8"/>
        <v>0.6</v>
      </c>
      <c r="N14" s="158" t="str">
        <f t="shared" si="7"/>
        <v>Moderado</v>
      </c>
      <c r="P14" s="269" t="s">
        <v>288</v>
      </c>
      <c r="Q14" s="270" t="s">
        <v>289</v>
      </c>
      <c r="R14" s="273">
        <v>5001</v>
      </c>
      <c r="S14" s="273"/>
      <c r="T14" s="271">
        <v>1</v>
      </c>
      <c r="V14" s="269" t="s">
        <v>290</v>
      </c>
      <c r="W14" s="274">
        <v>1</v>
      </c>
      <c r="X14" s="273" t="s">
        <v>291</v>
      </c>
      <c r="Y14" s="277" t="s">
        <v>292</v>
      </c>
    </row>
    <row r="15" spans="1:25" ht="137.44999999999999" customHeight="1" x14ac:dyDescent="0.25">
      <c r="A15" s="19" t="str">
        <f>'2 IDENTIFICACIÓN'!A15</f>
        <v>R6</v>
      </c>
      <c r="B15" s="149" t="str">
        <f>+'2 IDENTIFICACIÓN'!J15</f>
        <v>Posibilidad de afectación reputacional por investigaciones y sanciones disciplinarias por entes de control, debido a la falta de seguimiento al cumplimiento de metas del Plan de Desarrollo Municipal programadas para la vigencia.</v>
      </c>
      <c r="C15" s="151">
        <v>24</v>
      </c>
      <c r="D15" s="127" t="str">
        <f t="shared" si="0"/>
        <v>La actividad que conlleva el riesgo se ejecuta de 3 a 24 veces por año</v>
      </c>
      <c r="E15" s="128">
        <f t="shared" si="1"/>
        <v>0.4</v>
      </c>
      <c r="F15" s="20" t="str">
        <f t="shared" si="2"/>
        <v>Baja</v>
      </c>
      <c r="G15" s="135" t="s">
        <v>293</v>
      </c>
      <c r="H15" s="129" t="str">
        <f t="shared" si="6"/>
        <v/>
      </c>
      <c r="I15" s="134" t="str">
        <f t="shared" si="3"/>
        <v/>
      </c>
      <c r="J15" s="135" t="s">
        <v>282</v>
      </c>
      <c r="K15" s="129">
        <f t="shared" si="4"/>
        <v>0.6</v>
      </c>
      <c r="L15" s="134" t="str">
        <f t="shared" si="5"/>
        <v>Moderado</v>
      </c>
      <c r="M15" s="157">
        <f t="shared" si="8"/>
        <v>0.6</v>
      </c>
      <c r="N15" s="158" t="str">
        <f t="shared" si="7"/>
        <v>Moderado</v>
      </c>
      <c r="P15" s="27"/>
      <c r="X15" s="27" t="s">
        <v>293</v>
      </c>
      <c r="Y15" s="27" t="s">
        <v>293</v>
      </c>
    </row>
    <row r="16" spans="1:25" ht="137.44999999999999" customHeight="1" x14ac:dyDescent="0.25">
      <c r="A16" s="19" t="str">
        <f>'2 IDENTIFICACIÓN'!A16</f>
        <v>R7</v>
      </c>
      <c r="B16" s="149"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16" s="151">
        <v>360</v>
      </c>
      <c r="D16" s="127" t="str">
        <f t="shared" si="0"/>
        <v>La actividad que conlleva el riesgo se ejecuta de 24 a 500 veces por año</v>
      </c>
      <c r="E16" s="128">
        <f t="shared" si="1"/>
        <v>0.6</v>
      </c>
      <c r="F16" s="20" t="str">
        <f t="shared" si="2"/>
        <v>Media</v>
      </c>
      <c r="G16" s="135" t="s">
        <v>291</v>
      </c>
      <c r="H16" s="129">
        <f t="shared" si="6"/>
        <v>1</v>
      </c>
      <c r="I16" s="134" t="str">
        <f t="shared" si="3"/>
        <v>Catastrófico</v>
      </c>
      <c r="J16" s="135" t="s">
        <v>293</v>
      </c>
      <c r="K16" s="129" t="str">
        <f t="shared" si="4"/>
        <v/>
      </c>
      <c r="L16" s="134" t="str">
        <f t="shared" si="5"/>
        <v/>
      </c>
      <c r="M16" s="157">
        <f t="shared" si="8"/>
        <v>1</v>
      </c>
      <c r="N16" s="158" t="str">
        <f t="shared" si="7"/>
        <v>Catastrófico</v>
      </c>
    </row>
    <row r="17" spans="1:14" ht="149.25" customHeight="1" x14ac:dyDescent="0.25">
      <c r="A17" s="19" t="str">
        <f>'2 IDENTIFICACIÓN'!A17</f>
        <v>R8</v>
      </c>
      <c r="B17" s="149"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17" s="151">
        <v>70</v>
      </c>
      <c r="D17" s="127" t="str">
        <f t="shared" si="0"/>
        <v>La actividad que conlleva el riesgo se ejecuta de 24 a 500 veces por año</v>
      </c>
      <c r="E17" s="128">
        <f t="shared" si="1"/>
        <v>0.6</v>
      </c>
      <c r="F17" s="20" t="str">
        <f t="shared" si="2"/>
        <v>Media</v>
      </c>
      <c r="G17" s="135" t="s">
        <v>291</v>
      </c>
      <c r="H17" s="129">
        <f t="shared" si="6"/>
        <v>1</v>
      </c>
      <c r="I17" s="134" t="str">
        <f t="shared" si="3"/>
        <v>Catastrófico</v>
      </c>
      <c r="J17" s="135" t="s">
        <v>293</v>
      </c>
      <c r="K17" s="129" t="str">
        <f t="shared" si="4"/>
        <v/>
      </c>
      <c r="L17" s="134" t="str">
        <f t="shared" si="5"/>
        <v/>
      </c>
      <c r="M17" s="157">
        <f t="shared" si="8"/>
        <v>1</v>
      </c>
      <c r="N17" s="158" t="str">
        <f t="shared" si="7"/>
        <v>Catastrófico</v>
      </c>
    </row>
    <row r="18" spans="1:14" ht="137.44999999999999" customHeight="1" x14ac:dyDescent="0.25">
      <c r="A18" s="19" t="str">
        <f>'2 IDENTIFICACIÓN'!A18</f>
        <v>R9</v>
      </c>
      <c r="B18" s="149" t="str">
        <f>+'2 IDENTIFICACIÓN'!J18</f>
        <v>Posibilidad  de efecto dañoso sobre el recurso público por pago de sanción e intereses moratorios, debido a  trámite inoportuno a los requerimientos de los entes de control y vigilancia, de acuerdo con sus lineamientos y términos de ley.</v>
      </c>
      <c r="C18" s="151">
        <v>213</v>
      </c>
      <c r="D18" s="127" t="str">
        <f t="shared" si="0"/>
        <v>La actividad que conlleva el riesgo se ejecuta de 24 a 500 veces por año</v>
      </c>
      <c r="E18" s="128">
        <f t="shared" si="1"/>
        <v>0.6</v>
      </c>
      <c r="F18" s="20" t="str">
        <f t="shared" si="2"/>
        <v>Media</v>
      </c>
      <c r="G18" s="135" t="s">
        <v>268</v>
      </c>
      <c r="H18" s="129">
        <f t="shared" si="6"/>
        <v>0.4</v>
      </c>
      <c r="I18" s="134" t="str">
        <f t="shared" si="3"/>
        <v>Menor</v>
      </c>
      <c r="J18" s="135" t="s">
        <v>293</v>
      </c>
      <c r="K18" s="129" t="str">
        <f t="shared" si="4"/>
        <v/>
      </c>
      <c r="L18" s="134" t="str">
        <f t="shared" si="5"/>
        <v/>
      </c>
      <c r="M18" s="157">
        <f t="shared" si="8"/>
        <v>0.4</v>
      </c>
      <c r="N18" s="158" t="str">
        <f t="shared" si="7"/>
        <v>Menor</v>
      </c>
    </row>
    <row r="19" spans="1:14" ht="150.75" customHeight="1" x14ac:dyDescent="0.25">
      <c r="A19" s="19" t="str">
        <f>'2 IDENTIFICACIÓN'!A19</f>
        <v>R10</v>
      </c>
      <c r="B19" s="149"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19" s="151">
        <v>11</v>
      </c>
      <c r="D19" s="127" t="str">
        <f t="shared" si="0"/>
        <v>La actividad que conlleva el riesgo se ejecuta de 3 a 24 veces por año</v>
      </c>
      <c r="E19" s="128">
        <f t="shared" si="1"/>
        <v>0.4</v>
      </c>
      <c r="F19" s="20" t="str">
        <f t="shared" si="2"/>
        <v>Baja</v>
      </c>
      <c r="G19" s="135" t="s">
        <v>291</v>
      </c>
      <c r="H19" s="129">
        <f t="shared" si="6"/>
        <v>1</v>
      </c>
      <c r="I19" s="134" t="str">
        <f t="shared" si="3"/>
        <v>Catastrófico</v>
      </c>
      <c r="J19" s="135" t="s">
        <v>282</v>
      </c>
      <c r="K19" s="129">
        <f t="shared" si="4"/>
        <v>0.6</v>
      </c>
      <c r="L19" s="134" t="str">
        <f t="shared" si="5"/>
        <v>Moderado</v>
      </c>
      <c r="M19" s="157">
        <f t="shared" si="8"/>
        <v>1</v>
      </c>
      <c r="N19" s="158" t="str">
        <f t="shared" si="7"/>
        <v>Catastrófico</v>
      </c>
    </row>
    <row r="20" spans="1:14" ht="137.44999999999999" customHeight="1" x14ac:dyDescent="0.25">
      <c r="A20" s="19" t="str">
        <f>'2 IDENTIFICACIÓN'!A20</f>
        <v>R11</v>
      </c>
      <c r="B20" s="149"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20" s="151">
        <v>2</v>
      </c>
      <c r="D20" s="127" t="str">
        <f t="shared" si="0"/>
        <v>La actividad que conlleva el riesgo se ejecuta como máximos 2 veces por año</v>
      </c>
      <c r="E20" s="128">
        <f t="shared" si="1"/>
        <v>0.2</v>
      </c>
      <c r="F20" s="20" t="str">
        <f t="shared" si="2"/>
        <v>Muy Baja</v>
      </c>
      <c r="G20" s="135" t="s">
        <v>293</v>
      </c>
      <c r="H20" s="129" t="str">
        <f t="shared" si="6"/>
        <v/>
      </c>
      <c r="I20" s="134" t="str">
        <f t="shared" si="3"/>
        <v/>
      </c>
      <c r="J20" s="135" t="s">
        <v>269</v>
      </c>
      <c r="K20" s="129">
        <f t="shared" si="4"/>
        <v>0.2</v>
      </c>
      <c r="L20" s="134" t="str">
        <f t="shared" si="5"/>
        <v>Leve</v>
      </c>
      <c r="M20" s="157">
        <f t="shared" si="8"/>
        <v>0.2</v>
      </c>
      <c r="N20" s="158" t="str">
        <f t="shared" si="7"/>
        <v>Leve</v>
      </c>
    </row>
    <row r="21" spans="1:14" ht="162" customHeight="1" x14ac:dyDescent="0.25">
      <c r="A21" s="19" t="str">
        <f>'2 IDENTIFICACIÓN'!A21</f>
        <v>R12</v>
      </c>
      <c r="B21" s="149"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21" s="151">
        <v>3100</v>
      </c>
      <c r="D21" s="127" t="str">
        <f t="shared" si="0"/>
        <v>La actividad que conlleva el riesgo se ejecuta mínimo 500 veces al año y máximo 5.000 veces por año</v>
      </c>
      <c r="E21" s="128">
        <f t="shared" si="1"/>
        <v>0.8</v>
      </c>
      <c r="F21" s="20" t="str">
        <f t="shared" si="2"/>
        <v>Alta</v>
      </c>
      <c r="G21" s="135" t="s">
        <v>293</v>
      </c>
      <c r="H21" s="129" t="str">
        <f t="shared" si="6"/>
        <v/>
      </c>
      <c r="I21" s="134" t="str">
        <f t="shared" si="3"/>
        <v/>
      </c>
      <c r="J21" s="135" t="s">
        <v>269</v>
      </c>
      <c r="K21" s="129">
        <f t="shared" si="4"/>
        <v>0.2</v>
      </c>
      <c r="L21" s="134" t="str">
        <f t="shared" si="5"/>
        <v>Leve</v>
      </c>
      <c r="M21" s="157">
        <f t="shared" si="8"/>
        <v>0.2</v>
      </c>
      <c r="N21" s="158" t="str">
        <f t="shared" si="7"/>
        <v>Leve</v>
      </c>
    </row>
    <row r="22" spans="1:14" ht="156.6" customHeight="1" x14ac:dyDescent="0.25">
      <c r="A22" s="19" t="str">
        <f>'2 IDENTIFICACIÓN'!A22</f>
        <v>R13</v>
      </c>
      <c r="B22" s="149"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22" s="151">
        <v>68647</v>
      </c>
      <c r="D22" s="127" t="str">
        <f t="shared" si="0"/>
        <v>La actividad que conlleva el riesgo se ejecuta más de 5.000 veces por año</v>
      </c>
      <c r="E22" s="128">
        <f t="shared" si="1"/>
        <v>1</v>
      </c>
      <c r="F22" s="20" t="str">
        <f t="shared" si="2"/>
        <v>Muy Alta</v>
      </c>
      <c r="G22" s="135" t="s">
        <v>293</v>
      </c>
      <c r="H22" s="129" t="str">
        <f t="shared" si="6"/>
        <v/>
      </c>
      <c r="I22" s="134" t="str">
        <f t="shared" si="3"/>
        <v/>
      </c>
      <c r="J22" s="135" t="s">
        <v>287</v>
      </c>
      <c r="K22" s="129">
        <f t="shared" si="4"/>
        <v>0.8</v>
      </c>
      <c r="L22" s="134" t="str">
        <f t="shared" si="5"/>
        <v>Mayor</v>
      </c>
      <c r="M22" s="157">
        <f t="shared" si="8"/>
        <v>0.8</v>
      </c>
      <c r="N22" s="158" t="str">
        <f t="shared" si="7"/>
        <v>Mayor</v>
      </c>
    </row>
    <row r="23" spans="1:14" ht="170.1" customHeight="1" x14ac:dyDescent="0.25">
      <c r="A23" s="19" t="str">
        <f>'2 IDENTIFICACIÓN'!A23</f>
        <v>R14</v>
      </c>
      <c r="B23" s="149"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23" s="151">
        <v>2800</v>
      </c>
      <c r="D23" s="127" t="str">
        <f t="shared" si="0"/>
        <v>La actividad que conlleva el riesgo se ejecuta mínimo 500 veces al año y máximo 5.000 veces por año</v>
      </c>
      <c r="E23" s="128">
        <f t="shared" si="1"/>
        <v>0.8</v>
      </c>
      <c r="F23" s="20" t="str">
        <f t="shared" si="2"/>
        <v>Alta</v>
      </c>
      <c r="G23" s="135" t="s">
        <v>293</v>
      </c>
      <c r="H23" s="129" t="str">
        <f t="shared" si="6"/>
        <v/>
      </c>
      <c r="I23" s="134" t="str">
        <f t="shared" si="3"/>
        <v/>
      </c>
      <c r="J23" s="135" t="s">
        <v>282</v>
      </c>
      <c r="K23" s="129">
        <f t="shared" si="4"/>
        <v>0.6</v>
      </c>
      <c r="L23" s="134" t="str">
        <f t="shared" si="5"/>
        <v>Moderado</v>
      </c>
      <c r="M23" s="157">
        <f t="shared" si="8"/>
        <v>0.6</v>
      </c>
      <c r="N23" s="158" t="str">
        <f t="shared" si="7"/>
        <v>Moderado</v>
      </c>
    </row>
    <row r="24" spans="1:14" ht="166.5" customHeight="1" x14ac:dyDescent="0.25">
      <c r="A24" s="19" t="str">
        <f>'2 IDENTIFICACIÓN'!A24</f>
        <v>R15</v>
      </c>
      <c r="B24" s="149"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24" s="151">
        <v>11</v>
      </c>
      <c r="D24" s="127" t="str">
        <f t="shared" si="0"/>
        <v>La actividad que conlleva el riesgo se ejecuta de 3 a 24 veces por año</v>
      </c>
      <c r="E24" s="128">
        <f t="shared" si="1"/>
        <v>0.4</v>
      </c>
      <c r="F24" s="20" t="str">
        <f t="shared" si="2"/>
        <v>Baja</v>
      </c>
      <c r="G24" s="135" t="s">
        <v>293</v>
      </c>
      <c r="H24" s="129" t="str">
        <f t="shared" si="6"/>
        <v/>
      </c>
      <c r="I24" s="134" t="str">
        <f t="shared" si="3"/>
        <v/>
      </c>
      <c r="J24" s="135" t="s">
        <v>287</v>
      </c>
      <c r="K24" s="129">
        <f t="shared" si="4"/>
        <v>0.8</v>
      </c>
      <c r="L24" s="134" t="str">
        <f t="shared" si="5"/>
        <v>Mayor</v>
      </c>
      <c r="M24" s="157">
        <f t="shared" si="8"/>
        <v>0.8</v>
      </c>
      <c r="N24" s="158" t="str">
        <f t="shared" si="7"/>
        <v>Mayor</v>
      </c>
    </row>
    <row r="25" spans="1:14" ht="117" customHeight="1" x14ac:dyDescent="0.25">
      <c r="A25" s="19" t="str">
        <f>'2 IDENTIFICACIÓN'!A25</f>
        <v>R16</v>
      </c>
      <c r="B25" s="149"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25" s="151">
        <v>439</v>
      </c>
      <c r="D25" s="127" t="str">
        <f t="shared" si="0"/>
        <v>La actividad que conlleva el riesgo se ejecuta de 24 a 500 veces por año</v>
      </c>
      <c r="E25" s="128">
        <f t="shared" si="1"/>
        <v>0.6</v>
      </c>
      <c r="F25" s="20" t="str">
        <f t="shared" si="2"/>
        <v>Media</v>
      </c>
      <c r="G25" s="135" t="s">
        <v>293</v>
      </c>
      <c r="H25" s="129" t="str">
        <f t="shared" si="6"/>
        <v/>
      </c>
      <c r="I25" s="134" t="str">
        <f t="shared" si="3"/>
        <v/>
      </c>
      <c r="J25" s="135" t="s">
        <v>282</v>
      </c>
      <c r="K25" s="129">
        <f t="shared" si="4"/>
        <v>0.6</v>
      </c>
      <c r="L25" s="134" t="str">
        <f t="shared" si="5"/>
        <v>Moderado</v>
      </c>
      <c r="M25" s="157">
        <f t="shared" si="8"/>
        <v>0.6</v>
      </c>
      <c r="N25" s="158" t="str">
        <f t="shared" si="7"/>
        <v>Moderado</v>
      </c>
    </row>
    <row r="26" spans="1:14" ht="146.25" customHeight="1" x14ac:dyDescent="0.25">
      <c r="A26" s="19" t="str">
        <f>'2 IDENTIFICACIÓN'!A26</f>
        <v>R17</v>
      </c>
      <c r="B26" s="149"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6" s="151">
        <v>10</v>
      </c>
      <c r="D26" s="127" t="str">
        <f t="shared" si="0"/>
        <v>La actividad que conlleva el riesgo se ejecuta de 3 a 24 veces por año</v>
      </c>
      <c r="E26" s="128">
        <f t="shared" si="1"/>
        <v>0.4</v>
      </c>
      <c r="F26" s="20" t="str">
        <f t="shared" si="2"/>
        <v>Baja</v>
      </c>
      <c r="G26" s="135" t="s">
        <v>281</v>
      </c>
      <c r="H26" s="129">
        <f t="shared" si="6"/>
        <v>0.6</v>
      </c>
      <c r="I26" s="134" t="str">
        <f t="shared" si="3"/>
        <v>Moderado</v>
      </c>
      <c r="J26" s="135"/>
      <c r="K26" s="129" t="str">
        <f t="shared" si="4"/>
        <v/>
      </c>
      <c r="L26" s="134" t="str">
        <f t="shared" si="5"/>
        <v/>
      </c>
      <c r="M26" s="157">
        <f t="shared" si="8"/>
        <v>0.6</v>
      </c>
      <c r="N26" s="158" t="str">
        <f t="shared" si="7"/>
        <v>Moderado</v>
      </c>
    </row>
    <row r="27" spans="1:14" ht="93" hidden="1" customHeight="1" x14ac:dyDescent="0.25">
      <c r="A27" s="19" t="str">
        <f>'2 IDENTIFICACIÓN'!A27</f>
        <v>R18</v>
      </c>
      <c r="B27" s="149" t="str">
        <f>+'2 IDENTIFICACIÓN'!J27</f>
        <v xml:space="preserve"> por  debido a </v>
      </c>
      <c r="C27" s="151"/>
      <c r="D27" s="127" t="str">
        <f t="shared" si="0"/>
        <v/>
      </c>
      <c r="E27" s="128" t="str">
        <f t="shared" si="1"/>
        <v/>
      </c>
      <c r="F27" s="20" t="str">
        <f t="shared" si="2"/>
        <v/>
      </c>
      <c r="G27" s="135"/>
      <c r="H27" s="129" t="str">
        <f t="shared" si="6"/>
        <v/>
      </c>
      <c r="I27" s="134" t="str">
        <f t="shared" si="3"/>
        <v/>
      </c>
      <c r="J27" s="135"/>
      <c r="K27" s="129" t="str">
        <f t="shared" si="4"/>
        <v/>
      </c>
      <c r="L27" s="134" t="str">
        <f t="shared" si="5"/>
        <v/>
      </c>
      <c r="M27" s="157" t="str">
        <f t="shared" si="8"/>
        <v/>
      </c>
      <c r="N27" s="158" t="str">
        <f t="shared" si="7"/>
        <v/>
      </c>
    </row>
    <row r="28" spans="1:14" ht="93" hidden="1" customHeight="1" x14ac:dyDescent="0.25">
      <c r="A28" s="19" t="str">
        <f>'2 IDENTIFICACIÓN'!A28</f>
        <v>R19</v>
      </c>
      <c r="B28" s="149" t="str">
        <f>+'2 IDENTIFICACIÓN'!J28</f>
        <v xml:space="preserve"> por  debido a </v>
      </c>
      <c r="C28" s="151"/>
      <c r="D28" s="127" t="str">
        <f t="shared" si="0"/>
        <v/>
      </c>
      <c r="E28" s="128" t="str">
        <f t="shared" si="1"/>
        <v/>
      </c>
      <c r="F28" s="20" t="str">
        <f t="shared" si="2"/>
        <v/>
      </c>
      <c r="G28" s="135"/>
      <c r="H28" s="129" t="str">
        <f t="shared" si="6"/>
        <v/>
      </c>
      <c r="I28" s="134" t="str">
        <f t="shared" si="3"/>
        <v/>
      </c>
      <c r="J28" s="135"/>
      <c r="K28" s="129" t="str">
        <f t="shared" si="4"/>
        <v/>
      </c>
      <c r="L28" s="134" t="str">
        <f t="shared" si="5"/>
        <v/>
      </c>
      <c r="M28" s="157" t="str">
        <f t="shared" si="8"/>
        <v/>
      </c>
      <c r="N28" s="158" t="str">
        <f t="shared" si="7"/>
        <v/>
      </c>
    </row>
    <row r="29" spans="1:14" ht="93" hidden="1" customHeight="1" x14ac:dyDescent="0.25">
      <c r="A29" s="19" t="str">
        <f>'2 IDENTIFICACIÓN'!A29</f>
        <v>R20</v>
      </c>
      <c r="B29" s="149" t="str">
        <f>+'2 IDENTIFICACIÓN'!J29</f>
        <v xml:space="preserve"> por  debido a </v>
      </c>
      <c r="C29" s="267"/>
      <c r="D29" s="127" t="str">
        <f t="shared" si="0"/>
        <v/>
      </c>
      <c r="E29" s="128" t="str">
        <f t="shared" si="1"/>
        <v/>
      </c>
      <c r="F29" s="20" t="str">
        <f t="shared" si="2"/>
        <v/>
      </c>
      <c r="G29" s="268"/>
      <c r="H29" s="129" t="str">
        <f t="shared" si="6"/>
        <v/>
      </c>
      <c r="I29" s="134" t="str">
        <f t="shared" si="3"/>
        <v/>
      </c>
      <c r="J29" s="268"/>
      <c r="K29" s="129" t="str">
        <f t="shared" si="4"/>
        <v/>
      </c>
      <c r="L29" s="134" t="str">
        <f t="shared" si="5"/>
        <v/>
      </c>
      <c r="M29" s="157" t="str">
        <f t="shared" si="8"/>
        <v/>
      </c>
      <c r="N29" s="158" t="str">
        <f t="shared" si="7"/>
        <v/>
      </c>
    </row>
    <row r="30" spans="1:14" ht="93" hidden="1" customHeight="1" x14ac:dyDescent="0.25">
      <c r="A30" s="19" t="str">
        <f>'2 IDENTIFICACIÓN'!A30</f>
        <v>R21</v>
      </c>
      <c r="B30" s="149" t="str">
        <f>+'2 IDENTIFICACIÓN'!J30</f>
        <v xml:space="preserve"> por  debido a </v>
      </c>
      <c r="C30" s="267"/>
      <c r="D30" s="127" t="str">
        <f t="shared" si="0"/>
        <v/>
      </c>
      <c r="E30" s="128" t="str">
        <f t="shared" si="1"/>
        <v/>
      </c>
      <c r="F30" s="20" t="str">
        <f t="shared" si="2"/>
        <v/>
      </c>
      <c r="G30" s="268"/>
      <c r="H30" s="129" t="str">
        <f t="shared" si="6"/>
        <v/>
      </c>
      <c r="I30" s="134" t="str">
        <f t="shared" si="3"/>
        <v/>
      </c>
      <c r="J30" s="268"/>
      <c r="K30" s="129" t="str">
        <f t="shared" si="4"/>
        <v/>
      </c>
      <c r="L30" s="134" t="str">
        <f t="shared" si="5"/>
        <v/>
      </c>
      <c r="M30" s="157" t="str">
        <f t="shared" si="8"/>
        <v/>
      </c>
      <c r="N30" s="158" t="str">
        <f t="shared" si="7"/>
        <v/>
      </c>
    </row>
    <row r="31" spans="1:14" ht="93" hidden="1" customHeight="1" x14ac:dyDescent="0.25">
      <c r="A31" s="19" t="str">
        <f>'2 IDENTIFICACIÓN'!A31</f>
        <v>R22</v>
      </c>
      <c r="B31" s="149" t="str">
        <f>+'2 IDENTIFICACIÓN'!J31</f>
        <v xml:space="preserve"> por  debido a </v>
      </c>
      <c r="C31" s="267"/>
      <c r="D31" s="127" t="str">
        <f t="shared" si="0"/>
        <v/>
      </c>
      <c r="E31" s="128" t="str">
        <f t="shared" si="1"/>
        <v/>
      </c>
      <c r="F31" s="20" t="str">
        <f t="shared" si="2"/>
        <v/>
      </c>
      <c r="G31" s="268"/>
      <c r="H31" s="129" t="str">
        <f t="shared" si="6"/>
        <v/>
      </c>
      <c r="I31" s="134" t="str">
        <f t="shared" si="3"/>
        <v/>
      </c>
      <c r="J31" s="268"/>
      <c r="K31" s="129" t="str">
        <f t="shared" si="4"/>
        <v/>
      </c>
      <c r="L31" s="134" t="str">
        <f t="shared" si="5"/>
        <v/>
      </c>
      <c r="M31" s="157" t="str">
        <f t="shared" si="8"/>
        <v/>
      </c>
      <c r="N31" s="158" t="str">
        <f t="shared" si="7"/>
        <v/>
      </c>
    </row>
    <row r="32" spans="1:14" ht="93" hidden="1" customHeight="1" x14ac:dyDescent="0.25">
      <c r="A32" s="19" t="str">
        <f>'2 IDENTIFICACIÓN'!A32</f>
        <v>R23</v>
      </c>
      <c r="B32" s="149" t="str">
        <f>+'2 IDENTIFICACIÓN'!J32</f>
        <v xml:space="preserve"> por  debido a </v>
      </c>
      <c r="C32" s="267"/>
      <c r="D32" s="127" t="str">
        <f t="shared" si="0"/>
        <v/>
      </c>
      <c r="E32" s="128" t="str">
        <f t="shared" si="1"/>
        <v/>
      </c>
      <c r="F32" s="20" t="str">
        <f t="shared" si="2"/>
        <v/>
      </c>
      <c r="G32" s="268"/>
      <c r="H32" s="129" t="str">
        <f t="shared" si="6"/>
        <v/>
      </c>
      <c r="I32" s="134" t="str">
        <f t="shared" si="3"/>
        <v/>
      </c>
      <c r="J32" s="268"/>
      <c r="K32" s="129" t="str">
        <f t="shared" si="4"/>
        <v/>
      </c>
      <c r="L32" s="134" t="str">
        <f t="shared" si="5"/>
        <v/>
      </c>
      <c r="M32" s="157" t="str">
        <f t="shared" si="8"/>
        <v/>
      </c>
      <c r="N32" s="158" t="str">
        <f t="shared" si="7"/>
        <v/>
      </c>
    </row>
    <row r="33" spans="1:14" ht="93" hidden="1" customHeight="1" x14ac:dyDescent="0.25">
      <c r="A33" s="19" t="str">
        <f>'2 IDENTIFICACIÓN'!A33</f>
        <v>R24</v>
      </c>
      <c r="B33" s="149" t="str">
        <f>+'2 IDENTIFICACIÓN'!J33</f>
        <v xml:space="preserve"> por  debido a </v>
      </c>
      <c r="C33" s="267"/>
      <c r="D33" s="127" t="str">
        <f t="shared" si="0"/>
        <v/>
      </c>
      <c r="E33" s="128" t="str">
        <f t="shared" si="1"/>
        <v/>
      </c>
      <c r="F33" s="20" t="str">
        <f t="shared" si="2"/>
        <v/>
      </c>
      <c r="G33" s="268"/>
      <c r="H33" s="129" t="str">
        <f t="shared" si="6"/>
        <v/>
      </c>
      <c r="I33" s="134" t="str">
        <f t="shared" si="3"/>
        <v/>
      </c>
      <c r="J33" s="268"/>
      <c r="K33" s="129" t="str">
        <f t="shared" si="4"/>
        <v/>
      </c>
      <c r="L33" s="134" t="str">
        <f t="shared" si="5"/>
        <v/>
      </c>
      <c r="M33" s="157" t="str">
        <f t="shared" si="8"/>
        <v/>
      </c>
      <c r="N33" s="158" t="str">
        <f t="shared" si="7"/>
        <v/>
      </c>
    </row>
    <row r="34" spans="1:14" ht="93" hidden="1" customHeight="1" x14ac:dyDescent="0.25">
      <c r="A34" s="19" t="str">
        <f>'2 IDENTIFICACIÓN'!A34</f>
        <v>R25</v>
      </c>
      <c r="B34" s="149" t="str">
        <f>+'2 IDENTIFICACIÓN'!J34</f>
        <v xml:space="preserve"> por  debido a </v>
      </c>
      <c r="C34" s="267"/>
      <c r="D34" s="127" t="str">
        <f t="shared" si="0"/>
        <v/>
      </c>
      <c r="E34" s="128" t="str">
        <f t="shared" si="1"/>
        <v/>
      </c>
      <c r="F34" s="20" t="str">
        <f t="shared" si="2"/>
        <v/>
      </c>
      <c r="G34" s="268"/>
      <c r="H34" s="129" t="str">
        <f t="shared" si="6"/>
        <v/>
      </c>
      <c r="I34" s="134" t="str">
        <f t="shared" si="3"/>
        <v/>
      </c>
      <c r="J34" s="268"/>
      <c r="K34" s="129" t="str">
        <f t="shared" si="4"/>
        <v/>
      </c>
      <c r="L34" s="134" t="str">
        <f t="shared" si="5"/>
        <v/>
      </c>
      <c r="M34" s="157" t="str">
        <f t="shared" si="8"/>
        <v/>
      </c>
      <c r="N34" s="158" t="str">
        <f t="shared" si="7"/>
        <v/>
      </c>
    </row>
    <row r="35" spans="1:14" ht="93" hidden="1" customHeight="1" x14ac:dyDescent="0.25">
      <c r="A35" s="19" t="str">
        <f>'2 IDENTIFICACIÓN'!A35</f>
        <v>R26</v>
      </c>
      <c r="B35" s="149" t="str">
        <f>+'2 IDENTIFICACIÓN'!J35</f>
        <v xml:space="preserve"> por  debido a </v>
      </c>
      <c r="C35" s="267"/>
      <c r="D35" s="127" t="str">
        <f t="shared" si="0"/>
        <v/>
      </c>
      <c r="E35" s="128" t="str">
        <f t="shared" si="1"/>
        <v/>
      </c>
      <c r="F35" s="20" t="str">
        <f t="shared" si="2"/>
        <v/>
      </c>
      <c r="G35" s="268"/>
      <c r="H35" s="129" t="str">
        <f t="shared" si="6"/>
        <v/>
      </c>
      <c r="I35" s="134" t="str">
        <f t="shared" si="3"/>
        <v/>
      </c>
      <c r="J35" s="268"/>
      <c r="K35" s="129" t="str">
        <f t="shared" si="4"/>
        <v/>
      </c>
      <c r="L35" s="134" t="str">
        <f t="shared" si="5"/>
        <v/>
      </c>
      <c r="M35" s="157" t="str">
        <f t="shared" si="8"/>
        <v/>
      </c>
      <c r="N35" s="158" t="str">
        <f t="shared" si="7"/>
        <v/>
      </c>
    </row>
    <row r="36" spans="1:14" ht="93" hidden="1" customHeight="1" x14ac:dyDescent="0.25">
      <c r="A36" s="19" t="str">
        <f>'2 IDENTIFICACIÓN'!A36</f>
        <v>R27</v>
      </c>
      <c r="B36" s="149" t="str">
        <f>+'2 IDENTIFICACIÓN'!J36</f>
        <v xml:space="preserve"> por  debido a </v>
      </c>
      <c r="C36" s="267"/>
      <c r="D36" s="127" t="str">
        <f t="shared" si="0"/>
        <v/>
      </c>
      <c r="E36" s="128" t="str">
        <f t="shared" si="1"/>
        <v/>
      </c>
      <c r="F36" s="20" t="str">
        <f t="shared" si="2"/>
        <v/>
      </c>
      <c r="G36" s="268"/>
      <c r="H36" s="129" t="str">
        <f t="shared" si="6"/>
        <v/>
      </c>
      <c r="I36" s="134" t="str">
        <f t="shared" si="3"/>
        <v/>
      </c>
      <c r="J36" s="268"/>
      <c r="K36" s="129" t="str">
        <f t="shared" si="4"/>
        <v/>
      </c>
      <c r="L36" s="134" t="str">
        <f t="shared" si="5"/>
        <v/>
      </c>
      <c r="M36" s="157" t="str">
        <f t="shared" si="8"/>
        <v/>
      </c>
      <c r="N36" s="158" t="str">
        <f t="shared" si="7"/>
        <v/>
      </c>
    </row>
    <row r="37" spans="1:14" ht="93" hidden="1" customHeight="1" x14ac:dyDescent="0.25">
      <c r="A37" s="19" t="str">
        <f>'2 IDENTIFICACIÓN'!A37</f>
        <v>R28</v>
      </c>
      <c r="B37" s="149" t="str">
        <f>+'2 IDENTIFICACIÓN'!J37</f>
        <v xml:space="preserve"> por  debido a </v>
      </c>
      <c r="C37" s="267"/>
      <c r="D37" s="127" t="str">
        <f t="shared" si="0"/>
        <v/>
      </c>
      <c r="E37" s="128" t="str">
        <f t="shared" si="1"/>
        <v/>
      </c>
      <c r="F37" s="20" t="str">
        <f t="shared" si="2"/>
        <v/>
      </c>
      <c r="G37" s="268"/>
      <c r="H37" s="129" t="str">
        <f t="shared" si="6"/>
        <v/>
      </c>
      <c r="I37" s="134" t="str">
        <f t="shared" si="3"/>
        <v/>
      </c>
      <c r="J37" s="268"/>
      <c r="K37" s="129" t="str">
        <f t="shared" si="4"/>
        <v/>
      </c>
      <c r="L37" s="134" t="str">
        <f t="shared" si="5"/>
        <v/>
      </c>
      <c r="M37" s="157" t="str">
        <f t="shared" si="8"/>
        <v/>
      </c>
      <c r="N37" s="158" t="str">
        <f t="shared" si="7"/>
        <v/>
      </c>
    </row>
    <row r="38" spans="1:14" ht="15" hidden="1" x14ac:dyDescent="0.25">
      <c r="A38" s="19" t="str">
        <f>'2 IDENTIFICACIÓN'!A38</f>
        <v>R29</v>
      </c>
      <c r="B38" s="149" t="str">
        <f>+'2 IDENTIFICACIÓN'!J38</f>
        <v xml:space="preserve"> por  debido a </v>
      </c>
      <c r="C38" s="267"/>
      <c r="D38" s="127" t="str">
        <f t="shared" si="0"/>
        <v/>
      </c>
      <c r="E38" s="128" t="str">
        <f t="shared" si="1"/>
        <v/>
      </c>
      <c r="F38" s="20" t="str">
        <f t="shared" si="2"/>
        <v/>
      </c>
      <c r="G38" s="268"/>
      <c r="H38" s="129" t="str">
        <f t="shared" si="6"/>
        <v/>
      </c>
      <c r="I38" s="134" t="str">
        <f t="shared" si="3"/>
        <v/>
      </c>
      <c r="J38" s="268"/>
      <c r="K38" s="129" t="str">
        <f t="shared" si="4"/>
        <v/>
      </c>
      <c r="L38" s="134" t="str">
        <f t="shared" si="5"/>
        <v/>
      </c>
      <c r="M38" s="157" t="str">
        <f t="shared" si="8"/>
        <v/>
      </c>
      <c r="N38" s="158" t="str">
        <f t="shared" si="7"/>
        <v/>
      </c>
    </row>
    <row r="39" spans="1:14" ht="22.5" hidden="1" customHeight="1" thickBot="1" x14ac:dyDescent="0.3">
      <c r="A39" s="26" t="str">
        <f>'2 IDENTIFICACIÓN'!A39</f>
        <v>R30</v>
      </c>
      <c r="B39" s="314" t="str">
        <f>+'2 IDENTIFICACIÓN'!J39</f>
        <v xml:space="preserve"> por  debido a </v>
      </c>
      <c r="C39" s="152"/>
      <c r="D39" s="315" t="str">
        <f t="shared" si="0"/>
        <v/>
      </c>
      <c r="E39" s="316" t="str">
        <f t="shared" si="1"/>
        <v/>
      </c>
      <c r="F39" s="317" t="str">
        <f t="shared" si="2"/>
        <v/>
      </c>
      <c r="G39" s="136"/>
      <c r="H39" s="318" t="str">
        <f t="shared" si="6"/>
        <v/>
      </c>
      <c r="I39" s="319" t="str">
        <f t="shared" si="3"/>
        <v/>
      </c>
      <c r="J39" s="136"/>
      <c r="K39" s="318" t="str">
        <f t="shared" si="4"/>
        <v/>
      </c>
      <c r="L39" s="319" t="str">
        <f t="shared" si="5"/>
        <v/>
      </c>
      <c r="M39" s="320" t="str">
        <f t="shared" si="8"/>
        <v/>
      </c>
      <c r="N39" s="321" t="str">
        <f t="shared" si="7"/>
        <v/>
      </c>
    </row>
    <row r="40" spans="1:14" ht="15" thickBot="1" x14ac:dyDescent="0.3"/>
    <row r="41" spans="1:14" ht="15.75" thickTop="1" thickBot="1" x14ac:dyDescent="0.3">
      <c r="A41" s="424" t="s">
        <v>376</v>
      </c>
      <c r="B41" s="424"/>
      <c r="C41" s="424"/>
      <c r="D41" s="424"/>
      <c r="E41" s="424"/>
      <c r="F41" s="424"/>
      <c r="G41" s="424"/>
    </row>
    <row r="42" spans="1:14" ht="15.75" thickTop="1" thickBot="1" x14ac:dyDescent="0.3">
      <c r="A42" s="312" t="s">
        <v>377</v>
      </c>
      <c r="B42" s="424" t="s">
        <v>378</v>
      </c>
      <c r="C42" s="424"/>
      <c r="D42" s="424" t="s">
        <v>379</v>
      </c>
      <c r="E42" s="424"/>
      <c r="F42" s="424" t="s">
        <v>380</v>
      </c>
      <c r="G42" s="424"/>
    </row>
    <row r="43" spans="1:14" ht="93" customHeight="1" thickTop="1" thickBot="1" x14ac:dyDescent="0.3">
      <c r="A43" s="313" t="s">
        <v>381</v>
      </c>
      <c r="B43" s="399">
        <v>46163</v>
      </c>
      <c r="C43" s="399"/>
      <c r="D43" s="400" t="s">
        <v>382</v>
      </c>
      <c r="E43" s="400"/>
      <c r="F43" s="401" t="s">
        <v>383</v>
      </c>
      <c r="G43" s="401"/>
    </row>
    <row r="44" spans="1:14" ht="15" thickTop="1" x14ac:dyDescent="0.25"/>
  </sheetData>
  <sheetProtection formatCells="0" formatColumns="0" formatRows="0" sort="0" autoFilter="0" pivotTables="0"/>
  <autoFilter ref="A9:N9" xr:uid="{00000000-0009-0000-0000-000003000000}"/>
  <dataConsolidate/>
  <mergeCells count="18">
    <mergeCell ref="A1:A3"/>
    <mergeCell ref="B1:I2"/>
    <mergeCell ref="B3:I3"/>
    <mergeCell ref="A4:K4"/>
    <mergeCell ref="V8:Y8"/>
    <mergeCell ref="P8:T8"/>
    <mergeCell ref="C8:F8"/>
    <mergeCell ref="G8:I8"/>
    <mergeCell ref="J8:L8"/>
    <mergeCell ref="M8:N8"/>
    <mergeCell ref="G7:N7"/>
    <mergeCell ref="A41:G41"/>
    <mergeCell ref="B42:C42"/>
    <mergeCell ref="D42:E42"/>
    <mergeCell ref="F42:G42"/>
    <mergeCell ref="B43:C43"/>
    <mergeCell ref="D43:E43"/>
    <mergeCell ref="F43:G43"/>
  </mergeCells>
  <conditionalFormatting sqref="E10:E39 G10:G39">
    <cfRule type="cellIs" dxfId="213" priority="1" operator="equal">
      <formula>$T$10</formula>
    </cfRule>
    <cfRule type="cellIs" dxfId="212" priority="2" operator="equal">
      <formula>$T$11</formula>
    </cfRule>
    <cfRule type="cellIs" dxfId="211" priority="3" operator="equal">
      <formula>$T$12</formula>
    </cfRule>
    <cfRule type="cellIs" dxfId="210" priority="4" operator="equal">
      <formula>$T$13</formula>
    </cfRule>
    <cfRule type="cellIs" dxfId="209" priority="5" operator="equal">
      <formula>$T$14</formula>
    </cfRule>
  </conditionalFormatting>
  <conditionalFormatting sqref="F10:F39">
    <cfRule type="cellIs" dxfId="208" priority="163" operator="equal">
      <formula>$P$14</formula>
    </cfRule>
    <cfRule type="cellIs" dxfId="207" priority="159" operator="equal">
      <formula>$P$10</formula>
    </cfRule>
    <cfRule type="cellIs" dxfId="206" priority="160" operator="equal">
      <formula>$P$11</formula>
    </cfRule>
    <cfRule type="cellIs" dxfId="205" priority="161" operator="equal">
      <formula>$P$12</formula>
    </cfRule>
    <cfRule type="cellIs" dxfId="204" priority="162" operator="equal">
      <formula>$P$13</formula>
    </cfRule>
  </conditionalFormatting>
  <conditionalFormatting sqref="H10:H39">
    <cfRule type="cellIs" dxfId="203" priority="77" operator="equal">
      <formula>$W$11</formula>
    </cfRule>
    <cfRule type="cellIs" dxfId="202" priority="78" operator="equal">
      <formula>$W$12</formula>
    </cfRule>
    <cfRule type="cellIs" dxfId="201" priority="79" operator="equal">
      <formula>$W$13</formula>
    </cfRule>
    <cfRule type="cellIs" dxfId="200" priority="80" operator="equal">
      <formula>$W$14</formula>
    </cfRule>
    <cfRule type="cellIs" dxfId="199" priority="76" operator="equal">
      <formula>$W$10</formula>
    </cfRule>
  </conditionalFormatting>
  <conditionalFormatting sqref="I10:J39">
    <cfRule type="cellIs" dxfId="198" priority="81" operator="equal">
      <formula>$V$10</formula>
    </cfRule>
    <cfRule type="cellIs" dxfId="197" priority="82" operator="equal">
      <formula>$V$11</formula>
    </cfRule>
    <cfRule type="cellIs" dxfId="196" priority="83" operator="equal">
      <formula>$V$12</formula>
    </cfRule>
    <cfRule type="cellIs" dxfId="195" priority="84" operator="equal">
      <formula>$V$13</formula>
    </cfRule>
    <cfRule type="cellIs" dxfId="194" priority="85" operator="equal">
      <formula>$V$14</formula>
    </cfRule>
  </conditionalFormatting>
  <conditionalFormatting sqref="K10:K39">
    <cfRule type="cellIs" dxfId="193" priority="61" operator="equal">
      <formula>$W$10</formula>
    </cfRule>
    <cfRule type="cellIs" dxfId="192" priority="62" operator="equal">
      <formula>$W$11</formula>
    </cfRule>
    <cfRule type="cellIs" dxfId="191" priority="63" operator="equal">
      <formula>$W$12</formula>
    </cfRule>
    <cfRule type="cellIs" dxfId="190" priority="64" operator="equal">
      <formula>$W$13</formula>
    </cfRule>
    <cfRule type="cellIs" dxfId="189" priority="65" operator="equal">
      <formula>$W$14</formula>
    </cfRule>
  </conditionalFormatting>
  <conditionalFormatting sqref="L10:L39">
    <cfRule type="cellIs" dxfId="188" priority="96" operator="equal">
      <formula>$V$10</formula>
    </cfRule>
    <cfRule type="cellIs" dxfId="187" priority="97" operator="equal">
      <formula>$V$11</formula>
    </cfRule>
    <cfRule type="cellIs" dxfId="186" priority="98" operator="equal">
      <formula>$V$12</formula>
    </cfRule>
    <cfRule type="cellIs" dxfId="185" priority="99" operator="equal">
      <formula>$V$13</formula>
    </cfRule>
    <cfRule type="cellIs" dxfId="184" priority="100" operator="equal">
      <formula>$V$14</formula>
    </cfRule>
  </conditionalFormatting>
  <conditionalFormatting sqref="M10:M39">
    <cfRule type="cellIs" dxfId="183" priority="6" operator="equal">
      <formula>$W$10</formula>
    </cfRule>
    <cfRule type="cellIs" dxfId="182" priority="7" operator="equal">
      <formula>$W$11</formula>
    </cfRule>
    <cfRule type="cellIs" dxfId="181" priority="8" operator="equal">
      <formula>$W$12</formula>
    </cfRule>
    <cfRule type="cellIs" dxfId="180" priority="9" operator="equal">
      <formula>$W$13</formula>
    </cfRule>
    <cfRule type="cellIs" dxfId="179" priority="10" operator="equal">
      <formula>$W$14</formula>
    </cfRule>
  </conditionalFormatting>
  <conditionalFormatting sqref="N10:N39">
    <cfRule type="cellIs" dxfId="178" priority="31" operator="equal">
      <formula>$V$10</formula>
    </cfRule>
    <cfRule type="cellIs" dxfId="177" priority="32" operator="equal">
      <formula>$V$11</formula>
    </cfRule>
    <cfRule type="cellIs" dxfId="176" priority="33" operator="equal">
      <formula>$V$12</formula>
    </cfRule>
    <cfRule type="cellIs" dxfId="175" priority="34" operator="equal">
      <formula>$V$13</formula>
    </cfRule>
    <cfRule type="cellIs" dxfId="174"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24" zoomScale="80" zoomScaleNormal="80" workbookViewId="0">
      <selection activeCell="A27" sqref="A27:XFD39"/>
    </sheetView>
  </sheetViews>
  <sheetFormatPr baseColWidth="10" defaultColWidth="0" defaultRowHeight="12.75" x14ac:dyDescent="0.25"/>
  <cols>
    <col min="1" max="1" width="12.85546875" style="45" customWidth="1"/>
    <col min="2" max="2" width="35.85546875" style="50" customWidth="1"/>
    <col min="3" max="3" width="16.42578125" style="45" customWidth="1"/>
    <col min="4" max="4" width="12.42578125" style="50" customWidth="1"/>
    <col min="5" max="5" width="22.85546875" style="50" customWidth="1"/>
    <col min="6" max="6" width="13.42578125" style="50" customWidth="1"/>
    <col min="7" max="7" width="29" style="50" bestFit="1" customWidth="1"/>
    <col min="8" max="8" width="14" style="50" customWidth="1"/>
    <col min="9" max="9" width="13.85546875" style="50" customWidth="1"/>
    <col min="10" max="10" width="29" style="50" bestFit="1" customWidth="1"/>
    <col min="11" max="11" width="18" style="50" customWidth="1"/>
    <col min="12" max="13" width="12.42578125" style="50" customWidth="1"/>
    <col min="14" max="14" width="3.85546875" style="50" customWidth="1"/>
    <col min="15" max="15" width="4.85546875" style="45" customWidth="1"/>
    <col min="16" max="16" width="6.42578125" style="45" customWidth="1"/>
    <col min="17" max="17" width="11" style="45" bestFit="1" customWidth="1"/>
    <col min="18" max="22" width="12" style="45" customWidth="1"/>
    <col min="23" max="23" width="11.42578125" style="45" customWidth="1"/>
    <col min="24" max="27" width="11.42578125" style="45" hidden="1" customWidth="1"/>
    <col min="28" max="28" width="5.42578125" style="45" hidden="1" customWidth="1"/>
    <col min="29" max="29" width="26.85546875" style="45" hidden="1" customWidth="1"/>
    <col min="30" max="34" width="22.85546875" style="50" hidden="1" customWidth="1"/>
    <col min="35" max="35" width="23.42578125" style="45" hidden="1" customWidth="1"/>
    <col min="36" max="263" width="11.42578125" style="45" hidden="1" customWidth="1"/>
    <col min="264" max="264" width="12.42578125" style="45" hidden="1" customWidth="1"/>
    <col min="265" max="265" width="47" style="45" hidden="1" customWidth="1"/>
    <col min="266" max="266" width="35" style="45" hidden="1" customWidth="1"/>
    <col min="267" max="16384" width="14.42578125" style="45" hidden="1"/>
  </cols>
  <sheetData>
    <row r="1" spans="1:36" s="4" customFormat="1" ht="20.100000000000001" customHeight="1" thickTop="1" x14ac:dyDescent="0.25">
      <c r="A1" s="440"/>
      <c r="B1" s="443" t="s">
        <v>374</v>
      </c>
      <c r="C1" s="444"/>
      <c r="D1" s="444"/>
      <c r="E1" s="444"/>
      <c r="F1" s="444"/>
      <c r="G1" s="444"/>
      <c r="H1" s="444"/>
      <c r="I1" s="445"/>
      <c r="J1" s="304" t="s">
        <v>372</v>
      </c>
      <c r="K1" s="305"/>
      <c r="L1" s="252"/>
    </row>
    <row r="2" spans="1:36" s="4" customFormat="1" ht="20.100000000000001" customHeight="1" x14ac:dyDescent="0.25">
      <c r="A2" s="441"/>
      <c r="B2" s="446"/>
      <c r="C2" s="447"/>
      <c r="D2" s="447"/>
      <c r="E2" s="447"/>
      <c r="F2" s="447"/>
      <c r="G2" s="447"/>
      <c r="H2" s="447"/>
      <c r="I2" s="448"/>
      <c r="J2" s="306" t="s">
        <v>375</v>
      </c>
      <c r="K2" s="307"/>
      <c r="L2" s="252"/>
    </row>
    <row r="3" spans="1:36" s="3" customFormat="1" ht="16.5" thickBot="1" x14ac:dyDescent="0.25">
      <c r="A3" s="442"/>
      <c r="B3" s="449" t="s">
        <v>358</v>
      </c>
      <c r="C3" s="450"/>
      <c r="D3" s="450"/>
      <c r="E3" s="450"/>
      <c r="F3" s="450"/>
      <c r="G3" s="450"/>
      <c r="H3" s="450"/>
      <c r="I3" s="451"/>
      <c r="J3" s="308" t="s">
        <v>373</v>
      </c>
      <c r="K3" s="309"/>
      <c r="L3" s="253"/>
    </row>
    <row r="4" spans="1:36" s="3" customFormat="1" ht="17.100000000000001" customHeight="1" thickTop="1" x14ac:dyDescent="0.2">
      <c r="A4" s="452"/>
      <c r="B4" s="453"/>
      <c r="C4" s="453"/>
      <c r="D4" s="453"/>
      <c r="E4" s="453"/>
      <c r="F4" s="453"/>
      <c r="G4" s="453"/>
      <c r="H4" s="453"/>
      <c r="I4" s="453"/>
      <c r="J4" s="453"/>
      <c r="K4" s="454"/>
    </row>
    <row r="5" spans="1:36" s="4" customFormat="1" ht="27" customHeight="1" x14ac:dyDescent="0.25">
      <c r="A5" s="11" t="s">
        <v>80</v>
      </c>
      <c r="B5" s="264" t="str">
        <f>'2 IDENTIFICACIÓN'!B5</f>
        <v>ALCALDÍA DE BUCARAMANGA</v>
      </c>
      <c r="C5" s="259"/>
      <c r="D5" s="259"/>
      <c r="E5" s="260"/>
      <c r="F5" s="243" t="s">
        <v>81</v>
      </c>
      <c r="G5" s="264" t="str">
        <f>'2 IDENTIFICACIÓN'!G5</f>
        <v>GESTIÓN DE SERVICIOS DE LA EDUCACIÓN PÚBLICA</v>
      </c>
      <c r="H5" s="260"/>
      <c r="I5" s="243" t="s">
        <v>352</v>
      </c>
      <c r="J5" s="261">
        <f>'2 IDENTIFICACIÓN'!J5</f>
        <v>2026</v>
      </c>
      <c r="K5" s="262"/>
    </row>
    <row r="6" spans="1:36" s="4" customFormat="1" ht="15.75" thickBot="1" x14ac:dyDescent="0.3">
      <c r="A6" s="163"/>
      <c r="B6" s="254"/>
      <c r="C6" s="254"/>
      <c r="D6" s="254"/>
      <c r="E6" s="254"/>
      <c r="F6" s="255"/>
      <c r="G6" s="256"/>
      <c r="H6" s="256"/>
      <c r="I6" s="256"/>
      <c r="J6" s="256"/>
      <c r="K6" s="256"/>
    </row>
    <row r="7" spans="1:36" s="36" customFormat="1" ht="15.75" thickBot="1" x14ac:dyDescent="0.25">
      <c r="A7" s="163"/>
      <c r="B7" s="162"/>
      <c r="C7" s="162"/>
      <c r="D7" s="39"/>
      <c r="G7" s="551" t="s">
        <v>294</v>
      </c>
      <c r="H7" s="552"/>
      <c r="I7" s="552"/>
      <c r="J7" s="552"/>
      <c r="K7" s="552"/>
      <c r="L7" s="552"/>
      <c r="M7" s="553"/>
      <c r="O7" s="40"/>
      <c r="P7" s="40"/>
      <c r="Q7" s="41"/>
      <c r="R7" s="547" t="s">
        <v>158</v>
      </c>
      <c r="S7" s="547"/>
      <c r="T7" s="547"/>
      <c r="U7" s="547"/>
      <c r="V7" s="548"/>
      <c r="AD7" s="37"/>
      <c r="AE7" s="37"/>
      <c r="AF7" s="37"/>
      <c r="AG7" s="37"/>
      <c r="AH7" s="37"/>
    </row>
    <row r="8" spans="1:36" x14ac:dyDescent="0.25">
      <c r="A8" s="279"/>
      <c r="B8" s="278"/>
      <c r="C8" s="405" t="s">
        <v>295</v>
      </c>
      <c r="D8" s="405"/>
      <c r="E8" s="405"/>
      <c r="F8" s="42"/>
      <c r="G8" s="43"/>
      <c r="H8" s="44"/>
      <c r="I8" s="547" t="s">
        <v>158</v>
      </c>
      <c r="J8" s="547"/>
      <c r="K8" s="547"/>
      <c r="L8" s="547"/>
      <c r="M8" s="548"/>
      <c r="N8" s="42"/>
      <c r="O8" s="46"/>
      <c r="P8" s="46"/>
      <c r="R8" s="47">
        <v>0.2</v>
      </c>
      <c r="S8" s="47">
        <v>0.4</v>
      </c>
      <c r="T8" s="47">
        <v>0.6</v>
      </c>
      <c r="U8" s="47">
        <v>0.8</v>
      </c>
      <c r="V8" s="48">
        <v>1</v>
      </c>
      <c r="W8" s="49"/>
      <c r="X8" s="49"/>
      <c r="Y8" s="49"/>
      <c r="Z8" s="49"/>
      <c r="AA8" s="49"/>
      <c r="AB8" s="49"/>
      <c r="AC8" s="49"/>
    </row>
    <row r="9" spans="1:36" ht="25.5" x14ac:dyDescent="0.2">
      <c r="A9" s="52" t="s">
        <v>296</v>
      </c>
      <c r="B9" s="51" t="s">
        <v>297</v>
      </c>
      <c r="C9" s="52" t="s">
        <v>253</v>
      </c>
      <c r="D9" s="52" t="s">
        <v>254</v>
      </c>
      <c r="E9" s="52" t="s">
        <v>66</v>
      </c>
      <c r="F9" s="42"/>
      <c r="G9" s="46"/>
      <c r="H9" s="53"/>
      <c r="I9" s="54" t="s">
        <v>272</v>
      </c>
      <c r="J9" s="54" t="s">
        <v>276</v>
      </c>
      <c r="K9" s="54" t="s">
        <v>280</v>
      </c>
      <c r="L9" s="54" t="s">
        <v>285</v>
      </c>
      <c r="M9" s="55" t="s">
        <v>290</v>
      </c>
      <c r="N9" s="42"/>
      <c r="O9" s="46"/>
      <c r="P9" s="46"/>
      <c r="Q9" s="56"/>
      <c r="R9" s="57" t="s">
        <v>272</v>
      </c>
      <c r="S9" s="57" t="s">
        <v>276</v>
      </c>
      <c r="T9" s="57" t="s">
        <v>280</v>
      </c>
      <c r="U9" s="57" t="s">
        <v>285</v>
      </c>
      <c r="V9" s="58" t="s">
        <v>290</v>
      </c>
      <c r="Y9" s="49"/>
      <c r="Z9" s="49"/>
      <c r="AA9" s="59"/>
      <c r="AB9" s="59"/>
      <c r="AC9" s="59"/>
      <c r="AD9" s="59"/>
      <c r="AE9" s="59"/>
      <c r="AF9" s="59"/>
      <c r="AG9" s="59"/>
      <c r="AH9" s="59"/>
      <c r="AI9" s="59"/>
      <c r="AJ9" s="59"/>
    </row>
    <row r="10" spans="1:36" ht="130.5" customHeight="1" x14ac:dyDescent="0.2">
      <c r="A10" s="60" t="str">
        <f>'2 IDENTIFICACIÓN'!A10</f>
        <v>R1</v>
      </c>
      <c r="B10" s="61"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10" s="62" t="str">
        <f>+'3 PROBABIL E IMPACTO INHERENTE'!F10</f>
        <v>Muy Alta</v>
      </c>
      <c r="D10" s="62" t="str">
        <f>+'3 PROBABIL E IMPACTO INHERENTE'!N10</f>
        <v>Mayor</v>
      </c>
      <c r="E10" s="250"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Alto</v>
      </c>
      <c r="F10" s="63"/>
      <c r="G10" s="549" t="s">
        <v>139</v>
      </c>
      <c r="H10" s="54" t="s">
        <v>288</v>
      </c>
      <c r="I10" s="64"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4"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4"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4"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R1            R13       </v>
      </c>
      <c r="M10" s="65"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3"/>
      <c r="O10" s="545" t="s">
        <v>139</v>
      </c>
      <c r="P10" s="66">
        <v>1</v>
      </c>
      <c r="Q10" s="57" t="s">
        <v>288</v>
      </c>
      <c r="R10" s="64" t="s">
        <v>298</v>
      </c>
      <c r="S10" s="64" t="s">
        <v>298</v>
      </c>
      <c r="T10" s="64" t="s">
        <v>298</v>
      </c>
      <c r="U10" s="64" t="s">
        <v>298</v>
      </c>
      <c r="V10" s="65" t="s">
        <v>299</v>
      </c>
      <c r="Y10" s="49"/>
      <c r="Z10" s="49"/>
      <c r="AA10" s="59"/>
      <c r="AB10" s="59"/>
      <c r="AC10" s="59"/>
      <c r="AD10" s="67"/>
      <c r="AE10" s="67"/>
      <c r="AF10" s="67"/>
      <c r="AG10" s="67"/>
      <c r="AH10" s="67"/>
      <c r="AI10" s="59"/>
      <c r="AJ10" s="59"/>
    </row>
    <row r="11" spans="1:36" ht="130.5" customHeight="1" x14ac:dyDescent="0.2">
      <c r="A11" s="60" t="str">
        <f>'2 IDENTIFICACIÓN'!A11</f>
        <v>R2</v>
      </c>
      <c r="B11" s="61" t="str">
        <f>+'2 IDENTIFICACIÓN'!J11</f>
        <v>Posibilidad de afectación reputacional por publicaciones extemporáneas en el SECOP, debido a demoras en la entrega y remisión de la información requerida para la gestión contractual.</v>
      </c>
      <c r="C11" s="62" t="str">
        <f>+'3 PROBABIL E IMPACTO INHERENTE'!F11</f>
        <v>Media</v>
      </c>
      <c r="D11" s="62" t="str">
        <f>+'3 PROBABIL E IMPACTO INHERENTE'!N11</f>
        <v>Leve</v>
      </c>
      <c r="E11" s="250"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Moderado</v>
      </c>
      <c r="F11" s="63"/>
      <c r="G11" s="549"/>
      <c r="H11" s="54" t="s">
        <v>283</v>
      </c>
      <c r="I11" s="68"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R12        </v>
      </c>
      <c r="J11" s="68"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4"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R14      </v>
      </c>
      <c r="L11" s="64"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5"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3"/>
      <c r="O11" s="545"/>
      <c r="P11" s="66">
        <v>0.8</v>
      </c>
      <c r="Q11" s="57" t="s">
        <v>283</v>
      </c>
      <c r="R11" s="68" t="s">
        <v>280</v>
      </c>
      <c r="S11" s="68" t="s">
        <v>280</v>
      </c>
      <c r="T11" s="64" t="s">
        <v>298</v>
      </c>
      <c r="U11" s="64" t="s">
        <v>298</v>
      </c>
      <c r="V11" s="65" t="s">
        <v>299</v>
      </c>
      <c r="Y11" s="49"/>
      <c r="Z11" s="49"/>
      <c r="AA11" s="59"/>
      <c r="AB11" s="69"/>
      <c r="AC11" s="70"/>
      <c r="AD11" s="67"/>
      <c r="AE11" s="67"/>
      <c r="AF11" s="67"/>
      <c r="AG11" s="67"/>
      <c r="AH11" s="67"/>
      <c r="AI11" s="59"/>
      <c r="AJ11" s="59"/>
    </row>
    <row r="12" spans="1:36" ht="130.5" customHeight="1" x14ac:dyDescent="0.2">
      <c r="A12" s="60" t="str">
        <f>'2 IDENTIFICACIÓN'!A12</f>
        <v>R3</v>
      </c>
      <c r="B12" s="61" t="str">
        <f>+'2 IDENTIFICACIÓN'!J12</f>
        <v>Posibilidad de afectación reputacional por posibles investigaciones y sanciones disciplinarias por entes de control, debido a incumplimiento de la Ley 594 del 2000 en los documentos generados por la Secretaría de Educación.</v>
      </c>
      <c r="C12" s="62" t="str">
        <f>+'3 PROBABIL E IMPACTO INHERENTE'!F12</f>
        <v>Media</v>
      </c>
      <c r="D12" s="62" t="str">
        <f>+'3 PROBABIL E IMPACTO INHERENTE'!N12</f>
        <v>Moderado</v>
      </c>
      <c r="E12" s="250"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3"/>
      <c r="G12" s="549"/>
      <c r="H12" s="54" t="s">
        <v>278</v>
      </c>
      <c r="I12" s="68"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R2                  </v>
      </c>
      <c r="J12" s="68"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R9           </v>
      </c>
      <c r="K12" s="68"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  R3  R5           R16    </v>
      </c>
      <c r="L12" s="64"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v>
      </c>
      <c r="M12" s="65"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R7 R8            </v>
      </c>
      <c r="N12" s="63"/>
      <c r="O12" s="545"/>
      <c r="P12" s="66">
        <v>0.6</v>
      </c>
      <c r="Q12" s="57" t="s">
        <v>278</v>
      </c>
      <c r="R12" s="68" t="s">
        <v>280</v>
      </c>
      <c r="S12" s="68" t="s">
        <v>280</v>
      </c>
      <c r="T12" s="68" t="s">
        <v>280</v>
      </c>
      <c r="U12" s="64" t="s">
        <v>298</v>
      </c>
      <c r="V12" s="65" t="s">
        <v>299</v>
      </c>
      <c r="Y12" s="49"/>
      <c r="Z12" s="49"/>
      <c r="AA12" s="59"/>
      <c r="AB12" s="69"/>
      <c r="AC12" s="70"/>
      <c r="AD12" s="67"/>
      <c r="AE12" s="67"/>
      <c r="AF12" s="67"/>
      <c r="AG12" s="67"/>
      <c r="AH12" s="71"/>
      <c r="AI12" s="59"/>
      <c r="AJ12" s="59"/>
    </row>
    <row r="13" spans="1:36" ht="130.5" customHeight="1" x14ac:dyDescent="0.2">
      <c r="A13" s="60" t="str">
        <f>'2 IDENTIFICACIÓN'!A13</f>
        <v>R4</v>
      </c>
      <c r="B13" s="61"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13" s="62" t="str">
        <f>+'3 PROBABIL E IMPACTO INHERENTE'!F13</f>
        <v>Muy Baja</v>
      </c>
      <c r="D13" s="62" t="str">
        <f>+'3 PROBABIL E IMPACTO INHERENTE'!N13</f>
        <v>Moderado</v>
      </c>
      <c r="E13" s="250"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Moderado</v>
      </c>
      <c r="F13" s="63"/>
      <c r="G13" s="549"/>
      <c r="H13" s="54" t="s">
        <v>274</v>
      </c>
      <c r="I13" s="72"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68"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68"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R6           R17   </v>
      </c>
      <c r="L13" s="64"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R15     </v>
      </c>
      <c r="M13" s="65"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R10          </v>
      </c>
      <c r="N13" s="63"/>
      <c r="O13" s="545"/>
      <c r="P13" s="66">
        <v>0.4</v>
      </c>
      <c r="Q13" s="57" t="s">
        <v>274</v>
      </c>
      <c r="R13" s="72" t="s">
        <v>300</v>
      </c>
      <c r="S13" s="68" t="s">
        <v>280</v>
      </c>
      <c r="T13" s="68" t="s">
        <v>280</v>
      </c>
      <c r="U13" s="64" t="s">
        <v>298</v>
      </c>
      <c r="V13" s="65" t="s">
        <v>299</v>
      </c>
      <c r="Y13" s="49"/>
      <c r="Z13" s="49"/>
      <c r="AA13" s="59"/>
      <c r="AB13" s="69"/>
      <c r="AC13" s="70"/>
      <c r="AD13" s="67"/>
      <c r="AE13" s="67"/>
      <c r="AF13" s="67"/>
      <c r="AG13" s="71"/>
      <c r="AH13" s="67"/>
      <c r="AI13" s="59"/>
      <c r="AJ13" s="59"/>
    </row>
    <row r="14" spans="1:36" ht="130.5" customHeight="1" thickBot="1" x14ac:dyDescent="0.25">
      <c r="A14" s="60" t="str">
        <f>'2 IDENTIFICACIÓN'!A14</f>
        <v>R5</v>
      </c>
      <c r="B14" s="61"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4" s="62" t="str">
        <f>+'3 PROBABIL E IMPACTO INHERENTE'!F14</f>
        <v>Media</v>
      </c>
      <c r="D14" s="62" t="str">
        <f>+'3 PROBABIL E IMPACTO INHERENTE'!N14</f>
        <v>Moderado</v>
      </c>
      <c r="E14" s="250" t="str">
        <f t="shared" si="0"/>
        <v>Moderado</v>
      </c>
      <c r="F14" s="63"/>
      <c r="G14" s="550"/>
      <c r="H14" s="73" t="s">
        <v>270</v>
      </c>
      <c r="I14" s="74"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R11         </v>
      </c>
      <c r="J14" s="74"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5"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R4                </v>
      </c>
      <c r="L14" s="76"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7"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3"/>
      <c r="O14" s="546"/>
      <c r="P14" s="78">
        <v>0.2</v>
      </c>
      <c r="Q14" s="79" t="s">
        <v>270</v>
      </c>
      <c r="R14" s="74" t="s">
        <v>300</v>
      </c>
      <c r="S14" s="74" t="s">
        <v>300</v>
      </c>
      <c r="T14" s="75" t="s">
        <v>280</v>
      </c>
      <c r="U14" s="76" t="s">
        <v>298</v>
      </c>
      <c r="V14" s="77" t="s">
        <v>299</v>
      </c>
      <c r="Y14" s="49"/>
      <c r="Z14" s="49"/>
      <c r="AA14" s="59"/>
      <c r="AB14" s="69"/>
      <c r="AC14" s="70"/>
      <c r="AD14" s="67"/>
      <c r="AE14" s="67"/>
      <c r="AF14" s="67"/>
      <c r="AG14" s="80"/>
      <c r="AH14" s="67"/>
      <c r="AI14" s="59"/>
      <c r="AJ14" s="59"/>
    </row>
    <row r="15" spans="1:36" ht="130.5" customHeight="1" x14ac:dyDescent="0.2">
      <c r="A15" s="60" t="str">
        <f>'2 IDENTIFICACIÓN'!A15</f>
        <v>R6</v>
      </c>
      <c r="B15" s="61" t="str">
        <f>+'2 IDENTIFICACIÓN'!J15</f>
        <v>Posibilidad de afectación reputacional por investigaciones y sanciones disciplinarias por entes de control, debido a la falta de seguimiento al cumplimiento de metas del Plan de Desarrollo Municipal programadas para la vigencia.</v>
      </c>
      <c r="C15" s="62" t="str">
        <f>+'3 PROBABIL E IMPACTO INHERENTE'!F15</f>
        <v>Baja</v>
      </c>
      <c r="D15" s="62" t="str">
        <f>+'3 PROBABIL E IMPACTO INHERENTE'!N15</f>
        <v>Moderado</v>
      </c>
      <c r="E15" s="250" t="str">
        <f t="shared" si="0"/>
        <v>Moderado</v>
      </c>
      <c r="F15" s="63"/>
      <c r="G15" s="63"/>
      <c r="H15" s="63"/>
      <c r="I15" s="63"/>
      <c r="J15" s="63"/>
      <c r="K15" s="63"/>
      <c r="L15" s="63"/>
      <c r="M15" s="63"/>
      <c r="N15" s="63"/>
      <c r="Y15" s="49"/>
      <c r="Z15" s="49"/>
      <c r="AA15" s="59"/>
      <c r="AB15" s="69"/>
      <c r="AC15" s="70"/>
      <c r="AD15" s="67"/>
      <c r="AE15" s="67"/>
      <c r="AF15" s="67"/>
      <c r="AG15" s="67"/>
      <c r="AH15" s="67"/>
      <c r="AI15" s="59"/>
      <c r="AJ15" s="59"/>
    </row>
    <row r="16" spans="1:36" ht="130.5" customHeight="1" x14ac:dyDescent="0.2">
      <c r="A16" s="60" t="str">
        <f>'2 IDENTIFICACIÓN'!A16</f>
        <v>R7</v>
      </c>
      <c r="B16" s="61"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16" s="62" t="str">
        <f>+'3 PROBABIL E IMPACTO INHERENTE'!F16</f>
        <v>Media</v>
      </c>
      <c r="D16" s="62" t="str">
        <f>+'3 PROBABIL E IMPACTO INHERENTE'!N16</f>
        <v>Catastrófico</v>
      </c>
      <c r="E16" s="250" t="str">
        <f t="shared" si="0"/>
        <v>Extremo</v>
      </c>
      <c r="F16" s="63"/>
      <c r="G16" s="63"/>
      <c r="H16" s="63"/>
      <c r="I16" s="63"/>
      <c r="J16" s="63"/>
      <c r="K16" s="63"/>
      <c r="L16" s="63"/>
      <c r="M16" s="63"/>
      <c r="N16" s="63"/>
      <c r="R16" s="52" t="s">
        <v>301</v>
      </c>
      <c r="T16" s="49"/>
      <c r="U16" s="49"/>
      <c r="V16" s="49"/>
      <c r="W16" s="49"/>
      <c r="X16" s="49"/>
      <c r="Y16" s="49"/>
      <c r="Z16" s="49"/>
      <c r="AA16" s="59"/>
      <c r="AB16" s="69"/>
      <c r="AC16" s="59"/>
      <c r="AD16" s="70"/>
      <c r="AE16" s="70"/>
      <c r="AF16" s="70"/>
      <c r="AG16" s="70"/>
      <c r="AH16" s="70"/>
      <c r="AI16" s="59"/>
      <c r="AJ16" s="59"/>
    </row>
    <row r="17" spans="1:36" ht="130.5" customHeight="1" x14ac:dyDescent="0.2">
      <c r="A17" s="60" t="str">
        <f>'2 IDENTIFICACIÓN'!A17</f>
        <v>R8</v>
      </c>
      <c r="B17" s="61"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17" s="62" t="str">
        <f>+'3 PROBABIL E IMPACTO INHERENTE'!F17</f>
        <v>Media</v>
      </c>
      <c r="D17" s="62" t="str">
        <f>+'3 PROBABIL E IMPACTO INHERENTE'!N17</f>
        <v>Catastrófico</v>
      </c>
      <c r="E17" s="250" t="str">
        <f t="shared" si="0"/>
        <v>Extremo</v>
      </c>
      <c r="F17" s="63"/>
      <c r="G17" s="63"/>
      <c r="H17" s="63"/>
      <c r="I17" s="63"/>
      <c r="J17" s="63"/>
      <c r="K17" s="63"/>
      <c r="L17" s="63"/>
      <c r="M17" s="63"/>
      <c r="N17" s="63"/>
      <c r="R17" s="81" t="s">
        <v>299</v>
      </c>
      <c r="T17" s="49"/>
      <c r="U17" s="49"/>
      <c r="V17" s="49"/>
      <c r="W17" s="49"/>
      <c r="X17" s="49"/>
      <c r="Y17" s="49"/>
      <c r="Z17" s="49"/>
      <c r="AA17" s="59"/>
      <c r="AB17" s="59"/>
      <c r="AC17" s="59"/>
      <c r="AD17" s="67"/>
      <c r="AE17" s="67"/>
      <c r="AF17" s="67"/>
      <c r="AG17" s="67"/>
      <c r="AH17" s="67"/>
      <c r="AI17" s="59"/>
      <c r="AJ17" s="59"/>
    </row>
    <row r="18" spans="1:36" ht="130.5" customHeight="1" x14ac:dyDescent="0.2">
      <c r="A18" s="60" t="str">
        <f>'2 IDENTIFICACIÓN'!A18</f>
        <v>R9</v>
      </c>
      <c r="B18" s="61" t="str">
        <f>+'2 IDENTIFICACIÓN'!J18</f>
        <v>Posibilidad  de efecto dañoso sobre el recurso público por pago de sanción e intereses moratorios, debido a  trámite inoportuno a los requerimientos de los entes de control y vigilancia, de acuerdo con sus lineamientos y términos de ley.</v>
      </c>
      <c r="C18" s="62" t="str">
        <f>+'3 PROBABIL E IMPACTO INHERENTE'!F18</f>
        <v>Media</v>
      </c>
      <c r="D18" s="62" t="str">
        <f>+'3 PROBABIL E IMPACTO INHERENTE'!N18</f>
        <v>Menor</v>
      </c>
      <c r="E18" s="250" t="str">
        <f t="shared" si="0"/>
        <v>Moderado</v>
      </c>
      <c r="F18" s="63"/>
      <c r="G18" s="63"/>
      <c r="H18" s="63"/>
      <c r="I18" s="63"/>
      <c r="J18" s="63"/>
      <c r="K18" s="63"/>
      <c r="L18" s="63"/>
      <c r="M18" s="63"/>
      <c r="N18" s="63"/>
      <c r="R18" s="64" t="s">
        <v>298</v>
      </c>
      <c r="S18" s="49"/>
      <c r="T18" s="49"/>
      <c r="U18" s="49"/>
      <c r="V18" s="49"/>
      <c r="W18" s="49"/>
      <c r="X18" s="49"/>
      <c r="Y18" s="49"/>
      <c r="Z18" s="49"/>
      <c r="AA18" s="59"/>
      <c r="AB18" s="59"/>
      <c r="AC18" s="59"/>
      <c r="AD18" s="67"/>
      <c r="AE18" s="67"/>
      <c r="AF18" s="67"/>
      <c r="AG18" s="67"/>
      <c r="AH18" s="67"/>
      <c r="AI18" s="59"/>
      <c r="AJ18" s="59"/>
    </row>
    <row r="19" spans="1:36" ht="130.5" customHeight="1" x14ac:dyDescent="0.2">
      <c r="A19" s="60" t="str">
        <f>'2 IDENTIFICACIÓN'!A19</f>
        <v>R10</v>
      </c>
      <c r="B19" s="61"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19" s="62" t="str">
        <f>+'3 PROBABIL E IMPACTO INHERENTE'!F19</f>
        <v>Baja</v>
      </c>
      <c r="D19" s="62" t="str">
        <f>+'3 PROBABIL E IMPACTO INHERENTE'!N19</f>
        <v>Catastrófico</v>
      </c>
      <c r="E19" s="250" t="str">
        <f t="shared" si="0"/>
        <v>Extremo</v>
      </c>
      <c r="F19" s="63"/>
      <c r="G19" s="63"/>
      <c r="H19" s="63"/>
      <c r="I19" s="63"/>
      <c r="J19" s="63"/>
      <c r="K19" s="63"/>
      <c r="L19" s="63"/>
      <c r="M19" s="63"/>
      <c r="N19" s="63"/>
      <c r="Q19" s="82"/>
      <c r="R19" s="68" t="s">
        <v>280</v>
      </c>
      <c r="S19" s="82"/>
      <c r="T19" s="82"/>
      <c r="U19" s="82"/>
      <c r="V19" s="82"/>
      <c r="W19" s="82"/>
      <c r="X19" s="82"/>
      <c r="Y19" s="82"/>
      <c r="Z19" s="82"/>
      <c r="AA19" s="59"/>
      <c r="AB19" s="59"/>
      <c r="AC19" s="83"/>
      <c r="AD19" s="83"/>
      <c r="AE19" s="83"/>
      <c r="AF19" s="83"/>
      <c r="AG19" s="83"/>
      <c r="AH19" s="83"/>
      <c r="AI19" s="59"/>
      <c r="AJ19" s="59"/>
    </row>
    <row r="20" spans="1:36" ht="130.5" customHeight="1" x14ac:dyDescent="0.2">
      <c r="A20" s="60" t="str">
        <f>'2 IDENTIFICACIÓN'!A20</f>
        <v>R11</v>
      </c>
      <c r="B20" s="61"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20" s="62" t="str">
        <f>+'3 PROBABIL E IMPACTO INHERENTE'!F20</f>
        <v>Muy Baja</v>
      </c>
      <c r="D20" s="62" t="str">
        <f>+'3 PROBABIL E IMPACTO INHERENTE'!N20</f>
        <v>Leve</v>
      </c>
      <c r="E20" s="250" t="str">
        <f t="shared" si="0"/>
        <v>Bajo</v>
      </c>
      <c r="F20" s="63"/>
      <c r="G20" s="63"/>
      <c r="H20" s="63"/>
      <c r="I20" s="63"/>
      <c r="J20" s="63"/>
      <c r="K20" s="63"/>
      <c r="L20" s="63"/>
      <c r="M20" s="63"/>
      <c r="N20" s="63"/>
      <c r="Q20" s="82"/>
      <c r="R20" s="72" t="s">
        <v>300</v>
      </c>
      <c r="Y20" s="82"/>
      <c r="Z20" s="82"/>
      <c r="AA20" s="59"/>
      <c r="AB20" s="59"/>
      <c r="AC20" s="59"/>
      <c r="AD20" s="67"/>
      <c r="AE20" s="67"/>
      <c r="AF20" s="67"/>
      <c r="AG20" s="67"/>
      <c r="AH20" s="67"/>
      <c r="AI20" s="59"/>
      <c r="AJ20" s="59"/>
    </row>
    <row r="21" spans="1:36" ht="130.5" customHeight="1" x14ac:dyDescent="0.2">
      <c r="A21" s="60" t="str">
        <f>'2 IDENTIFICACIÓN'!A21</f>
        <v>R12</v>
      </c>
      <c r="B21" s="61"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21" s="62" t="str">
        <f>+'3 PROBABIL E IMPACTO INHERENTE'!F21</f>
        <v>Alta</v>
      </c>
      <c r="D21" s="62" t="str">
        <f>+'3 PROBABIL E IMPACTO INHERENTE'!N21</f>
        <v>Leve</v>
      </c>
      <c r="E21" s="250" t="str">
        <f t="shared" si="0"/>
        <v>Moderado</v>
      </c>
      <c r="F21" s="63"/>
      <c r="G21" s="63"/>
      <c r="H21" s="63"/>
      <c r="I21" s="63"/>
      <c r="J21" s="63"/>
      <c r="K21" s="63"/>
      <c r="L21" s="63"/>
      <c r="M21" s="63"/>
      <c r="N21" s="63"/>
      <c r="O21" s="84"/>
      <c r="P21" s="84"/>
      <c r="Q21" s="82"/>
      <c r="Y21" s="82"/>
      <c r="Z21" s="82"/>
      <c r="AA21" s="59"/>
      <c r="AB21" s="59"/>
      <c r="AC21" s="59"/>
      <c r="AD21" s="67"/>
      <c r="AE21" s="67"/>
      <c r="AF21" s="67"/>
      <c r="AG21" s="67"/>
      <c r="AH21" s="67"/>
      <c r="AI21" s="59"/>
      <c r="AJ21" s="59"/>
    </row>
    <row r="22" spans="1:36" ht="130.5" customHeight="1" x14ac:dyDescent="0.2">
      <c r="A22" s="60" t="str">
        <f>'2 IDENTIFICACIÓN'!A22</f>
        <v>R13</v>
      </c>
      <c r="B22" s="61"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22" s="62" t="str">
        <f>+'3 PROBABIL E IMPACTO INHERENTE'!F22</f>
        <v>Muy Alta</v>
      </c>
      <c r="D22" s="62" t="str">
        <f>+'3 PROBABIL E IMPACTO INHERENTE'!N22</f>
        <v>Mayor</v>
      </c>
      <c r="E22" s="250" t="str">
        <f t="shared" si="0"/>
        <v>Alto</v>
      </c>
      <c r="F22" s="63"/>
      <c r="G22" s="63"/>
      <c r="H22" s="63"/>
      <c r="I22" s="63"/>
      <c r="J22" s="63"/>
      <c r="K22" s="63"/>
      <c r="L22" s="63"/>
      <c r="M22" s="63"/>
      <c r="N22" s="63"/>
      <c r="O22" s="84"/>
      <c r="P22" s="84"/>
      <c r="Q22" s="85"/>
      <c r="Y22" s="82"/>
      <c r="Z22" s="82"/>
      <c r="AA22" s="59"/>
      <c r="AB22" s="80"/>
      <c r="AC22" s="80"/>
      <c r="AD22" s="80"/>
      <c r="AE22" s="80"/>
      <c r="AF22" s="80"/>
      <c r="AG22" s="80"/>
      <c r="AH22" s="67"/>
      <c r="AI22" s="59"/>
      <c r="AJ22" s="59"/>
    </row>
    <row r="23" spans="1:36" ht="131.44999999999999" customHeight="1" x14ac:dyDescent="0.2">
      <c r="A23" s="60" t="str">
        <f>'2 IDENTIFICACIÓN'!A23</f>
        <v>R14</v>
      </c>
      <c r="B23" s="61"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23" s="62" t="str">
        <f>+'3 PROBABIL E IMPACTO INHERENTE'!F23</f>
        <v>Alta</v>
      </c>
      <c r="D23" s="62" t="str">
        <f>+'3 PROBABIL E IMPACTO INHERENTE'!N23</f>
        <v>Moderado</v>
      </c>
      <c r="E23" s="250" t="str">
        <f t="shared" si="0"/>
        <v>Alto</v>
      </c>
      <c r="F23" s="63"/>
      <c r="G23" s="63"/>
      <c r="H23" s="63"/>
      <c r="I23" s="63"/>
      <c r="J23" s="63"/>
      <c r="K23" s="63"/>
      <c r="L23" s="63"/>
      <c r="M23" s="63"/>
      <c r="N23" s="63"/>
      <c r="O23" s="84"/>
      <c r="P23" s="84"/>
      <c r="AA23" s="59"/>
      <c r="AB23" s="86"/>
      <c r="AC23" s="86"/>
      <c r="AD23" s="86"/>
      <c r="AE23" s="86"/>
      <c r="AF23" s="86"/>
      <c r="AG23" s="86"/>
      <c r="AH23" s="67"/>
      <c r="AI23" s="59"/>
      <c r="AJ23" s="59"/>
    </row>
    <row r="24" spans="1:36" ht="128.44999999999999" customHeight="1" x14ac:dyDescent="0.2">
      <c r="A24" s="60" t="str">
        <f>'2 IDENTIFICACIÓN'!A24</f>
        <v>R15</v>
      </c>
      <c r="B24" s="61"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24" s="62" t="str">
        <f>+'3 PROBABIL E IMPACTO INHERENTE'!F24</f>
        <v>Baja</v>
      </c>
      <c r="D24" s="62" t="str">
        <f>+'3 PROBABIL E IMPACTO INHERENTE'!N24</f>
        <v>Mayor</v>
      </c>
      <c r="E24" s="61" t="str">
        <f t="shared" si="0"/>
        <v>Alto</v>
      </c>
      <c r="F24" s="63"/>
      <c r="G24" s="63"/>
      <c r="H24" s="63"/>
      <c r="I24" s="63"/>
      <c r="J24" s="63"/>
      <c r="K24" s="63"/>
      <c r="L24" s="63"/>
      <c r="M24" s="63"/>
      <c r="N24" s="63"/>
      <c r="O24" s="84"/>
      <c r="P24" s="84"/>
      <c r="AA24" s="59"/>
      <c r="AB24" s="80"/>
      <c r="AC24" s="80"/>
      <c r="AD24" s="80"/>
      <c r="AE24" s="80"/>
      <c r="AF24" s="80"/>
      <c r="AG24" s="80"/>
      <c r="AH24" s="67"/>
      <c r="AI24" s="59"/>
      <c r="AJ24" s="59"/>
    </row>
    <row r="25" spans="1:36" ht="109.5" customHeight="1" x14ac:dyDescent="0.2">
      <c r="A25" s="60" t="str">
        <f>'2 IDENTIFICACIÓN'!A25</f>
        <v>R16</v>
      </c>
      <c r="B25" s="61"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25" s="62" t="str">
        <f>+'3 PROBABIL E IMPACTO INHERENTE'!F25</f>
        <v>Media</v>
      </c>
      <c r="D25" s="62" t="str">
        <f>+'3 PROBABIL E IMPACTO INHERENTE'!N25</f>
        <v>Moderado</v>
      </c>
      <c r="E25" s="61" t="str">
        <f t="shared" si="0"/>
        <v>Moderado</v>
      </c>
      <c r="F25" s="63"/>
      <c r="G25" s="63"/>
      <c r="H25" s="63"/>
      <c r="I25" s="63"/>
      <c r="J25" s="63"/>
      <c r="K25" s="63"/>
      <c r="L25" s="63"/>
      <c r="M25" s="63"/>
      <c r="N25" s="63"/>
      <c r="AA25" s="59"/>
      <c r="AB25" s="80"/>
      <c r="AC25" s="80"/>
      <c r="AD25" s="80"/>
      <c r="AE25" s="80"/>
      <c r="AF25" s="80"/>
      <c r="AG25" s="80"/>
      <c r="AH25" s="67"/>
      <c r="AI25" s="59"/>
      <c r="AJ25" s="59"/>
    </row>
    <row r="26" spans="1:36" ht="147" customHeight="1" x14ac:dyDescent="0.25">
      <c r="A26" s="60" t="str">
        <f>'2 IDENTIFICACIÓN'!A26</f>
        <v>R17</v>
      </c>
      <c r="B26" s="61"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6" s="62" t="str">
        <f>+'3 PROBABIL E IMPACTO INHERENTE'!F26</f>
        <v>Baja</v>
      </c>
      <c r="D26" s="62" t="str">
        <f>+'3 PROBABIL E IMPACTO INHERENTE'!N26</f>
        <v>Moderado</v>
      </c>
      <c r="E26" s="61" t="str">
        <f t="shared" si="0"/>
        <v>Moderado</v>
      </c>
      <c r="F26" s="63"/>
      <c r="G26" s="63"/>
      <c r="H26" s="63"/>
      <c r="I26" s="63"/>
      <c r="J26" s="63"/>
      <c r="K26" s="63"/>
      <c r="L26" s="63"/>
      <c r="M26" s="63"/>
      <c r="N26" s="63"/>
    </row>
    <row r="27" spans="1:36" ht="109.5" hidden="1" customHeight="1" x14ac:dyDescent="0.25">
      <c r="A27" s="60" t="str">
        <f>'2 IDENTIFICACIÓN'!A27</f>
        <v>R18</v>
      </c>
      <c r="B27" s="61" t="str">
        <f>+'2 IDENTIFICACIÓN'!J27</f>
        <v xml:space="preserve"> por  debido a </v>
      </c>
      <c r="C27" s="62" t="str">
        <f>+'3 PROBABIL E IMPACTO INHERENTE'!F27</f>
        <v/>
      </c>
      <c r="D27" s="62" t="str">
        <f>+'3 PROBABIL E IMPACTO INHERENTE'!N27</f>
        <v/>
      </c>
      <c r="E27" s="61" t="str">
        <f t="shared" si="0"/>
        <v/>
      </c>
      <c r="F27" s="63"/>
      <c r="G27" s="63"/>
      <c r="H27" s="63"/>
      <c r="I27" s="63"/>
      <c r="J27" s="63"/>
      <c r="K27" s="63"/>
      <c r="L27" s="63"/>
      <c r="M27" s="63"/>
      <c r="N27" s="63"/>
    </row>
    <row r="28" spans="1:36" ht="109.5" hidden="1" customHeight="1" x14ac:dyDescent="0.25">
      <c r="A28" s="60" t="str">
        <f>'2 IDENTIFICACIÓN'!A28</f>
        <v>R19</v>
      </c>
      <c r="B28" s="61" t="str">
        <f>+'2 IDENTIFICACIÓN'!J28</f>
        <v xml:space="preserve"> por  debido a </v>
      </c>
      <c r="C28" s="62" t="str">
        <f>+'3 PROBABIL E IMPACTO INHERENTE'!F28</f>
        <v/>
      </c>
      <c r="D28" s="62" t="str">
        <f>+'3 PROBABIL E IMPACTO INHERENTE'!N28</f>
        <v/>
      </c>
      <c r="E28" s="61" t="str">
        <f t="shared" si="0"/>
        <v/>
      </c>
      <c r="F28" s="63"/>
      <c r="G28" s="63"/>
      <c r="H28" s="63"/>
      <c r="I28" s="63"/>
      <c r="J28" s="63"/>
      <c r="K28" s="63"/>
      <c r="L28" s="63"/>
      <c r="M28" s="63"/>
      <c r="N28" s="63"/>
    </row>
    <row r="29" spans="1:36" ht="109.5" hidden="1" customHeight="1" x14ac:dyDescent="0.25">
      <c r="A29" s="60" t="str">
        <f>'2 IDENTIFICACIÓN'!A29</f>
        <v>R20</v>
      </c>
      <c r="B29" s="61" t="str">
        <f>+'2 IDENTIFICACIÓN'!J29</f>
        <v xml:space="preserve"> por  debido a </v>
      </c>
      <c r="C29" s="62" t="str">
        <f>+'3 PROBABIL E IMPACTO INHERENTE'!F29</f>
        <v/>
      </c>
      <c r="D29" s="62" t="str">
        <f>+'3 PROBABIL E IMPACTO INHERENTE'!N29</f>
        <v/>
      </c>
      <c r="E29" s="61" t="str">
        <f t="shared" si="0"/>
        <v/>
      </c>
      <c r="F29" s="63"/>
      <c r="G29" s="63"/>
      <c r="H29" s="63"/>
      <c r="I29" s="63"/>
      <c r="J29" s="63"/>
      <c r="K29" s="63"/>
      <c r="L29" s="63"/>
      <c r="M29" s="63"/>
      <c r="N29" s="63"/>
    </row>
    <row r="30" spans="1:36" ht="109.5" hidden="1" customHeight="1" x14ac:dyDescent="0.25">
      <c r="A30" s="60" t="str">
        <f>'2 IDENTIFICACIÓN'!A30</f>
        <v>R21</v>
      </c>
      <c r="B30" s="61" t="str">
        <f>+'2 IDENTIFICACIÓN'!J30</f>
        <v xml:space="preserve"> por  debido a </v>
      </c>
      <c r="C30" s="62" t="str">
        <f>+'3 PROBABIL E IMPACTO INHERENTE'!F30</f>
        <v/>
      </c>
      <c r="D30" s="62" t="str">
        <f>+'3 PROBABIL E IMPACTO INHERENTE'!N30</f>
        <v/>
      </c>
      <c r="E30" s="61" t="str">
        <f t="shared" si="0"/>
        <v/>
      </c>
      <c r="F30" s="63"/>
      <c r="G30" s="63"/>
      <c r="H30" s="63"/>
      <c r="I30" s="63"/>
      <c r="J30" s="63"/>
      <c r="K30" s="63"/>
      <c r="L30" s="63"/>
      <c r="M30" s="63"/>
      <c r="N30" s="63"/>
    </row>
    <row r="31" spans="1:36" ht="109.5" hidden="1" customHeight="1" x14ac:dyDescent="0.25">
      <c r="A31" s="60" t="str">
        <f>'2 IDENTIFICACIÓN'!A31</f>
        <v>R22</v>
      </c>
      <c r="B31" s="61" t="str">
        <f>+'2 IDENTIFICACIÓN'!J31</f>
        <v xml:space="preserve"> por  debido a </v>
      </c>
      <c r="C31" s="62" t="str">
        <f>+'3 PROBABIL E IMPACTO INHERENTE'!F31</f>
        <v/>
      </c>
      <c r="D31" s="62" t="str">
        <f>+'3 PROBABIL E IMPACTO INHERENTE'!N31</f>
        <v/>
      </c>
      <c r="E31" s="61" t="str">
        <f t="shared" si="0"/>
        <v/>
      </c>
      <c r="F31" s="63"/>
      <c r="G31" s="63"/>
      <c r="H31" s="63"/>
      <c r="I31" s="63"/>
      <c r="J31" s="63"/>
      <c r="K31" s="63"/>
      <c r="L31" s="63"/>
      <c r="M31" s="63"/>
      <c r="N31" s="63"/>
    </row>
    <row r="32" spans="1:36" ht="109.5" hidden="1" customHeight="1" x14ac:dyDescent="0.25">
      <c r="A32" s="60" t="str">
        <f>'2 IDENTIFICACIÓN'!A32</f>
        <v>R23</v>
      </c>
      <c r="B32" s="61" t="str">
        <f>+'2 IDENTIFICACIÓN'!J32</f>
        <v xml:space="preserve"> por  debido a </v>
      </c>
      <c r="C32" s="62" t="str">
        <f>+'3 PROBABIL E IMPACTO INHERENTE'!F32</f>
        <v/>
      </c>
      <c r="D32" s="62" t="str">
        <f>+'3 PROBABIL E IMPACTO INHERENTE'!N32</f>
        <v/>
      </c>
      <c r="E32" s="61" t="str">
        <f t="shared" si="0"/>
        <v/>
      </c>
      <c r="F32" s="63"/>
      <c r="G32" s="63"/>
      <c r="H32" s="63"/>
      <c r="I32" s="63"/>
      <c r="J32" s="63"/>
      <c r="K32" s="63"/>
      <c r="L32" s="63"/>
      <c r="M32" s="63"/>
      <c r="N32" s="63"/>
    </row>
    <row r="33" spans="1:34" ht="109.5" hidden="1" customHeight="1" x14ac:dyDescent="0.25">
      <c r="A33" s="60" t="str">
        <f>'2 IDENTIFICACIÓN'!A33</f>
        <v>R24</v>
      </c>
      <c r="B33" s="61" t="str">
        <f>+'2 IDENTIFICACIÓN'!J33</f>
        <v xml:space="preserve"> por  debido a </v>
      </c>
      <c r="C33" s="62" t="str">
        <f>+'3 PROBABIL E IMPACTO INHERENTE'!F33</f>
        <v/>
      </c>
      <c r="D33" s="62" t="str">
        <f>+'3 PROBABIL E IMPACTO INHERENTE'!N33</f>
        <v/>
      </c>
      <c r="E33" s="61" t="str">
        <f t="shared" si="0"/>
        <v/>
      </c>
      <c r="F33" s="63"/>
      <c r="G33" s="63"/>
      <c r="H33" s="63"/>
      <c r="I33" s="63"/>
      <c r="J33" s="63"/>
      <c r="K33" s="63"/>
      <c r="L33" s="63"/>
      <c r="M33" s="63"/>
      <c r="N33" s="63"/>
    </row>
    <row r="34" spans="1:34" ht="109.5" hidden="1" customHeight="1" x14ac:dyDescent="0.25">
      <c r="A34" s="60" t="str">
        <f>'2 IDENTIFICACIÓN'!A34</f>
        <v>R25</v>
      </c>
      <c r="B34" s="61" t="str">
        <f>+'2 IDENTIFICACIÓN'!J34</f>
        <v xml:space="preserve"> por  debido a </v>
      </c>
      <c r="C34" s="62" t="str">
        <f>+'3 PROBABIL E IMPACTO INHERENTE'!F34</f>
        <v/>
      </c>
      <c r="D34" s="62" t="str">
        <f>+'3 PROBABIL E IMPACTO INHERENTE'!N34</f>
        <v/>
      </c>
      <c r="E34" s="61" t="str">
        <f t="shared" si="0"/>
        <v/>
      </c>
      <c r="F34" s="63"/>
      <c r="G34" s="63"/>
      <c r="H34" s="63"/>
      <c r="I34" s="63"/>
      <c r="J34" s="63"/>
      <c r="K34" s="63"/>
      <c r="L34" s="63"/>
      <c r="M34" s="63"/>
      <c r="N34" s="63"/>
    </row>
    <row r="35" spans="1:34" ht="109.5" hidden="1" customHeight="1" x14ac:dyDescent="0.25">
      <c r="A35" s="60" t="str">
        <f>'2 IDENTIFICACIÓN'!A35</f>
        <v>R26</v>
      </c>
      <c r="B35" s="61" t="str">
        <f>+'2 IDENTIFICACIÓN'!J35</f>
        <v xml:space="preserve"> por  debido a </v>
      </c>
      <c r="C35" s="62" t="str">
        <f>+'3 PROBABIL E IMPACTO INHERENTE'!F35</f>
        <v/>
      </c>
      <c r="D35" s="62" t="str">
        <f>+'3 PROBABIL E IMPACTO INHERENTE'!N35</f>
        <v/>
      </c>
      <c r="E35" s="61" t="str">
        <f t="shared" si="0"/>
        <v/>
      </c>
      <c r="F35" s="63"/>
      <c r="G35" s="63"/>
      <c r="H35" s="63"/>
      <c r="I35" s="63"/>
      <c r="J35" s="63"/>
      <c r="K35" s="63"/>
      <c r="L35" s="63"/>
      <c r="M35" s="63"/>
      <c r="N35" s="63"/>
    </row>
    <row r="36" spans="1:34" ht="109.5" hidden="1" customHeight="1" x14ac:dyDescent="0.25">
      <c r="A36" s="60" t="str">
        <f>'2 IDENTIFICACIÓN'!A36</f>
        <v>R27</v>
      </c>
      <c r="B36" s="61" t="str">
        <f>+'2 IDENTIFICACIÓN'!J36</f>
        <v xml:space="preserve"> por  debido a </v>
      </c>
      <c r="C36" s="62" t="str">
        <f>+'3 PROBABIL E IMPACTO INHERENTE'!F36</f>
        <v/>
      </c>
      <c r="D36" s="62" t="str">
        <f>+'3 PROBABIL E IMPACTO INHERENTE'!N36</f>
        <v/>
      </c>
      <c r="E36" s="61" t="str">
        <f t="shared" si="0"/>
        <v/>
      </c>
      <c r="F36" s="63"/>
      <c r="G36" s="63"/>
      <c r="H36" s="63"/>
      <c r="I36" s="63"/>
      <c r="J36" s="63"/>
      <c r="K36" s="63"/>
      <c r="L36" s="63"/>
      <c r="M36" s="63"/>
      <c r="N36" s="63"/>
    </row>
    <row r="37" spans="1:34" ht="109.5" hidden="1" customHeight="1" x14ac:dyDescent="0.25">
      <c r="A37" s="60" t="str">
        <f>'2 IDENTIFICACIÓN'!A37</f>
        <v>R28</v>
      </c>
      <c r="B37" s="61" t="str">
        <f>+'2 IDENTIFICACIÓN'!J37</f>
        <v xml:space="preserve"> por  debido a </v>
      </c>
      <c r="C37" s="62" t="str">
        <f>+'3 PROBABIL E IMPACTO INHERENTE'!F37</f>
        <v/>
      </c>
      <c r="D37" s="62" t="str">
        <f>+'3 PROBABIL E IMPACTO INHERENTE'!N37</f>
        <v/>
      </c>
      <c r="E37" s="61" t="str">
        <f t="shared" si="0"/>
        <v/>
      </c>
      <c r="F37" s="63"/>
      <c r="G37" s="63"/>
      <c r="H37" s="63"/>
      <c r="I37" s="63"/>
      <c r="J37" s="63"/>
      <c r="K37" s="63"/>
      <c r="L37" s="63"/>
      <c r="M37" s="63"/>
      <c r="N37" s="63"/>
    </row>
    <row r="38" spans="1:34" ht="109.5" hidden="1" customHeight="1" x14ac:dyDescent="0.25">
      <c r="A38" s="60" t="str">
        <f>'2 IDENTIFICACIÓN'!A38</f>
        <v>R29</v>
      </c>
      <c r="B38" s="61" t="str">
        <f>+'2 IDENTIFICACIÓN'!J38</f>
        <v xml:space="preserve"> por  debido a </v>
      </c>
      <c r="C38" s="62" t="str">
        <f>+'3 PROBABIL E IMPACTO INHERENTE'!F38</f>
        <v/>
      </c>
      <c r="D38" s="62" t="str">
        <f>+'3 PROBABIL E IMPACTO INHERENTE'!N38</f>
        <v/>
      </c>
      <c r="E38" s="61" t="str">
        <f t="shared" si="0"/>
        <v/>
      </c>
      <c r="F38" s="63"/>
      <c r="G38" s="63"/>
      <c r="H38" s="63"/>
      <c r="I38" s="63"/>
      <c r="J38" s="63"/>
      <c r="K38" s="63"/>
      <c r="L38" s="63"/>
      <c r="M38" s="63"/>
      <c r="N38" s="63"/>
    </row>
    <row r="39" spans="1:34" ht="109.5" hidden="1" customHeight="1" x14ac:dyDescent="0.25">
      <c r="A39" s="60" t="str">
        <f>'2 IDENTIFICACIÓN'!A39</f>
        <v>R30</v>
      </c>
      <c r="B39" s="61" t="str">
        <f>+'2 IDENTIFICACIÓN'!J39</f>
        <v xml:space="preserve"> por  debido a </v>
      </c>
      <c r="C39" s="62" t="str">
        <f>+'3 PROBABIL E IMPACTO INHERENTE'!F39</f>
        <v/>
      </c>
      <c r="D39" s="62" t="str">
        <f>+'3 PROBABIL E IMPACTO INHERENTE'!N39</f>
        <v/>
      </c>
      <c r="E39" s="61" t="str">
        <f t="shared" si="0"/>
        <v/>
      </c>
      <c r="F39" s="63"/>
      <c r="G39" s="63"/>
      <c r="H39" s="63"/>
      <c r="I39" s="63"/>
      <c r="J39" s="63"/>
      <c r="K39" s="63"/>
      <c r="L39" s="63"/>
      <c r="M39" s="63"/>
      <c r="N39" s="63"/>
    </row>
    <row r="40" spans="1:34" ht="13.5" thickBot="1" x14ac:dyDescent="0.3">
      <c r="B40" s="45"/>
      <c r="D40" s="45"/>
      <c r="E40" s="45"/>
      <c r="F40" s="45"/>
      <c r="G40" s="45"/>
      <c r="H40" s="45"/>
      <c r="I40" s="45"/>
      <c r="J40" s="45"/>
      <c r="K40" s="45"/>
      <c r="L40" s="45"/>
      <c r="M40" s="45"/>
      <c r="N40" s="45"/>
      <c r="Y40" s="50"/>
      <c r="Z40" s="50"/>
      <c r="AA40" s="50"/>
      <c r="AB40" s="50"/>
      <c r="AC40" s="50"/>
      <c r="AD40" s="45"/>
      <c r="AE40" s="45"/>
      <c r="AF40" s="45"/>
      <c r="AG40" s="45"/>
      <c r="AH40" s="45"/>
    </row>
    <row r="41" spans="1:34" ht="14.25" thickTop="1" thickBot="1" x14ac:dyDescent="0.3">
      <c r="A41" s="424" t="s">
        <v>376</v>
      </c>
      <c r="B41" s="424"/>
      <c r="C41" s="424"/>
      <c r="D41" s="424"/>
      <c r="E41" s="424"/>
      <c r="F41" s="424"/>
      <c r="G41" s="424"/>
      <c r="H41" s="45"/>
      <c r="I41" s="45"/>
      <c r="J41" s="45"/>
      <c r="K41" s="45"/>
      <c r="L41" s="45"/>
      <c r="M41" s="45"/>
      <c r="N41" s="45"/>
      <c r="Y41" s="50"/>
      <c r="Z41" s="50"/>
      <c r="AA41" s="50"/>
      <c r="AB41" s="50"/>
      <c r="AC41" s="50"/>
      <c r="AD41" s="45"/>
      <c r="AE41" s="45"/>
      <c r="AF41" s="45"/>
      <c r="AG41" s="45"/>
      <c r="AH41" s="45"/>
    </row>
    <row r="42" spans="1:34" ht="19.5" customHeight="1" thickTop="1" thickBot="1" x14ac:dyDescent="0.3">
      <c r="A42" s="312" t="s">
        <v>377</v>
      </c>
      <c r="B42" s="424" t="s">
        <v>378</v>
      </c>
      <c r="C42" s="424"/>
      <c r="D42" s="424" t="s">
        <v>379</v>
      </c>
      <c r="E42" s="424"/>
      <c r="F42" s="424" t="s">
        <v>380</v>
      </c>
      <c r="G42" s="424"/>
      <c r="H42" s="45"/>
      <c r="I42" s="45"/>
      <c r="J42" s="45"/>
      <c r="K42" s="45"/>
      <c r="L42" s="45"/>
      <c r="M42" s="45"/>
      <c r="N42" s="45"/>
      <c r="Y42" s="50"/>
      <c r="Z42" s="50"/>
      <c r="AA42" s="50"/>
      <c r="AB42" s="50"/>
      <c r="AC42" s="50"/>
      <c r="AD42" s="45"/>
      <c r="AE42" s="45"/>
      <c r="AF42" s="45"/>
      <c r="AG42" s="45"/>
      <c r="AH42" s="45"/>
    </row>
    <row r="43" spans="1:34" ht="73.5" customHeight="1" thickTop="1" thickBot="1" x14ac:dyDescent="0.3">
      <c r="A43" s="313" t="s">
        <v>381</v>
      </c>
      <c r="B43" s="399">
        <v>46163</v>
      </c>
      <c r="C43" s="399"/>
      <c r="D43" s="400" t="s">
        <v>382</v>
      </c>
      <c r="E43" s="400"/>
      <c r="F43" s="401" t="s">
        <v>383</v>
      </c>
      <c r="G43" s="401"/>
      <c r="H43" s="45"/>
      <c r="I43" s="45"/>
      <c r="J43" s="45"/>
      <c r="K43" s="45"/>
      <c r="L43" s="45"/>
      <c r="M43" s="45"/>
      <c r="N43" s="45"/>
      <c r="Y43" s="50"/>
      <c r="Z43" s="50"/>
      <c r="AA43" s="50"/>
      <c r="AB43" s="50"/>
      <c r="AC43" s="50"/>
      <c r="AD43" s="45"/>
      <c r="AE43" s="45"/>
      <c r="AF43" s="45"/>
      <c r="AG43" s="45"/>
      <c r="AH43" s="45"/>
    </row>
    <row r="44" spans="1:34" ht="19.5" customHeight="1" thickTop="1" x14ac:dyDescent="0.25">
      <c r="B44" s="45"/>
      <c r="D44" s="45"/>
      <c r="E44" s="45"/>
      <c r="F44" s="45"/>
      <c r="G44" s="45"/>
      <c r="H44" s="45"/>
      <c r="I44" s="45"/>
      <c r="J44" s="45"/>
      <c r="K44" s="45"/>
      <c r="L44" s="45"/>
      <c r="M44" s="45"/>
      <c r="N44" s="45"/>
      <c r="Y44" s="50"/>
      <c r="Z44" s="50"/>
      <c r="AA44" s="50"/>
      <c r="AB44" s="50"/>
      <c r="AC44" s="50"/>
      <c r="AD44" s="45"/>
      <c r="AE44" s="45"/>
      <c r="AF44" s="45"/>
      <c r="AG44" s="45"/>
      <c r="AH44" s="45"/>
    </row>
    <row r="45" spans="1:34" ht="19.5" customHeight="1" x14ac:dyDescent="0.25">
      <c r="B45" s="45"/>
      <c r="D45" s="45"/>
      <c r="E45" s="45"/>
      <c r="F45" s="45"/>
      <c r="G45" s="45"/>
      <c r="H45" s="45"/>
      <c r="I45" s="45"/>
      <c r="J45" s="45"/>
      <c r="K45" s="45"/>
      <c r="L45" s="45"/>
      <c r="M45" s="45"/>
      <c r="N45" s="45"/>
      <c r="Y45" s="50"/>
      <c r="Z45" s="50"/>
      <c r="AA45" s="50"/>
      <c r="AB45" s="50"/>
      <c r="AC45" s="50"/>
      <c r="AD45" s="45"/>
      <c r="AE45" s="45"/>
      <c r="AF45" s="45"/>
      <c r="AG45" s="45"/>
      <c r="AH45" s="45"/>
    </row>
    <row r="46" spans="1:34" ht="19.5" customHeight="1" x14ac:dyDescent="0.25">
      <c r="B46" s="45"/>
      <c r="D46" s="45"/>
      <c r="E46" s="45"/>
      <c r="F46" s="45"/>
      <c r="G46" s="45"/>
      <c r="H46" s="45"/>
      <c r="I46" s="45"/>
      <c r="J46" s="45"/>
      <c r="K46" s="45"/>
      <c r="L46" s="45"/>
      <c r="M46" s="45"/>
      <c r="N46" s="45"/>
      <c r="Y46" s="50"/>
      <c r="Z46" s="50"/>
      <c r="AA46" s="50"/>
      <c r="AB46" s="50"/>
      <c r="AC46" s="50"/>
      <c r="AD46" s="45"/>
      <c r="AE46" s="45"/>
      <c r="AF46" s="45"/>
      <c r="AG46" s="45"/>
      <c r="AH46" s="45"/>
    </row>
  </sheetData>
  <sheetProtection formatCells="0" formatColumns="0" formatRows="0" sort="0" autoFilter="0" pivotTables="0"/>
  <dataConsolidate/>
  <mergeCells count="17">
    <mergeCell ref="A1:A3"/>
    <mergeCell ref="B1:I2"/>
    <mergeCell ref="B3:I3"/>
    <mergeCell ref="A4:K4"/>
    <mergeCell ref="R7:V7"/>
    <mergeCell ref="C8:E8"/>
    <mergeCell ref="O10:O14"/>
    <mergeCell ref="I8:M8"/>
    <mergeCell ref="G10:G14"/>
    <mergeCell ref="G7:M7"/>
    <mergeCell ref="A41:G41"/>
    <mergeCell ref="B42:C42"/>
    <mergeCell ref="D42:E42"/>
    <mergeCell ref="F42:G42"/>
    <mergeCell ref="B43:C43"/>
    <mergeCell ref="D43:E43"/>
    <mergeCell ref="F43:G43"/>
  </mergeCells>
  <conditionalFormatting sqref="C10:C39">
    <cfRule type="cellIs" dxfId="173" priority="6" operator="equal">
      <formula>$Q$14</formula>
    </cfRule>
    <cfRule type="cellIs" dxfId="172" priority="7" operator="equal">
      <formula>$Q$13</formula>
    </cfRule>
    <cfRule type="cellIs" dxfId="171" priority="8" operator="equal">
      <formula>$Q$12</formula>
    </cfRule>
    <cfRule type="cellIs" dxfId="170" priority="9" operator="equal">
      <formula>$Q$11</formula>
    </cfRule>
    <cfRule type="cellIs" dxfId="169" priority="10" operator="equal">
      <formula>$Q$10</formula>
    </cfRule>
  </conditionalFormatting>
  <conditionalFormatting sqref="D10:D39">
    <cfRule type="cellIs" dxfId="168" priority="1" operator="equal">
      <formula>$R$9</formula>
    </cfRule>
    <cfRule type="cellIs" dxfId="167" priority="2" operator="equal">
      <formula>$S$9</formula>
    </cfRule>
    <cfRule type="cellIs" dxfId="166" priority="3" operator="equal">
      <formula>$T$9</formula>
    </cfRule>
    <cfRule type="cellIs" dxfId="165" priority="4" operator="equal">
      <formula>$U$9</formula>
    </cfRule>
    <cfRule type="cellIs" dxfId="164" priority="5" operator="equal">
      <formula>$V$9</formula>
    </cfRule>
  </conditionalFormatting>
  <conditionalFormatting sqref="E10:E39">
    <cfRule type="cellIs" dxfId="163" priority="102" operator="equal">
      <formula>$R$17</formula>
    </cfRule>
    <cfRule type="cellIs" dxfId="162" priority="103" operator="equal">
      <formula>$R$18</formula>
    </cfRule>
    <cfRule type="cellIs" dxfId="161" priority="104" operator="equal">
      <formula>$R$19</formula>
    </cfRule>
    <cfRule type="cellIs" dxfId="160"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104" zoomScale="70" zoomScaleNormal="70" zoomScaleSheetLayoutView="65" workbookViewId="0">
      <selection activeCell="I106" sqref="I106"/>
    </sheetView>
  </sheetViews>
  <sheetFormatPr baseColWidth="10" defaultColWidth="11.42578125" defaultRowHeight="14.25" x14ac:dyDescent="0.25"/>
  <cols>
    <col min="1" max="1" width="14.85546875" style="28" customWidth="1"/>
    <col min="2" max="2" width="34.140625" style="28" customWidth="1"/>
    <col min="3" max="3" width="15.42578125" style="28" customWidth="1"/>
    <col min="4" max="4" width="11.42578125" style="28" customWidth="1"/>
    <col min="5" max="5" width="10.140625" style="28" customWidth="1"/>
    <col min="6" max="6" width="23.140625" style="28" customWidth="1"/>
    <col min="7" max="7" width="33.28515625" style="28" customWidth="1"/>
    <col min="8" max="8" width="28.140625" style="28" customWidth="1"/>
    <col min="9" max="9" width="56.140625" style="28" customWidth="1"/>
    <col min="10" max="10" width="29" style="28" bestFit="1" customWidth="1"/>
    <col min="11" max="11" width="22.5703125" style="33" customWidth="1"/>
    <col min="12" max="12" width="19.42578125" style="33" customWidth="1"/>
    <col min="13" max="13" width="19.42578125" style="28" bestFit="1" customWidth="1"/>
    <col min="14" max="14" width="20.5703125" style="33" bestFit="1" customWidth="1"/>
    <col min="15" max="15" width="18.85546875" style="33" customWidth="1"/>
    <col min="16" max="16" width="16.42578125" style="33" bestFit="1" customWidth="1"/>
    <col min="17" max="17" width="19.28515625" style="33" customWidth="1"/>
    <col min="18" max="18" width="13" style="33" customWidth="1"/>
    <col min="19" max="19" width="13.42578125" style="214" customWidth="1"/>
    <col min="20" max="20" width="19.42578125" style="214" customWidth="1"/>
    <col min="21" max="21" width="12.42578125" style="214" customWidth="1"/>
    <col min="22" max="22" width="16.42578125" style="108" customWidth="1"/>
    <col min="23" max="23" width="14.42578125" style="108" customWidth="1"/>
    <col min="24" max="24" width="11.42578125" style="28"/>
    <col min="25" max="25" width="21.42578125" style="4" customWidth="1"/>
    <col min="26" max="26" width="7.42578125" style="4" bestFit="1" customWidth="1"/>
    <col min="27" max="27" width="8.42578125" style="4" bestFit="1" customWidth="1"/>
    <col min="28" max="16384" width="11.42578125" style="28"/>
  </cols>
  <sheetData>
    <row r="1" spans="1:27" s="4" customFormat="1" ht="20.100000000000001" customHeight="1" thickTop="1" x14ac:dyDescent="0.25">
      <c r="A1" s="440"/>
      <c r="B1" s="443" t="s">
        <v>374</v>
      </c>
      <c r="C1" s="444"/>
      <c r="D1" s="444"/>
      <c r="E1" s="444"/>
      <c r="F1" s="444"/>
      <c r="G1" s="444"/>
      <c r="H1" s="444"/>
      <c r="I1" s="445"/>
      <c r="J1" s="304" t="s">
        <v>372</v>
      </c>
      <c r="K1" s="305"/>
      <c r="L1" s="252"/>
    </row>
    <row r="2" spans="1:27" s="4" customFormat="1" ht="20.100000000000001" customHeight="1" x14ac:dyDescent="0.25">
      <c r="A2" s="441"/>
      <c r="B2" s="446"/>
      <c r="C2" s="447"/>
      <c r="D2" s="447"/>
      <c r="E2" s="447"/>
      <c r="F2" s="447"/>
      <c r="G2" s="447"/>
      <c r="H2" s="447"/>
      <c r="I2" s="448"/>
      <c r="J2" s="306" t="s">
        <v>375</v>
      </c>
      <c r="K2" s="307"/>
      <c r="L2" s="252"/>
    </row>
    <row r="3" spans="1:27" s="3" customFormat="1" ht="16.5" thickBot="1" x14ac:dyDescent="0.25">
      <c r="A3" s="442"/>
      <c r="B3" s="449" t="s">
        <v>358</v>
      </c>
      <c r="C3" s="450"/>
      <c r="D3" s="450"/>
      <c r="E3" s="450"/>
      <c r="F3" s="450"/>
      <c r="G3" s="450"/>
      <c r="H3" s="450"/>
      <c r="I3" s="451"/>
      <c r="J3" s="308" t="s">
        <v>373</v>
      </c>
      <c r="K3" s="309"/>
      <c r="L3" s="253"/>
    </row>
    <row r="4" spans="1:27" s="3" customFormat="1" ht="17.100000000000001" customHeight="1" thickTop="1" x14ac:dyDescent="0.2">
      <c r="A4" s="452"/>
      <c r="B4" s="453"/>
      <c r="C4" s="453"/>
      <c r="D4" s="453"/>
      <c r="E4" s="453"/>
      <c r="F4" s="453"/>
      <c r="G4" s="453"/>
      <c r="H4" s="453"/>
      <c r="I4" s="453"/>
      <c r="J4" s="453"/>
      <c r="K4" s="454"/>
    </row>
    <row r="5" spans="1:27" s="4" customFormat="1" ht="27" customHeight="1" x14ac:dyDescent="0.25">
      <c r="A5" s="11" t="s">
        <v>80</v>
      </c>
      <c r="B5" s="258" t="str">
        <f>'2 IDENTIFICACIÓN'!B5</f>
        <v>ALCALDÍA DE BUCARAMANGA</v>
      </c>
      <c r="C5" s="259"/>
      <c r="D5" s="259"/>
      <c r="E5" s="260"/>
      <c r="F5" s="243" t="s">
        <v>81</v>
      </c>
      <c r="G5" s="258" t="str">
        <f>'2 IDENTIFICACIÓN'!G5</f>
        <v>GESTIÓN DE SERVICIOS DE LA EDUCACIÓN PÚBLICA</v>
      </c>
      <c r="H5" s="260"/>
      <c r="I5" s="243" t="s">
        <v>352</v>
      </c>
      <c r="J5" s="280">
        <f>'2 IDENTIFICACIÓN'!J5</f>
        <v>2026</v>
      </c>
      <c r="K5" s="262"/>
    </row>
    <row r="6" spans="1:27" s="4" customFormat="1" ht="15" x14ac:dyDescent="0.25">
      <c r="A6" s="163"/>
      <c r="B6" s="254"/>
      <c r="C6" s="254"/>
      <c r="D6" s="254"/>
      <c r="E6" s="254"/>
      <c r="F6" s="255"/>
      <c r="G6" s="256"/>
      <c r="H6" s="256"/>
      <c r="I6" s="256"/>
      <c r="J6" s="166"/>
      <c r="K6" s="256"/>
      <c r="S6" s="569" t="s">
        <v>303</v>
      </c>
      <c r="T6" s="569" t="s">
        <v>304</v>
      </c>
      <c r="U6" s="569" t="s">
        <v>62</v>
      </c>
    </row>
    <row r="7" spans="1:27" s="31" customFormat="1" ht="16.5" customHeight="1" x14ac:dyDescent="0.25">
      <c r="A7" s="163"/>
      <c r="B7" s="162"/>
      <c r="C7" s="162"/>
      <c r="D7" s="108"/>
      <c r="E7" s="30"/>
      <c r="F7" s="29" t="s">
        <v>302</v>
      </c>
      <c r="G7" s="30"/>
      <c r="H7" s="30"/>
      <c r="I7" s="30"/>
      <c r="J7" s="582" t="s">
        <v>305</v>
      </c>
      <c r="K7" s="583"/>
      <c r="L7" s="583"/>
      <c r="M7" s="583"/>
      <c r="N7" s="583"/>
      <c r="O7" s="583"/>
      <c r="P7" s="583"/>
      <c r="Q7" s="583"/>
      <c r="R7" s="584"/>
      <c r="S7" s="570"/>
      <c r="T7" s="570"/>
      <c r="U7" s="570"/>
      <c r="V7" s="108"/>
      <c r="W7" s="108"/>
      <c r="X7" s="27"/>
      <c r="Y7" s="16" t="s">
        <v>261</v>
      </c>
      <c r="Z7" s="17" t="s">
        <v>306</v>
      </c>
      <c r="AA7" s="18" t="s">
        <v>307</v>
      </c>
    </row>
    <row r="8" spans="1:27" ht="29.25" customHeight="1" x14ac:dyDescent="0.25">
      <c r="A8" s="554" t="s">
        <v>255</v>
      </c>
      <c r="B8" s="554" t="s">
        <v>256</v>
      </c>
      <c r="C8" s="554" t="s">
        <v>308</v>
      </c>
      <c r="D8" s="554" t="s">
        <v>309</v>
      </c>
      <c r="E8" s="572" t="s">
        <v>310</v>
      </c>
      <c r="F8" s="577" t="s">
        <v>44</v>
      </c>
      <c r="G8" s="578"/>
      <c r="H8" s="572"/>
      <c r="I8" s="139"/>
      <c r="J8" s="574" t="s">
        <v>119</v>
      </c>
      <c r="K8" s="575"/>
      <c r="L8" s="575"/>
      <c r="M8" s="575"/>
      <c r="N8" s="576"/>
      <c r="O8" s="579" t="s">
        <v>311</v>
      </c>
      <c r="P8" s="580"/>
      <c r="Q8" s="580"/>
      <c r="R8" s="581"/>
      <c r="S8" s="571"/>
      <c r="T8" s="571"/>
      <c r="U8" s="571"/>
      <c r="X8" s="27"/>
      <c r="Y8" s="218" t="s">
        <v>270</v>
      </c>
      <c r="Z8" s="23">
        <v>0.01</v>
      </c>
      <c r="AA8" s="22">
        <v>0.2</v>
      </c>
    </row>
    <row r="9" spans="1:27" s="27" customFormat="1" ht="57.75" thickBot="1" x14ac:dyDescent="0.3">
      <c r="A9" s="555"/>
      <c r="B9" s="555"/>
      <c r="C9" s="555"/>
      <c r="D9" s="555"/>
      <c r="E9" s="573"/>
      <c r="F9" s="107" t="s">
        <v>312</v>
      </c>
      <c r="G9" s="107" t="s">
        <v>313</v>
      </c>
      <c r="H9" s="107" t="s">
        <v>314</v>
      </c>
      <c r="I9" s="107" t="s">
        <v>315</v>
      </c>
      <c r="J9" s="107" t="s">
        <v>46</v>
      </c>
      <c r="K9" s="32" t="s">
        <v>48</v>
      </c>
      <c r="L9" s="32" t="s">
        <v>50</v>
      </c>
      <c r="M9" s="107" t="s">
        <v>51</v>
      </c>
      <c r="N9" s="32" t="s">
        <v>53</v>
      </c>
      <c r="O9" s="32" t="s">
        <v>123</v>
      </c>
      <c r="P9" s="32" t="s">
        <v>124</v>
      </c>
      <c r="Q9" s="32" t="s">
        <v>316</v>
      </c>
      <c r="R9" s="32" t="s">
        <v>317</v>
      </c>
      <c r="S9" s="32" t="s">
        <v>57</v>
      </c>
      <c r="T9" s="32" t="s">
        <v>59</v>
      </c>
      <c r="U9" s="210" t="s">
        <v>61</v>
      </c>
      <c r="V9" s="32" t="s">
        <v>318</v>
      </c>
      <c r="W9" s="32" t="s">
        <v>319</v>
      </c>
      <c r="Y9" s="219" t="s">
        <v>274</v>
      </c>
      <c r="Z9" s="23">
        <v>0.21</v>
      </c>
      <c r="AA9" s="22">
        <v>0.4</v>
      </c>
    </row>
    <row r="10" spans="1:27" ht="108.75" customHeight="1" x14ac:dyDescent="0.25">
      <c r="A10" s="559" t="str">
        <f>'2 IDENTIFICACIÓN'!A10</f>
        <v>R1</v>
      </c>
      <c r="B10" s="563"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10" s="418">
        <f>+'3 PROBABIL E IMPACTO INHERENTE'!E10</f>
        <v>1</v>
      </c>
      <c r="D10" s="556">
        <f>+'3 PROBABIL E IMPACTO INHERENTE'!M10</f>
        <v>0.8</v>
      </c>
      <c r="E10" s="334">
        <v>1</v>
      </c>
      <c r="F10" s="34" t="s">
        <v>445</v>
      </c>
      <c r="G10" s="34" t="s">
        <v>450</v>
      </c>
      <c r="H10" s="34" t="s">
        <v>446</v>
      </c>
      <c r="I10" s="335" t="str">
        <f t="shared" ref="I10:I73" si="0">+CONCATENATE(F10," ",G10," ",H10)</f>
        <v>El profesional especializado y su equipo de Cobertura de la SEB verifica que la información suministrada en el SIMAT por las instituciones educativas sea la idónea, a través de la validación de la información en el sistema.</v>
      </c>
      <c r="J10" s="336" t="s">
        <v>133</v>
      </c>
      <c r="K10" s="246">
        <f>+IFERROR(VLOOKUP($J10,'11 FORMULAS'!$B$51:$C$53,2,0),"")</f>
        <v>0.25</v>
      </c>
      <c r="L10" s="246" t="str">
        <f>+IFERROR(VLOOKUP($J10,'11 FORMULAS'!$B$51:$D$53,3,0),"")</f>
        <v>Probabilidad</v>
      </c>
      <c r="M10" s="337" t="s">
        <v>145</v>
      </c>
      <c r="N10" s="246">
        <f>+IFERROR(VLOOKUP($M10,'11 FORMULAS'!$B$54:$C$55,2,0),"")</f>
        <v>0.15</v>
      </c>
      <c r="O10" s="338" t="s">
        <v>135</v>
      </c>
      <c r="P10" s="338" t="s">
        <v>371</v>
      </c>
      <c r="Q10" s="338" t="s">
        <v>137</v>
      </c>
      <c r="R10" s="338" t="s">
        <v>138</v>
      </c>
      <c r="S10" s="246">
        <f>+IFERROR($K10+$N10,"")</f>
        <v>0.4</v>
      </c>
      <c r="T10" s="246">
        <f>IF($L10='11 FORMULAS'!$D$51,$C$10-($C$10*$S$10),$C$10)</f>
        <v>0.6</v>
      </c>
      <c r="U10" s="246">
        <f>IF(L10='11 FORMULAS'!$D$53,$D10-($D10*$S10),$D10)</f>
        <v>0.8</v>
      </c>
      <c r="V10" s="597">
        <f>+IF(T15="","",T15)</f>
        <v>1</v>
      </c>
      <c r="W10" s="600">
        <f>+IF(U15="","",U15)</f>
        <v>0.8</v>
      </c>
      <c r="X10" s="27"/>
      <c r="Y10" s="220" t="s">
        <v>278</v>
      </c>
      <c r="Z10" s="23">
        <v>0.41</v>
      </c>
      <c r="AA10" s="22">
        <v>0.6</v>
      </c>
    </row>
    <row r="11" spans="1:27" ht="15" x14ac:dyDescent="0.25">
      <c r="A11" s="561"/>
      <c r="B11" s="565"/>
      <c r="C11" s="419"/>
      <c r="D11" s="557"/>
      <c r="E11" s="244">
        <v>2</v>
      </c>
      <c r="F11" s="160"/>
      <c r="G11" s="359"/>
      <c r="H11" s="160"/>
      <c r="I11" s="209" t="str">
        <f t="shared" si="0"/>
        <v xml:space="preserve">  </v>
      </c>
      <c r="J11" s="281"/>
      <c r="K11" s="213" t="str">
        <f>+IFERROR(VLOOKUP($J11,'11 FORMULAS'!$B$51:$C$53,2,0),"")</f>
        <v/>
      </c>
      <c r="L11" s="213" t="str">
        <f>+IFERROR(VLOOKUP($J11,'11 FORMULAS'!$B$51:$D$53,3,0),"")</f>
        <v/>
      </c>
      <c r="M11" s="245"/>
      <c r="N11" s="213" t="str">
        <f>+IFERROR(VLOOKUP($M11,'11 FORMULAS'!$B$54:$C$55,2,0),"")</f>
        <v/>
      </c>
      <c r="O11" s="247"/>
      <c r="P11" s="247"/>
      <c r="Q11" s="247"/>
      <c r="R11" s="247"/>
      <c r="S11" s="213" t="str">
        <f t="shared" ref="S11:S74" si="1">+IFERROR($K11+$N11,"")</f>
        <v/>
      </c>
      <c r="T11" s="213">
        <f>IF($L11='11 FORMULAS'!$D$51,$C$10-($C$10*$S$10),$C$10)</f>
        <v>1</v>
      </c>
      <c r="U11" s="213">
        <f>IF(L11='11 FORMULAS'!$D$53,$D$10-($D$10*$S$10),$D$10)</f>
        <v>0.8</v>
      </c>
      <c r="V11" s="598"/>
      <c r="W11" s="601"/>
      <c r="X11" s="27"/>
      <c r="Y11" s="25" t="s">
        <v>283</v>
      </c>
      <c r="Z11" s="23">
        <v>0.61</v>
      </c>
      <c r="AA11" s="22">
        <v>0.8</v>
      </c>
    </row>
    <row r="12" spans="1:27" ht="15" x14ac:dyDescent="0.25">
      <c r="A12" s="561"/>
      <c r="B12" s="565"/>
      <c r="C12" s="419"/>
      <c r="D12" s="557"/>
      <c r="E12" s="244">
        <v>3</v>
      </c>
      <c r="F12" s="160"/>
      <c r="G12" s="160"/>
      <c r="H12" s="160"/>
      <c r="I12" s="209" t="str">
        <f t="shared" si="0"/>
        <v xml:space="preserve">  </v>
      </c>
      <c r="J12" s="281"/>
      <c r="K12" s="213" t="str">
        <f>+IFERROR(VLOOKUP($J12,'11 FORMULAS'!$B$51:$C$53,2,0),"")</f>
        <v/>
      </c>
      <c r="L12" s="213" t="str">
        <f>+IFERROR(VLOOKUP($J12,'11 FORMULAS'!$B$51:$D$53,3,0),"")</f>
        <v/>
      </c>
      <c r="M12" s="245"/>
      <c r="N12" s="213" t="str">
        <f>+IFERROR(VLOOKUP($M12,'11 FORMULAS'!$B$54:$C$55,2,0),"")</f>
        <v/>
      </c>
      <c r="O12" s="247"/>
      <c r="P12" s="247"/>
      <c r="Q12" s="247"/>
      <c r="R12" s="247"/>
      <c r="S12" s="213" t="str">
        <f t="shared" si="1"/>
        <v/>
      </c>
      <c r="T12" s="213">
        <f>IF($L12='11 FORMULAS'!$D$51,$C$10-($C$10*$S$10),$C$10)</f>
        <v>1</v>
      </c>
      <c r="U12" s="213">
        <f>IF(L12='11 FORMULAS'!$D$53,$D$10-($D$10*$S$10),$D$10)</f>
        <v>0.8</v>
      </c>
      <c r="V12" s="598"/>
      <c r="W12" s="601"/>
      <c r="X12" s="27"/>
      <c r="Y12" s="221" t="s">
        <v>288</v>
      </c>
      <c r="Z12" s="23">
        <v>0.81</v>
      </c>
      <c r="AA12" s="22">
        <v>1</v>
      </c>
    </row>
    <row r="13" spans="1:27" ht="15" x14ac:dyDescent="0.25">
      <c r="A13" s="561"/>
      <c r="B13" s="565"/>
      <c r="C13" s="419"/>
      <c r="D13" s="557"/>
      <c r="E13" s="244">
        <v>4</v>
      </c>
      <c r="F13" s="160"/>
      <c r="G13" s="160"/>
      <c r="H13" s="160"/>
      <c r="I13" s="209" t="str">
        <f t="shared" si="0"/>
        <v xml:space="preserve">  </v>
      </c>
      <c r="J13" s="281"/>
      <c r="K13" s="213" t="str">
        <f>+IFERROR(VLOOKUP($J13,'11 FORMULAS'!$B$51:$C$53,2,0),"")</f>
        <v/>
      </c>
      <c r="L13" s="213" t="str">
        <f>+IFERROR(VLOOKUP($J13,'11 FORMULAS'!$B$51:$D$53,3,0),"")</f>
        <v/>
      </c>
      <c r="M13" s="245"/>
      <c r="N13" s="213" t="str">
        <f>+IFERROR(VLOOKUP($M13,'11 FORMULAS'!$B$54:$C$55,2,0),"")</f>
        <v/>
      </c>
      <c r="O13" s="247"/>
      <c r="P13" s="247"/>
      <c r="Q13" s="247"/>
      <c r="R13" s="247"/>
      <c r="S13" s="213" t="str">
        <f t="shared" si="1"/>
        <v/>
      </c>
      <c r="T13" s="213">
        <f>IF($L13='11 FORMULAS'!$D$51,$C$10-($C$10*$S$10),$C$10)</f>
        <v>1</v>
      </c>
      <c r="U13" s="213">
        <f>IF(L13='11 FORMULAS'!$D$53,$D$10-($D$10*$S$10),$D$10)</f>
        <v>0.8</v>
      </c>
      <c r="V13" s="598"/>
      <c r="W13" s="601"/>
      <c r="X13" s="27"/>
      <c r="Y13" s="211"/>
      <c r="Z13" s="211"/>
      <c r="AA13" s="211"/>
    </row>
    <row r="14" spans="1:27" ht="15" x14ac:dyDescent="0.25">
      <c r="A14" s="561"/>
      <c r="B14" s="565"/>
      <c r="C14" s="419"/>
      <c r="D14" s="557"/>
      <c r="E14" s="244">
        <v>5</v>
      </c>
      <c r="F14" s="160"/>
      <c r="G14" s="160"/>
      <c r="H14" s="160"/>
      <c r="I14" s="209" t="str">
        <f t="shared" si="0"/>
        <v xml:space="preserve">  </v>
      </c>
      <c r="J14" s="281"/>
      <c r="K14" s="213" t="str">
        <f>+IFERROR(VLOOKUP($J14,'11 FORMULAS'!$B$51:$C$53,2,0),"")</f>
        <v/>
      </c>
      <c r="L14" s="213" t="str">
        <f>+IFERROR(VLOOKUP($J14,'11 FORMULAS'!$B$51:$D$53,3,0),"")</f>
        <v/>
      </c>
      <c r="M14" s="245"/>
      <c r="N14" s="213" t="str">
        <f>+IFERROR(VLOOKUP($M14,'11 FORMULAS'!$B$54:$C$55,2,0),"")</f>
        <v/>
      </c>
      <c r="O14" s="247"/>
      <c r="P14" s="247"/>
      <c r="Q14" s="247"/>
      <c r="R14" s="247"/>
      <c r="S14" s="213" t="str">
        <f t="shared" si="1"/>
        <v/>
      </c>
      <c r="T14" s="213">
        <f>IF($L14='11 FORMULAS'!$D$51,$C$10-($C$10*$S$10),$C$10)</f>
        <v>1</v>
      </c>
      <c r="U14" s="213">
        <f>IF(L14='11 FORMULAS'!$D$53,$D$10-($D$10*$S$10),$D$10)</f>
        <v>0.8</v>
      </c>
      <c r="V14" s="598"/>
      <c r="W14" s="601"/>
      <c r="X14" s="27"/>
      <c r="Y14" s="211"/>
      <c r="Z14" s="211"/>
      <c r="AA14" s="211"/>
    </row>
    <row r="15" spans="1:27" ht="15.75" thickBot="1" x14ac:dyDescent="0.3">
      <c r="A15" s="562"/>
      <c r="B15" s="566"/>
      <c r="C15" s="420"/>
      <c r="D15" s="558"/>
      <c r="E15" s="248">
        <v>6</v>
      </c>
      <c r="F15" s="161"/>
      <c r="G15" s="161"/>
      <c r="H15" s="161"/>
      <c r="I15" s="339" t="str">
        <f t="shared" si="0"/>
        <v xml:space="preserve">  </v>
      </c>
      <c r="J15" s="340"/>
      <c r="K15" s="341" t="str">
        <f>+IFERROR(VLOOKUP($J15,'11 FORMULAS'!$B$51:$C$53,2,0),"")</f>
        <v/>
      </c>
      <c r="L15" s="341" t="str">
        <f>+IFERROR(VLOOKUP($J15,'11 FORMULAS'!$B$51:$D$53,3,0),"")</f>
        <v/>
      </c>
      <c r="M15" s="342"/>
      <c r="N15" s="341" t="str">
        <f>+IFERROR(VLOOKUP($M15,'11 FORMULAS'!$B$54:$C$55,2,0),"")</f>
        <v/>
      </c>
      <c r="O15" s="343"/>
      <c r="P15" s="343"/>
      <c r="Q15" s="343"/>
      <c r="R15" s="343"/>
      <c r="S15" s="341" t="str">
        <f t="shared" si="1"/>
        <v/>
      </c>
      <c r="T15" s="341">
        <f>IF($L15='11 FORMULAS'!$D$51,$C$10-($C$10*$S$10),$C$10)</f>
        <v>1</v>
      </c>
      <c r="U15" s="341">
        <f>IF(L15='11 FORMULAS'!$D$53,$D$10-($D$10*$S$10),$D$10)</f>
        <v>0.8</v>
      </c>
      <c r="V15" s="599"/>
      <c r="W15" s="602"/>
      <c r="X15" s="27"/>
      <c r="Y15" s="211"/>
      <c r="Z15" s="211"/>
      <c r="AA15" s="211"/>
    </row>
    <row r="16" spans="1:27" ht="57" x14ac:dyDescent="0.25">
      <c r="A16" s="559" t="str">
        <f>'2 IDENTIFICACIÓN'!A11</f>
        <v>R2</v>
      </c>
      <c r="B16" s="563" t="str">
        <f>+'2 IDENTIFICACIÓN'!J11</f>
        <v>Posibilidad de afectación reputacional por publicaciones extemporáneas en el SECOP, debido a demoras en la entrega y remisión de la información requerida para la gestión contractual.</v>
      </c>
      <c r="C16" s="421">
        <f>+'3 PROBABIL E IMPACTO INHERENTE'!E11</f>
        <v>0.6</v>
      </c>
      <c r="D16" s="556">
        <f>+'3 PROBABIL E IMPACTO INHERENTE'!M11</f>
        <v>0.2</v>
      </c>
      <c r="E16" s="334">
        <v>1</v>
      </c>
      <c r="F16" s="34" t="s">
        <v>447</v>
      </c>
      <c r="G16" s="34" t="s">
        <v>448</v>
      </c>
      <c r="H16" s="34" t="s">
        <v>449</v>
      </c>
      <c r="I16" s="335" t="str">
        <f t="shared" si="0"/>
        <v>Los profesionales encargados del área de Contratación verifican las publicaciones de los contratos de la Secretaría de Educación en el SECOP, a través de seguimientos a muestras representativas.</v>
      </c>
      <c r="J16" s="336" t="s">
        <v>133</v>
      </c>
      <c r="K16" s="246">
        <f>+IFERROR(VLOOKUP($J16,'11 FORMULAS'!$B$51:$C$53,2,0),"")</f>
        <v>0.25</v>
      </c>
      <c r="L16" s="246" t="str">
        <f>+IFERROR(VLOOKUP($J16,'11 FORMULAS'!$B$51:$D$53,3,0),"")</f>
        <v>Probabilidad</v>
      </c>
      <c r="M16" s="337" t="s">
        <v>145</v>
      </c>
      <c r="N16" s="246">
        <f>+IFERROR(VLOOKUP($M16,'11 FORMULAS'!$B$54:$C$55,2,0),"")</f>
        <v>0.15</v>
      </c>
      <c r="O16" s="338" t="s">
        <v>135</v>
      </c>
      <c r="P16" s="338" t="s">
        <v>370</v>
      </c>
      <c r="Q16" s="338" t="s">
        <v>137</v>
      </c>
      <c r="R16" s="338" t="s">
        <v>138</v>
      </c>
      <c r="S16" s="246">
        <f>+IFERROR($K16+$N16,"")</f>
        <v>0.4</v>
      </c>
      <c r="T16" s="246">
        <f>IF($L16='11 FORMULAS'!$D$51,$C$16-($C$16*$S$16),$C$16)</f>
        <v>0.36</v>
      </c>
      <c r="U16" s="246">
        <f>IF(L16='11 FORMULAS'!$D$53,$D$16-($D$16*$S$16),$D$16)</f>
        <v>0.2</v>
      </c>
      <c r="V16" s="597">
        <f>+IF(T21="","",T21)</f>
        <v>0.6</v>
      </c>
      <c r="W16" s="600">
        <f>+IF(U21="","",U21)</f>
        <v>0.2</v>
      </c>
      <c r="X16" s="27"/>
      <c r="Y16" s="211"/>
      <c r="Z16" s="212"/>
      <c r="AA16" s="212"/>
    </row>
    <row r="17" spans="1:27" ht="20.100000000000001" customHeight="1" x14ac:dyDescent="0.25">
      <c r="A17" s="561"/>
      <c r="B17" s="565"/>
      <c r="C17" s="422"/>
      <c r="D17" s="557"/>
      <c r="E17" s="244">
        <v>2</v>
      </c>
      <c r="F17" s="160"/>
      <c r="G17" s="160"/>
      <c r="H17" s="160"/>
      <c r="I17" s="209" t="str">
        <f t="shared" si="0"/>
        <v xml:space="preserve">  </v>
      </c>
      <c r="J17" s="281"/>
      <c r="K17" s="213" t="str">
        <f>+IFERROR(VLOOKUP($J17,'11 FORMULAS'!$B$51:$C$53,2,0),"")</f>
        <v/>
      </c>
      <c r="L17" s="213" t="str">
        <f>+IFERROR(VLOOKUP($J17,'11 FORMULAS'!$B$51:$D$53,3,0),"")</f>
        <v/>
      </c>
      <c r="M17" s="245"/>
      <c r="N17" s="213" t="str">
        <f>+IFERROR(VLOOKUP($M17,'11 FORMULAS'!$B$54:$C$55,2,0),"")</f>
        <v/>
      </c>
      <c r="O17" s="247"/>
      <c r="P17" s="247"/>
      <c r="Q17" s="247"/>
      <c r="R17" s="247"/>
      <c r="S17" s="213" t="str">
        <f t="shared" si="1"/>
        <v/>
      </c>
      <c r="T17" s="213">
        <f>IF($L17='11 FORMULAS'!$D$51,$C$16-($C$16*$S$16),$C$16)</f>
        <v>0.6</v>
      </c>
      <c r="U17" s="213">
        <f>IF(L17='11 FORMULAS'!$D$53,$D$16-($D$16*$S$16),$D$16)</f>
        <v>0.2</v>
      </c>
      <c r="V17" s="598"/>
      <c r="W17" s="601"/>
      <c r="X17" s="27"/>
      <c r="Y17" s="211"/>
      <c r="Z17" s="212"/>
      <c r="AA17" s="212"/>
    </row>
    <row r="18" spans="1:27" ht="15" x14ac:dyDescent="0.25">
      <c r="A18" s="561"/>
      <c r="B18" s="565"/>
      <c r="C18" s="422"/>
      <c r="D18" s="557"/>
      <c r="E18" s="244">
        <v>3</v>
      </c>
      <c r="F18" s="160"/>
      <c r="G18" s="160"/>
      <c r="H18" s="160"/>
      <c r="I18" s="209" t="str">
        <f t="shared" si="0"/>
        <v xml:space="preserve">  </v>
      </c>
      <c r="J18" s="281"/>
      <c r="K18" s="213" t="str">
        <f>+IFERROR(VLOOKUP($J18,'11 FORMULAS'!$B$51:$C$53,2,0),"")</f>
        <v/>
      </c>
      <c r="L18" s="213" t="str">
        <f>+IFERROR(VLOOKUP($J18,'11 FORMULAS'!$B$51:$D$53,3,0),"")</f>
        <v/>
      </c>
      <c r="M18" s="245"/>
      <c r="N18" s="213" t="str">
        <f>+IFERROR(VLOOKUP($M18,'11 FORMULAS'!$B$54:$C$55,2,0),"")</f>
        <v/>
      </c>
      <c r="O18" s="247"/>
      <c r="P18" s="247"/>
      <c r="Q18" s="247"/>
      <c r="R18" s="247"/>
      <c r="S18" s="213" t="str">
        <f t="shared" si="1"/>
        <v/>
      </c>
      <c r="T18" s="213">
        <f>IF($L18='11 FORMULAS'!$D$51,$C$16-($C$16*$S$16),$C$16)</f>
        <v>0.6</v>
      </c>
      <c r="U18" s="213">
        <f>IF(L18='11 FORMULAS'!$D$53,$D$16-($D$16*$S$16),$D$16)</f>
        <v>0.2</v>
      </c>
      <c r="V18" s="598"/>
      <c r="W18" s="601"/>
      <c r="X18" s="27"/>
      <c r="Y18" s="211"/>
      <c r="Z18" s="212"/>
      <c r="AA18" s="212"/>
    </row>
    <row r="19" spans="1:27" ht="15" x14ac:dyDescent="0.25">
      <c r="A19" s="585"/>
      <c r="B19" s="586"/>
      <c r="C19" s="422"/>
      <c r="D19" s="587"/>
      <c r="E19" s="244">
        <v>4</v>
      </c>
      <c r="F19" s="160"/>
      <c r="G19" s="160"/>
      <c r="H19" s="160"/>
      <c r="I19" s="209" t="str">
        <f t="shared" si="0"/>
        <v xml:space="preserve">  </v>
      </c>
      <c r="J19" s="281"/>
      <c r="K19" s="213" t="str">
        <f>+IFERROR(VLOOKUP($J19,'11 FORMULAS'!$B$51:$C$53,2,0),"")</f>
        <v/>
      </c>
      <c r="L19" s="213" t="str">
        <f>+IFERROR(VLOOKUP($J19,'11 FORMULAS'!$B$51:$D$53,3,0),"")</f>
        <v/>
      </c>
      <c r="M19" s="245"/>
      <c r="N19" s="213" t="str">
        <f>+IFERROR(VLOOKUP($M19,'11 FORMULAS'!$B$54:$C$55,2,0),"")</f>
        <v/>
      </c>
      <c r="O19" s="247"/>
      <c r="P19" s="247"/>
      <c r="Q19" s="247"/>
      <c r="R19" s="247"/>
      <c r="S19" s="213" t="str">
        <f t="shared" si="1"/>
        <v/>
      </c>
      <c r="T19" s="213">
        <f>IF($L19='11 FORMULAS'!$D$51,$C$16-($C$16*$S$16),$C$16)</f>
        <v>0.6</v>
      </c>
      <c r="U19" s="213">
        <f>IF(L19='11 FORMULAS'!$D$53,$D$16-($D$16*$S$16),$D$16)</f>
        <v>0.2</v>
      </c>
      <c r="V19" s="598"/>
      <c r="W19" s="601"/>
      <c r="X19" s="27"/>
      <c r="Y19" s="211"/>
      <c r="Z19" s="212"/>
      <c r="AA19" s="212"/>
    </row>
    <row r="20" spans="1:27" ht="15" x14ac:dyDescent="0.25">
      <c r="A20" s="585"/>
      <c r="B20" s="586"/>
      <c r="C20" s="422"/>
      <c r="D20" s="587"/>
      <c r="E20" s="244">
        <v>5</v>
      </c>
      <c r="F20" s="160"/>
      <c r="G20" s="160"/>
      <c r="H20" s="160"/>
      <c r="I20" s="209" t="str">
        <f t="shared" si="0"/>
        <v xml:space="preserve">  </v>
      </c>
      <c r="J20" s="281"/>
      <c r="K20" s="213" t="str">
        <f>+IFERROR(VLOOKUP($J20,'11 FORMULAS'!$B$51:$C$53,2,0),"")</f>
        <v/>
      </c>
      <c r="L20" s="213" t="str">
        <f>+IFERROR(VLOOKUP($J20,'11 FORMULAS'!$B$51:$D$53,3,0),"")</f>
        <v/>
      </c>
      <c r="M20" s="245"/>
      <c r="N20" s="213" t="str">
        <f>+IFERROR(VLOOKUP($M20,'11 FORMULAS'!$B$54:$C$55,2,0),"")</f>
        <v/>
      </c>
      <c r="O20" s="247"/>
      <c r="P20" s="247"/>
      <c r="Q20" s="247"/>
      <c r="R20" s="247"/>
      <c r="S20" s="213" t="str">
        <f t="shared" si="1"/>
        <v/>
      </c>
      <c r="T20" s="213">
        <f>IF($L20='11 FORMULAS'!$D$51,$C$16-($C$16*$S$16),$C$16)</f>
        <v>0.6</v>
      </c>
      <c r="U20" s="213">
        <f>IF(L20='11 FORMULAS'!$D$53,$D$16-($D$16*$S$16),$D$16)</f>
        <v>0.2</v>
      </c>
      <c r="V20" s="598"/>
      <c r="W20" s="601"/>
      <c r="X20" s="27"/>
      <c r="Y20" s="211"/>
      <c r="Z20" s="212"/>
      <c r="AA20" s="212"/>
    </row>
    <row r="21" spans="1:27" ht="15" thickBot="1" x14ac:dyDescent="0.3">
      <c r="A21" s="562"/>
      <c r="B21" s="566"/>
      <c r="C21" s="423"/>
      <c r="D21" s="558"/>
      <c r="E21" s="248">
        <v>6</v>
      </c>
      <c r="F21" s="161"/>
      <c r="G21" s="161"/>
      <c r="H21" s="161"/>
      <c r="I21" s="339" t="str">
        <f t="shared" si="0"/>
        <v xml:space="preserve">  </v>
      </c>
      <c r="J21" s="340"/>
      <c r="K21" s="341" t="str">
        <f>+IFERROR(VLOOKUP($J21,'11 FORMULAS'!$B$51:$C$53,2,0),"")</f>
        <v/>
      </c>
      <c r="L21" s="341" t="str">
        <f>+IFERROR(VLOOKUP($J21,'11 FORMULAS'!$B$51:$D$53,3,0),"")</f>
        <v/>
      </c>
      <c r="M21" s="342"/>
      <c r="N21" s="341" t="str">
        <f>+IFERROR(VLOOKUP($M21,'11 FORMULAS'!$B$54:$C$55,2,0),"")</f>
        <v/>
      </c>
      <c r="O21" s="343"/>
      <c r="P21" s="343"/>
      <c r="Q21" s="343"/>
      <c r="R21" s="343"/>
      <c r="S21" s="341" t="str">
        <f t="shared" si="1"/>
        <v/>
      </c>
      <c r="T21" s="341">
        <f>IF($L21='11 FORMULAS'!$D$51,$C$16-($C$16*$S$16),$C$16)</f>
        <v>0.6</v>
      </c>
      <c r="U21" s="341">
        <f>IF(L21='11 FORMULAS'!$D$53,$D$16-($D$16*$S$16),$D$16)</f>
        <v>0.2</v>
      </c>
      <c r="V21" s="599"/>
      <c r="W21" s="602"/>
      <c r="X21" s="27"/>
    </row>
    <row r="22" spans="1:27" ht="96" customHeight="1" x14ac:dyDescent="0.25">
      <c r="A22" s="559" t="str">
        <f>'2 IDENTIFICACIÓN'!A12</f>
        <v>R3</v>
      </c>
      <c r="B22" s="563" t="str">
        <f>+'2 IDENTIFICACIÓN'!J12</f>
        <v>Posibilidad de afectación reputacional por posibles investigaciones y sanciones disciplinarias por entes de control, debido a incumplimiento de la Ley 594 del 2000 en los documentos generados por la Secretaría de Educación.</v>
      </c>
      <c r="C22" s="418">
        <f>+'3 PROBABIL E IMPACTO INHERENTE'!E12</f>
        <v>0.6</v>
      </c>
      <c r="D22" s="556">
        <f>+'3 PROBABIL E IMPACTO INHERENTE'!M12</f>
        <v>0.6</v>
      </c>
      <c r="E22" s="334">
        <v>1</v>
      </c>
      <c r="F22" s="34" t="s">
        <v>442</v>
      </c>
      <c r="G22" s="34" t="s">
        <v>394</v>
      </c>
      <c r="H22" s="34" t="s">
        <v>393</v>
      </c>
      <c r="I22" s="335" t="str">
        <f t="shared" si="0"/>
        <v>El Área de Archivo de la Secretaría de Educación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22" s="336" t="s">
        <v>133</v>
      </c>
      <c r="K22" s="246">
        <f>+IFERROR(VLOOKUP($J22,'11 FORMULAS'!$B$51:$C$53,2,0),"")</f>
        <v>0.25</v>
      </c>
      <c r="L22" s="246" t="str">
        <f>+IFERROR(VLOOKUP($J22,'11 FORMULAS'!$B$51:$D$53,3,0),"")</f>
        <v>Probabilidad</v>
      </c>
      <c r="M22" s="337" t="s">
        <v>145</v>
      </c>
      <c r="N22" s="246">
        <f>+IFERROR(VLOOKUP($M22,'11 FORMULAS'!$B$54:$C$55,2,0),"")</f>
        <v>0.15</v>
      </c>
      <c r="O22" s="338" t="s">
        <v>135</v>
      </c>
      <c r="P22" s="338" t="s">
        <v>370</v>
      </c>
      <c r="Q22" s="338" t="s">
        <v>137</v>
      </c>
      <c r="R22" s="338" t="s">
        <v>138</v>
      </c>
      <c r="S22" s="246">
        <f t="shared" si="1"/>
        <v>0.4</v>
      </c>
      <c r="T22" s="246">
        <f>IF($L22='11 FORMULAS'!$D$51,$C$22-($C$22*$S$22),$C$22)</f>
        <v>0.36</v>
      </c>
      <c r="U22" s="246">
        <f>IF(L22='11 FORMULAS'!$D$53,$D$22-($D$22*$S$22),$D$22)</f>
        <v>0.6</v>
      </c>
      <c r="V22" s="597">
        <f>+IF(T27="","",T27)</f>
        <v>0.6</v>
      </c>
      <c r="W22" s="600">
        <f>+IF(U27="","",U27)</f>
        <v>0.6</v>
      </c>
      <c r="X22" s="27"/>
      <c r="Y22" s="211"/>
      <c r="Z22" s="212"/>
      <c r="AA22" s="212"/>
    </row>
    <row r="23" spans="1:27" ht="15" x14ac:dyDescent="0.25">
      <c r="A23" s="561"/>
      <c r="B23" s="565"/>
      <c r="C23" s="419"/>
      <c r="D23" s="557"/>
      <c r="E23" s="244">
        <v>2</v>
      </c>
      <c r="F23" s="160"/>
      <c r="G23" s="160"/>
      <c r="H23" s="160"/>
      <c r="I23" s="209" t="str">
        <f t="shared" si="0"/>
        <v xml:space="preserve">  </v>
      </c>
      <c r="J23" s="281"/>
      <c r="K23" s="213" t="str">
        <f>+IFERROR(VLOOKUP($J23,'11 FORMULAS'!$B$51:$C$53,2,0),"")</f>
        <v/>
      </c>
      <c r="L23" s="213" t="str">
        <f>+IFERROR(VLOOKUP($J23,'11 FORMULAS'!$B$51:$D$53,3,0),"")</f>
        <v/>
      </c>
      <c r="M23" s="245"/>
      <c r="N23" s="213" t="str">
        <f>+IFERROR(VLOOKUP($M23,'11 FORMULAS'!$B$54:$C$55,2,0),"")</f>
        <v/>
      </c>
      <c r="O23" s="247"/>
      <c r="P23" s="247"/>
      <c r="Q23" s="247"/>
      <c r="R23" s="247"/>
      <c r="S23" s="213" t="str">
        <f t="shared" si="1"/>
        <v/>
      </c>
      <c r="T23" s="213">
        <f>IF($L23='11 FORMULAS'!$D$51,$C$22-($C$22*$S$22),$C$22)</f>
        <v>0.6</v>
      </c>
      <c r="U23" s="213">
        <f>IF(L23='11 FORMULAS'!$D$53,$D$22-($D$22*$S$22),$D$22)</f>
        <v>0.6</v>
      </c>
      <c r="V23" s="598"/>
      <c r="W23" s="601"/>
      <c r="X23" s="27"/>
      <c r="Y23" s="211"/>
      <c r="Z23" s="212"/>
      <c r="AA23" s="212"/>
    </row>
    <row r="24" spans="1:27" ht="15" x14ac:dyDescent="0.25">
      <c r="A24" s="561"/>
      <c r="B24" s="565"/>
      <c r="C24" s="419"/>
      <c r="D24" s="557"/>
      <c r="E24" s="244">
        <v>3</v>
      </c>
      <c r="F24" s="160"/>
      <c r="G24" s="160"/>
      <c r="H24" s="160"/>
      <c r="I24" s="209" t="str">
        <f t="shared" si="0"/>
        <v xml:space="preserve">  </v>
      </c>
      <c r="J24" s="281"/>
      <c r="K24" s="213" t="str">
        <f>+IFERROR(VLOOKUP($J24,'11 FORMULAS'!$B$51:$C$53,2,0),"")</f>
        <v/>
      </c>
      <c r="L24" s="213" t="str">
        <f>+IFERROR(VLOOKUP($J24,'11 FORMULAS'!$B$51:$D$53,3,0),"")</f>
        <v/>
      </c>
      <c r="M24" s="245"/>
      <c r="N24" s="213" t="str">
        <f>+IFERROR(VLOOKUP($M24,'11 FORMULAS'!$B$54:$C$55,2,0),"")</f>
        <v/>
      </c>
      <c r="O24" s="247"/>
      <c r="P24" s="247"/>
      <c r="Q24" s="247"/>
      <c r="R24" s="247"/>
      <c r="S24" s="213" t="str">
        <f t="shared" si="1"/>
        <v/>
      </c>
      <c r="T24" s="213">
        <f>IF($L24='11 FORMULAS'!$D$51,$C$22-($C$22*$S$22),$C$22)</f>
        <v>0.6</v>
      </c>
      <c r="U24" s="213">
        <f>IF(L24='11 FORMULAS'!$D$53,$D$22-($D$22*$S$22),$D$22)</f>
        <v>0.6</v>
      </c>
      <c r="V24" s="598"/>
      <c r="W24" s="601"/>
      <c r="X24" s="27"/>
      <c r="Y24" s="211"/>
      <c r="Z24" s="212"/>
      <c r="AA24" s="212"/>
    </row>
    <row r="25" spans="1:27" ht="15" x14ac:dyDescent="0.25">
      <c r="A25" s="561"/>
      <c r="B25" s="565"/>
      <c r="C25" s="419"/>
      <c r="D25" s="557"/>
      <c r="E25" s="244">
        <v>4</v>
      </c>
      <c r="F25" s="160"/>
      <c r="G25" s="160"/>
      <c r="H25" s="160"/>
      <c r="I25" s="209" t="str">
        <f t="shared" si="0"/>
        <v xml:space="preserve">  </v>
      </c>
      <c r="J25" s="281"/>
      <c r="K25" s="213" t="str">
        <f>+IFERROR(VLOOKUP($J25,'11 FORMULAS'!$B$51:$C$53,2,0),"")</f>
        <v/>
      </c>
      <c r="L25" s="213" t="str">
        <f>+IFERROR(VLOOKUP($J25,'11 FORMULAS'!$B$51:$D$53,3,0),"")</f>
        <v/>
      </c>
      <c r="M25" s="245"/>
      <c r="N25" s="213" t="str">
        <f>+IFERROR(VLOOKUP($M25,'11 FORMULAS'!$B$54:$C$55,2,0),"")</f>
        <v/>
      </c>
      <c r="O25" s="247"/>
      <c r="P25" s="247"/>
      <c r="Q25" s="247"/>
      <c r="R25" s="247"/>
      <c r="S25" s="213" t="str">
        <f t="shared" si="1"/>
        <v/>
      </c>
      <c r="T25" s="213">
        <f>IF($L25='11 FORMULAS'!$D$51,$C$22-($C$22*$S$22),$C$22)</f>
        <v>0.6</v>
      </c>
      <c r="U25" s="213">
        <f>IF(L25='11 FORMULAS'!$D$53,$D$22-($D$22*$S$22),$D$22)</f>
        <v>0.6</v>
      </c>
      <c r="V25" s="598"/>
      <c r="W25" s="601"/>
      <c r="X25" s="27"/>
      <c r="Y25" s="211"/>
      <c r="Z25" s="212"/>
      <c r="AA25" s="212"/>
    </row>
    <row r="26" spans="1:27" ht="15" x14ac:dyDescent="0.25">
      <c r="A26" s="561"/>
      <c r="B26" s="565"/>
      <c r="C26" s="419"/>
      <c r="D26" s="557"/>
      <c r="E26" s="244">
        <v>5</v>
      </c>
      <c r="F26" s="160"/>
      <c r="G26" s="160"/>
      <c r="H26" s="160"/>
      <c r="I26" s="209" t="str">
        <f t="shared" si="0"/>
        <v xml:space="preserve">  </v>
      </c>
      <c r="J26" s="281"/>
      <c r="K26" s="213" t="str">
        <f>+IFERROR(VLOOKUP($J26,'11 FORMULAS'!$B$51:$C$53,2,0),"")</f>
        <v/>
      </c>
      <c r="L26" s="213" t="str">
        <f>+IFERROR(VLOOKUP($J26,'11 FORMULAS'!$B$51:$D$53,3,0),"")</f>
        <v/>
      </c>
      <c r="M26" s="245"/>
      <c r="N26" s="213" t="str">
        <f>+IFERROR(VLOOKUP($M26,'11 FORMULAS'!$B$54:$C$55,2,0),"")</f>
        <v/>
      </c>
      <c r="O26" s="247"/>
      <c r="P26" s="247"/>
      <c r="Q26" s="247"/>
      <c r="R26" s="247"/>
      <c r="S26" s="213" t="str">
        <f t="shared" si="1"/>
        <v/>
      </c>
      <c r="T26" s="213">
        <f>IF($L26='11 FORMULAS'!$D$51,$C$22-($C$22*$S$22),$C$22)</f>
        <v>0.6</v>
      </c>
      <c r="U26" s="213">
        <f>IF(L26='11 FORMULAS'!$D$53,$D$22-($D$22*$S$22),$D$22)</f>
        <v>0.6</v>
      </c>
      <c r="V26" s="598"/>
      <c r="W26" s="601"/>
      <c r="X26" s="27"/>
      <c r="Y26" s="211"/>
      <c r="Z26" s="212"/>
      <c r="AA26" s="212"/>
    </row>
    <row r="27" spans="1:27" ht="15" thickBot="1" x14ac:dyDescent="0.3">
      <c r="A27" s="562"/>
      <c r="B27" s="566"/>
      <c r="C27" s="420"/>
      <c r="D27" s="558"/>
      <c r="E27" s="248">
        <v>6</v>
      </c>
      <c r="F27" s="161"/>
      <c r="G27" s="161"/>
      <c r="H27" s="161"/>
      <c r="I27" s="339" t="str">
        <f t="shared" si="0"/>
        <v xml:space="preserve">  </v>
      </c>
      <c r="J27" s="340"/>
      <c r="K27" s="341" t="str">
        <f>+IFERROR(VLOOKUP($J27,'11 FORMULAS'!$B$51:$C$53,2,0),"")</f>
        <v/>
      </c>
      <c r="L27" s="341" t="str">
        <f>+IFERROR(VLOOKUP($J27,'11 FORMULAS'!$B$51:$D$53,3,0),"")</f>
        <v/>
      </c>
      <c r="M27" s="342"/>
      <c r="N27" s="341" t="str">
        <f>+IFERROR(VLOOKUP($M27,'11 FORMULAS'!$B$54:$C$55,2,0),"")</f>
        <v/>
      </c>
      <c r="O27" s="343"/>
      <c r="P27" s="343"/>
      <c r="Q27" s="343"/>
      <c r="R27" s="343"/>
      <c r="S27" s="341" t="str">
        <f t="shared" si="1"/>
        <v/>
      </c>
      <c r="T27" s="341">
        <f>IF($L27='11 FORMULAS'!$D$51,$C$22-($C$22*$S$22),$C$22)</f>
        <v>0.6</v>
      </c>
      <c r="U27" s="341">
        <f>IF(L27='11 FORMULAS'!$D$53,$D$22-($D$22*$S$22),$D$22)</f>
        <v>0.6</v>
      </c>
      <c r="V27" s="599"/>
      <c r="W27" s="602"/>
      <c r="X27" s="27"/>
    </row>
    <row r="28" spans="1:27" ht="114" customHeight="1" x14ac:dyDescent="0.25">
      <c r="A28" s="559" t="str">
        <f>'2 IDENTIFICACIÓN'!A13</f>
        <v>R4</v>
      </c>
      <c r="B28" s="563"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28" s="418">
        <f>+'3 PROBABIL E IMPACTO INHERENTE'!E13</f>
        <v>0.2</v>
      </c>
      <c r="D28" s="556">
        <f>+'3 PROBABIL E IMPACTO INHERENTE'!M13</f>
        <v>0.6</v>
      </c>
      <c r="E28" s="334">
        <v>1</v>
      </c>
      <c r="F28" s="34" t="s">
        <v>398</v>
      </c>
      <c r="G28" s="34" t="s">
        <v>400</v>
      </c>
      <c r="H28" s="34" t="s">
        <v>399</v>
      </c>
      <c r="I28" s="335" t="str">
        <f t="shared" si="0"/>
        <v>La profesional encargada revisa las acciones correctivas establecidas y plasmadas en los Planes de Mejoramiento de auditorías internas y externas suscritos, a través de seguimientos con los responsables de su cumplimiento</v>
      </c>
      <c r="J28" s="336" t="s">
        <v>133</v>
      </c>
      <c r="K28" s="246">
        <f>+IFERROR(VLOOKUP($J28,'11 FORMULAS'!$B$51:$C$53,2,0),"")</f>
        <v>0.25</v>
      </c>
      <c r="L28" s="246" t="str">
        <f>+IFERROR(VLOOKUP($J28,'11 FORMULAS'!$B$51:$D$53,3,0),"")</f>
        <v>Probabilidad</v>
      </c>
      <c r="M28" s="337" t="s">
        <v>145</v>
      </c>
      <c r="N28" s="246">
        <f>+IFERROR(VLOOKUP($M28,'11 FORMULAS'!$B$54:$C$55,2,0),"")</f>
        <v>0.15</v>
      </c>
      <c r="O28" s="338" t="s">
        <v>135</v>
      </c>
      <c r="P28" s="338" t="s">
        <v>370</v>
      </c>
      <c r="Q28" s="338" t="s">
        <v>137</v>
      </c>
      <c r="R28" s="338" t="s">
        <v>138</v>
      </c>
      <c r="S28" s="246">
        <f t="shared" si="1"/>
        <v>0.4</v>
      </c>
      <c r="T28" s="246">
        <f>IF($L28='11 FORMULAS'!$D$51,$C$28-($C$28*$S$28),$C$28)</f>
        <v>0.12</v>
      </c>
      <c r="U28" s="246">
        <f>IF(L28='11 FORMULAS'!$D$53,$D$28-($D$28*$S$28),$D$28)</f>
        <v>0.6</v>
      </c>
      <c r="V28" s="597">
        <f>+IF(T33="","",T33)</f>
        <v>0.2</v>
      </c>
      <c r="W28" s="600">
        <f>+IF(U33="","",U33)</f>
        <v>0.6</v>
      </c>
      <c r="X28" s="27"/>
      <c r="Y28" s="211"/>
      <c r="Z28" s="212"/>
      <c r="AA28" s="212"/>
    </row>
    <row r="29" spans="1:27" ht="15" x14ac:dyDescent="0.25">
      <c r="A29" s="561"/>
      <c r="B29" s="565"/>
      <c r="C29" s="419"/>
      <c r="D29" s="557"/>
      <c r="E29" s="244">
        <v>2</v>
      </c>
      <c r="F29" s="160"/>
      <c r="G29" s="160"/>
      <c r="H29" s="160"/>
      <c r="I29" s="209" t="str">
        <f t="shared" si="0"/>
        <v xml:space="preserve">  </v>
      </c>
      <c r="J29" s="281"/>
      <c r="K29" s="213" t="str">
        <f>+IFERROR(VLOOKUP($J29,'11 FORMULAS'!$B$51:$C$53,2,0),"")</f>
        <v/>
      </c>
      <c r="L29" s="213" t="str">
        <f>+IFERROR(VLOOKUP($J29,'11 FORMULAS'!$B$51:$D$53,3,0),"")</f>
        <v/>
      </c>
      <c r="M29" s="245"/>
      <c r="N29" s="213" t="str">
        <f>+IFERROR(VLOOKUP($M29,'11 FORMULAS'!$B$54:$C$55,2,0),"")</f>
        <v/>
      </c>
      <c r="O29" s="247"/>
      <c r="P29" s="247"/>
      <c r="Q29" s="247"/>
      <c r="R29" s="247"/>
      <c r="S29" s="213" t="str">
        <f t="shared" si="1"/>
        <v/>
      </c>
      <c r="T29" s="213">
        <f>IF($L29='11 FORMULAS'!$D$51,$C$28-($C$28*$S$28),$C$28)</f>
        <v>0.2</v>
      </c>
      <c r="U29" s="213">
        <f>IF(L29='11 FORMULAS'!$D$53,$D$28-($D$28*$S$28),$D$28)</f>
        <v>0.6</v>
      </c>
      <c r="V29" s="598"/>
      <c r="W29" s="601"/>
      <c r="X29" s="27"/>
      <c r="Y29" s="211"/>
      <c r="Z29" s="212"/>
      <c r="AA29" s="212"/>
    </row>
    <row r="30" spans="1:27" ht="15" x14ac:dyDescent="0.25">
      <c r="A30" s="561"/>
      <c r="B30" s="565"/>
      <c r="C30" s="419"/>
      <c r="D30" s="557"/>
      <c r="E30" s="244">
        <v>3</v>
      </c>
      <c r="F30" s="160"/>
      <c r="G30" s="160"/>
      <c r="H30" s="160"/>
      <c r="I30" s="209" t="str">
        <f t="shared" si="0"/>
        <v xml:space="preserve">  </v>
      </c>
      <c r="J30" s="281"/>
      <c r="K30" s="213" t="str">
        <f>+IFERROR(VLOOKUP($J30,'11 FORMULAS'!$B$51:$C$53,2,0),"")</f>
        <v/>
      </c>
      <c r="L30" s="213" t="str">
        <f>+IFERROR(VLOOKUP($J30,'11 FORMULAS'!$B$51:$D$53,3,0),"")</f>
        <v/>
      </c>
      <c r="M30" s="245"/>
      <c r="N30" s="213" t="str">
        <f>+IFERROR(VLOOKUP($M30,'11 FORMULAS'!$B$54:$C$55,2,0),"")</f>
        <v/>
      </c>
      <c r="O30" s="247"/>
      <c r="P30" s="247"/>
      <c r="Q30" s="247"/>
      <c r="R30" s="247"/>
      <c r="S30" s="213" t="str">
        <f t="shared" si="1"/>
        <v/>
      </c>
      <c r="T30" s="213">
        <f>IF($L30='11 FORMULAS'!$D$51,$C$28-($C$28*$S$28),$C$28)</f>
        <v>0.2</v>
      </c>
      <c r="U30" s="213">
        <f>IF(L30='11 FORMULAS'!$D$53,$D$28-($D$28*$S$28),$D$28)</f>
        <v>0.6</v>
      </c>
      <c r="V30" s="598"/>
      <c r="W30" s="601"/>
      <c r="X30" s="27"/>
      <c r="Y30" s="211"/>
      <c r="Z30" s="212"/>
      <c r="AA30" s="212"/>
    </row>
    <row r="31" spans="1:27" ht="15" x14ac:dyDescent="0.25">
      <c r="A31" s="561"/>
      <c r="B31" s="565"/>
      <c r="C31" s="419"/>
      <c r="D31" s="557"/>
      <c r="E31" s="244">
        <v>4</v>
      </c>
      <c r="F31" s="160"/>
      <c r="G31" s="160"/>
      <c r="H31" s="160"/>
      <c r="I31" s="209" t="str">
        <f t="shared" si="0"/>
        <v xml:space="preserve">  </v>
      </c>
      <c r="J31" s="281"/>
      <c r="K31" s="213" t="str">
        <f>+IFERROR(VLOOKUP($J31,'11 FORMULAS'!$B$51:$C$53,2,0),"")</f>
        <v/>
      </c>
      <c r="L31" s="213" t="str">
        <f>+IFERROR(VLOOKUP($J31,'11 FORMULAS'!$B$51:$D$53,3,0),"")</f>
        <v/>
      </c>
      <c r="M31" s="245"/>
      <c r="N31" s="213" t="str">
        <f>+IFERROR(VLOOKUP($M31,'11 FORMULAS'!$B$54:$C$55,2,0),"")</f>
        <v/>
      </c>
      <c r="O31" s="247"/>
      <c r="P31" s="247"/>
      <c r="Q31" s="247"/>
      <c r="R31" s="247"/>
      <c r="S31" s="213" t="str">
        <f t="shared" si="1"/>
        <v/>
      </c>
      <c r="T31" s="213">
        <f>IF($L31='11 FORMULAS'!$D$51,$C$28-($C$28*$S$28),$C$28)</f>
        <v>0.2</v>
      </c>
      <c r="U31" s="213">
        <f>IF(L31='11 FORMULAS'!$D$53,$D$28-($D$28*$S$28),$D$28)</f>
        <v>0.6</v>
      </c>
      <c r="V31" s="598"/>
      <c r="W31" s="601"/>
      <c r="X31" s="27"/>
      <c r="Y31" s="211"/>
      <c r="Z31" s="212"/>
      <c r="AA31" s="212"/>
    </row>
    <row r="32" spans="1:27" ht="15" x14ac:dyDescent="0.25">
      <c r="A32" s="561"/>
      <c r="B32" s="565"/>
      <c r="C32" s="419"/>
      <c r="D32" s="557"/>
      <c r="E32" s="244">
        <v>5</v>
      </c>
      <c r="F32" s="160"/>
      <c r="G32" s="160"/>
      <c r="H32" s="160"/>
      <c r="I32" s="209" t="str">
        <f t="shared" si="0"/>
        <v xml:space="preserve">  </v>
      </c>
      <c r="J32" s="281"/>
      <c r="K32" s="213" t="str">
        <f>+IFERROR(VLOOKUP($J32,'11 FORMULAS'!$B$51:$C$53,2,0),"")</f>
        <v/>
      </c>
      <c r="L32" s="213" t="str">
        <f>+IFERROR(VLOOKUP($J32,'11 FORMULAS'!$B$51:$D$53,3,0),"")</f>
        <v/>
      </c>
      <c r="M32" s="245"/>
      <c r="N32" s="213" t="str">
        <f>+IFERROR(VLOOKUP($M32,'11 FORMULAS'!$B$54:$C$55,2,0),"")</f>
        <v/>
      </c>
      <c r="O32" s="247"/>
      <c r="P32" s="247"/>
      <c r="Q32" s="247"/>
      <c r="R32" s="247"/>
      <c r="S32" s="213" t="str">
        <f t="shared" si="1"/>
        <v/>
      </c>
      <c r="T32" s="213">
        <f>IF($L32='11 FORMULAS'!$D$51,$C$28-($C$28*$S$28),$C$28)</f>
        <v>0.2</v>
      </c>
      <c r="U32" s="213">
        <f>IF(L32='11 FORMULAS'!$D$53,$D$28-($D$28*$S$28),$D$28)</f>
        <v>0.6</v>
      </c>
      <c r="V32" s="598"/>
      <c r="W32" s="601"/>
      <c r="X32" s="27"/>
      <c r="Y32" s="211"/>
      <c r="Z32" s="212"/>
      <c r="AA32" s="212"/>
    </row>
    <row r="33" spans="1:27" ht="15" thickBot="1" x14ac:dyDescent="0.3">
      <c r="A33" s="562"/>
      <c r="B33" s="566"/>
      <c r="C33" s="420"/>
      <c r="D33" s="558"/>
      <c r="E33" s="248">
        <v>6</v>
      </c>
      <c r="F33" s="161"/>
      <c r="G33" s="161"/>
      <c r="H33" s="161"/>
      <c r="I33" s="339" t="str">
        <f t="shared" si="0"/>
        <v xml:space="preserve">  </v>
      </c>
      <c r="J33" s="340"/>
      <c r="K33" s="341" t="str">
        <f>+IFERROR(VLOOKUP($J33,'11 FORMULAS'!$B$51:$C$53,2,0),"")</f>
        <v/>
      </c>
      <c r="L33" s="341" t="str">
        <f>+IFERROR(VLOOKUP($J33,'11 FORMULAS'!$B$51:$D$53,3,0),"")</f>
        <v/>
      </c>
      <c r="M33" s="342"/>
      <c r="N33" s="341" t="str">
        <f>+IFERROR(VLOOKUP($M33,'11 FORMULAS'!$B$54:$C$55,2,0),"")</f>
        <v/>
      </c>
      <c r="O33" s="343"/>
      <c r="P33" s="343"/>
      <c r="Q33" s="343"/>
      <c r="R33" s="343"/>
      <c r="S33" s="341" t="str">
        <f t="shared" si="1"/>
        <v/>
      </c>
      <c r="T33" s="341">
        <f>IF($L33='11 FORMULAS'!$D$51,$C$28-($C$28*$S$28),$C$28)</f>
        <v>0.2</v>
      </c>
      <c r="U33" s="341">
        <f>IF(L33='11 FORMULAS'!$D$53,$D$28-($D$28*$S$28),$D$28)</f>
        <v>0.6</v>
      </c>
      <c r="V33" s="599"/>
      <c r="W33" s="602"/>
      <c r="X33" s="27"/>
    </row>
    <row r="34" spans="1:27" ht="90.6" customHeight="1" x14ac:dyDescent="0.25">
      <c r="A34" s="559" t="str">
        <f>'2 IDENTIFICACIÓN'!A14</f>
        <v>R5</v>
      </c>
      <c r="B34" s="563"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34" s="418">
        <f>+'3 PROBABIL E IMPACTO INHERENTE'!E14</f>
        <v>0.6</v>
      </c>
      <c r="D34" s="556">
        <f>+'3 PROBABIL E IMPACTO INHERENTE'!M14</f>
        <v>0.6</v>
      </c>
      <c r="E34" s="334">
        <v>1</v>
      </c>
      <c r="F34" s="34" t="s">
        <v>395</v>
      </c>
      <c r="G34" s="34" t="s">
        <v>397</v>
      </c>
      <c r="H34" s="34" t="s">
        <v>396</v>
      </c>
      <c r="I34" s="335" t="str">
        <f t="shared" si="0"/>
        <v>El profesional asignado por el líder del proceso verifica la información sujeta a publicación y actualización en la página web institucional, de acuerdo con los lineamientos establecidos en la Resolución 1519 de 2020 y sus anexos.</v>
      </c>
      <c r="J34" s="336" t="s">
        <v>133</v>
      </c>
      <c r="K34" s="246">
        <f>+IFERROR(VLOOKUP($J34,'11 FORMULAS'!$B$51:$C$53,2,0),"")</f>
        <v>0.25</v>
      </c>
      <c r="L34" s="246" t="str">
        <f>+IFERROR(VLOOKUP($J34,'11 FORMULAS'!$B$51:$D$53,3,0),"")</f>
        <v>Probabilidad</v>
      </c>
      <c r="M34" s="337" t="s">
        <v>145</v>
      </c>
      <c r="N34" s="246">
        <f>+IFERROR(VLOOKUP($M34,'11 FORMULAS'!$B$54:$C$55,2,0),"")</f>
        <v>0.15</v>
      </c>
      <c r="O34" s="338" t="s">
        <v>135</v>
      </c>
      <c r="P34" s="338" t="s">
        <v>370</v>
      </c>
      <c r="Q34" s="338" t="s">
        <v>137</v>
      </c>
      <c r="R34" s="338" t="s">
        <v>138</v>
      </c>
      <c r="S34" s="246">
        <f t="shared" si="1"/>
        <v>0.4</v>
      </c>
      <c r="T34" s="246">
        <f>IF($L34='11 FORMULAS'!$D$51,$C$34-($C$34*$S$34),$C$34)</f>
        <v>0.36</v>
      </c>
      <c r="U34" s="246">
        <f>IF($L34='11 FORMULAS'!$D$53,$D$34-($D$34*$S$34),$D$34)</f>
        <v>0.6</v>
      </c>
      <c r="V34" s="597">
        <f>+IF(T39="","",T39)</f>
        <v>0.6</v>
      </c>
      <c r="W34" s="600">
        <f>+IF(U39="","",U39)</f>
        <v>0.6</v>
      </c>
      <c r="X34" s="27"/>
      <c r="Y34" s="211"/>
      <c r="Z34" s="212"/>
      <c r="AA34" s="212"/>
    </row>
    <row r="35" spans="1:27" ht="15" x14ac:dyDescent="0.25">
      <c r="A35" s="560"/>
      <c r="B35" s="564"/>
      <c r="C35" s="567"/>
      <c r="D35" s="568"/>
      <c r="E35" s="244">
        <v>2</v>
      </c>
      <c r="F35" s="160"/>
      <c r="G35" s="160"/>
      <c r="H35" s="160"/>
      <c r="I35" s="209" t="str">
        <f t="shared" si="0"/>
        <v xml:space="preserve">  </v>
      </c>
      <c r="J35" s="281"/>
      <c r="K35" s="213" t="str">
        <f>+IFERROR(VLOOKUP($J35,'11 FORMULAS'!$B$51:$C$53,2,0),"")</f>
        <v/>
      </c>
      <c r="L35" s="213" t="str">
        <f>+IFERROR(VLOOKUP($J35,'11 FORMULAS'!$B$51:$D$53,3,0),"")</f>
        <v/>
      </c>
      <c r="M35" s="245"/>
      <c r="N35" s="213" t="str">
        <f>+IFERROR(VLOOKUP($M35,'11 FORMULAS'!$B$54:$C$55,2,0),"")</f>
        <v/>
      </c>
      <c r="O35" s="247"/>
      <c r="P35" s="247"/>
      <c r="Q35" s="247"/>
      <c r="R35" s="247"/>
      <c r="S35" s="213" t="str">
        <f t="shared" si="1"/>
        <v/>
      </c>
      <c r="T35" s="213">
        <f>IF($L35='11 FORMULAS'!$D$51,$C$34-($C$34*$S$34),$C$34)</f>
        <v>0.6</v>
      </c>
      <c r="U35" s="213">
        <f>IF($L35='11 FORMULAS'!$D$53,$D$34-($D$34*$S$34),$D$34)</f>
        <v>0.6</v>
      </c>
      <c r="V35" s="598"/>
      <c r="W35" s="601"/>
      <c r="X35" s="27"/>
      <c r="Y35" s="211"/>
      <c r="Z35" s="212"/>
      <c r="AA35" s="212"/>
    </row>
    <row r="36" spans="1:27" ht="15" x14ac:dyDescent="0.25">
      <c r="A36" s="560"/>
      <c r="B36" s="564"/>
      <c r="C36" s="567"/>
      <c r="D36" s="568"/>
      <c r="E36" s="244">
        <v>3</v>
      </c>
      <c r="F36" s="160"/>
      <c r="G36" s="160"/>
      <c r="H36" s="160"/>
      <c r="I36" s="209" t="str">
        <f t="shared" si="0"/>
        <v xml:space="preserve">  </v>
      </c>
      <c r="J36" s="281"/>
      <c r="K36" s="213" t="str">
        <f>+IFERROR(VLOOKUP($J36,'11 FORMULAS'!$B$51:$C$53,2,0),"")</f>
        <v/>
      </c>
      <c r="L36" s="213" t="str">
        <f>+IFERROR(VLOOKUP($J36,'11 FORMULAS'!$B$51:$D$53,3,0),"")</f>
        <v/>
      </c>
      <c r="M36" s="245"/>
      <c r="N36" s="213" t="str">
        <f>+IFERROR(VLOOKUP($M36,'11 FORMULAS'!$B$54:$C$55,2,0),"")</f>
        <v/>
      </c>
      <c r="O36" s="247"/>
      <c r="P36" s="247"/>
      <c r="Q36" s="247"/>
      <c r="R36" s="247"/>
      <c r="S36" s="213" t="str">
        <f t="shared" si="1"/>
        <v/>
      </c>
      <c r="T36" s="213">
        <f>IF($L36='11 FORMULAS'!$D$51,$C$34-($C$34*$S$34),$C$34)</f>
        <v>0.6</v>
      </c>
      <c r="U36" s="213">
        <f>IF($L36='11 FORMULAS'!$D$53,$D$34-($D$34*$S$34),$D$34)</f>
        <v>0.6</v>
      </c>
      <c r="V36" s="598"/>
      <c r="W36" s="601"/>
      <c r="X36" s="27"/>
      <c r="Y36" s="211"/>
      <c r="Z36" s="212"/>
      <c r="AA36" s="212"/>
    </row>
    <row r="37" spans="1:27" ht="15" x14ac:dyDescent="0.25">
      <c r="A37" s="561"/>
      <c r="B37" s="565"/>
      <c r="C37" s="419"/>
      <c r="D37" s="557"/>
      <c r="E37" s="244">
        <v>4</v>
      </c>
      <c r="F37" s="160"/>
      <c r="G37" s="160"/>
      <c r="H37" s="160"/>
      <c r="I37" s="209" t="str">
        <f t="shared" si="0"/>
        <v xml:space="preserve">  </v>
      </c>
      <c r="J37" s="281"/>
      <c r="K37" s="213" t="str">
        <f>+IFERROR(VLOOKUP($J37,'11 FORMULAS'!$B$51:$C$53,2,0),"")</f>
        <v/>
      </c>
      <c r="L37" s="213" t="str">
        <f>+IFERROR(VLOOKUP($J37,'11 FORMULAS'!$B$51:$D$53,3,0),"")</f>
        <v/>
      </c>
      <c r="M37" s="245"/>
      <c r="N37" s="213" t="str">
        <f>+IFERROR(VLOOKUP($M37,'11 FORMULAS'!$B$54:$C$55,2,0),"")</f>
        <v/>
      </c>
      <c r="O37" s="247"/>
      <c r="P37" s="247"/>
      <c r="Q37" s="247"/>
      <c r="R37" s="247"/>
      <c r="S37" s="213" t="str">
        <f t="shared" si="1"/>
        <v/>
      </c>
      <c r="T37" s="213">
        <f>IF($L37='11 FORMULAS'!$D$51,$C$34-($C$34*$S$34),$C$34)</f>
        <v>0.6</v>
      </c>
      <c r="U37" s="213">
        <f>IF($L37='11 FORMULAS'!$D$53,$D$34-($D$34*$S$34),$D$34)</f>
        <v>0.6</v>
      </c>
      <c r="V37" s="598"/>
      <c r="W37" s="601"/>
      <c r="X37" s="27"/>
      <c r="Y37" s="211"/>
      <c r="Z37" s="212"/>
      <c r="AA37" s="212"/>
    </row>
    <row r="38" spans="1:27" ht="15" x14ac:dyDescent="0.25">
      <c r="A38" s="561"/>
      <c r="B38" s="565"/>
      <c r="C38" s="419"/>
      <c r="D38" s="557"/>
      <c r="E38" s="244">
        <v>5</v>
      </c>
      <c r="F38" s="160"/>
      <c r="G38" s="160"/>
      <c r="H38" s="160"/>
      <c r="I38" s="209" t="str">
        <f t="shared" si="0"/>
        <v xml:space="preserve">  </v>
      </c>
      <c r="J38" s="281"/>
      <c r="K38" s="213" t="str">
        <f>+IFERROR(VLOOKUP($J38,'11 FORMULAS'!$B$51:$C$53,2,0),"")</f>
        <v/>
      </c>
      <c r="L38" s="213" t="str">
        <f>+IFERROR(VLOOKUP($J38,'11 FORMULAS'!$B$51:$D$53,3,0),"")</f>
        <v/>
      </c>
      <c r="M38" s="245"/>
      <c r="N38" s="213" t="str">
        <f>+IFERROR(VLOOKUP($M38,'11 FORMULAS'!$B$54:$C$55,2,0),"")</f>
        <v/>
      </c>
      <c r="O38" s="247"/>
      <c r="P38" s="247"/>
      <c r="Q38" s="247"/>
      <c r="R38" s="247"/>
      <c r="S38" s="213" t="str">
        <f t="shared" si="1"/>
        <v/>
      </c>
      <c r="T38" s="213">
        <f>IF($L38='11 FORMULAS'!$D$51,$C$34-($C$34*$S$34),$C$34)</f>
        <v>0.6</v>
      </c>
      <c r="U38" s="213">
        <f>IF($L38='11 FORMULAS'!$D$53,$D$34-($D$34*$S$34),$D$34)</f>
        <v>0.6</v>
      </c>
      <c r="V38" s="598"/>
      <c r="W38" s="601"/>
      <c r="X38" s="27"/>
      <c r="Y38" s="211"/>
      <c r="Z38" s="212"/>
      <c r="AA38" s="212"/>
    </row>
    <row r="39" spans="1:27" ht="15" thickBot="1" x14ac:dyDescent="0.3">
      <c r="A39" s="562"/>
      <c r="B39" s="566"/>
      <c r="C39" s="420"/>
      <c r="D39" s="558"/>
      <c r="E39" s="248">
        <v>6</v>
      </c>
      <c r="F39" s="161"/>
      <c r="G39" s="161"/>
      <c r="H39" s="161"/>
      <c r="I39" s="339" t="str">
        <f t="shared" si="0"/>
        <v xml:space="preserve">  </v>
      </c>
      <c r="J39" s="340"/>
      <c r="K39" s="341" t="str">
        <f>+IFERROR(VLOOKUP($J39,'11 FORMULAS'!$B$51:$C$53,2,0),"")</f>
        <v/>
      </c>
      <c r="L39" s="341" t="str">
        <f>+IFERROR(VLOOKUP($J39,'11 FORMULAS'!$B$51:$D$53,3,0),"")</f>
        <v/>
      </c>
      <c r="M39" s="342"/>
      <c r="N39" s="341" t="str">
        <f>+IFERROR(VLOOKUP($M39,'11 FORMULAS'!$B$54:$C$55,2,0),"")</f>
        <v/>
      </c>
      <c r="O39" s="343"/>
      <c r="P39" s="343"/>
      <c r="Q39" s="343"/>
      <c r="R39" s="343"/>
      <c r="S39" s="341" t="str">
        <f t="shared" si="1"/>
        <v/>
      </c>
      <c r="T39" s="341">
        <f>IF($L39='11 FORMULAS'!$D$51,$C$34-($C$34*$S$34),$C$34)</f>
        <v>0.6</v>
      </c>
      <c r="U39" s="341">
        <f>IF($L39='11 FORMULAS'!$D$53,$D$34-($D$34*$S$34),$D$34)</f>
        <v>0.6</v>
      </c>
      <c r="V39" s="599"/>
      <c r="W39" s="602"/>
      <c r="X39" s="27"/>
    </row>
    <row r="40" spans="1:27" ht="92.1" customHeight="1" x14ac:dyDescent="0.25">
      <c r="A40" s="559" t="str">
        <f>'2 IDENTIFICACIÓN'!A15</f>
        <v>R6</v>
      </c>
      <c r="B40" s="563" t="str">
        <f>+'2 IDENTIFICACIÓN'!J15</f>
        <v>Posibilidad de afectación reputacional por investigaciones y sanciones disciplinarias por entes de control, debido a la falta de seguimiento al cumplimiento de metas del Plan de Desarrollo Municipal programadas para la vigencia.</v>
      </c>
      <c r="C40" s="418">
        <f>+'3 PROBABIL E IMPACTO INHERENTE'!E15</f>
        <v>0.4</v>
      </c>
      <c r="D40" s="556">
        <f>+'3 PROBABIL E IMPACTO INHERENTE'!M15</f>
        <v>0.6</v>
      </c>
      <c r="E40" s="334">
        <v>1</v>
      </c>
      <c r="F40" s="34" t="s">
        <v>443</v>
      </c>
      <c r="G40" s="34" t="s">
        <v>402</v>
      </c>
      <c r="H40" s="34" t="s">
        <v>401</v>
      </c>
      <c r="I40" s="335" t="str">
        <f t="shared" si="0"/>
        <v>La Secretaría de Educación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J40" s="336" t="s">
        <v>133</v>
      </c>
      <c r="K40" s="246">
        <f>+IFERROR(VLOOKUP($J40,'11 FORMULAS'!$B$51:$C$53,2,0),"")</f>
        <v>0.25</v>
      </c>
      <c r="L40" s="246" t="str">
        <f>+IFERROR(VLOOKUP($J40,'11 FORMULAS'!$B$51:$D$53,3,0),"")</f>
        <v>Probabilidad</v>
      </c>
      <c r="M40" s="337" t="s">
        <v>145</v>
      </c>
      <c r="N40" s="246">
        <f>+IFERROR(VLOOKUP($M40,'11 FORMULAS'!$B$54:$C$55,2,0),"")</f>
        <v>0.15</v>
      </c>
      <c r="O40" s="338" t="s">
        <v>135</v>
      </c>
      <c r="P40" s="338" t="s">
        <v>370</v>
      </c>
      <c r="Q40" s="338" t="s">
        <v>137</v>
      </c>
      <c r="R40" s="338" t="s">
        <v>138</v>
      </c>
      <c r="S40" s="246">
        <f t="shared" si="1"/>
        <v>0.4</v>
      </c>
      <c r="T40" s="246">
        <f>IF($L40='11 FORMULAS'!$D$51,$C$40-($C$40*$S$40),$C$40)</f>
        <v>0.24</v>
      </c>
      <c r="U40" s="246">
        <f>IF($L40='11 FORMULAS'!$D$53,$D$40-($D$40*$S$40),$D$40)</f>
        <v>0.6</v>
      </c>
      <c r="V40" s="597">
        <f>+IF(T45="","",T45)</f>
        <v>0.4</v>
      </c>
      <c r="W40" s="600">
        <f>+IF(U45="","",U45)</f>
        <v>0.6</v>
      </c>
      <c r="X40" s="27"/>
      <c r="Y40" s="211"/>
      <c r="Z40" s="212"/>
      <c r="AA40" s="212"/>
    </row>
    <row r="41" spans="1:27" ht="15" x14ac:dyDescent="0.25">
      <c r="A41" s="560"/>
      <c r="B41" s="564"/>
      <c r="C41" s="567"/>
      <c r="D41" s="568"/>
      <c r="E41" s="244">
        <v>2</v>
      </c>
      <c r="F41" s="160"/>
      <c r="G41" s="160"/>
      <c r="H41" s="160"/>
      <c r="I41" s="209" t="str">
        <f t="shared" si="0"/>
        <v xml:space="preserve">  </v>
      </c>
      <c r="J41" s="281"/>
      <c r="K41" s="213" t="str">
        <f>+IFERROR(VLOOKUP($J41,'11 FORMULAS'!$B$51:$C$53,2,0),"")</f>
        <v/>
      </c>
      <c r="L41" s="213" t="str">
        <f>+IFERROR(VLOOKUP($J41,'11 FORMULAS'!$B$51:$D$53,3,0),"")</f>
        <v/>
      </c>
      <c r="M41" s="245"/>
      <c r="N41" s="213" t="str">
        <f>+IFERROR(VLOOKUP($M41,'11 FORMULAS'!$B$54:$C$55,2,0),"")</f>
        <v/>
      </c>
      <c r="O41" s="247"/>
      <c r="P41" s="247"/>
      <c r="Q41" s="247"/>
      <c r="R41" s="247"/>
      <c r="S41" s="213" t="str">
        <f t="shared" si="1"/>
        <v/>
      </c>
      <c r="T41" s="213">
        <f>IF($L41='11 FORMULAS'!$D$51,$C$40-($C$40*$S$40),$C$40)</f>
        <v>0.4</v>
      </c>
      <c r="U41" s="213">
        <f>IF($L41='11 FORMULAS'!$D$53,$D$40-($D$40*$S$40),$D$40)</f>
        <v>0.6</v>
      </c>
      <c r="V41" s="598"/>
      <c r="W41" s="601"/>
      <c r="X41" s="27"/>
      <c r="Y41" s="211"/>
      <c r="Z41" s="212"/>
      <c r="AA41" s="212"/>
    </row>
    <row r="42" spans="1:27" ht="15" x14ac:dyDescent="0.25">
      <c r="A42" s="560"/>
      <c r="B42" s="564"/>
      <c r="C42" s="567"/>
      <c r="D42" s="568"/>
      <c r="E42" s="244">
        <v>3</v>
      </c>
      <c r="F42" s="160"/>
      <c r="G42" s="160"/>
      <c r="H42" s="160"/>
      <c r="I42" s="209" t="str">
        <f t="shared" si="0"/>
        <v xml:space="preserve">  </v>
      </c>
      <c r="J42" s="281"/>
      <c r="K42" s="213" t="str">
        <f>+IFERROR(VLOOKUP($J42,'11 FORMULAS'!$B$51:$C$53,2,0),"")</f>
        <v/>
      </c>
      <c r="L42" s="213" t="str">
        <f>+IFERROR(VLOOKUP($J42,'11 FORMULAS'!$B$51:$D$53,3,0),"")</f>
        <v/>
      </c>
      <c r="M42" s="245"/>
      <c r="N42" s="213" t="str">
        <f>+IFERROR(VLOOKUP($M42,'11 FORMULAS'!$B$54:$C$55,2,0),"")</f>
        <v/>
      </c>
      <c r="O42" s="247"/>
      <c r="P42" s="247"/>
      <c r="Q42" s="247"/>
      <c r="R42" s="247"/>
      <c r="S42" s="213" t="str">
        <f t="shared" si="1"/>
        <v/>
      </c>
      <c r="T42" s="213">
        <f>IF($L42='11 FORMULAS'!$D$51,$C$40-($C$40*$S$40),$C$40)</f>
        <v>0.4</v>
      </c>
      <c r="U42" s="213">
        <f>IF($L42='11 FORMULAS'!$D$53,$D$40-($D$40*$S$40),$D$40)</f>
        <v>0.6</v>
      </c>
      <c r="V42" s="598"/>
      <c r="W42" s="601"/>
      <c r="X42" s="27"/>
      <c r="Y42" s="211"/>
      <c r="Z42" s="212"/>
      <c r="AA42" s="212"/>
    </row>
    <row r="43" spans="1:27" ht="15" x14ac:dyDescent="0.25">
      <c r="A43" s="561"/>
      <c r="B43" s="565"/>
      <c r="C43" s="419"/>
      <c r="D43" s="557"/>
      <c r="E43" s="244">
        <v>4</v>
      </c>
      <c r="F43" s="160"/>
      <c r="G43" s="160"/>
      <c r="H43" s="160"/>
      <c r="I43" s="209" t="str">
        <f t="shared" si="0"/>
        <v xml:space="preserve">  </v>
      </c>
      <c r="J43" s="281"/>
      <c r="K43" s="213" t="str">
        <f>+IFERROR(VLOOKUP($J43,'11 FORMULAS'!$B$51:$C$53,2,0),"")</f>
        <v/>
      </c>
      <c r="L43" s="213" t="str">
        <f>+IFERROR(VLOOKUP($J43,'11 FORMULAS'!$B$51:$D$53,3,0),"")</f>
        <v/>
      </c>
      <c r="M43" s="245"/>
      <c r="N43" s="213" t="str">
        <f>+IFERROR(VLOOKUP($M43,'11 FORMULAS'!$B$54:$C$55,2,0),"")</f>
        <v/>
      </c>
      <c r="O43" s="247"/>
      <c r="P43" s="247"/>
      <c r="Q43" s="247"/>
      <c r="R43" s="247"/>
      <c r="S43" s="213" t="str">
        <f t="shared" si="1"/>
        <v/>
      </c>
      <c r="T43" s="213">
        <f>IF($L43='11 FORMULAS'!$D$51,$C$40-($C$40*$S$40),$C$40)</f>
        <v>0.4</v>
      </c>
      <c r="U43" s="213">
        <f>IF($L43='11 FORMULAS'!$D$53,$D$40-($D$40*$S$40),$D$40)</f>
        <v>0.6</v>
      </c>
      <c r="V43" s="598"/>
      <c r="W43" s="601"/>
      <c r="X43" s="27"/>
      <c r="Y43" s="211"/>
      <c r="Z43" s="212"/>
      <c r="AA43" s="212"/>
    </row>
    <row r="44" spans="1:27" ht="15" x14ac:dyDescent="0.25">
      <c r="A44" s="561"/>
      <c r="B44" s="565"/>
      <c r="C44" s="419"/>
      <c r="D44" s="557"/>
      <c r="E44" s="244">
        <v>5</v>
      </c>
      <c r="F44" s="160"/>
      <c r="G44" s="160"/>
      <c r="H44" s="160"/>
      <c r="I44" s="209" t="str">
        <f t="shared" si="0"/>
        <v xml:space="preserve">  </v>
      </c>
      <c r="J44" s="281"/>
      <c r="K44" s="213" t="str">
        <f>+IFERROR(VLOOKUP($J44,'11 FORMULAS'!$B$51:$C$53,2,0),"")</f>
        <v/>
      </c>
      <c r="L44" s="213" t="str">
        <f>+IFERROR(VLOOKUP($J44,'11 FORMULAS'!$B$51:$D$53,3,0),"")</f>
        <v/>
      </c>
      <c r="M44" s="245"/>
      <c r="N44" s="213" t="str">
        <f>+IFERROR(VLOOKUP($M44,'11 FORMULAS'!$B$54:$C$55,2,0),"")</f>
        <v/>
      </c>
      <c r="O44" s="247"/>
      <c r="P44" s="247"/>
      <c r="Q44" s="247"/>
      <c r="R44" s="247"/>
      <c r="S44" s="213" t="str">
        <f t="shared" si="1"/>
        <v/>
      </c>
      <c r="T44" s="213">
        <f>IF($L44='11 FORMULAS'!$D$51,$C$40-($C$40*$S$40),$C$40)</f>
        <v>0.4</v>
      </c>
      <c r="U44" s="213">
        <f>IF($L44='11 FORMULAS'!$D$53,$D$40-($D$40*$S$40),$D$40)</f>
        <v>0.6</v>
      </c>
      <c r="V44" s="598"/>
      <c r="W44" s="601"/>
      <c r="X44" s="27"/>
      <c r="Y44" s="211"/>
      <c r="Z44" s="212"/>
      <c r="AA44" s="212"/>
    </row>
    <row r="45" spans="1:27" ht="15" thickBot="1" x14ac:dyDescent="0.3">
      <c r="A45" s="562"/>
      <c r="B45" s="566"/>
      <c r="C45" s="420"/>
      <c r="D45" s="558"/>
      <c r="E45" s="248">
        <v>6</v>
      </c>
      <c r="F45" s="161"/>
      <c r="G45" s="161"/>
      <c r="H45" s="161"/>
      <c r="I45" s="339" t="str">
        <f t="shared" si="0"/>
        <v xml:space="preserve">  </v>
      </c>
      <c r="J45" s="340"/>
      <c r="K45" s="341" t="str">
        <f>+IFERROR(VLOOKUP($J45,'11 FORMULAS'!$B$51:$C$53,2,0),"")</f>
        <v/>
      </c>
      <c r="L45" s="341" t="str">
        <f>+IFERROR(VLOOKUP($J45,'11 FORMULAS'!$B$51:$D$53,3,0),"")</f>
        <v/>
      </c>
      <c r="M45" s="342"/>
      <c r="N45" s="341" t="str">
        <f>+IFERROR(VLOOKUP($M45,'11 FORMULAS'!$B$54:$C$55,2,0),"")</f>
        <v/>
      </c>
      <c r="O45" s="343"/>
      <c r="P45" s="343"/>
      <c r="Q45" s="343"/>
      <c r="R45" s="343"/>
      <c r="S45" s="341" t="str">
        <f t="shared" si="1"/>
        <v/>
      </c>
      <c r="T45" s="341">
        <f>IF($L45='11 FORMULAS'!$D$51,$C$40-($C$40*$S$40),$C$40)</f>
        <v>0.4</v>
      </c>
      <c r="U45" s="341">
        <f>IF($L45='11 FORMULAS'!$D$53,$D$40-($D$40*$S$40),$D$40)</f>
        <v>0.6</v>
      </c>
      <c r="V45" s="599"/>
      <c r="W45" s="602"/>
      <c r="X45" s="27"/>
    </row>
    <row r="46" spans="1:27" ht="147.6" customHeight="1" x14ac:dyDescent="0.25">
      <c r="A46" s="559" t="str">
        <f>'2 IDENTIFICACIÓN'!A16</f>
        <v>R7</v>
      </c>
      <c r="B46" s="563"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46" s="418">
        <f>+'3 PROBABIL E IMPACTO INHERENTE'!E16</f>
        <v>0.6</v>
      </c>
      <c r="D46" s="556">
        <f>+'3 PROBABIL E IMPACTO INHERENTE'!M16</f>
        <v>1</v>
      </c>
      <c r="E46" s="334">
        <v>1</v>
      </c>
      <c r="F46" s="34" t="s">
        <v>403</v>
      </c>
      <c r="G46" s="34" t="s">
        <v>405</v>
      </c>
      <c r="H46" s="34" t="s">
        <v>404</v>
      </c>
      <c r="I46" s="335" t="str">
        <f t="shared" si="0"/>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J46" s="336" t="s">
        <v>133</v>
      </c>
      <c r="K46" s="246">
        <f>+IFERROR(VLOOKUP($J46,'11 FORMULAS'!$B$51:$C$53,2,0),"")</f>
        <v>0.25</v>
      </c>
      <c r="L46" s="246" t="str">
        <f>+IFERROR(VLOOKUP($J46,'11 FORMULAS'!$B$51:$D$53,3,0),"")</f>
        <v>Probabilidad</v>
      </c>
      <c r="M46" s="337" t="s">
        <v>145</v>
      </c>
      <c r="N46" s="246">
        <f>+IFERROR(VLOOKUP($M46,'11 FORMULAS'!$B$54:$C$55,2,0),"")</f>
        <v>0.15</v>
      </c>
      <c r="O46" s="338" t="s">
        <v>135</v>
      </c>
      <c r="P46" s="338" t="s">
        <v>370</v>
      </c>
      <c r="Q46" s="338" t="s">
        <v>137</v>
      </c>
      <c r="R46" s="338" t="s">
        <v>138</v>
      </c>
      <c r="S46" s="246">
        <f t="shared" si="1"/>
        <v>0.4</v>
      </c>
      <c r="T46" s="246">
        <f>IF($L46='11 FORMULAS'!$D$51,$C$46-($C$46*$S$46),$C$46)</f>
        <v>0.36</v>
      </c>
      <c r="U46" s="246">
        <f>IF($L46='11 FORMULAS'!$D$53,$D$46-($D$46*$S$46),$D$46)</f>
        <v>1</v>
      </c>
      <c r="V46" s="597">
        <f>+IF(T51="","",T51)</f>
        <v>0.6</v>
      </c>
      <c r="W46" s="600">
        <f>+IF(U51="","",U51)</f>
        <v>1</v>
      </c>
      <c r="X46" s="27"/>
      <c r="Y46" s="211"/>
      <c r="Z46" s="212"/>
      <c r="AA46" s="212"/>
    </row>
    <row r="47" spans="1:27" ht="15" x14ac:dyDescent="0.25">
      <c r="A47" s="561"/>
      <c r="B47" s="565"/>
      <c r="C47" s="419"/>
      <c r="D47" s="557"/>
      <c r="E47" s="244">
        <v>2</v>
      </c>
      <c r="F47" s="160"/>
      <c r="G47" s="160"/>
      <c r="H47" s="160"/>
      <c r="I47" s="209" t="str">
        <f t="shared" si="0"/>
        <v xml:space="preserve">  </v>
      </c>
      <c r="J47" s="281"/>
      <c r="K47" s="213" t="str">
        <f>+IFERROR(VLOOKUP($J47,'11 FORMULAS'!$B$51:$C$53,2,0),"")</f>
        <v/>
      </c>
      <c r="L47" s="213" t="str">
        <f>+IFERROR(VLOOKUP($J47,'11 FORMULAS'!$B$51:$D$53,3,0),"")</f>
        <v/>
      </c>
      <c r="M47" s="245"/>
      <c r="N47" s="213" t="str">
        <f>+IFERROR(VLOOKUP($M47,'11 FORMULAS'!$B$54:$C$55,2,0),"")</f>
        <v/>
      </c>
      <c r="O47" s="247"/>
      <c r="P47" s="247"/>
      <c r="Q47" s="247"/>
      <c r="R47" s="247"/>
      <c r="S47" s="213" t="str">
        <f t="shared" si="1"/>
        <v/>
      </c>
      <c r="T47" s="213">
        <f>IF($L47='11 FORMULAS'!$D$51,$C$46-($C$46*$S$46),$C$46)</f>
        <v>0.6</v>
      </c>
      <c r="U47" s="213">
        <f>IF($L47='11 FORMULAS'!$D$53,$D$46-($D$46*$S$46),$D$46)</f>
        <v>1</v>
      </c>
      <c r="V47" s="598"/>
      <c r="W47" s="601"/>
      <c r="X47" s="27"/>
      <c r="Y47" s="211"/>
      <c r="Z47" s="212"/>
      <c r="AA47" s="212"/>
    </row>
    <row r="48" spans="1:27" ht="15" x14ac:dyDescent="0.25">
      <c r="A48" s="561"/>
      <c r="B48" s="565"/>
      <c r="C48" s="419"/>
      <c r="D48" s="557"/>
      <c r="E48" s="244">
        <v>3</v>
      </c>
      <c r="F48" s="160"/>
      <c r="G48" s="160"/>
      <c r="H48" s="160"/>
      <c r="I48" s="209" t="str">
        <f t="shared" si="0"/>
        <v xml:space="preserve">  </v>
      </c>
      <c r="J48" s="281"/>
      <c r="K48" s="213" t="str">
        <f>+IFERROR(VLOOKUP($J48,'11 FORMULAS'!$B$51:$C$53,2,0),"")</f>
        <v/>
      </c>
      <c r="L48" s="213" t="str">
        <f>+IFERROR(VLOOKUP($J48,'11 FORMULAS'!$B$51:$D$53,3,0),"")</f>
        <v/>
      </c>
      <c r="M48" s="245"/>
      <c r="N48" s="213" t="str">
        <f>+IFERROR(VLOOKUP($M48,'11 FORMULAS'!$B$54:$C$55,2,0),"")</f>
        <v/>
      </c>
      <c r="O48" s="247"/>
      <c r="P48" s="247"/>
      <c r="Q48" s="247"/>
      <c r="R48" s="247"/>
      <c r="S48" s="213" t="str">
        <f t="shared" si="1"/>
        <v/>
      </c>
      <c r="T48" s="213">
        <f>IF($L48='11 FORMULAS'!$D$51,$C$46-($C$46*$S$46),$C$46)</f>
        <v>0.6</v>
      </c>
      <c r="U48" s="213">
        <f>IF($L48='11 FORMULAS'!$D$53,$D$46-($D$46*$S$46),$D$46)</f>
        <v>1</v>
      </c>
      <c r="V48" s="598"/>
      <c r="W48" s="601"/>
      <c r="X48" s="27"/>
      <c r="Y48" s="211"/>
      <c r="Z48" s="212"/>
      <c r="AA48" s="212"/>
    </row>
    <row r="49" spans="1:27" ht="15" x14ac:dyDescent="0.25">
      <c r="A49" s="561"/>
      <c r="B49" s="565"/>
      <c r="C49" s="419"/>
      <c r="D49" s="557"/>
      <c r="E49" s="244">
        <v>4</v>
      </c>
      <c r="F49" s="160"/>
      <c r="G49" s="160"/>
      <c r="H49" s="160"/>
      <c r="I49" s="209" t="str">
        <f t="shared" si="0"/>
        <v xml:space="preserve">  </v>
      </c>
      <c r="J49" s="281"/>
      <c r="K49" s="213" t="str">
        <f>+IFERROR(VLOOKUP($J49,'11 FORMULAS'!$B$51:$C$53,2,0),"")</f>
        <v/>
      </c>
      <c r="L49" s="213" t="str">
        <f>+IFERROR(VLOOKUP($J49,'11 FORMULAS'!$B$51:$D$53,3,0),"")</f>
        <v/>
      </c>
      <c r="M49" s="245"/>
      <c r="N49" s="213" t="str">
        <f>+IFERROR(VLOOKUP($M49,'11 FORMULAS'!$B$54:$C$55,2,0),"")</f>
        <v/>
      </c>
      <c r="O49" s="247"/>
      <c r="P49" s="247"/>
      <c r="Q49" s="247"/>
      <c r="R49" s="247"/>
      <c r="S49" s="213" t="str">
        <f t="shared" si="1"/>
        <v/>
      </c>
      <c r="T49" s="213">
        <f>IF($L49='11 FORMULAS'!$D$51,$C$46-($C$46*$S$46),$C$46)</f>
        <v>0.6</v>
      </c>
      <c r="U49" s="213">
        <f>IF($L49='11 FORMULAS'!$D$53,$D$46-($D$46*$S$46),$D$46)</f>
        <v>1</v>
      </c>
      <c r="V49" s="598"/>
      <c r="W49" s="601"/>
      <c r="X49" s="27"/>
      <c r="Y49" s="211"/>
      <c r="Z49" s="212"/>
      <c r="AA49" s="212"/>
    </row>
    <row r="50" spans="1:27" ht="15" x14ac:dyDescent="0.25">
      <c r="A50" s="561"/>
      <c r="B50" s="565"/>
      <c r="C50" s="419"/>
      <c r="D50" s="557"/>
      <c r="E50" s="244">
        <v>5</v>
      </c>
      <c r="F50" s="160"/>
      <c r="G50" s="160"/>
      <c r="H50" s="160"/>
      <c r="I50" s="209" t="str">
        <f t="shared" si="0"/>
        <v xml:space="preserve">  </v>
      </c>
      <c r="J50" s="281"/>
      <c r="K50" s="213" t="str">
        <f>+IFERROR(VLOOKUP($J50,'11 FORMULAS'!$B$51:$C$53,2,0),"")</f>
        <v/>
      </c>
      <c r="L50" s="213" t="str">
        <f>+IFERROR(VLOOKUP($J50,'11 FORMULAS'!$B$51:$D$53,3,0),"")</f>
        <v/>
      </c>
      <c r="M50" s="245"/>
      <c r="N50" s="213" t="str">
        <f>+IFERROR(VLOOKUP($M50,'11 FORMULAS'!$B$54:$C$55,2,0),"")</f>
        <v/>
      </c>
      <c r="O50" s="247"/>
      <c r="P50" s="247"/>
      <c r="Q50" s="247"/>
      <c r="R50" s="247"/>
      <c r="S50" s="213" t="str">
        <f t="shared" si="1"/>
        <v/>
      </c>
      <c r="T50" s="213">
        <f>IF($L50='11 FORMULAS'!$D$51,$C$46-($C$46*$S$46),$C$46)</f>
        <v>0.6</v>
      </c>
      <c r="U50" s="213">
        <f>IF($L50='11 FORMULAS'!$D$53,$D$46-($D$46*$S$46),$D$46)</f>
        <v>1</v>
      </c>
      <c r="V50" s="598"/>
      <c r="W50" s="601"/>
      <c r="X50" s="27"/>
      <c r="Y50" s="211"/>
      <c r="Z50" s="212"/>
      <c r="AA50" s="212"/>
    </row>
    <row r="51" spans="1:27" ht="15" thickBot="1" x14ac:dyDescent="0.3">
      <c r="A51" s="562"/>
      <c r="B51" s="566"/>
      <c r="C51" s="420"/>
      <c r="D51" s="558"/>
      <c r="E51" s="248">
        <v>6</v>
      </c>
      <c r="F51" s="161"/>
      <c r="G51" s="161"/>
      <c r="H51" s="161"/>
      <c r="I51" s="339" t="str">
        <f t="shared" si="0"/>
        <v xml:space="preserve">  </v>
      </c>
      <c r="J51" s="340"/>
      <c r="K51" s="341" t="str">
        <f>+IFERROR(VLOOKUP($J51,'11 FORMULAS'!$B$51:$C$53,2,0),"")</f>
        <v/>
      </c>
      <c r="L51" s="341" t="str">
        <f>+IFERROR(VLOOKUP($J51,'11 FORMULAS'!$B$51:$D$53,3,0),"")</f>
        <v/>
      </c>
      <c r="M51" s="342"/>
      <c r="N51" s="341" t="str">
        <f>+IFERROR(VLOOKUP($M51,'11 FORMULAS'!$B$54:$C$55,2,0),"")</f>
        <v/>
      </c>
      <c r="O51" s="343"/>
      <c r="P51" s="343"/>
      <c r="Q51" s="343"/>
      <c r="R51" s="343"/>
      <c r="S51" s="341" t="str">
        <f t="shared" si="1"/>
        <v/>
      </c>
      <c r="T51" s="341">
        <f>IF($L51='11 FORMULAS'!$D$51,$C$46-($C$46*$S$46),$C$46)</f>
        <v>0.6</v>
      </c>
      <c r="U51" s="341">
        <f>IF($L51='11 FORMULAS'!$D$53,$D$46-($D$46*$S$46),$D$46)</f>
        <v>1</v>
      </c>
      <c r="V51" s="599"/>
      <c r="W51" s="602"/>
      <c r="X51" s="27"/>
    </row>
    <row r="52" spans="1:27" ht="167.45" customHeight="1" x14ac:dyDescent="0.25">
      <c r="A52" s="559" t="str">
        <f>'2 IDENTIFICACIÓN'!A17</f>
        <v>R8</v>
      </c>
      <c r="B52" s="563"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52" s="418">
        <f>+'3 PROBABIL E IMPACTO INHERENTE'!E17</f>
        <v>0.6</v>
      </c>
      <c r="D52" s="556">
        <f>+'3 PROBABIL E IMPACTO INHERENTE'!M17</f>
        <v>1</v>
      </c>
      <c r="E52" s="334">
        <v>1</v>
      </c>
      <c r="F52" s="34" t="s">
        <v>451</v>
      </c>
      <c r="G52" s="34" t="s">
        <v>452</v>
      </c>
      <c r="H52" s="34" t="s">
        <v>453</v>
      </c>
      <c r="I52" s="335" t="str">
        <f t="shared" si="0"/>
        <v>Los profesionales encargados de la contratación y los supervisores designados verifican el cumplimiento de los lineamientos, requisitos y obligaciones establecidos en la normatividad vigente y en los documentos contractuales durante las etapas precontractual, contractual y postcontractual de los procesos celebrados por la Secretaría de Educación, diferentes a contratos de prestación de servicios, mediante la aplicación de listas de chequeo y revisión del avance y ejecución contractual.</v>
      </c>
      <c r="J52" s="336" t="s">
        <v>133</v>
      </c>
      <c r="K52" s="246">
        <f>+IFERROR(VLOOKUP($J52,'11 FORMULAS'!$B$51:$C$53,2,0),"")</f>
        <v>0.25</v>
      </c>
      <c r="L52" s="246" t="str">
        <f>+IFERROR(VLOOKUP($J52,'11 FORMULAS'!$B$51:$D$53,3,0),"")</f>
        <v>Probabilidad</v>
      </c>
      <c r="M52" s="337" t="s">
        <v>145</v>
      </c>
      <c r="N52" s="246">
        <f>+IFERROR(VLOOKUP($M52,'11 FORMULAS'!$B$54:$C$55,2,0),"")</f>
        <v>0.15</v>
      </c>
      <c r="O52" s="338" t="s">
        <v>135</v>
      </c>
      <c r="P52" s="338" t="s">
        <v>370</v>
      </c>
      <c r="Q52" s="338" t="s">
        <v>137</v>
      </c>
      <c r="R52" s="338" t="s">
        <v>138</v>
      </c>
      <c r="S52" s="246">
        <f t="shared" si="1"/>
        <v>0.4</v>
      </c>
      <c r="T52" s="246">
        <f>IF($L52='11 FORMULAS'!$D$51,$C$52-($C$52*$S$52),$C$52)</f>
        <v>0.36</v>
      </c>
      <c r="U52" s="246">
        <f>IF($L52='11 FORMULAS'!$D$53,$D$52-($D$52*$S$52),$D$52)</f>
        <v>1</v>
      </c>
      <c r="V52" s="597">
        <f>+IF(T57="","",T57)</f>
        <v>0.6</v>
      </c>
      <c r="W52" s="600">
        <f>+IF(U57="","",U57)</f>
        <v>1</v>
      </c>
      <c r="X52" s="27"/>
      <c r="Y52" s="211"/>
      <c r="Z52" s="212"/>
      <c r="AA52" s="212"/>
    </row>
    <row r="53" spans="1:27" ht="15" x14ac:dyDescent="0.25">
      <c r="A53" s="561"/>
      <c r="B53" s="565"/>
      <c r="C53" s="419"/>
      <c r="D53" s="557"/>
      <c r="E53" s="244">
        <v>2</v>
      </c>
      <c r="F53" s="160"/>
      <c r="G53" s="160"/>
      <c r="H53" s="160"/>
      <c r="I53" s="209" t="str">
        <f t="shared" si="0"/>
        <v xml:space="preserve">  </v>
      </c>
      <c r="J53" s="281"/>
      <c r="K53" s="213" t="str">
        <f>+IFERROR(VLOOKUP($J53,'11 FORMULAS'!$B$51:$C$53,2,0),"")</f>
        <v/>
      </c>
      <c r="L53" s="213" t="str">
        <f>+IFERROR(VLOOKUP($J53,'11 FORMULAS'!$B$51:$D$53,3,0),"")</f>
        <v/>
      </c>
      <c r="M53" s="245"/>
      <c r="N53" s="213" t="str">
        <f>+IFERROR(VLOOKUP($M53,'11 FORMULAS'!$B$54:$C$55,2,0),"")</f>
        <v/>
      </c>
      <c r="O53" s="247"/>
      <c r="P53" s="247"/>
      <c r="Q53" s="247"/>
      <c r="R53" s="247"/>
      <c r="S53" s="213" t="str">
        <f t="shared" si="1"/>
        <v/>
      </c>
      <c r="T53" s="213">
        <f>IF($L53='11 FORMULAS'!$D$51,$C$52-($C$52*$S$52),$C$52)</f>
        <v>0.6</v>
      </c>
      <c r="U53" s="213">
        <f>IF($L53='11 FORMULAS'!$D$53,$D$52-($D$52*$S$52),$D$52)</f>
        <v>1</v>
      </c>
      <c r="V53" s="598"/>
      <c r="W53" s="601"/>
      <c r="X53" s="27"/>
      <c r="Y53" s="211"/>
      <c r="Z53" s="212"/>
      <c r="AA53" s="212"/>
    </row>
    <row r="54" spans="1:27" ht="15" x14ac:dyDescent="0.25">
      <c r="A54" s="561"/>
      <c r="B54" s="565"/>
      <c r="C54" s="419"/>
      <c r="D54" s="557"/>
      <c r="E54" s="244">
        <v>3</v>
      </c>
      <c r="F54" s="160"/>
      <c r="G54" s="160"/>
      <c r="H54" s="160"/>
      <c r="I54" s="209" t="str">
        <f t="shared" si="0"/>
        <v xml:space="preserve">  </v>
      </c>
      <c r="J54" s="281"/>
      <c r="K54" s="213" t="str">
        <f>+IFERROR(VLOOKUP($J54,'11 FORMULAS'!$B$51:$C$53,2,0),"")</f>
        <v/>
      </c>
      <c r="L54" s="213" t="str">
        <f>+IFERROR(VLOOKUP($J54,'11 FORMULAS'!$B$51:$D$53,3,0),"")</f>
        <v/>
      </c>
      <c r="M54" s="245"/>
      <c r="N54" s="213" t="str">
        <f>+IFERROR(VLOOKUP($M54,'11 FORMULAS'!$B$54:$C$55,2,0),"")</f>
        <v/>
      </c>
      <c r="O54" s="247"/>
      <c r="P54" s="247"/>
      <c r="Q54" s="247"/>
      <c r="R54" s="247"/>
      <c r="S54" s="213" t="str">
        <f t="shared" si="1"/>
        <v/>
      </c>
      <c r="T54" s="213">
        <f>IF($L54='11 FORMULAS'!$D$51,$C$52-($C$52*$S$52),$C$52)</f>
        <v>0.6</v>
      </c>
      <c r="U54" s="213">
        <f>IF($L54='11 FORMULAS'!$D$53,$D$52-($D$52*$S$52),$D$52)</f>
        <v>1</v>
      </c>
      <c r="V54" s="598"/>
      <c r="W54" s="601"/>
      <c r="X54" s="27"/>
      <c r="Y54" s="211"/>
      <c r="Z54" s="212"/>
      <c r="AA54" s="212"/>
    </row>
    <row r="55" spans="1:27" ht="15" x14ac:dyDescent="0.25">
      <c r="A55" s="561"/>
      <c r="B55" s="565"/>
      <c r="C55" s="419"/>
      <c r="D55" s="557"/>
      <c r="E55" s="244">
        <v>4</v>
      </c>
      <c r="F55" s="160"/>
      <c r="G55" s="160"/>
      <c r="H55" s="160"/>
      <c r="I55" s="209" t="str">
        <f t="shared" si="0"/>
        <v xml:space="preserve">  </v>
      </c>
      <c r="J55" s="281"/>
      <c r="K55" s="213" t="str">
        <f>+IFERROR(VLOOKUP($J55,'11 FORMULAS'!$B$51:$C$53,2,0),"")</f>
        <v/>
      </c>
      <c r="L55" s="213" t="str">
        <f>+IFERROR(VLOOKUP($J55,'11 FORMULAS'!$B$51:$D$53,3,0),"")</f>
        <v/>
      </c>
      <c r="M55" s="245"/>
      <c r="N55" s="213" t="str">
        <f>+IFERROR(VLOOKUP($M55,'11 FORMULAS'!$B$54:$C$55,2,0),"")</f>
        <v/>
      </c>
      <c r="O55" s="247"/>
      <c r="P55" s="247"/>
      <c r="Q55" s="247"/>
      <c r="R55" s="247"/>
      <c r="S55" s="213" t="str">
        <f t="shared" si="1"/>
        <v/>
      </c>
      <c r="T55" s="213">
        <f>IF($L55='11 FORMULAS'!$D$51,$C$52-($C$52*$S$52),$C$52)</f>
        <v>0.6</v>
      </c>
      <c r="U55" s="213">
        <f>IF($L55='11 FORMULAS'!$D$53,$D$52-($D$52*$S$52),$D$52)</f>
        <v>1</v>
      </c>
      <c r="V55" s="598"/>
      <c r="W55" s="601"/>
      <c r="X55" s="27"/>
      <c r="Y55" s="211"/>
      <c r="Z55" s="212"/>
      <c r="AA55" s="212"/>
    </row>
    <row r="56" spans="1:27" ht="15" x14ac:dyDescent="0.25">
      <c r="A56" s="561"/>
      <c r="B56" s="565"/>
      <c r="C56" s="419"/>
      <c r="D56" s="557"/>
      <c r="E56" s="244">
        <v>5</v>
      </c>
      <c r="F56" s="160"/>
      <c r="G56" s="160"/>
      <c r="H56" s="160"/>
      <c r="I56" s="209" t="str">
        <f t="shared" si="0"/>
        <v xml:space="preserve">  </v>
      </c>
      <c r="J56" s="281"/>
      <c r="K56" s="213" t="str">
        <f>+IFERROR(VLOOKUP($J56,'11 FORMULAS'!$B$51:$C$53,2,0),"")</f>
        <v/>
      </c>
      <c r="L56" s="213" t="str">
        <f>+IFERROR(VLOOKUP($J56,'11 FORMULAS'!$B$51:$D$53,3,0),"")</f>
        <v/>
      </c>
      <c r="M56" s="245"/>
      <c r="N56" s="213" t="str">
        <f>+IFERROR(VLOOKUP($M56,'11 FORMULAS'!$B$54:$C$55,2,0),"")</f>
        <v/>
      </c>
      <c r="O56" s="247"/>
      <c r="P56" s="247"/>
      <c r="Q56" s="247"/>
      <c r="R56" s="247"/>
      <c r="S56" s="213" t="str">
        <f t="shared" si="1"/>
        <v/>
      </c>
      <c r="T56" s="213">
        <f>IF($L56='11 FORMULAS'!$D$51,$C$52-($C$52*$S$52),$C$52)</f>
        <v>0.6</v>
      </c>
      <c r="U56" s="213">
        <f>IF($L56='11 FORMULAS'!$D$53,$D$52-($D$52*$S$52),$D$52)</f>
        <v>1</v>
      </c>
      <c r="V56" s="598"/>
      <c r="W56" s="601"/>
      <c r="X56" s="27"/>
      <c r="Y56" s="211"/>
      <c r="Z56" s="212"/>
      <c r="AA56" s="212"/>
    </row>
    <row r="57" spans="1:27" ht="15" thickBot="1" x14ac:dyDescent="0.3">
      <c r="A57" s="562"/>
      <c r="B57" s="566"/>
      <c r="C57" s="420"/>
      <c r="D57" s="558"/>
      <c r="E57" s="248">
        <v>6</v>
      </c>
      <c r="F57" s="161"/>
      <c r="G57" s="161"/>
      <c r="H57" s="161"/>
      <c r="I57" s="339" t="str">
        <f t="shared" si="0"/>
        <v xml:space="preserve">  </v>
      </c>
      <c r="J57" s="340"/>
      <c r="K57" s="341" t="str">
        <f>+IFERROR(VLOOKUP($J57,'11 FORMULAS'!$B$51:$C$53,2,0),"")</f>
        <v/>
      </c>
      <c r="L57" s="341" t="str">
        <f>+IFERROR(VLOOKUP($J57,'11 FORMULAS'!$B$51:$D$53,3,0),"")</f>
        <v/>
      </c>
      <c r="M57" s="342"/>
      <c r="N57" s="341" t="str">
        <f>+IFERROR(VLOOKUP($M57,'11 FORMULAS'!$B$54:$C$55,2,0),"")</f>
        <v/>
      </c>
      <c r="O57" s="343"/>
      <c r="P57" s="343"/>
      <c r="Q57" s="343"/>
      <c r="R57" s="343"/>
      <c r="S57" s="341" t="str">
        <f t="shared" si="1"/>
        <v/>
      </c>
      <c r="T57" s="341">
        <f>IF($L57='11 FORMULAS'!$D$51,$C$52-($C$52*$S$52),$C$52)</f>
        <v>0.6</v>
      </c>
      <c r="U57" s="341">
        <f>IF($L57='11 FORMULAS'!$D$53,$D$52-($D$52*$S$52),$D$52)</f>
        <v>1</v>
      </c>
      <c r="V57" s="599"/>
      <c r="W57" s="602"/>
      <c r="X57" s="27"/>
    </row>
    <row r="58" spans="1:27" ht="135.6" customHeight="1" x14ac:dyDescent="0.25">
      <c r="A58" s="559" t="str">
        <f>'2 IDENTIFICACIÓN'!A18</f>
        <v>R9</v>
      </c>
      <c r="B58" s="563" t="str">
        <f>+'2 IDENTIFICACIÓN'!J18</f>
        <v>Posibilidad  de efecto dañoso sobre el recurso público por pago de sanción e intereses moratorios, debido a  trámite inoportuno a los requerimientos de los entes de control y vigilancia, de acuerdo con sus lineamientos y términos de ley.</v>
      </c>
      <c r="C58" s="418">
        <f>+'3 PROBABIL E IMPACTO INHERENTE'!E18</f>
        <v>0.6</v>
      </c>
      <c r="D58" s="556">
        <f>+'3 PROBABIL E IMPACTO INHERENTE'!M18</f>
        <v>0.4</v>
      </c>
      <c r="E58" s="334">
        <v>1</v>
      </c>
      <c r="F58" s="34" t="s">
        <v>406</v>
      </c>
      <c r="G58" s="34" t="s">
        <v>444</v>
      </c>
      <c r="H58" s="34" t="s">
        <v>407</v>
      </c>
      <c r="I58" s="335" t="str">
        <f t="shared" si="0"/>
        <v>La persona encargada verifica el cumplimiento de los términos establecidos para la atención de los requerimientos de los entes de control y vigilancia asignados a la Secretaría de Educación, a través del seguimiento y validación de las fechas de vencimiento y respuesta registradas en los mecanismos institucionales de control y seguimiento, identificando alertas frente a posibles incumplimientos.</v>
      </c>
      <c r="J58" s="336" t="s">
        <v>133</v>
      </c>
      <c r="K58" s="246">
        <f>+IFERROR(VLOOKUP($J58,'11 FORMULAS'!$B$51:$C$53,2,0),"")</f>
        <v>0.25</v>
      </c>
      <c r="L58" s="246" t="str">
        <f>+IFERROR(VLOOKUP($J58,'11 FORMULAS'!$B$51:$D$53,3,0),"")</f>
        <v>Probabilidad</v>
      </c>
      <c r="M58" s="337" t="s">
        <v>145</v>
      </c>
      <c r="N58" s="246">
        <f>+IFERROR(VLOOKUP($M58,'11 FORMULAS'!$B$54:$C$55,2,0),"")</f>
        <v>0.15</v>
      </c>
      <c r="O58" s="338" t="s">
        <v>135</v>
      </c>
      <c r="P58" s="338" t="s">
        <v>370</v>
      </c>
      <c r="Q58" s="338" t="s">
        <v>137</v>
      </c>
      <c r="R58" s="338" t="s">
        <v>138</v>
      </c>
      <c r="S58" s="246">
        <f t="shared" si="1"/>
        <v>0.4</v>
      </c>
      <c r="T58" s="246">
        <f>IF($L58='11 FORMULAS'!$D$51,$C$58-($C$58*$S$58),$C$58)</f>
        <v>0.36</v>
      </c>
      <c r="U58" s="246">
        <f>IF($L58='11 FORMULAS'!$D$53,$D$58-($D$58*$S$58),$D$58)</f>
        <v>0.4</v>
      </c>
      <c r="V58" s="597">
        <f>+IF(T63="","",T63)</f>
        <v>0.6</v>
      </c>
      <c r="W58" s="600">
        <f>+IF(U63="","",U63)</f>
        <v>0.4</v>
      </c>
      <c r="X58" s="27"/>
      <c r="Y58" s="211"/>
      <c r="Z58" s="212"/>
      <c r="AA58" s="212"/>
    </row>
    <row r="59" spans="1:27" ht="15" x14ac:dyDescent="0.25">
      <c r="A59" s="561"/>
      <c r="B59" s="565"/>
      <c r="C59" s="419"/>
      <c r="D59" s="557"/>
      <c r="E59" s="244">
        <v>2</v>
      </c>
      <c r="F59" s="160"/>
      <c r="G59" s="160"/>
      <c r="H59" s="160"/>
      <c r="I59" s="209" t="str">
        <f t="shared" si="0"/>
        <v xml:space="preserve">  </v>
      </c>
      <c r="J59" s="281"/>
      <c r="K59" s="213" t="str">
        <f>+IFERROR(VLOOKUP($J59,'11 FORMULAS'!$B$51:$C$53,2,0),"")</f>
        <v/>
      </c>
      <c r="L59" s="213" t="str">
        <f>+IFERROR(VLOOKUP($J59,'11 FORMULAS'!$B$51:$D$53,3,0),"")</f>
        <v/>
      </c>
      <c r="M59" s="245"/>
      <c r="N59" s="213" t="str">
        <f>+IFERROR(VLOOKUP($M59,'11 FORMULAS'!$B$54:$C$55,2,0),"")</f>
        <v/>
      </c>
      <c r="O59" s="247"/>
      <c r="P59" s="247"/>
      <c r="Q59" s="247"/>
      <c r="R59" s="247"/>
      <c r="S59" s="213" t="str">
        <f t="shared" si="1"/>
        <v/>
      </c>
      <c r="T59" s="213">
        <f>IF($L59='11 FORMULAS'!$D$51,$C$58-($C$58*$S$58),$C$58)</f>
        <v>0.6</v>
      </c>
      <c r="U59" s="213">
        <f>IF($L59='11 FORMULAS'!$D$53,$D$58-($D$58*$S$58),$D$58)</f>
        <v>0.4</v>
      </c>
      <c r="V59" s="598"/>
      <c r="W59" s="601"/>
      <c r="X59" s="27"/>
      <c r="Y59" s="211"/>
      <c r="Z59" s="212"/>
      <c r="AA59" s="212"/>
    </row>
    <row r="60" spans="1:27" ht="15" x14ac:dyDescent="0.25">
      <c r="A60" s="561"/>
      <c r="B60" s="565"/>
      <c r="C60" s="419"/>
      <c r="D60" s="557"/>
      <c r="E60" s="244">
        <v>3</v>
      </c>
      <c r="F60" s="160"/>
      <c r="G60" s="160"/>
      <c r="H60" s="160"/>
      <c r="I60" s="209" t="str">
        <f t="shared" si="0"/>
        <v xml:space="preserve">  </v>
      </c>
      <c r="J60" s="281"/>
      <c r="K60" s="213" t="str">
        <f>+IFERROR(VLOOKUP($J60,'11 FORMULAS'!$B$51:$C$53,2,0),"")</f>
        <v/>
      </c>
      <c r="L60" s="213" t="str">
        <f>+IFERROR(VLOOKUP($J60,'11 FORMULAS'!$B$51:$D$53,3,0),"")</f>
        <v/>
      </c>
      <c r="M60" s="245"/>
      <c r="N60" s="213" t="str">
        <f>+IFERROR(VLOOKUP($M60,'11 FORMULAS'!$B$54:$C$55,2,0),"")</f>
        <v/>
      </c>
      <c r="O60" s="247"/>
      <c r="P60" s="247"/>
      <c r="Q60" s="247"/>
      <c r="R60" s="247"/>
      <c r="S60" s="213" t="str">
        <f t="shared" si="1"/>
        <v/>
      </c>
      <c r="T60" s="213">
        <f>IF($L60='11 FORMULAS'!$D$51,$C$58-($C$58*$S$58),$C$58)</f>
        <v>0.6</v>
      </c>
      <c r="U60" s="213">
        <f>IF($L60='11 FORMULAS'!$D$53,$D$58-($D$58*$S$58),$D$58)</f>
        <v>0.4</v>
      </c>
      <c r="V60" s="598"/>
      <c r="W60" s="601"/>
      <c r="X60" s="27"/>
      <c r="Y60" s="211"/>
      <c r="Z60" s="212"/>
      <c r="AA60" s="212"/>
    </row>
    <row r="61" spans="1:27" ht="15" x14ac:dyDescent="0.25">
      <c r="A61" s="561"/>
      <c r="B61" s="565"/>
      <c r="C61" s="419"/>
      <c r="D61" s="557"/>
      <c r="E61" s="244">
        <v>4</v>
      </c>
      <c r="F61" s="160"/>
      <c r="G61" s="160"/>
      <c r="H61" s="160"/>
      <c r="I61" s="209" t="str">
        <f t="shared" si="0"/>
        <v xml:space="preserve">  </v>
      </c>
      <c r="J61" s="281"/>
      <c r="K61" s="213" t="str">
        <f>+IFERROR(VLOOKUP($J61,'11 FORMULAS'!$B$51:$C$53,2,0),"")</f>
        <v/>
      </c>
      <c r="L61" s="213" t="str">
        <f>+IFERROR(VLOOKUP($J61,'11 FORMULAS'!$B$51:$D$53,3,0),"")</f>
        <v/>
      </c>
      <c r="M61" s="245"/>
      <c r="N61" s="213" t="str">
        <f>+IFERROR(VLOOKUP($M61,'11 FORMULAS'!$B$54:$C$55,2,0),"")</f>
        <v/>
      </c>
      <c r="O61" s="247"/>
      <c r="P61" s="247"/>
      <c r="Q61" s="247"/>
      <c r="R61" s="247"/>
      <c r="S61" s="213" t="str">
        <f t="shared" si="1"/>
        <v/>
      </c>
      <c r="T61" s="213">
        <f>IF($L61='11 FORMULAS'!$D$51,$C$58-($C$58*$S$58),$C$58)</f>
        <v>0.6</v>
      </c>
      <c r="U61" s="213">
        <f>IF($L61='11 FORMULAS'!$D$53,$D$58-($D$58*$S$58),$D$58)</f>
        <v>0.4</v>
      </c>
      <c r="V61" s="598"/>
      <c r="W61" s="601"/>
      <c r="X61" s="27"/>
      <c r="Y61" s="211"/>
      <c r="Z61" s="212"/>
      <c r="AA61" s="212"/>
    </row>
    <row r="62" spans="1:27" ht="15" x14ac:dyDescent="0.25">
      <c r="A62" s="561"/>
      <c r="B62" s="565"/>
      <c r="C62" s="419"/>
      <c r="D62" s="557"/>
      <c r="E62" s="244">
        <v>5</v>
      </c>
      <c r="F62" s="160"/>
      <c r="G62" s="160"/>
      <c r="H62" s="160"/>
      <c r="I62" s="209" t="str">
        <f t="shared" si="0"/>
        <v xml:space="preserve">  </v>
      </c>
      <c r="J62" s="281"/>
      <c r="K62" s="213" t="str">
        <f>+IFERROR(VLOOKUP($J62,'11 FORMULAS'!$B$51:$C$53,2,0),"")</f>
        <v/>
      </c>
      <c r="L62" s="213" t="str">
        <f>+IFERROR(VLOOKUP($J62,'11 FORMULAS'!$B$51:$D$53,3,0),"")</f>
        <v/>
      </c>
      <c r="M62" s="245"/>
      <c r="N62" s="213" t="str">
        <f>+IFERROR(VLOOKUP($M62,'11 FORMULAS'!$B$54:$C$55,2,0),"")</f>
        <v/>
      </c>
      <c r="O62" s="247"/>
      <c r="P62" s="247"/>
      <c r="Q62" s="247"/>
      <c r="R62" s="247"/>
      <c r="S62" s="213" t="str">
        <f t="shared" si="1"/>
        <v/>
      </c>
      <c r="T62" s="213">
        <f>IF($L62='11 FORMULAS'!$D$51,$C$58-($C$58*$S$58),$C$58)</f>
        <v>0.6</v>
      </c>
      <c r="U62" s="213">
        <f>IF($L62='11 FORMULAS'!$D$53,$D$58-($D$58*$S$58),$D$58)</f>
        <v>0.4</v>
      </c>
      <c r="V62" s="598"/>
      <c r="W62" s="601"/>
      <c r="X62" s="27"/>
      <c r="Y62" s="211"/>
      <c r="Z62" s="212"/>
      <c r="AA62" s="212"/>
    </row>
    <row r="63" spans="1:27" ht="15" thickBot="1" x14ac:dyDescent="0.3">
      <c r="A63" s="562"/>
      <c r="B63" s="566"/>
      <c r="C63" s="420"/>
      <c r="D63" s="558"/>
      <c r="E63" s="248">
        <v>6</v>
      </c>
      <c r="F63" s="161"/>
      <c r="G63" s="161"/>
      <c r="H63" s="161"/>
      <c r="I63" s="339" t="str">
        <f t="shared" si="0"/>
        <v xml:space="preserve">  </v>
      </c>
      <c r="J63" s="340"/>
      <c r="K63" s="341" t="str">
        <f>+IFERROR(VLOOKUP($J63,'11 FORMULAS'!$B$51:$C$53,2,0),"")</f>
        <v/>
      </c>
      <c r="L63" s="341" t="str">
        <f>+IFERROR(VLOOKUP($J63,'11 FORMULAS'!$B$51:$D$53,3,0),"")</f>
        <v/>
      </c>
      <c r="M63" s="342"/>
      <c r="N63" s="341" t="str">
        <f>+IFERROR(VLOOKUP($M63,'11 FORMULAS'!$B$54:$C$55,2,0),"")</f>
        <v/>
      </c>
      <c r="O63" s="343"/>
      <c r="P63" s="343"/>
      <c r="Q63" s="343"/>
      <c r="R63" s="343"/>
      <c r="S63" s="341" t="str">
        <f t="shared" si="1"/>
        <v/>
      </c>
      <c r="T63" s="341">
        <f>IF($L63='11 FORMULAS'!$D$51,$C$58-($C$58*$S$58),$C$58)</f>
        <v>0.6</v>
      </c>
      <c r="U63" s="341">
        <f>IF($L63='11 FORMULAS'!$D$53,$D$58-($D$58*$S$58),$D$58)</f>
        <v>0.4</v>
      </c>
      <c r="V63" s="599"/>
      <c r="W63" s="602"/>
      <c r="X63" s="27"/>
    </row>
    <row r="64" spans="1:27" ht="117.95" customHeight="1" x14ac:dyDescent="0.25">
      <c r="A64" s="588" t="str">
        <f>'2 IDENTIFICACIÓN'!A19</f>
        <v>R10</v>
      </c>
      <c r="B64" s="591"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64" s="418">
        <f>+'3 PROBABIL E IMPACTO INHERENTE'!E19</f>
        <v>0.4</v>
      </c>
      <c r="D64" s="556">
        <f>+'3 PROBABIL E IMPACTO INHERENTE'!M19</f>
        <v>1</v>
      </c>
      <c r="E64" s="334">
        <v>1</v>
      </c>
      <c r="F64" s="34" t="s">
        <v>454</v>
      </c>
      <c r="G64" s="34" t="s">
        <v>456</v>
      </c>
      <c r="H64" s="34" t="s">
        <v>455</v>
      </c>
      <c r="I64" s="335" t="str">
        <f t="shared" si="0"/>
        <v>El profesional del área de presupuesto de la Secretaría de Educación verifica los movimientos bancarios, a través de los soportes recibidos del área de tesorería de la Secretaría de Educación</v>
      </c>
      <c r="J64" s="336" t="s">
        <v>133</v>
      </c>
      <c r="K64" s="246">
        <f>+IFERROR(VLOOKUP($J64,'11 FORMULAS'!$B$51:$C$53,2,0),"")</f>
        <v>0.25</v>
      </c>
      <c r="L64" s="246" t="str">
        <f>+IFERROR(VLOOKUP($J64,'11 FORMULAS'!$B$51:$D$53,3,0),"")</f>
        <v>Probabilidad</v>
      </c>
      <c r="M64" s="337" t="s">
        <v>145</v>
      </c>
      <c r="N64" s="246">
        <f>+IFERROR(VLOOKUP($M64,'11 FORMULAS'!$B$54:$C$55,2,0),"")</f>
        <v>0.15</v>
      </c>
      <c r="O64" s="338" t="s">
        <v>135</v>
      </c>
      <c r="P64" s="338" t="s">
        <v>370</v>
      </c>
      <c r="Q64" s="338" t="s">
        <v>137</v>
      </c>
      <c r="R64" s="338" t="s">
        <v>138</v>
      </c>
      <c r="S64" s="246">
        <f t="shared" si="1"/>
        <v>0.4</v>
      </c>
      <c r="T64" s="246">
        <f>IF($L64='11 FORMULAS'!$D$51,$C$64-($C$64*$S$64),$C$64)</f>
        <v>0.24</v>
      </c>
      <c r="U64" s="246">
        <f>IF($L64='11 FORMULAS'!$D$53,$D$64-($D$64*$S$64),$D$64)</f>
        <v>1</v>
      </c>
      <c r="V64" s="597">
        <f>+IF(T69="","",T69)</f>
        <v>0.4</v>
      </c>
      <c r="W64" s="600">
        <f>+IF(U69="","",U69)</f>
        <v>1</v>
      </c>
      <c r="X64" s="27"/>
      <c r="Y64" s="211"/>
      <c r="Z64" s="212"/>
      <c r="AA64" s="212"/>
    </row>
    <row r="65" spans="1:27" ht="15" x14ac:dyDescent="0.25">
      <c r="A65" s="589"/>
      <c r="B65" s="592"/>
      <c r="C65" s="419"/>
      <c r="D65" s="557"/>
      <c r="E65" s="244">
        <v>2</v>
      </c>
      <c r="F65" s="160"/>
      <c r="G65" s="160"/>
      <c r="H65" s="160"/>
      <c r="I65" s="209" t="str">
        <f t="shared" si="0"/>
        <v xml:space="preserve">  </v>
      </c>
      <c r="J65" s="281"/>
      <c r="K65" s="213" t="str">
        <f>+IFERROR(VLOOKUP($J65,'11 FORMULAS'!$B$51:$C$53,2,0),"")</f>
        <v/>
      </c>
      <c r="L65" s="213" t="str">
        <f>+IFERROR(VLOOKUP($J65,'11 FORMULAS'!$B$51:$D$53,3,0),"")</f>
        <v/>
      </c>
      <c r="M65" s="245"/>
      <c r="N65" s="213" t="str">
        <f>+IFERROR(VLOOKUP($M65,'11 FORMULAS'!$B$54:$C$55,2,0),"")</f>
        <v/>
      </c>
      <c r="O65" s="247"/>
      <c r="P65" s="247"/>
      <c r="Q65" s="247"/>
      <c r="R65" s="247"/>
      <c r="S65" s="213" t="str">
        <f t="shared" si="1"/>
        <v/>
      </c>
      <c r="T65" s="213">
        <f>IF($L65='11 FORMULAS'!$D$51,$C$64-($C$64*$S$64),$C$64)</f>
        <v>0.4</v>
      </c>
      <c r="U65" s="213">
        <f>IF($L65='11 FORMULAS'!$D$53,$D$64-($D$64*$S$64),$D$64)</f>
        <v>1</v>
      </c>
      <c r="V65" s="598"/>
      <c r="W65" s="601"/>
      <c r="X65" s="27"/>
      <c r="Y65" s="211"/>
      <c r="Z65" s="212"/>
      <c r="AA65" s="212"/>
    </row>
    <row r="66" spans="1:27" ht="15" x14ac:dyDescent="0.25">
      <c r="A66" s="589"/>
      <c r="B66" s="592"/>
      <c r="C66" s="419"/>
      <c r="D66" s="557"/>
      <c r="E66" s="244">
        <v>3</v>
      </c>
      <c r="F66" s="160"/>
      <c r="G66" s="160"/>
      <c r="H66" s="160"/>
      <c r="I66" s="209" t="str">
        <f t="shared" si="0"/>
        <v xml:space="preserve">  </v>
      </c>
      <c r="J66" s="281"/>
      <c r="K66" s="213" t="str">
        <f>+IFERROR(VLOOKUP($J66,'11 FORMULAS'!$B$51:$C$53,2,0),"")</f>
        <v/>
      </c>
      <c r="L66" s="213" t="str">
        <f>+IFERROR(VLOOKUP($J66,'11 FORMULAS'!$B$51:$D$53,3,0),"")</f>
        <v/>
      </c>
      <c r="M66" s="245"/>
      <c r="N66" s="213" t="str">
        <f>+IFERROR(VLOOKUP($M66,'11 FORMULAS'!$B$54:$C$55,2,0),"")</f>
        <v/>
      </c>
      <c r="O66" s="247"/>
      <c r="P66" s="247"/>
      <c r="Q66" s="247"/>
      <c r="R66" s="247"/>
      <c r="S66" s="213" t="str">
        <f t="shared" si="1"/>
        <v/>
      </c>
      <c r="T66" s="213">
        <f>IF($L66='11 FORMULAS'!$D$51,$C$64-($C$64*$S$64),$C$64)</f>
        <v>0.4</v>
      </c>
      <c r="U66" s="213">
        <f>IF($L66='11 FORMULAS'!$D$53,$D$64-($D$64*$S$64),$D$64)</f>
        <v>1</v>
      </c>
      <c r="V66" s="598"/>
      <c r="W66" s="601"/>
      <c r="X66" s="27"/>
      <c r="Y66" s="211"/>
      <c r="Z66" s="212"/>
      <c r="AA66" s="212"/>
    </row>
    <row r="67" spans="1:27" ht="15" x14ac:dyDescent="0.25">
      <c r="A67" s="589"/>
      <c r="B67" s="592"/>
      <c r="C67" s="419"/>
      <c r="D67" s="557"/>
      <c r="E67" s="244">
        <v>4</v>
      </c>
      <c r="F67" s="160"/>
      <c r="G67" s="160"/>
      <c r="H67" s="160"/>
      <c r="I67" s="209" t="str">
        <f t="shared" si="0"/>
        <v xml:space="preserve">  </v>
      </c>
      <c r="J67" s="281"/>
      <c r="K67" s="213" t="str">
        <f>+IFERROR(VLOOKUP($J67,'11 FORMULAS'!$B$51:$C$53,2,0),"")</f>
        <v/>
      </c>
      <c r="L67" s="213" t="str">
        <f>+IFERROR(VLOOKUP($J67,'11 FORMULAS'!$B$51:$D$53,3,0),"")</f>
        <v/>
      </c>
      <c r="M67" s="245"/>
      <c r="N67" s="213" t="str">
        <f>+IFERROR(VLOOKUP($M67,'11 FORMULAS'!$B$54:$C$55,2,0),"")</f>
        <v/>
      </c>
      <c r="O67" s="247"/>
      <c r="P67" s="247"/>
      <c r="Q67" s="247"/>
      <c r="R67" s="247"/>
      <c r="S67" s="213" t="str">
        <f t="shared" si="1"/>
        <v/>
      </c>
      <c r="T67" s="213">
        <f>IF($L67='11 FORMULAS'!$D$51,$C$64-($C$64*$S$64),$C$64)</f>
        <v>0.4</v>
      </c>
      <c r="U67" s="213">
        <f>IF($L67='11 FORMULAS'!$D$53,$D$64-($D$64*$S$64),$D$64)</f>
        <v>1</v>
      </c>
      <c r="V67" s="598"/>
      <c r="W67" s="601"/>
      <c r="X67" s="27"/>
      <c r="Y67" s="211"/>
      <c r="Z67" s="212"/>
      <c r="AA67" s="212"/>
    </row>
    <row r="68" spans="1:27" ht="15" x14ac:dyDescent="0.25">
      <c r="A68" s="589"/>
      <c r="B68" s="592"/>
      <c r="C68" s="419"/>
      <c r="D68" s="557"/>
      <c r="E68" s="244">
        <v>5</v>
      </c>
      <c r="F68" s="160"/>
      <c r="G68" s="160"/>
      <c r="H68" s="160"/>
      <c r="I68" s="209" t="str">
        <f t="shared" si="0"/>
        <v xml:space="preserve">  </v>
      </c>
      <c r="J68" s="281"/>
      <c r="K68" s="213" t="str">
        <f>+IFERROR(VLOOKUP($J68,'11 FORMULAS'!$B$51:$C$53,2,0),"")</f>
        <v/>
      </c>
      <c r="L68" s="213" t="str">
        <f>+IFERROR(VLOOKUP($J68,'11 FORMULAS'!$B$51:$D$53,3,0),"")</f>
        <v/>
      </c>
      <c r="M68" s="245"/>
      <c r="N68" s="213" t="str">
        <f>+IFERROR(VLOOKUP($M68,'11 FORMULAS'!$B$54:$C$55,2,0),"")</f>
        <v/>
      </c>
      <c r="O68" s="247"/>
      <c r="P68" s="247"/>
      <c r="Q68" s="247"/>
      <c r="R68" s="247"/>
      <c r="S68" s="213" t="str">
        <f t="shared" si="1"/>
        <v/>
      </c>
      <c r="T68" s="213">
        <f>IF($L68='11 FORMULAS'!$D$51,$C$64-($C$64*$S$64),$C$64)</f>
        <v>0.4</v>
      </c>
      <c r="U68" s="213">
        <f>IF($L68='11 FORMULAS'!$D$53,$D$64-($D$64*$S$64),$D$64)</f>
        <v>1</v>
      </c>
      <c r="V68" s="598"/>
      <c r="W68" s="601"/>
      <c r="X68" s="27"/>
      <c r="Y68" s="211"/>
      <c r="Z68" s="212"/>
      <c r="AA68" s="212"/>
    </row>
    <row r="69" spans="1:27" ht="15" thickBot="1" x14ac:dyDescent="0.3">
      <c r="A69" s="590"/>
      <c r="B69" s="593"/>
      <c r="C69" s="420"/>
      <c r="D69" s="558"/>
      <c r="E69" s="248">
        <v>6</v>
      </c>
      <c r="F69" s="161"/>
      <c r="G69" s="161"/>
      <c r="H69" s="161"/>
      <c r="I69" s="339" t="str">
        <f t="shared" si="0"/>
        <v xml:space="preserve">  </v>
      </c>
      <c r="J69" s="340"/>
      <c r="K69" s="341" t="str">
        <f>+IFERROR(VLOOKUP($J69,'11 FORMULAS'!$B$51:$C$53,2,0),"")</f>
        <v/>
      </c>
      <c r="L69" s="341" t="str">
        <f>+IFERROR(VLOOKUP($J69,'11 FORMULAS'!$B$51:$D$53,3,0),"")</f>
        <v/>
      </c>
      <c r="M69" s="342"/>
      <c r="N69" s="341" t="str">
        <f>+IFERROR(VLOOKUP($M69,'11 FORMULAS'!$B$54:$C$55,2,0),"")</f>
        <v/>
      </c>
      <c r="O69" s="343"/>
      <c r="P69" s="343"/>
      <c r="Q69" s="343"/>
      <c r="R69" s="343"/>
      <c r="S69" s="341" t="str">
        <f t="shared" si="1"/>
        <v/>
      </c>
      <c r="T69" s="341">
        <f>IF($L69='11 FORMULAS'!$D$51,$C$64-($C$64*$S$64),$C$64)</f>
        <v>0.4</v>
      </c>
      <c r="U69" s="341">
        <f>IF($L69='11 FORMULAS'!$D$53,$D$64-($D$64*$S$64),$D$64)</f>
        <v>1</v>
      </c>
      <c r="V69" s="599"/>
      <c r="W69" s="602"/>
      <c r="X69" s="27"/>
    </row>
    <row r="70" spans="1:27" ht="99.95" customHeight="1" x14ac:dyDescent="0.25">
      <c r="A70" s="594" t="str">
        <f>'2 IDENTIFICACIÓN'!A20</f>
        <v>R11</v>
      </c>
      <c r="B70" s="591"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70" s="418">
        <f>+'3 PROBABIL E IMPACTO INHERENTE'!E20</f>
        <v>0.2</v>
      </c>
      <c r="D70" s="556">
        <f>+'3 PROBABIL E IMPACTO INHERENTE'!M20</f>
        <v>0.2</v>
      </c>
      <c r="E70" s="334">
        <v>1</v>
      </c>
      <c r="F70" s="34" t="s">
        <v>457</v>
      </c>
      <c r="G70" s="34" t="s">
        <v>458</v>
      </c>
      <c r="H70" s="34" t="s">
        <v>459</v>
      </c>
      <c r="I70" s="335" t="str">
        <f t="shared" si="0"/>
        <v>El área de talento humano verifica el cumplimiento de los requisitos establecidos en la normatividad vigente para el pago de la liquidación de personal docente, directivo docente y administrativo de Instituciones Educativas Oficiales fallecidos,  a los beneficiarios que acrediten el derecho.</v>
      </c>
      <c r="J70" s="336" t="s">
        <v>133</v>
      </c>
      <c r="K70" s="246">
        <f>+IFERROR(VLOOKUP($J70,'11 FORMULAS'!$B$51:$C$53,2,0),"")</f>
        <v>0.25</v>
      </c>
      <c r="L70" s="246" t="str">
        <f>+IFERROR(VLOOKUP($J70,'11 FORMULAS'!$B$51:$D$53,3,0),"")</f>
        <v>Probabilidad</v>
      </c>
      <c r="M70" s="337" t="s">
        <v>145</v>
      </c>
      <c r="N70" s="246">
        <f>+IFERROR(VLOOKUP($M70,'11 FORMULAS'!$B$54:$C$55,2,0),"")</f>
        <v>0.15</v>
      </c>
      <c r="O70" s="338" t="s">
        <v>135</v>
      </c>
      <c r="P70" s="338" t="s">
        <v>370</v>
      </c>
      <c r="Q70" s="338" t="s">
        <v>137</v>
      </c>
      <c r="R70" s="338" t="s">
        <v>138</v>
      </c>
      <c r="S70" s="246">
        <f t="shared" si="1"/>
        <v>0.4</v>
      </c>
      <c r="T70" s="246">
        <f>IF($L70='11 FORMULAS'!$D$51,$C$70-($C$70*$S$70),$C$70)</f>
        <v>0.12</v>
      </c>
      <c r="U70" s="246">
        <f>IF($L70='11 FORMULAS'!$D$53,$D$70-($D$70*$S$70),$D$70)</f>
        <v>0.2</v>
      </c>
      <c r="V70" s="597">
        <f>+IF(T75="","",T75)</f>
        <v>0.2</v>
      </c>
      <c r="W70" s="600">
        <f>+IF(U75="","",U75)</f>
        <v>0.2</v>
      </c>
      <c r="X70" s="27"/>
      <c r="Y70" s="211"/>
      <c r="Z70" s="212"/>
      <c r="AA70" s="212"/>
    </row>
    <row r="71" spans="1:27" ht="15" x14ac:dyDescent="0.25">
      <c r="A71" s="588"/>
      <c r="B71" s="596"/>
      <c r="C71" s="567"/>
      <c r="D71" s="568"/>
      <c r="E71" s="244">
        <v>2</v>
      </c>
      <c r="F71" s="160"/>
      <c r="G71" s="160"/>
      <c r="H71" s="160"/>
      <c r="I71" s="209" t="str">
        <f t="shared" si="0"/>
        <v xml:space="preserve">  </v>
      </c>
      <c r="J71" s="281"/>
      <c r="K71" s="213" t="str">
        <f>+IFERROR(VLOOKUP($J71,'11 FORMULAS'!$B$51:$C$53,2,0),"")</f>
        <v/>
      </c>
      <c r="L71" s="213" t="str">
        <f>+IFERROR(VLOOKUP($J71,'11 FORMULAS'!$B$51:$D$53,3,0),"")</f>
        <v/>
      </c>
      <c r="M71" s="245"/>
      <c r="N71" s="213" t="str">
        <f>+IFERROR(VLOOKUP($M71,'11 FORMULAS'!$B$54:$C$55,2,0),"")</f>
        <v/>
      </c>
      <c r="O71" s="247"/>
      <c r="P71" s="247"/>
      <c r="Q71" s="247"/>
      <c r="R71" s="247"/>
      <c r="S71" s="213" t="str">
        <f t="shared" si="1"/>
        <v/>
      </c>
      <c r="T71" s="213">
        <f>IF($L71='11 FORMULAS'!$D$51,$C$70-($C$70*$S$70),$C$70)</f>
        <v>0.2</v>
      </c>
      <c r="U71" s="213">
        <f>IF($L71='11 FORMULAS'!$D$53,$D$70-($D$70*$S$70),$D$70)</f>
        <v>0.2</v>
      </c>
      <c r="V71" s="598"/>
      <c r="W71" s="601"/>
      <c r="X71" s="27"/>
      <c r="Y71" s="211"/>
      <c r="Z71" s="212"/>
      <c r="AA71" s="212"/>
    </row>
    <row r="72" spans="1:27" ht="15" x14ac:dyDescent="0.25">
      <c r="A72" s="588"/>
      <c r="B72" s="596"/>
      <c r="C72" s="567"/>
      <c r="D72" s="568"/>
      <c r="E72" s="244">
        <v>3</v>
      </c>
      <c r="F72" s="160"/>
      <c r="G72" s="160"/>
      <c r="H72" s="160"/>
      <c r="I72" s="209" t="str">
        <f t="shared" si="0"/>
        <v xml:space="preserve">  </v>
      </c>
      <c r="J72" s="281"/>
      <c r="K72" s="213" t="str">
        <f>+IFERROR(VLOOKUP($J72,'11 FORMULAS'!$B$51:$C$53,2,0),"")</f>
        <v/>
      </c>
      <c r="L72" s="213" t="str">
        <f>+IFERROR(VLOOKUP($J72,'11 FORMULAS'!$B$51:$D$53,3,0),"")</f>
        <v/>
      </c>
      <c r="M72" s="245"/>
      <c r="N72" s="213" t="str">
        <f>+IFERROR(VLOOKUP($M72,'11 FORMULAS'!$B$54:$C$55,2,0),"")</f>
        <v/>
      </c>
      <c r="O72" s="247"/>
      <c r="P72" s="247"/>
      <c r="Q72" s="247"/>
      <c r="R72" s="247"/>
      <c r="S72" s="213" t="str">
        <f t="shared" si="1"/>
        <v/>
      </c>
      <c r="T72" s="213">
        <f>IF($L72='11 FORMULAS'!$D$51,$C$70-($C$70*$S$70),$C$70)</f>
        <v>0.2</v>
      </c>
      <c r="U72" s="213">
        <f>IF($L72='11 FORMULAS'!$D$53,$D$70-($D$70*$S$70),$D$70)</f>
        <v>0.2</v>
      </c>
      <c r="V72" s="598"/>
      <c r="W72" s="601"/>
      <c r="X72" s="27"/>
      <c r="Y72" s="211"/>
      <c r="Z72" s="212"/>
      <c r="AA72" s="212"/>
    </row>
    <row r="73" spans="1:27" ht="15" x14ac:dyDescent="0.25">
      <c r="A73" s="589"/>
      <c r="B73" s="592"/>
      <c r="C73" s="419"/>
      <c r="D73" s="557"/>
      <c r="E73" s="244">
        <v>4</v>
      </c>
      <c r="F73" s="160"/>
      <c r="G73" s="160"/>
      <c r="H73" s="160"/>
      <c r="I73" s="209" t="str">
        <f t="shared" si="0"/>
        <v xml:space="preserve">  </v>
      </c>
      <c r="J73" s="281"/>
      <c r="K73" s="213" t="str">
        <f>+IFERROR(VLOOKUP($J73,'11 FORMULAS'!$B$51:$C$53,2,0),"")</f>
        <v/>
      </c>
      <c r="L73" s="213" t="str">
        <f>+IFERROR(VLOOKUP($J73,'11 FORMULAS'!$B$51:$D$53,3,0),"")</f>
        <v/>
      </c>
      <c r="M73" s="245"/>
      <c r="N73" s="213" t="str">
        <f>+IFERROR(VLOOKUP($M73,'11 FORMULAS'!$B$54:$C$55,2,0),"")</f>
        <v/>
      </c>
      <c r="O73" s="247"/>
      <c r="P73" s="247"/>
      <c r="Q73" s="247"/>
      <c r="R73" s="247"/>
      <c r="S73" s="213" t="str">
        <f t="shared" si="1"/>
        <v/>
      </c>
      <c r="T73" s="213">
        <f>IF($L73='11 FORMULAS'!$D$51,$C$70-($C$70*$S$70),$C$70)</f>
        <v>0.2</v>
      </c>
      <c r="U73" s="213">
        <f>IF($L73='11 FORMULAS'!$D$53,$D$70-($D$70*$S$70),$D$70)</f>
        <v>0.2</v>
      </c>
      <c r="V73" s="598"/>
      <c r="W73" s="601"/>
      <c r="X73" s="27"/>
      <c r="Y73" s="211"/>
      <c r="Z73" s="212"/>
      <c r="AA73" s="212"/>
    </row>
    <row r="74" spans="1:27" ht="15" x14ac:dyDescent="0.25">
      <c r="A74" s="589"/>
      <c r="B74" s="592"/>
      <c r="C74" s="419"/>
      <c r="D74" s="557"/>
      <c r="E74" s="244">
        <v>5</v>
      </c>
      <c r="F74" s="160"/>
      <c r="G74" s="160"/>
      <c r="H74" s="160"/>
      <c r="I74" s="209" t="str">
        <f t="shared" ref="I74:I189" si="2">+CONCATENATE(F74," ",G74," ",H74)</f>
        <v xml:space="preserve">  </v>
      </c>
      <c r="J74" s="281"/>
      <c r="K74" s="213" t="str">
        <f>+IFERROR(VLOOKUP($J74,'11 FORMULAS'!$B$51:$C$53,2,0),"")</f>
        <v/>
      </c>
      <c r="L74" s="213" t="str">
        <f>+IFERROR(VLOOKUP($J74,'11 FORMULAS'!$B$51:$D$53,3,0),"")</f>
        <v/>
      </c>
      <c r="M74" s="245"/>
      <c r="N74" s="213" t="str">
        <f>+IFERROR(VLOOKUP($M74,'11 FORMULAS'!$B$54:$C$55,2,0),"")</f>
        <v/>
      </c>
      <c r="O74" s="247"/>
      <c r="P74" s="247"/>
      <c r="Q74" s="247"/>
      <c r="R74" s="247"/>
      <c r="S74" s="213" t="str">
        <f t="shared" si="1"/>
        <v/>
      </c>
      <c r="T74" s="213">
        <f>IF($L74='11 FORMULAS'!$D$51,$C$70-($C$70*$S$70),$C$70)</f>
        <v>0.2</v>
      </c>
      <c r="U74" s="213">
        <f>IF($L74='11 FORMULAS'!$D$53,$D$70-($D$70*$S$70),$D$70)</f>
        <v>0.2</v>
      </c>
      <c r="V74" s="598"/>
      <c r="W74" s="601"/>
      <c r="X74" s="27"/>
      <c r="Y74" s="211"/>
      <c r="Z74" s="212"/>
      <c r="AA74" s="212"/>
    </row>
    <row r="75" spans="1:27" ht="15" thickBot="1" x14ac:dyDescent="0.3">
      <c r="A75" s="590"/>
      <c r="B75" s="593"/>
      <c r="C75" s="420"/>
      <c r="D75" s="558"/>
      <c r="E75" s="248">
        <v>6</v>
      </c>
      <c r="F75" s="161"/>
      <c r="G75" s="161"/>
      <c r="H75" s="161"/>
      <c r="I75" s="339" t="str">
        <f t="shared" si="2"/>
        <v xml:space="preserve">  </v>
      </c>
      <c r="J75" s="340"/>
      <c r="K75" s="341" t="str">
        <f>+IFERROR(VLOOKUP($J75,'11 FORMULAS'!$B$51:$C$53,2,0),"")</f>
        <v/>
      </c>
      <c r="L75" s="341" t="str">
        <f>+IFERROR(VLOOKUP($J75,'11 FORMULAS'!$B$51:$D$53,3,0),"")</f>
        <v/>
      </c>
      <c r="M75" s="342"/>
      <c r="N75" s="341" t="str">
        <f>+IFERROR(VLOOKUP($M75,'11 FORMULAS'!$B$54:$C$55,2,0),"")</f>
        <v/>
      </c>
      <c r="O75" s="343"/>
      <c r="P75" s="343"/>
      <c r="Q75" s="343"/>
      <c r="R75" s="343"/>
      <c r="S75" s="341" t="str">
        <f t="shared" ref="S75:S189" si="3">+IFERROR($K75+$N75,"")</f>
        <v/>
      </c>
      <c r="T75" s="341">
        <f>IF($L75='11 FORMULAS'!$D$51,$C$70-($C$70*$S$70),$C$70)</f>
        <v>0.2</v>
      </c>
      <c r="U75" s="341">
        <f>IF($L75='11 FORMULAS'!$D$53,$D$70-($D$70*$S$70),$D$70)</f>
        <v>0.2</v>
      </c>
      <c r="V75" s="599"/>
      <c r="W75" s="602"/>
      <c r="X75" s="27"/>
    </row>
    <row r="76" spans="1:27" ht="138" customHeight="1" x14ac:dyDescent="0.25">
      <c r="A76" s="594" t="str">
        <f>'2 IDENTIFICACIÓN'!A21</f>
        <v>R12</v>
      </c>
      <c r="B76" s="591"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76" s="418">
        <f>+'3 PROBABIL E IMPACTO INHERENTE'!E21</f>
        <v>0.8</v>
      </c>
      <c r="D76" s="556">
        <f>+'3 PROBABIL E IMPACTO INHERENTE'!M21</f>
        <v>0.2</v>
      </c>
      <c r="E76" s="334">
        <v>1</v>
      </c>
      <c r="F76" s="34" t="s">
        <v>460</v>
      </c>
      <c r="G76" s="34" t="s">
        <v>461</v>
      </c>
      <c r="H76" s="34" t="s">
        <v>462</v>
      </c>
      <c r="I76" s="335" t="str">
        <f t="shared" si="2"/>
        <v>El personal de Talento Humano verifica que las actuaciones relacionadas con traslados, permutas, nombramientos en vacancias temporales, ascensos y mejoramientos salariales del personal docente, directivo docente y administrativo, se encuentren debidamente soportadas de conformidad con la normatividad vigente</v>
      </c>
      <c r="J76" s="336" t="s">
        <v>133</v>
      </c>
      <c r="K76" s="246">
        <f>+IFERROR(VLOOKUP($J76,'11 FORMULAS'!$B$51:$C$53,2,0),"")</f>
        <v>0.25</v>
      </c>
      <c r="L76" s="246" t="str">
        <f>+IFERROR(VLOOKUP($J76,'11 FORMULAS'!$B$51:$D$53,3,0),"")</f>
        <v>Probabilidad</v>
      </c>
      <c r="M76" s="337" t="s">
        <v>145</v>
      </c>
      <c r="N76" s="246">
        <f>+IFERROR(VLOOKUP($M76,'11 FORMULAS'!$B$54:$C$55,2,0),"")</f>
        <v>0.15</v>
      </c>
      <c r="O76" s="338" t="s">
        <v>135</v>
      </c>
      <c r="P76" s="338" t="s">
        <v>370</v>
      </c>
      <c r="Q76" s="338" t="s">
        <v>137</v>
      </c>
      <c r="R76" s="338" t="s">
        <v>138</v>
      </c>
      <c r="S76" s="246">
        <f t="shared" si="3"/>
        <v>0.4</v>
      </c>
      <c r="T76" s="246">
        <f>IF($L76='11 FORMULAS'!$D$51,$C$76-($C$76*$S$76),$C$76)</f>
        <v>0.48</v>
      </c>
      <c r="U76" s="246">
        <f>IF($L76='11 FORMULAS'!$D$53,$D$76-($D$76*$S$76),$D$76)</f>
        <v>0.2</v>
      </c>
      <c r="V76" s="597">
        <f>+IF(T81="","",T81)</f>
        <v>0.8</v>
      </c>
      <c r="W76" s="600">
        <f>+IF(U81="","",U81)</f>
        <v>0.2</v>
      </c>
      <c r="X76" s="27"/>
      <c r="Y76" s="211"/>
      <c r="Z76" s="212"/>
      <c r="AA76" s="212"/>
    </row>
    <row r="77" spans="1:27" ht="15" x14ac:dyDescent="0.25">
      <c r="A77" s="589"/>
      <c r="B77" s="592"/>
      <c r="C77" s="419"/>
      <c r="D77" s="557"/>
      <c r="E77" s="244">
        <v>2</v>
      </c>
      <c r="F77" s="160"/>
      <c r="G77" s="160"/>
      <c r="H77" s="160"/>
      <c r="I77" s="209" t="str">
        <f t="shared" si="2"/>
        <v xml:space="preserve">  </v>
      </c>
      <c r="J77" s="281"/>
      <c r="K77" s="213" t="str">
        <f>+IFERROR(VLOOKUP($J77,'11 FORMULAS'!$B$51:$C$53,2,0),"")</f>
        <v/>
      </c>
      <c r="L77" s="213" t="str">
        <f>+IFERROR(VLOOKUP($J77,'11 FORMULAS'!$B$51:$D$53,3,0),"")</f>
        <v/>
      </c>
      <c r="M77" s="245"/>
      <c r="N77" s="213" t="str">
        <f>+IFERROR(VLOOKUP($M77,'11 FORMULAS'!$B$54:$C$55,2,0),"")</f>
        <v/>
      </c>
      <c r="O77" s="247"/>
      <c r="P77" s="247"/>
      <c r="Q77" s="247"/>
      <c r="R77" s="247"/>
      <c r="S77" s="213" t="str">
        <f t="shared" si="3"/>
        <v/>
      </c>
      <c r="T77" s="213">
        <f>IF($L77='11 FORMULAS'!$D$51,$C$76-($C$76*$S$76),$C$76)</f>
        <v>0.8</v>
      </c>
      <c r="U77" s="213">
        <f>IF($L77='11 FORMULAS'!$D$53,$D$76-($D$76*$S$76),$D$76)</f>
        <v>0.2</v>
      </c>
      <c r="V77" s="598"/>
      <c r="W77" s="601"/>
      <c r="X77" s="27"/>
      <c r="Y77" s="211"/>
      <c r="Z77" s="212"/>
      <c r="AA77" s="212"/>
    </row>
    <row r="78" spans="1:27" ht="15" x14ac:dyDescent="0.25">
      <c r="A78" s="589"/>
      <c r="B78" s="592"/>
      <c r="C78" s="419"/>
      <c r="D78" s="557"/>
      <c r="E78" s="244">
        <v>3</v>
      </c>
      <c r="F78" s="160"/>
      <c r="G78" s="160"/>
      <c r="H78" s="160"/>
      <c r="I78" s="209" t="str">
        <f t="shared" si="2"/>
        <v xml:space="preserve">  </v>
      </c>
      <c r="J78" s="281"/>
      <c r="K78" s="213" t="str">
        <f>+IFERROR(VLOOKUP($J78,'11 FORMULAS'!$B$51:$C$53,2,0),"")</f>
        <v/>
      </c>
      <c r="L78" s="213" t="str">
        <f>+IFERROR(VLOOKUP($J78,'11 FORMULAS'!$B$51:$D$53,3,0),"")</f>
        <v/>
      </c>
      <c r="M78" s="245"/>
      <c r="N78" s="213" t="str">
        <f>+IFERROR(VLOOKUP($M78,'11 FORMULAS'!$B$54:$C$55,2,0),"")</f>
        <v/>
      </c>
      <c r="O78" s="247"/>
      <c r="P78" s="247"/>
      <c r="Q78" s="247"/>
      <c r="R78" s="247"/>
      <c r="S78" s="213" t="str">
        <f t="shared" si="3"/>
        <v/>
      </c>
      <c r="T78" s="213">
        <f>IF($L78='11 FORMULAS'!$D$51,$C$76-($C$76*$S$76),$C$76)</f>
        <v>0.8</v>
      </c>
      <c r="U78" s="213">
        <f>IF($L78='11 FORMULAS'!$D$53,$D$76-($D$76*$S$76),$D$76)</f>
        <v>0.2</v>
      </c>
      <c r="V78" s="598"/>
      <c r="W78" s="601"/>
      <c r="X78" s="27"/>
      <c r="Y78" s="211"/>
      <c r="Z78" s="212"/>
      <c r="AA78" s="212"/>
    </row>
    <row r="79" spans="1:27" ht="15" x14ac:dyDescent="0.25">
      <c r="A79" s="589"/>
      <c r="B79" s="592"/>
      <c r="C79" s="419"/>
      <c r="D79" s="557"/>
      <c r="E79" s="244">
        <v>4</v>
      </c>
      <c r="F79" s="160"/>
      <c r="G79" s="160"/>
      <c r="H79" s="160"/>
      <c r="I79" s="209" t="str">
        <f t="shared" si="2"/>
        <v xml:space="preserve">  </v>
      </c>
      <c r="J79" s="281"/>
      <c r="K79" s="213" t="str">
        <f>+IFERROR(VLOOKUP($J79,'11 FORMULAS'!$B$51:$C$53,2,0),"")</f>
        <v/>
      </c>
      <c r="L79" s="213" t="str">
        <f>+IFERROR(VLOOKUP($J79,'11 FORMULAS'!$B$51:$D$53,3,0),"")</f>
        <v/>
      </c>
      <c r="M79" s="245"/>
      <c r="N79" s="213" t="str">
        <f>+IFERROR(VLOOKUP($M79,'11 FORMULAS'!$B$54:$C$55,2,0),"")</f>
        <v/>
      </c>
      <c r="O79" s="247"/>
      <c r="P79" s="247"/>
      <c r="Q79" s="247"/>
      <c r="R79" s="247"/>
      <c r="S79" s="213" t="str">
        <f t="shared" si="3"/>
        <v/>
      </c>
      <c r="T79" s="213">
        <f>IF($L79='11 FORMULAS'!$D$51,$C$76-($C$76*$S$76),$C$76)</f>
        <v>0.8</v>
      </c>
      <c r="U79" s="213">
        <f>IF($L79='11 FORMULAS'!$D$53,$D$76-($D$76*$S$76),$D$76)</f>
        <v>0.2</v>
      </c>
      <c r="V79" s="598"/>
      <c r="W79" s="601"/>
      <c r="X79" s="27"/>
      <c r="Y79" s="211"/>
      <c r="Z79" s="212"/>
      <c r="AA79" s="212"/>
    </row>
    <row r="80" spans="1:27" ht="15" x14ac:dyDescent="0.25">
      <c r="A80" s="589"/>
      <c r="B80" s="592"/>
      <c r="C80" s="419"/>
      <c r="D80" s="557"/>
      <c r="E80" s="244">
        <v>5</v>
      </c>
      <c r="F80" s="160"/>
      <c r="G80" s="160"/>
      <c r="H80" s="160"/>
      <c r="I80" s="209" t="str">
        <f t="shared" si="2"/>
        <v xml:space="preserve">  </v>
      </c>
      <c r="J80" s="281"/>
      <c r="K80" s="213" t="str">
        <f>+IFERROR(VLOOKUP($J80,'11 FORMULAS'!$B$51:$C$53,2,0),"")</f>
        <v/>
      </c>
      <c r="L80" s="213" t="str">
        <f>+IFERROR(VLOOKUP($J80,'11 FORMULAS'!$B$51:$D$53,3,0),"")</f>
        <v/>
      </c>
      <c r="M80" s="245"/>
      <c r="N80" s="213" t="str">
        <f>+IFERROR(VLOOKUP($M80,'11 FORMULAS'!$B$54:$C$55,2,0),"")</f>
        <v/>
      </c>
      <c r="O80" s="247"/>
      <c r="P80" s="247"/>
      <c r="Q80" s="247"/>
      <c r="R80" s="247"/>
      <c r="S80" s="213" t="str">
        <f t="shared" si="3"/>
        <v/>
      </c>
      <c r="T80" s="213">
        <f>IF($L80='11 FORMULAS'!$D$51,$C$76-($C$76*$S$76),$C$76)</f>
        <v>0.8</v>
      </c>
      <c r="U80" s="213">
        <f>IF($L80='11 FORMULAS'!$D$53,$D$76-($D$76*$S$76),$D$76)</f>
        <v>0.2</v>
      </c>
      <c r="V80" s="598"/>
      <c r="W80" s="601"/>
      <c r="X80" s="27"/>
      <c r="Y80" s="211"/>
      <c r="Z80" s="212"/>
      <c r="AA80" s="212"/>
    </row>
    <row r="81" spans="1:27" ht="15" thickBot="1" x14ac:dyDescent="0.3">
      <c r="A81" s="590"/>
      <c r="B81" s="593"/>
      <c r="C81" s="420"/>
      <c r="D81" s="558"/>
      <c r="E81" s="248">
        <v>6</v>
      </c>
      <c r="F81" s="161"/>
      <c r="G81" s="161"/>
      <c r="H81" s="161"/>
      <c r="I81" s="339" t="str">
        <f t="shared" si="2"/>
        <v xml:space="preserve">  </v>
      </c>
      <c r="J81" s="340"/>
      <c r="K81" s="341" t="str">
        <f>+IFERROR(VLOOKUP($J81,'11 FORMULAS'!$B$51:$C$53,2,0),"")</f>
        <v/>
      </c>
      <c r="L81" s="341" t="str">
        <f>+IFERROR(VLOOKUP($J81,'11 FORMULAS'!$B$51:$D$53,3,0),"")</f>
        <v/>
      </c>
      <c r="M81" s="342"/>
      <c r="N81" s="341" t="str">
        <f>+IFERROR(VLOOKUP($M81,'11 FORMULAS'!$B$54:$C$55,2,0),"")</f>
        <v/>
      </c>
      <c r="O81" s="343"/>
      <c r="P81" s="343"/>
      <c r="Q81" s="343"/>
      <c r="R81" s="343"/>
      <c r="S81" s="341" t="str">
        <f t="shared" si="3"/>
        <v/>
      </c>
      <c r="T81" s="341">
        <f>IF($L81='11 FORMULAS'!$D$51,$C$76-($C$76*$S$76),$C$76)</f>
        <v>0.8</v>
      </c>
      <c r="U81" s="341">
        <f>IF($L81='11 FORMULAS'!$D$53,$D$76-($D$76*$S$76),$D$76)</f>
        <v>0.2</v>
      </c>
      <c r="V81" s="599"/>
      <c r="W81" s="602"/>
      <c r="X81" s="27"/>
    </row>
    <row r="82" spans="1:27" ht="99.75" x14ac:dyDescent="0.25">
      <c r="A82" s="594" t="str">
        <f>'2 IDENTIFICACIÓN'!A22</f>
        <v>R13</v>
      </c>
      <c r="B82" s="591"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82" s="418">
        <f>+'3 PROBABIL E IMPACTO INHERENTE'!E22</f>
        <v>1</v>
      </c>
      <c r="D82" s="556">
        <f>+'3 PROBABIL E IMPACTO INHERENTE'!M22</f>
        <v>0.8</v>
      </c>
      <c r="E82" s="334">
        <v>1</v>
      </c>
      <c r="F82" s="34" t="s">
        <v>463</v>
      </c>
      <c r="G82" s="34" t="s">
        <v>464</v>
      </c>
      <c r="H82" s="34" t="s">
        <v>465</v>
      </c>
      <c r="I82" s="335" t="str">
        <f t="shared" si="2"/>
        <v>El profesional responsable del Área de Cobertura de la Secretaría de Educación de Bucaramanga  verifica la aplicación de los criterios de priorización establecidos en la resolución vigente y los lineamientos del Ministerio de Educación Nacional para la asignación de cupos escolares, con el fin de garantizar la transparencia y objetividad en el acceso al servicio educativo.</v>
      </c>
      <c r="J82" s="336" t="s">
        <v>133</v>
      </c>
      <c r="K82" s="246">
        <f>+IFERROR(VLOOKUP($J82,'11 FORMULAS'!$B$51:$C$53,2,0),"")</f>
        <v>0.25</v>
      </c>
      <c r="L82" s="246" t="str">
        <f>+IFERROR(VLOOKUP($J82,'11 FORMULAS'!$B$51:$D$53,3,0),"")</f>
        <v>Probabilidad</v>
      </c>
      <c r="M82" s="337" t="s">
        <v>145</v>
      </c>
      <c r="N82" s="246">
        <f>+IFERROR(VLOOKUP($M82,'11 FORMULAS'!$B$54:$C$55,2,0),"")</f>
        <v>0.15</v>
      </c>
      <c r="O82" s="338" t="s">
        <v>135</v>
      </c>
      <c r="P82" s="338" t="s">
        <v>370</v>
      </c>
      <c r="Q82" s="338" t="s">
        <v>137</v>
      </c>
      <c r="R82" s="338" t="s">
        <v>138</v>
      </c>
      <c r="S82" s="246">
        <f t="shared" si="3"/>
        <v>0.4</v>
      </c>
      <c r="T82" s="246">
        <f>IF($L82='11 FORMULAS'!$D$51,$C$76-($C$76*$S$76),$C$76)</f>
        <v>0.48</v>
      </c>
      <c r="U82" s="246">
        <f>IF($L82='11 FORMULAS'!$D$53,$D$82-($D$82*$S$82),$D$82)</f>
        <v>0.8</v>
      </c>
      <c r="V82" s="597">
        <f>+IF(T87="","",T87)</f>
        <v>0.8</v>
      </c>
      <c r="W82" s="600">
        <f>+IF(U87="","",U87)</f>
        <v>0.8</v>
      </c>
      <c r="X82" s="27"/>
      <c r="Y82" s="211"/>
      <c r="Z82" s="212"/>
      <c r="AA82" s="212"/>
    </row>
    <row r="83" spans="1:27" ht="15" x14ac:dyDescent="0.25">
      <c r="A83" s="589"/>
      <c r="B83" s="592"/>
      <c r="C83" s="419"/>
      <c r="D83" s="557"/>
      <c r="E83" s="244">
        <v>2</v>
      </c>
      <c r="F83" s="160"/>
      <c r="G83" s="160"/>
      <c r="H83" s="160"/>
      <c r="I83" s="209" t="str">
        <f t="shared" si="2"/>
        <v xml:space="preserve">  </v>
      </c>
      <c r="J83" s="281"/>
      <c r="K83" s="213" t="str">
        <f>+IFERROR(VLOOKUP($J83,'11 FORMULAS'!$B$51:$C$53,2,0),"")</f>
        <v/>
      </c>
      <c r="L83" s="213" t="str">
        <f>+IFERROR(VLOOKUP($J83,'11 FORMULAS'!$B$51:$D$53,3,0),"")</f>
        <v/>
      </c>
      <c r="M83" s="245"/>
      <c r="N83" s="213" t="str">
        <f>+IFERROR(VLOOKUP($M83,'11 FORMULAS'!$B$54:$C$55,2,0),"")</f>
        <v/>
      </c>
      <c r="O83" s="247"/>
      <c r="P83" s="247"/>
      <c r="Q83" s="247"/>
      <c r="R83" s="247"/>
      <c r="S83" s="213" t="str">
        <f t="shared" si="3"/>
        <v/>
      </c>
      <c r="T83" s="213">
        <f>IF($L83='11 FORMULAS'!$D$51,$C$76-($C$76*$S$76),$C$76)</f>
        <v>0.8</v>
      </c>
      <c r="U83" s="213">
        <f>IF($L83='11 FORMULAS'!$D$53,$D$82-($D$82*$S$82),$D$82)</f>
        <v>0.8</v>
      </c>
      <c r="V83" s="598"/>
      <c r="W83" s="601"/>
      <c r="X83" s="27"/>
      <c r="Y83" s="211"/>
      <c r="Z83" s="212"/>
      <c r="AA83" s="212"/>
    </row>
    <row r="84" spans="1:27" ht="15" x14ac:dyDescent="0.25">
      <c r="A84" s="589"/>
      <c r="B84" s="592"/>
      <c r="C84" s="419"/>
      <c r="D84" s="557"/>
      <c r="E84" s="244">
        <v>3</v>
      </c>
      <c r="F84" s="160"/>
      <c r="G84" s="160"/>
      <c r="H84" s="160"/>
      <c r="I84" s="209" t="str">
        <f t="shared" si="2"/>
        <v xml:space="preserve">  </v>
      </c>
      <c r="J84" s="281"/>
      <c r="K84" s="213" t="str">
        <f>+IFERROR(VLOOKUP($J84,'11 FORMULAS'!$B$51:$C$53,2,0),"")</f>
        <v/>
      </c>
      <c r="L84" s="213" t="str">
        <f>+IFERROR(VLOOKUP($J84,'11 FORMULAS'!$B$51:$D$53,3,0),"")</f>
        <v/>
      </c>
      <c r="M84" s="245"/>
      <c r="N84" s="213" t="str">
        <f>+IFERROR(VLOOKUP($M84,'11 FORMULAS'!$B$54:$C$55,2,0),"")</f>
        <v/>
      </c>
      <c r="O84" s="247"/>
      <c r="P84" s="247"/>
      <c r="Q84" s="247"/>
      <c r="R84" s="247"/>
      <c r="S84" s="213" t="str">
        <f t="shared" si="3"/>
        <v/>
      </c>
      <c r="T84" s="213">
        <f>IF($L84='11 FORMULAS'!$D$51,$C$76-($C$76*$S$76),$C$76)</f>
        <v>0.8</v>
      </c>
      <c r="U84" s="213">
        <f>IF($L84='11 FORMULAS'!$D$53,$D$82-($D$82*$S$82),$D$82)</f>
        <v>0.8</v>
      </c>
      <c r="V84" s="598"/>
      <c r="W84" s="601"/>
      <c r="X84" s="27"/>
      <c r="Y84" s="211"/>
      <c r="Z84" s="212"/>
      <c r="AA84" s="212"/>
    </row>
    <row r="85" spans="1:27" ht="15" x14ac:dyDescent="0.25">
      <c r="A85" s="589"/>
      <c r="B85" s="592"/>
      <c r="C85" s="419"/>
      <c r="D85" s="557"/>
      <c r="E85" s="244">
        <v>4</v>
      </c>
      <c r="F85" s="160"/>
      <c r="G85" s="160"/>
      <c r="H85" s="160"/>
      <c r="I85" s="209" t="str">
        <f t="shared" si="2"/>
        <v xml:space="preserve">  </v>
      </c>
      <c r="J85" s="281"/>
      <c r="K85" s="213" t="str">
        <f>+IFERROR(VLOOKUP($J85,'11 FORMULAS'!$B$51:$C$53,2,0),"")</f>
        <v/>
      </c>
      <c r="L85" s="213" t="str">
        <f>+IFERROR(VLOOKUP($J85,'11 FORMULAS'!$B$51:$D$53,3,0),"")</f>
        <v/>
      </c>
      <c r="M85" s="245"/>
      <c r="N85" s="213" t="str">
        <f>+IFERROR(VLOOKUP($M85,'11 FORMULAS'!$B$54:$C$55,2,0),"")</f>
        <v/>
      </c>
      <c r="O85" s="247"/>
      <c r="P85" s="247"/>
      <c r="Q85" s="247"/>
      <c r="R85" s="247"/>
      <c r="S85" s="213" t="str">
        <f t="shared" si="3"/>
        <v/>
      </c>
      <c r="T85" s="213">
        <f>IF($L85='11 FORMULAS'!$D$51,$C$76-($C$76*$S$76),$C$76)</f>
        <v>0.8</v>
      </c>
      <c r="U85" s="213">
        <f>IF($L85='11 FORMULAS'!$D$53,$D$82-($D$82*$S$82),$D$82)</f>
        <v>0.8</v>
      </c>
      <c r="V85" s="598"/>
      <c r="W85" s="601"/>
      <c r="X85" s="27"/>
      <c r="Y85" s="211"/>
      <c r="Z85" s="212"/>
      <c r="AA85" s="212"/>
    </row>
    <row r="86" spans="1:27" ht="15" x14ac:dyDescent="0.25">
      <c r="A86" s="589"/>
      <c r="B86" s="592"/>
      <c r="C86" s="419"/>
      <c r="D86" s="557"/>
      <c r="E86" s="244">
        <v>5</v>
      </c>
      <c r="F86" s="160"/>
      <c r="G86" s="160"/>
      <c r="H86" s="160"/>
      <c r="I86" s="209" t="str">
        <f t="shared" si="2"/>
        <v xml:space="preserve">  </v>
      </c>
      <c r="J86" s="281"/>
      <c r="K86" s="213" t="str">
        <f>+IFERROR(VLOOKUP($J86,'11 FORMULAS'!$B$51:$C$53,2,0),"")</f>
        <v/>
      </c>
      <c r="L86" s="213" t="str">
        <f>+IFERROR(VLOOKUP($J86,'11 FORMULAS'!$B$51:$D$53,3,0),"")</f>
        <v/>
      </c>
      <c r="M86" s="245"/>
      <c r="N86" s="213" t="str">
        <f>+IFERROR(VLOOKUP($M86,'11 FORMULAS'!$B$54:$C$55,2,0),"")</f>
        <v/>
      </c>
      <c r="O86" s="247"/>
      <c r="P86" s="247"/>
      <c r="Q86" s="247"/>
      <c r="R86" s="247"/>
      <c r="S86" s="213" t="str">
        <f t="shared" si="3"/>
        <v/>
      </c>
      <c r="T86" s="213">
        <f>IF($L86='11 FORMULAS'!$D$51,$C$76-($C$76*$S$76),$C$76)</f>
        <v>0.8</v>
      </c>
      <c r="U86" s="213">
        <f>IF($L86='11 FORMULAS'!$D$53,$D$82-($D$82*$S$82),$D$82)</f>
        <v>0.8</v>
      </c>
      <c r="V86" s="598"/>
      <c r="W86" s="601"/>
      <c r="X86" s="27"/>
      <c r="Y86" s="211"/>
      <c r="Z86" s="212"/>
      <c r="AA86" s="212"/>
    </row>
    <row r="87" spans="1:27" ht="15" thickBot="1" x14ac:dyDescent="0.3">
      <c r="A87" s="590"/>
      <c r="B87" s="593"/>
      <c r="C87" s="420"/>
      <c r="D87" s="558"/>
      <c r="E87" s="248">
        <v>6</v>
      </c>
      <c r="F87" s="161"/>
      <c r="G87" s="161"/>
      <c r="H87" s="161"/>
      <c r="I87" s="339" t="str">
        <f t="shared" si="2"/>
        <v xml:space="preserve">  </v>
      </c>
      <c r="J87" s="340"/>
      <c r="K87" s="341" t="str">
        <f>+IFERROR(VLOOKUP($J87,'11 FORMULAS'!$B$51:$C$53,2,0),"")</f>
        <v/>
      </c>
      <c r="L87" s="341" t="str">
        <f>+IFERROR(VLOOKUP($J87,'11 FORMULAS'!$B$51:$D$53,3,0),"")</f>
        <v/>
      </c>
      <c r="M87" s="342"/>
      <c r="N87" s="341" t="str">
        <f>+IFERROR(VLOOKUP($M87,'11 FORMULAS'!$B$54:$C$55,2,0),"")</f>
        <v/>
      </c>
      <c r="O87" s="343"/>
      <c r="P87" s="343"/>
      <c r="Q87" s="343"/>
      <c r="R87" s="343"/>
      <c r="S87" s="341" t="str">
        <f t="shared" si="3"/>
        <v/>
      </c>
      <c r="T87" s="341">
        <f>IF($L87='11 FORMULAS'!$D$51,$C$76-($C$76*$S$76),$C$76)</f>
        <v>0.8</v>
      </c>
      <c r="U87" s="341">
        <f>IF($L87='11 FORMULAS'!$D$53,$D$82-($D$82*$S$82),$D$82)</f>
        <v>0.8</v>
      </c>
      <c r="V87" s="599"/>
      <c r="W87" s="602"/>
      <c r="X87" s="27"/>
    </row>
    <row r="88" spans="1:27" ht="85.5" x14ac:dyDescent="0.25">
      <c r="A88" s="594" t="str">
        <f>'2 IDENTIFICACIÓN'!A23</f>
        <v>R14</v>
      </c>
      <c r="B88" s="591"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88" s="418">
        <f>+'3 PROBABIL E IMPACTO INHERENTE'!E23</f>
        <v>0.8</v>
      </c>
      <c r="D88" s="556">
        <f>+'3 PROBABIL E IMPACTO INHERENTE'!M23</f>
        <v>0.6</v>
      </c>
      <c r="E88" s="334">
        <v>1</v>
      </c>
      <c r="F88" s="34" t="s">
        <v>466</v>
      </c>
      <c r="G88" s="34" t="s">
        <v>467</v>
      </c>
      <c r="H88" s="34" t="s">
        <v>468</v>
      </c>
      <c r="I88" s="335" t="str">
        <f t="shared" si="2"/>
        <v>El personal encargado de nómina verifica la prenómina y los soportes de horas extras del personal docente, directivo docente y administrativo,  con el fin de validar que los pagos y reconocimientos económicos correspondan a las novedades y requisitos debidamente aprobados.</v>
      </c>
      <c r="J88" s="336" t="s">
        <v>133</v>
      </c>
      <c r="K88" s="246">
        <f>+IFERROR(VLOOKUP($J88,'11 FORMULAS'!$B$51:$C$53,2,0),"")</f>
        <v>0.25</v>
      </c>
      <c r="L88" s="246" t="str">
        <f>+IFERROR(VLOOKUP($J88,'11 FORMULAS'!$B$51:$D$53,3,0),"")</f>
        <v>Probabilidad</v>
      </c>
      <c r="M88" s="337" t="s">
        <v>145</v>
      </c>
      <c r="N88" s="246">
        <f>+IFERROR(VLOOKUP($M88,'11 FORMULAS'!$B$54:$C$55,2,0),"")</f>
        <v>0.15</v>
      </c>
      <c r="O88" s="338" t="s">
        <v>135</v>
      </c>
      <c r="P88" s="338" t="s">
        <v>370</v>
      </c>
      <c r="Q88" s="338" t="s">
        <v>137</v>
      </c>
      <c r="R88" s="338" t="s">
        <v>138</v>
      </c>
      <c r="S88" s="246">
        <f t="shared" si="3"/>
        <v>0.4</v>
      </c>
      <c r="T88" s="246">
        <f>IF($L88='11 FORMULAS'!$D$51,$C$88-($C$88*$S$88),$C$88)</f>
        <v>0.48</v>
      </c>
      <c r="U88" s="246">
        <f>IF($L88='11 FORMULAS'!$D$53,$D$88-($D$88*$S$88),$D$88)</f>
        <v>0.6</v>
      </c>
      <c r="V88" s="597">
        <f>+IF(T93="","",T93)</f>
        <v>0.8</v>
      </c>
      <c r="W88" s="600">
        <f>+IF(U93="","",U93)</f>
        <v>0.6</v>
      </c>
      <c r="X88" s="27"/>
      <c r="Y88" s="211"/>
      <c r="Z88" s="212"/>
      <c r="AA88" s="212"/>
    </row>
    <row r="89" spans="1:27" ht="15" x14ac:dyDescent="0.25">
      <c r="A89" s="589"/>
      <c r="B89" s="592"/>
      <c r="C89" s="419"/>
      <c r="D89" s="557"/>
      <c r="E89" s="244">
        <v>2</v>
      </c>
      <c r="F89" s="160"/>
      <c r="G89" s="160"/>
      <c r="H89" s="160"/>
      <c r="I89" s="209" t="str">
        <f t="shared" si="2"/>
        <v xml:space="preserve">  </v>
      </c>
      <c r="J89" s="281"/>
      <c r="K89" s="213" t="str">
        <f>+IFERROR(VLOOKUP($J89,'11 FORMULAS'!$B$51:$C$53,2,0),"")</f>
        <v/>
      </c>
      <c r="L89" s="213" t="str">
        <f>+IFERROR(VLOOKUP($J89,'11 FORMULAS'!$B$51:$D$53,3,0),"")</f>
        <v/>
      </c>
      <c r="M89" s="245"/>
      <c r="N89" s="213" t="str">
        <f>+IFERROR(VLOOKUP($M89,'11 FORMULAS'!$B$54:$C$55,2,0),"")</f>
        <v/>
      </c>
      <c r="O89" s="247"/>
      <c r="P89" s="247"/>
      <c r="Q89" s="247"/>
      <c r="R89" s="247"/>
      <c r="S89" s="213" t="str">
        <f t="shared" si="3"/>
        <v/>
      </c>
      <c r="T89" s="213">
        <f>IF($L89='11 FORMULAS'!$D$51,$C$88-($C$88*$S$88),$C$88)</f>
        <v>0.8</v>
      </c>
      <c r="U89" s="213">
        <f>IF($L89='11 FORMULAS'!$D$53,$D$88-($D$88*$S$88),$D$88)</f>
        <v>0.6</v>
      </c>
      <c r="V89" s="598"/>
      <c r="W89" s="601"/>
      <c r="X89" s="27"/>
      <c r="Y89" s="211"/>
      <c r="Z89" s="212"/>
      <c r="AA89" s="212"/>
    </row>
    <row r="90" spans="1:27" ht="15" x14ac:dyDescent="0.25">
      <c r="A90" s="589"/>
      <c r="B90" s="592"/>
      <c r="C90" s="419"/>
      <c r="D90" s="557"/>
      <c r="E90" s="244">
        <v>3</v>
      </c>
      <c r="F90" s="160"/>
      <c r="G90" s="160"/>
      <c r="H90" s="160"/>
      <c r="I90" s="209" t="str">
        <f t="shared" si="2"/>
        <v xml:space="preserve">  </v>
      </c>
      <c r="J90" s="281"/>
      <c r="K90" s="213" t="str">
        <f>+IFERROR(VLOOKUP($J90,'11 FORMULAS'!$B$51:$C$53,2,0),"")</f>
        <v/>
      </c>
      <c r="L90" s="213" t="str">
        <f>+IFERROR(VLOOKUP($J90,'11 FORMULAS'!$B$51:$D$53,3,0),"")</f>
        <v/>
      </c>
      <c r="M90" s="245"/>
      <c r="N90" s="213" t="str">
        <f>+IFERROR(VLOOKUP($M90,'11 FORMULAS'!$B$54:$C$55,2,0),"")</f>
        <v/>
      </c>
      <c r="O90" s="247"/>
      <c r="P90" s="247"/>
      <c r="Q90" s="247"/>
      <c r="R90" s="247"/>
      <c r="S90" s="213" t="str">
        <f t="shared" si="3"/>
        <v/>
      </c>
      <c r="T90" s="213">
        <f>IF($L90='11 FORMULAS'!$D$51,$C$88-($C$88*$S$88),$C$88)</f>
        <v>0.8</v>
      </c>
      <c r="U90" s="213">
        <f>IF($L90='11 FORMULAS'!$D$53,$D$88-($D$88*$S$88),$D$88)</f>
        <v>0.6</v>
      </c>
      <c r="V90" s="598"/>
      <c r="W90" s="601"/>
      <c r="X90" s="27"/>
      <c r="Y90" s="211"/>
      <c r="Z90" s="212"/>
      <c r="AA90" s="212"/>
    </row>
    <row r="91" spans="1:27" ht="15" x14ac:dyDescent="0.25">
      <c r="A91" s="589"/>
      <c r="B91" s="592"/>
      <c r="C91" s="419"/>
      <c r="D91" s="557"/>
      <c r="E91" s="244">
        <v>4</v>
      </c>
      <c r="F91" s="160"/>
      <c r="G91" s="160"/>
      <c r="H91" s="160"/>
      <c r="I91" s="209" t="str">
        <f t="shared" si="2"/>
        <v xml:space="preserve">  </v>
      </c>
      <c r="J91" s="281"/>
      <c r="K91" s="213" t="str">
        <f>+IFERROR(VLOOKUP($J91,'11 FORMULAS'!$B$51:$C$53,2,0),"")</f>
        <v/>
      </c>
      <c r="L91" s="213" t="str">
        <f>+IFERROR(VLOOKUP($J91,'11 FORMULAS'!$B$51:$D$53,3,0),"")</f>
        <v/>
      </c>
      <c r="M91" s="245"/>
      <c r="N91" s="213" t="str">
        <f>+IFERROR(VLOOKUP($M91,'11 FORMULAS'!$B$54:$C$55,2,0),"")</f>
        <v/>
      </c>
      <c r="O91" s="247"/>
      <c r="P91" s="247"/>
      <c r="Q91" s="247"/>
      <c r="R91" s="247"/>
      <c r="S91" s="213" t="str">
        <f t="shared" si="3"/>
        <v/>
      </c>
      <c r="T91" s="213">
        <f>IF($L91='11 FORMULAS'!$D$51,$C$88-($C$88*$S$88),$C$88)</f>
        <v>0.8</v>
      </c>
      <c r="U91" s="213">
        <f>IF($L91='11 FORMULAS'!$D$53,$D$88-($D$88*$S$88),$D$88)</f>
        <v>0.6</v>
      </c>
      <c r="V91" s="598"/>
      <c r="W91" s="601"/>
      <c r="X91" s="27"/>
      <c r="Y91" s="211"/>
      <c r="Z91" s="212"/>
      <c r="AA91" s="212"/>
    </row>
    <row r="92" spans="1:27" ht="15" x14ac:dyDescent="0.25">
      <c r="A92" s="589"/>
      <c r="B92" s="592"/>
      <c r="C92" s="419"/>
      <c r="D92" s="557"/>
      <c r="E92" s="244">
        <v>5</v>
      </c>
      <c r="F92" s="160"/>
      <c r="G92" s="160"/>
      <c r="H92" s="160"/>
      <c r="I92" s="209" t="str">
        <f t="shared" si="2"/>
        <v xml:space="preserve">  </v>
      </c>
      <c r="J92" s="281"/>
      <c r="K92" s="213" t="str">
        <f>+IFERROR(VLOOKUP($J92,'11 FORMULAS'!$B$51:$C$53,2,0),"")</f>
        <v/>
      </c>
      <c r="L92" s="213" t="str">
        <f>+IFERROR(VLOOKUP($J92,'11 FORMULAS'!$B$51:$D$53,3,0),"")</f>
        <v/>
      </c>
      <c r="M92" s="245"/>
      <c r="N92" s="213" t="str">
        <f>+IFERROR(VLOOKUP($M92,'11 FORMULAS'!$B$54:$C$55,2,0),"")</f>
        <v/>
      </c>
      <c r="O92" s="247"/>
      <c r="P92" s="247"/>
      <c r="Q92" s="247"/>
      <c r="R92" s="247"/>
      <c r="S92" s="213" t="str">
        <f t="shared" si="3"/>
        <v/>
      </c>
      <c r="T92" s="213">
        <f>IF($L92='11 FORMULAS'!$D$51,$C$88-($C$88*$S$88),$C$88)</f>
        <v>0.8</v>
      </c>
      <c r="U92" s="213">
        <f>IF($L92='11 FORMULAS'!$D$53,$D$88-($D$88*$S$88),$D$88)</f>
        <v>0.6</v>
      </c>
      <c r="V92" s="598"/>
      <c r="W92" s="601"/>
      <c r="X92" s="27"/>
      <c r="Y92" s="211"/>
      <c r="Z92" s="212"/>
      <c r="AA92" s="212"/>
    </row>
    <row r="93" spans="1:27" ht="15" thickBot="1" x14ac:dyDescent="0.3">
      <c r="A93" s="595"/>
      <c r="B93" s="593"/>
      <c r="C93" s="420"/>
      <c r="D93" s="558"/>
      <c r="E93" s="248">
        <v>6</v>
      </c>
      <c r="F93" s="161"/>
      <c r="G93" s="161"/>
      <c r="H93" s="161"/>
      <c r="I93" s="339" t="str">
        <f t="shared" si="2"/>
        <v xml:space="preserve">  </v>
      </c>
      <c r="J93" s="340"/>
      <c r="K93" s="341" t="str">
        <f>+IFERROR(VLOOKUP($J93,'11 FORMULAS'!$B$51:$C$53,2,0),"")</f>
        <v/>
      </c>
      <c r="L93" s="341" t="str">
        <f>+IFERROR(VLOOKUP($J93,'11 FORMULAS'!$B$51:$D$53,3,0),"")</f>
        <v/>
      </c>
      <c r="M93" s="342"/>
      <c r="N93" s="341" t="str">
        <f>+IFERROR(VLOOKUP($M93,'11 FORMULAS'!$B$54:$C$55,2,0),"")</f>
        <v/>
      </c>
      <c r="O93" s="343"/>
      <c r="P93" s="343"/>
      <c r="Q93" s="343"/>
      <c r="R93" s="343"/>
      <c r="S93" s="341" t="str">
        <f t="shared" si="3"/>
        <v/>
      </c>
      <c r="T93" s="341">
        <f>IF($L93='11 FORMULAS'!$D$51,$C$88-($C$88*$S$88),$C$88)</f>
        <v>0.8</v>
      </c>
      <c r="U93" s="341">
        <f>IF($L93='11 FORMULAS'!$D$53,$D$88-($D$88*$S$88),$D$88)</f>
        <v>0.6</v>
      </c>
      <c r="V93" s="599"/>
      <c r="W93" s="602"/>
      <c r="X93" s="27"/>
    </row>
    <row r="94" spans="1:27" ht="142.5" x14ac:dyDescent="0.25">
      <c r="A94" s="594" t="str">
        <f>'2 IDENTIFICACIÓN'!A24</f>
        <v>R15</v>
      </c>
      <c r="B94" s="591"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94" s="418">
        <f>+'3 PROBABIL E IMPACTO INHERENTE'!E24</f>
        <v>0.4</v>
      </c>
      <c r="D94" s="556">
        <f>+'3 PROBABIL E IMPACTO INHERENTE'!M24</f>
        <v>0.8</v>
      </c>
      <c r="E94" s="334">
        <v>1</v>
      </c>
      <c r="F94" s="34" t="s">
        <v>469</v>
      </c>
      <c r="G94" s="34" t="s">
        <v>470</v>
      </c>
      <c r="H94" s="34" t="s">
        <v>471</v>
      </c>
      <c r="I94" s="335" t="str">
        <f t="shared" si="2"/>
        <v>El profesional responsable del proceso de Inspección y Vigilancia verifica el cumplimiento de los requisitos, términos y criterios establecidos en la circular vigente emitida por la Secretaría de Educación de Bucaramanga para el trámite de licencias, registros y funcionamiento de Instituciones Educativas y programas de Educación para el Trabajo y Desarrollo Humano (EDTH), con el fin de garantizar la transparencia, objetividad y legalidad del proceso.</v>
      </c>
      <c r="J94" s="336" t="s">
        <v>133</v>
      </c>
      <c r="K94" s="246">
        <f>+IFERROR(VLOOKUP($J94,'11 FORMULAS'!$B$51:$C$53,2,0),"")</f>
        <v>0.25</v>
      </c>
      <c r="L94" s="246" t="str">
        <f>+IFERROR(VLOOKUP($J94,'11 FORMULAS'!$B$51:$D$53,3,0),"")</f>
        <v>Probabilidad</v>
      </c>
      <c r="M94" s="337" t="s">
        <v>145</v>
      </c>
      <c r="N94" s="246">
        <f>+IFERROR(VLOOKUP($M94,'11 FORMULAS'!$B$54:$C$55,2,0),"")</f>
        <v>0.15</v>
      </c>
      <c r="O94" s="338" t="s">
        <v>135</v>
      </c>
      <c r="P94" s="338" t="s">
        <v>370</v>
      </c>
      <c r="Q94" s="338" t="s">
        <v>137</v>
      </c>
      <c r="R94" s="338" t="s">
        <v>138</v>
      </c>
      <c r="S94" s="246">
        <f t="shared" si="3"/>
        <v>0.4</v>
      </c>
      <c r="T94" s="246">
        <f>IF($L94='11 FORMULAS'!$D$51,$C$94-($C$94*$S$94),$C$94)</f>
        <v>0.24</v>
      </c>
      <c r="U94" s="246">
        <f>IF($L94='11 FORMULAS'!$D$53,$D$94-($D$94*$S$94),$D$94)</f>
        <v>0.8</v>
      </c>
      <c r="V94" s="597">
        <f>+IF(T99="","",T99)</f>
        <v>0.4</v>
      </c>
      <c r="W94" s="600">
        <f>+IF(U99="","",U99)</f>
        <v>0.8</v>
      </c>
      <c r="X94" s="27"/>
      <c r="Y94" s="211"/>
      <c r="Z94" s="212"/>
      <c r="AA94" s="212"/>
    </row>
    <row r="95" spans="1:27" ht="15" x14ac:dyDescent="0.25">
      <c r="A95" s="589"/>
      <c r="B95" s="592"/>
      <c r="C95" s="419"/>
      <c r="D95" s="557"/>
      <c r="E95" s="244">
        <v>2</v>
      </c>
      <c r="F95" s="160"/>
      <c r="G95" s="160"/>
      <c r="H95" s="160"/>
      <c r="I95" s="209" t="str">
        <f t="shared" si="2"/>
        <v xml:space="preserve">  </v>
      </c>
      <c r="J95" s="281"/>
      <c r="K95" s="213" t="str">
        <f>+IFERROR(VLOOKUP($J95,'11 FORMULAS'!$B$51:$C$53,2,0),"")</f>
        <v/>
      </c>
      <c r="L95" s="213" t="str">
        <f>+IFERROR(VLOOKUP($J95,'11 FORMULAS'!$B$51:$D$53,3,0),"")</f>
        <v/>
      </c>
      <c r="M95" s="245"/>
      <c r="N95" s="213" t="str">
        <f>+IFERROR(VLOOKUP($M95,'11 FORMULAS'!$B$54:$C$55,2,0),"")</f>
        <v/>
      </c>
      <c r="O95" s="247"/>
      <c r="P95" s="247"/>
      <c r="Q95" s="247"/>
      <c r="R95" s="247"/>
      <c r="S95" s="213" t="str">
        <f t="shared" si="3"/>
        <v/>
      </c>
      <c r="T95" s="213">
        <f>IF($L95='11 FORMULAS'!$D$51,$C$94-($C$94*$S$94),$C$94)</f>
        <v>0.4</v>
      </c>
      <c r="U95" s="213">
        <f>IF($L95='11 FORMULAS'!$D$53,$D$94-($D$94*$S$94),$D$94)</f>
        <v>0.8</v>
      </c>
      <c r="V95" s="598"/>
      <c r="W95" s="601"/>
      <c r="X95" s="27"/>
      <c r="Y95" s="211"/>
      <c r="Z95" s="212"/>
      <c r="AA95" s="212"/>
    </row>
    <row r="96" spans="1:27" ht="15" x14ac:dyDescent="0.25">
      <c r="A96" s="589"/>
      <c r="B96" s="592"/>
      <c r="C96" s="419"/>
      <c r="D96" s="557"/>
      <c r="E96" s="244">
        <v>3</v>
      </c>
      <c r="F96" s="160"/>
      <c r="G96" s="160"/>
      <c r="H96" s="160"/>
      <c r="I96" s="209" t="str">
        <f t="shared" si="2"/>
        <v xml:space="preserve">  </v>
      </c>
      <c r="J96" s="281"/>
      <c r="K96" s="213" t="str">
        <f>+IFERROR(VLOOKUP($J96,'11 FORMULAS'!$B$51:$C$53,2,0),"")</f>
        <v/>
      </c>
      <c r="L96" s="213" t="str">
        <f>+IFERROR(VLOOKUP($J96,'11 FORMULAS'!$B$51:$D$53,3,0),"")</f>
        <v/>
      </c>
      <c r="M96" s="245"/>
      <c r="N96" s="213" t="str">
        <f>+IFERROR(VLOOKUP($M96,'11 FORMULAS'!$B$54:$C$55,2,0),"")</f>
        <v/>
      </c>
      <c r="O96" s="247"/>
      <c r="P96" s="247"/>
      <c r="Q96" s="247"/>
      <c r="R96" s="247"/>
      <c r="S96" s="213" t="str">
        <f t="shared" si="3"/>
        <v/>
      </c>
      <c r="T96" s="213">
        <f>IF($L96='11 FORMULAS'!$D$51,$C$94-($C$94*$S$94),$C$94)</f>
        <v>0.4</v>
      </c>
      <c r="U96" s="213">
        <f>IF($L96='11 FORMULAS'!$D$53,$D$94-($D$94*$S$94),$D$94)</f>
        <v>0.8</v>
      </c>
      <c r="V96" s="598"/>
      <c r="W96" s="601"/>
      <c r="X96" s="27"/>
      <c r="Y96" s="211"/>
      <c r="Z96" s="212"/>
      <c r="AA96" s="212"/>
    </row>
    <row r="97" spans="1:27" ht="15" x14ac:dyDescent="0.25">
      <c r="A97" s="589"/>
      <c r="B97" s="592"/>
      <c r="C97" s="419"/>
      <c r="D97" s="557"/>
      <c r="E97" s="244">
        <v>4</v>
      </c>
      <c r="F97" s="160"/>
      <c r="G97" s="160"/>
      <c r="H97" s="160"/>
      <c r="I97" s="209" t="str">
        <f t="shared" si="2"/>
        <v xml:space="preserve">  </v>
      </c>
      <c r="J97" s="281"/>
      <c r="K97" s="213" t="str">
        <f>+IFERROR(VLOOKUP($J97,'11 FORMULAS'!$B$51:$C$53,2,0),"")</f>
        <v/>
      </c>
      <c r="L97" s="213" t="str">
        <f>+IFERROR(VLOOKUP($J97,'11 FORMULAS'!$B$51:$D$53,3,0),"")</f>
        <v/>
      </c>
      <c r="M97" s="245"/>
      <c r="N97" s="213" t="str">
        <f>+IFERROR(VLOOKUP($M97,'11 FORMULAS'!$B$54:$C$55,2,0),"")</f>
        <v/>
      </c>
      <c r="O97" s="247"/>
      <c r="P97" s="247"/>
      <c r="Q97" s="247"/>
      <c r="R97" s="247"/>
      <c r="S97" s="213" t="str">
        <f t="shared" si="3"/>
        <v/>
      </c>
      <c r="T97" s="213">
        <f>IF($L97='11 FORMULAS'!$D$51,$C$94-($C$94*$S$94),$C$94)</f>
        <v>0.4</v>
      </c>
      <c r="U97" s="213">
        <f>IF($L97='11 FORMULAS'!$D$53,$D$94-($D$94*$S$94),$D$94)</f>
        <v>0.8</v>
      </c>
      <c r="V97" s="598"/>
      <c r="W97" s="601"/>
      <c r="X97" s="27"/>
      <c r="Y97" s="211"/>
      <c r="Z97" s="212"/>
      <c r="AA97" s="212"/>
    </row>
    <row r="98" spans="1:27" ht="15" x14ac:dyDescent="0.25">
      <c r="A98" s="589"/>
      <c r="B98" s="592"/>
      <c r="C98" s="419"/>
      <c r="D98" s="557"/>
      <c r="E98" s="244">
        <v>5</v>
      </c>
      <c r="F98" s="160"/>
      <c r="G98" s="160"/>
      <c r="H98" s="160"/>
      <c r="I98" s="209" t="str">
        <f t="shared" si="2"/>
        <v xml:space="preserve">  </v>
      </c>
      <c r="J98" s="281"/>
      <c r="K98" s="213" t="str">
        <f>+IFERROR(VLOOKUP($J98,'11 FORMULAS'!$B$51:$C$53,2,0),"")</f>
        <v/>
      </c>
      <c r="L98" s="213" t="str">
        <f>+IFERROR(VLOOKUP($J98,'11 FORMULAS'!$B$51:$D$53,3,0),"")</f>
        <v/>
      </c>
      <c r="M98" s="245"/>
      <c r="N98" s="213" t="str">
        <f>+IFERROR(VLOOKUP($M98,'11 FORMULAS'!$B$54:$C$55,2,0),"")</f>
        <v/>
      </c>
      <c r="O98" s="247"/>
      <c r="P98" s="247"/>
      <c r="Q98" s="247"/>
      <c r="R98" s="247"/>
      <c r="S98" s="213" t="str">
        <f t="shared" si="3"/>
        <v/>
      </c>
      <c r="T98" s="213">
        <f>IF($L98='11 FORMULAS'!$D$51,$C$94-($C$94*$S$94),$C$94)</f>
        <v>0.4</v>
      </c>
      <c r="U98" s="213">
        <f>IF($L98='11 FORMULAS'!$D$53,$D$94-($D$94*$S$94),$D$94)</f>
        <v>0.8</v>
      </c>
      <c r="V98" s="598"/>
      <c r="W98" s="601"/>
      <c r="X98" s="27"/>
      <c r="Y98" s="211"/>
      <c r="Z98" s="212"/>
      <c r="AA98" s="212"/>
    </row>
    <row r="99" spans="1:27" ht="15" thickBot="1" x14ac:dyDescent="0.3">
      <c r="A99" s="590"/>
      <c r="B99" s="593"/>
      <c r="C99" s="420"/>
      <c r="D99" s="558"/>
      <c r="E99" s="248">
        <v>6</v>
      </c>
      <c r="F99" s="161"/>
      <c r="G99" s="161"/>
      <c r="H99" s="161"/>
      <c r="I99" s="339" t="str">
        <f t="shared" si="2"/>
        <v xml:space="preserve">  </v>
      </c>
      <c r="J99" s="340"/>
      <c r="K99" s="341" t="str">
        <f>+IFERROR(VLOOKUP($J99,'11 FORMULAS'!$B$51:$C$53,2,0),"")</f>
        <v/>
      </c>
      <c r="L99" s="341" t="str">
        <f>+IFERROR(VLOOKUP($J99,'11 FORMULAS'!$B$51:$D$53,3,0),"")</f>
        <v/>
      </c>
      <c r="M99" s="342"/>
      <c r="N99" s="341" t="str">
        <f>+IFERROR(VLOOKUP($M99,'11 FORMULAS'!$B$54:$C$55,2,0),"")</f>
        <v/>
      </c>
      <c r="O99" s="343"/>
      <c r="P99" s="343"/>
      <c r="Q99" s="343"/>
      <c r="R99" s="343"/>
      <c r="S99" s="341" t="str">
        <f t="shared" si="3"/>
        <v/>
      </c>
      <c r="T99" s="341">
        <f>IF($L99='11 FORMULAS'!$D$51,$C$94-($C$94*$S$94),$C$94)</f>
        <v>0.4</v>
      </c>
      <c r="U99" s="341">
        <f>IF($L99='11 FORMULAS'!$D$53,$D$94-($D$94*$S$94),$D$94)</f>
        <v>0.8</v>
      </c>
      <c r="V99" s="599"/>
      <c r="W99" s="602"/>
      <c r="X99" s="27"/>
    </row>
    <row r="100" spans="1:27" ht="171" x14ac:dyDescent="0.25">
      <c r="A100" s="594" t="str">
        <f>'2 IDENTIFICACIÓN'!A25</f>
        <v>R16</v>
      </c>
      <c r="B100" s="591"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100" s="418">
        <f>+'3 PROBABIL E IMPACTO INHERENTE'!E25</f>
        <v>0.6</v>
      </c>
      <c r="D100" s="556">
        <f>+'3 PROBABIL E IMPACTO INHERENTE'!M25</f>
        <v>0.6</v>
      </c>
      <c r="E100" s="334">
        <v>1</v>
      </c>
      <c r="F100" s="34" t="s">
        <v>472</v>
      </c>
      <c r="G100" s="34" t="s">
        <v>473</v>
      </c>
      <c r="H100" s="34" t="s">
        <v>474</v>
      </c>
      <c r="I100" s="335" t="str">
        <f t="shared" si="2"/>
        <v>Los profesionales encargados de la contratación verifican la aplicación de los lineamientos y requisitos establecidos en la normatividad vigente durante la etapa precontractual de los procesos adelantados por la Secretaría de Educación, diferentes a contratos de prestación de servicios, mediante la revisión de los documentos y soportes que hacen parte del proceso contractual, con el fin de evitar omisiones o actuaciones que favorezcan indebidamente la celebración de contratos.</v>
      </c>
      <c r="J100" s="336" t="s">
        <v>133</v>
      </c>
      <c r="K100" s="246">
        <f>+IFERROR(VLOOKUP($J100,'11 FORMULAS'!$B$51:$C$53,2,0),"")</f>
        <v>0.25</v>
      </c>
      <c r="L100" s="246" t="str">
        <f>+IFERROR(VLOOKUP($J100,'11 FORMULAS'!$B$51:$D$53,3,0),"")</f>
        <v>Probabilidad</v>
      </c>
      <c r="M100" s="337" t="s">
        <v>145</v>
      </c>
      <c r="N100" s="246">
        <f>+IFERROR(VLOOKUP($M100,'11 FORMULAS'!$B$54:$C$55,2,0),"")</f>
        <v>0.15</v>
      </c>
      <c r="O100" s="338" t="s">
        <v>135</v>
      </c>
      <c r="P100" s="338" t="s">
        <v>370</v>
      </c>
      <c r="Q100" s="338" t="s">
        <v>137</v>
      </c>
      <c r="R100" s="338" t="s">
        <v>138</v>
      </c>
      <c r="S100" s="246">
        <f t="shared" si="3"/>
        <v>0.4</v>
      </c>
      <c r="T100" s="246">
        <f>IF($L100='11 FORMULAS'!$D$51,$C$100-($C$100*$S$100),$C$100)</f>
        <v>0.36</v>
      </c>
      <c r="U100" s="246">
        <f>IF($L100='11 FORMULAS'!$D$53,$D$100-($D$100*$S$100),$D$100)</f>
        <v>0.6</v>
      </c>
      <c r="V100" s="597">
        <f>+IF(T105="","",T105)</f>
        <v>0.6</v>
      </c>
      <c r="W100" s="600">
        <f>+IF(U105="","",U105)</f>
        <v>0.6</v>
      </c>
      <c r="X100" s="27"/>
      <c r="Y100" s="211"/>
      <c r="Z100" s="212"/>
      <c r="AA100" s="212"/>
    </row>
    <row r="101" spans="1:27" ht="15" x14ac:dyDescent="0.25">
      <c r="A101" s="589"/>
      <c r="B101" s="592"/>
      <c r="C101" s="419"/>
      <c r="D101" s="557"/>
      <c r="E101" s="244">
        <v>2</v>
      </c>
      <c r="F101" s="160"/>
      <c r="G101" s="160"/>
      <c r="H101" s="160"/>
      <c r="I101" s="209" t="str">
        <f t="shared" si="2"/>
        <v xml:space="preserve">  </v>
      </c>
      <c r="J101" s="281"/>
      <c r="K101" s="213" t="str">
        <f>+IFERROR(VLOOKUP($J101,'11 FORMULAS'!$B$51:$C$53,2,0),"")</f>
        <v/>
      </c>
      <c r="L101" s="213" t="str">
        <f>+IFERROR(VLOOKUP($J101,'11 FORMULAS'!$B$51:$D$53,3,0),"")</f>
        <v/>
      </c>
      <c r="M101" s="245"/>
      <c r="N101" s="213" t="str">
        <f>+IFERROR(VLOOKUP($M101,'11 FORMULAS'!$B$54:$C$55,2,0),"")</f>
        <v/>
      </c>
      <c r="O101" s="247"/>
      <c r="P101" s="247"/>
      <c r="Q101" s="247"/>
      <c r="R101" s="247"/>
      <c r="S101" s="213" t="str">
        <f t="shared" si="3"/>
        <v/>
      </c>
      <c r="T101" s="213">
        <f>IF($L101='11 FORMULAS'!$D$51,$C$100-($C$100*$S$100),$C$100)</f>
        <v>0.6</v>
      </c>
      <c r="U101" s="213">
        <f>IF($L101='11 FORMULAS'!$D$53,$D$100-($D$100*$S$100),$D$100)</f>
        <v>0.6</v>
      </c>
      <c r="V101" s="598"/>
      <c r="W101" s="601"/>
      <c r="X101" s="27"/>
      <c r="Y101" s="211"/>
      <c r="Z101" s="212"/>
      <c r="AA101" s="212"/>
    </row>
    <row r="102" spans="1:27" ht="15" x14ac:dyDescent="0.25">
      <c r="A102" s="589"/>
      <c r="B102" s="592"/>
      <c r="C102" s="419"/>
      <c r="D102" s="557"/>
      <c r="E102" s="244">
        <v>3</v>
      </c>
      <c r="F102" s="160"/>
      <c r="G102" s="160"/>
      <c r="H102" s="160"/>
      <c r="I102" s="209" t="str">
        <f t="shared" si="2"/>
        <v xml:space="preserve">  </v>
      </c>
      <c r="J102" s="281"/>
      <c r="K102" s="213" t="str">
        <f>+IFERROR(VLOOKUP($J102,'11 FORMULAS'!$B$51:$C$53,2,0),"")</f>
        <v/>
      </c>
      <c r="L102" s="213" t="str">
        <f>+IFERROR(VLOOKUP($J102,'11 FORMULAS'!$B$51:$D$53,3,0),"")</f>
        <v/>
      </c>
      <c r="M102" s="245"/>
      <c r="N102" s="213" t="str">
        <f>+IFERROR(VLOOKUP($M102,'11 FORMULAS'!$B$54:$C$55,2,0),"")</f>
        <v/>
      </c>
      <c r="O102" s="247"/>
      <c r="P102" s="247"/>
      <c r="Q102" s="247"/>
      <c r="R102" s="247"/>
      <c r="S102" s="213" t="str">
        <f t="shared" si="3"/>
        <v/>
      </c>
      <c r="T102" s="213">
        <f>IF($L102='11 FORMULAS'!$D$51,$C$100-($C$100*$S$100),$C$100)</f>
        <v>0.6</v>
      </c>
      <c r="U102" s="213">
        <f>IF($L102='11 FORMULAS'!$D$53,$D$100-($D$100*$S$100),$D$100)</f>
        <v>0.6</v>
      </c>
      <c r="V102" s="598"/>
      <c r="W102" s="601"/>
      <c r="X102" s="27"/>
      <c r="Y102" s="211"/>
      <c r="Z102" s="212"/>
      <c r="AA102" s="212"/>
    </row>
    <row r="103" spans="1:27" ht="15" x14ac:dyDescent="0.25">
      <c r="A103" s="589"/>
      <c r="B103" s="592"/>
      <c r="C103" s="419"/>
      <c r="D103" s="557"/>
      <c r="E103" s="244">
        <v>4</v>
      </c>
      <c r="F103" s="160"/>
      <c r="G103" s="160"/>
      <c r="H103" s="160"/>
      <c r="I103" s="209" t="str">
        <f t="shared" si="2"/>
        <v xml:space="preserve">  </v>
      </c>
      <c r="J103" s="281"/>
      <c r="K103" s="213" t="str">
        <f>+IFERROR(VLOOKUP($J103,'11 FORMULAS'!$B$51:$C$53,2,0),"")</f>
        <v/>
      </c>
      <c r="L103" s="213" t="str">
        <f>+IFERROR(VLOOKUP($J103,'11 FORMULAS'!$B$51:$D$53,3,0),"")</f>
        <v/>
      </c>
      <c r="M103" s="245"/>
      <c r="N103" s="213" t="str">
        <f>+IFERROR(VLOOKUP($M103,'11 FORMULAS'!$B$54:$C$55,2,0),"")</f>
        <v/>
      </c>
      <c r="O103" s="247"/>
      <c r="P103" s="247"/>
      <c r="Q103" s="247"/>
      <c r="R103" s="247"/>
      <c r="S103" s="213" t="str">
        <f t="shared" si="3"/>
        <v/>
      </c>
      <c r="T103" s="213">
        <f>IF($L103='11 FORMULAS'!$D$51,$C$100-($C$100*$S$100),$C$100)</f>
        <v>0.6</v>
      </c>
      <c r="U103" s="213">
        <f>IF($L103='11 FORMULAS'!$D$53,$D$100-($D$100*$S$100),$D$100)</f>
        <v>0.6</v>
      </c>
      <c r="V103" s="598"/>
      <c r="W103" s="601"/>
      <c r="X103" s="27"/>
      <c r="Y103" s="211"/>
      <c r="Z103" s="212"/>
      <c r="AA103" s="212"/>
    </row>
    <row r="104" spans="1:27" ht="15" x14ac:dyDescent="0.25">
      <c r="A104" s="589"/>
      <c r="B104" s="592"/>
      <c r="C104" s="419"/>
      <c r="D104" s="557"/>
      <c r="E104" s="244">
        <v>5</v>
      </c>
      <c r="F104" s="160"/>
      <c r="G104" s="160"/>
      <c r="H104" s="160"/>
      <c r="I104" s="209" t="str">
        <f t="shared" si="2"/>
        <v xml:space="preserve">  </v>
      </c>
      <c r="J104" s="281"/>
      <c r="K104" s="213" t="str">
        <f>+IFERROR(VLOOKUP($J104,'11 FORMULAS'!$B$51:$C$53,2,0),"")</f>
        <v/>
      </c>
      <c r="L104" s="213" t="str">
        <f>+IFERROR(VLOOKUP($J104,'11 FORMULAS'!$B$51:$D$53,3,0),"")</f>
        <v/>
      </c>
      <c r="M104" s="245"/>
      <c r="N104" s="213" t="str">
        <f>+IFERROR(VLOOKUP($M104,'11 FORMULAS'!$B$54:$C$55,2,0),"")</f>
        <v/>
      </c>
      <c r="O104" s="247"/>
      <c r="P104" s="247"/>
      <c r="Q104" s="247"/>
      <c r="R104" s="247"/>
      <c r="S104" s="213" t="str">
        <f t="shared" si="3"/>
        <v/>
      </c>
      <c r="T104" s="213">
        <f>IF($L104='11 FORMULAS'!$D$51,$C$100-($C$100*$S$100),$C$100)</f>
        <v>0.6</v>
      </c>
      <c r="U104" s="213">
        <f>IF($L104='11 FORMULAS'!$D$53,$D$100-($D$100*$S$100),$D$100)</f>
        <v>0.6</v>
      </c>
      <c r="V104" s="598"/>
      <c r="W104" s="601"/>
      <c r="X104" s="27"/>
      <c r="Y104" s="211"/>
      <c r="Z104" s="212"/>
      <c r="AA104" s="212"/>
    </row>
    <row r="105" spans="1:27" ht="15" thickBot="1" x14ac:dyDescent="0.3">
      <c r="A105" s="590"/>
      <c r="B105" s="593"/>
      <c r="C105" s="420"/>
      <c r="D105" s="558"/>
      <c r="E105" s="248">
        <v>6</v>
      </c>
      <c r="F105" s="161"/>
      <c r="G105" s="161"/>
      <c r="H105" s="161"/>
      <c r="I105" s="339" t="str">
        <f t="shared" si="2"/>
        <v xml:space="preserve">  </v>
      </c>
      <c r="J105" s="340"/>
      <c r="K105" s="341" t="str">
        <f>+IFERROR(VLOOKUP($J105,'11 FORMULAS'!$B$51:$C$53,2,0),"")</f>
        <v/>
      </c>
      <c r="L105" s="341" t="str">
        <f>+IFERROR(VLOOKUP($J105,'11 FORMULAS'!$B$51:$D$53,3,0),"")</f>
        <v/>
      </c>
      <c r="M105" s="342"/>
      <c r="N105" s="341" t="str">
        <f>+IFERROR(VLOOKUP($M105,'11 FORMULAS'!$B$54:$C$55,2,0),"")</f>
        <v/>
      </c>
      <c r="O105" s="343"/>
      <c r="P105" s="343"/>
      <c r="Q105" s="343"/>
      <c r="R105" s="343"/>
      <c r="S105" s="341" t="str">
        <f t="shared" si="3"/>
        <v/>
      </c>
      <c r="T105" s="341">
        <f>IF($L105='11 FORMULAS'!$D$51,$C$100-($C$100*$S$100),$C$100)</f>
        <v>0.6</v>
      </c>
      <c r="U105" s="341">
        <f>IF($L105='11 FORMULAS'!$D$53,$D$100-($D$100*$S$100),$D$100)</f>
        <v>0.6</v>
      </c>
      <c r="V105" s="599"/>
      <c r="W105" s="602"/>
      <c r="X105" s="27"/>
    </row>
    <row r="106" spans="1:27" ht="96" customHeight="1" thickBot="1" x14ac:dyDescent="0.3">
      <c r="A106" s="560" t="str">
        <f>'2 IDENTIFICACIÓN'!A26</f>
        <v>R17</v>
      </c>
      <c r="B106" s="564"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06" s="567">
        <f>+'3 PROBABIL E IMPACTO INHERENTE'!E26</f>
        <v>0.4</v>
      </c>
      <c r="D106" s="568">
        <f>+'3 PROBABIL E IMPACTO INHERENTE'!M26</f>
        <v>0.6</v>
      </c>
      <c r="E106" s="249">
        <v>1</v>
      </c>
      <c r="F106" s="34" t="s">
        <v>531</v>
      </c>
      <c r="G106" s="34" t="s">
        <v>532</v>
      </c>
      <c r="H106" s="34" t="s">
        <v>533</v>
      </c>
      <c r="I106" s="330" t="str">
        <f t="shared" si="2"/>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106" s="331" t="s">
        <v>133</v>
      </c>
      <c r="K106" s="329">
        <f>+IFERROR(VLOOKUP($J106,'11 FORMULAS'!$B$51:$C$53,2,0),"")</f>
        <v>0.25</v>
      </c>
      <c r="L106" s="329" t="str">
        <f>+IFERROR(VLOOKUP($J106,'11 FORMULAS'!$B$51:$D$53,3,0),"")</f>
        <v>Probabilidad</v>
      </c>
      <c r="M106" s="332" t="s">
        <v>145</v>
      </c>
      <c r="N106" s="329">
        <f>+IFERROR(VLOOKUP($M106,'11 FORMULAS'!$B$54:$C$55,2,0),"")</f>
        <v>0.15</v>
      </c>
      <c r="O106" s="333" t="s">
        <v>135</v>
      </c>
      <c r="P106" s="333" t="s">
        <v>239</v>
      </c>
      <c r="Q106" s="333" t="s">
        <v>137</v>
      </c>
      <c r="R106" s="333" t="s">
        <v>157</v>
      </c>
      <c r="S106" s="329">
        <f t="shared" si="3"/>
        <v>0.4</v>
      </c>
      <c r="T106" s="329">
        <f>IF($L106='11 FORMULAS'!$D$51,$C$100-($C$100*$S$100),$C$100)</f>
        <v>0.36</v>
      </c>
      <c r="U106" s="329">
        <f>IF($L106='11 FORMULAS'!$D$53,D106-(D106*S106),D106)</f>
        <v>0.6</v>
      </c>
      <c r="V106" s="603">
        <f>+IF(T111="","",T111)</f>
        <v>0.6</v>
      </c>
      <c r="W106" s="600">
        <f>+IF(U106="","",U106)</f>
        <v>0.6</v>
      </c>
      <c r="X106" s="27"/>
      <c r="Y106" s="211"/>
      <c r="Z106" s="212"/>
      <c r="AA106" s="212"/>
    </row>
    <row r="107" spans="1:27" ht="29.45" customHeight="1" thickBot="1" x14ac:dyDescent="0.3">
      <c r="A107" s="560"/>
      <c r="B107" s="564"/>
      <c r="C107" s="567"/>
      <c r="D107" s="568"/>
      <c r="E107" s="244">
        <v>2</v>
      </c>
      <c r="F107" s="236"/>
      <c r="G107" s="234"/>
      <c r="H107" s="234"/>
      <c r="I107" s="209" t="str">
        <f t="shared" si="2"/>
        <v xml:space="preserve">  </v>
      </c>
      <c r="J107" s="281"/>
      <c r="K107" s="213" t="str">
        <f>+IFERROR(VLOOKUP($J107,'11 FORMULAS'!$B$51:$C$53,2,0),"")</f>
        <v/>
      </c>
      <c r="L107" s="213" t="str">
        <f>+IFERROR(VLOOKUP($J107,'11 FORMULAS'!$B$51:$D$53,3,0),"")</f>
        <v/>
      </c>
      <c r="M107" s="245"/>
      <c r="N107" s="246" t="str">
        <f>+IFERROR(VLOOKUP($M107,'11 FORMULAS'!$B$54:$C$55,2,0),"")</f>
        <v/>
      </c>
      <c r="O107" s="247"/>
      <c r="P107" s="247"/>
      <c r="Q107" s="247"/>
      <c r="R107" s="247"/>
      <c r="S107" s="213" t="str">
        <f t="shared" si="3"/>
        <v/>
      </c>
      <c r="T107" s="246">
        <f>IF($L107='11 FORMULAS'!$D$51,$C$100-($C$100*$S$100),$C$100)</f>
        <v>0.6</v>
      </c>
      <c r="U107" s="213">
        <f>IF($L107='11 FORMULAS'!$D$53,D107-(D107*S107),D107)</f>
        <v>0</v>
      </c>
      <c r="V107" s="603"/>
      <c r="W107" s="601"/>
      <c r="X107" s="27"/>
      <c r="Y107" s="211"/>
      <c r="Z107" s="212"/>
      <c r="AA107" s="212"/>
    </row>
    <row r="108" spans="1:27" ht="29.45" customHeight="1" thickBot="1" x14ac:dyDescent="0.3">
      <c r="A108" s="560"/>
      <c r="B108" s="564"/>
      <c r="C108" s="567"/>
      <c r="D108" s="568"/>
      <c r="E108" s="244">
        <v>3</v>
      </c>
      <c r="F108" s="236"/>
      <c r="G108" s="234"/>
      <c r="H108" s="234"/>
      <c r="I108" s="209" t="str">
        <f t="shared" si="2"/>
        <v xml:space="preserve">  </v>
      </c>
      <c r="J108" s="281"/>
      <c r="K108" s="213" t="str">
        <f>+IFERROR(VLOOKUP($J108,'11 FORMULAS'!$B$51:$C$53,2,0),"")</f>
        <v/>
      </c>
      <c r="L108" s="213" t="str">
        <f>+IFERROR(VLOOKUP($J108,'11 FORMULAS'!$B$51:$D$53,3,0),"")</f>
        <v/>
      </c>
      <c r="M108" s="245"/>
      <c r="N108" s="246" t="str">
        <f>+IFERROR(VLOOKUP($M108,'11 FORMULAS'!$B$54:$C$55,2,0),"")</f>
        <v/>
      </c>
      <c r="O108" s="247"/>
      <c r="P108" s="247"/>
      <c r="Q108" s="247"/>
      <c r="R108" s="247"/>
      <c r="S108" s="213" t="str">
        <f t="shared" si="3"/>
        <v/>
      </c>
      <c r="T108" s="246">
        <f>IF($L108='11 FORMULAS'!$D$51,$C$100-($C$100*$S$100),$C$100)</f>
        <v>0.6</v>
      </c>
      <c r="U108" s="213">
        <f>IF($L108='11 FORMULAS'!$D$53,D108-(D108*S108),D108)</f>
        <v>0</v>
      </c>
      <c r="V108" s="603"/>
      <c r="W108" s="601"/>
      <c r="X108" s="27"/>
      <c r="Y108" s="211"/>
      <c r="Z108" s="212"/>
      <c r="AA108" s="212"/>
    </row>
    <row r="109" spans="1:27" ht="29.45" customHeight="1" thickBot="1" x14ac:dyDescent="0.3">
      <c r="A109" s="561"/>
      <c r="B109" s="565"/>
      <c r="C109" s="419"/>
      <c r="D109" s="557"/>
      <c r="E109" s="244">
        <v>4</v>
      </c>
      <c r="F109" s="237"/>
      <c r="G109" s="160"/>
      <c r="H109" s="160"/>
      <c r="I109" s="209" t="str">
        <f t="shared" si="2"/>
        <v xml:space="preserve">  </v>
      </c>
      <c r="J109" s="281"/>
      <c r="K109" s="213" t="str">
        <f>+IFERROR(VLOOKUP($J109,'11 FORMULAS'!$B$51:$C$53,2,0),"")</f>
        <v/>
      </c>
      <c r="L109" s="213" t="str">
        <f>+IFERROR(VLOOKUP($J109,'11 FORMULAS'!$B$51:$D$53,3,0),"")</f>
        <v/>
      </c>
      <c r="M109" s="245"/>
      <c r="N109" s="246" t="str">
        <f>+IFERROR(VLOOKUP($M109,'11 FORMULAS'!$B$54:$C$55,2,0),"")</f>
        <v/>
      </c>
      <c r="O109" s="247"/>
      <c r="P109" s="247"/>
      <c r="Q109" s="247"/>
      <c r="R109" s="247"/>
      <c r="S109" s="213" t="str">
        <f t="shared" si="3"/>
        <v/>
      </c>
      <c r="T109" s="246">
        <f>IF($L109='11 FORMULAS'!$D$51,$C$100-($C$100*$S$100),$C$100)</f>
        <v>0.6</v>
      </c>
      <c r="U109" s="213">
        <f>IF($L109='11 FORMULAS'!$D$53,D109-(D109*S109),D109)</f>
        <v>0</v>
      </c>
      <c r="V109" s="598"/>
      <c r="W109" s="601"/>
      <c r="X109" s="27"/>
      <c r="Y109" s="211"/>
      <c r="Z109" s="212"/>
      <c r="AA109" s="212"/>
    </row>
    <row r="110" spans="1:27" ht="29.45" customHeight="1" thickBot="1" x14ac:dyDescent="0.3">
      <c r="A110" s="561"/>
      <c r="B110" s="565"/>
      <c r="C110" s="419"/>
      <c r="D110" s="557"/>
      <c r="E110" s="244">
        <v>5</v>
      </c>
      <c r="F110" s="237"/>
      <c r="G110" s="160"/>
      <c r="H110" s="160"/>
      <c r="I110" s="209" t="str">
        <f t="shared" si="2"/>
        <v xml:space="preserve">  </v>
      </c>
      <c r="J110" s="281"/>
      <c r="K110" s="213" t="str">
        <f>+IFERROR(VLOOKUP($J110,'11 FORMULAS'!$B$51:$C$53,2,0),"")</f>
        <v/>
      </c>
      <c r="L110" s="213" t="str">
        <f>+IFERROR(VLOOKUP($J110,'11 FORMULAS'!$B$51:$D$53,3,0),"")</f>
        <v/>
      </c>
      <c r="M110" s="245"/>
      <c r="N110" s="246" t="str">
        <f>+IFERROR(VLOOKUP($M110,'11 FORMULAS'!$B$54:$C$55,2,0),"")</f>
        <v/>
      </c>
      <c r="O110" s="247"/>
      <c r="P110" s="247"/>
      <c r="Q110" s="247"/>
      <c r="R110" s="247"/>
      <c r="S110" s="213" t="str">
        <f t="shared" si="3"/>
        <v/>
      </c>
      <c r="T110" s="246">
        <f>IF($L110='11 FORMULAS'!$D$51,$C$100-($C$100*$S$100),$C$100)</f>
        <v>0.6</v>
      </c>
      <c r="U110" s="213">
        <f>IF($L110='11 FORMULAS'!$D$53,D110-(D110*S110),D110)</f>
        <v>0</v>
      </c>
      <c r="V110" s="598"/>
      <c r="W110" s="601"/>
      <c r="X110" s="27"/>
      <c r="Y110" s="211"/>
      <c r="Z110" s="212"/>
      <c r="AA110" s="212"/>
    </row>
    <row r="111" spans="1:27" ht="48.75" customHeight="1" thickBot="1" x14ac:dyDescent="0.3">
      <c r="A111" s="562"/>
      <c r="B111" s="566"/>
      <c r="C111" s="420"/>
      <c r="D111" s="558"/>
      <c r="E111" s="248">
        <v>6</v>
      </c>
      <c r="F111" s="239"/>
      <c r="G111" s="161"/>
      <c r="H111" s="161"/>
      <c r="I111" s="209" t="str">
        <f t="shared" si="2"/>
        <v xml:space="preserve">  </v>
      </c>
      <c r="J111" s="281"/>
      <c r="K111" s="213" t="str">
        <f>+IFERROR(VLOOKUP($J111,'11 FORMULAS'!$B$51:$C$53,2,0),"")</f>
        <v/>
      </c>
      <c r="L111" s="213" t="str">
        <f>+IFERROR(VLOOKUP($J111,'11 FORMULAS'!$B$51:$D$53,3,0),"")</f>
        <v/>
      </c>
      <c r="M111" s="245"/>
      <c r="N111" s="246" t="str">
        <f>+IFERROR(VLOOKUP($M111,'11 FORMULAS'!$B$54:$C$55,2,0),"")</f>
        <v/>
      </c>
      <c r="O111" s="247"/>
      <c r="P111" s="247"/>
      <c r="Q111" s="247"/>
      <c r="R111" s="247"/>
      <c r="S111" s="213" t="str">
        <f t="shared" si="3"/>
        <v/>
      </c>
      <c r="T111" s="246">
        <f>IF($L111='11 FORMULAS'!$D$51,$C$100-($C$100*$S$100),$C$100)</f>
        <v>0.6</v>
      </c>
      <c r="U111" s="213">
        <f>IF($L111='11 FORMULAS'!$D$53,D111-(D111*S111),D111)</f>
        <v>0</v>
      </c>
      <c r="V111" s="599"/>
      <c r="W111" s="602"/>
      <c r="X111" s="27"/>
    </row>
    <row r="112" spans="1:27" ht="29.45" hidden="1" customHeight="1" thickBot="1" x14ac:dyDescent="0.3">
      <c r="A112" s="559" t="str">
        <f>'2 IDENTIFICACIÓN'!A27</f>
        <v>R18</v>
      </c>
      <c r="B112" s="563" t="str">
        <f>+'2 IDENTIFICACIÓN'!J27</f>
        <v xml:space="preserve"> por  debido a </v>
      </c>
      <c r="C112" s="418" t="str">
        <f>+'3 PROBABIL E IMPACTO INHERENTE'!E27</f>
        <v/>
      </c>
      <c r="D112" s="556" t="str">
        <f>+'3 PROBABIL E IMPACTO INHERENTE'!M27</f>
        <v/>
      </c>
      <c r="E112" s="249">
        <v>1</v>
      </c>
      <c r="F112" s="238"/>
      <c r="G112" s="34"/>
      <c r="H112" s="34"/>
      <c r="I112" s="209" t="str">
        <f t="shared" si="2"/>
        <v xml:space="preserve">  </v>
      </c>
      <c r="J112" s="281"/>
      <c r="K112" s="213" t="str">
        <f>+IFERROR(VLOOKUP($J112,'11 FORMULAS'!$B$51:$C$53,2,0),"")</f>
        <v/>
      </c>
      <c r="L112" s="213" t="str">
        <f>+IFERROR(VLOOKUP($J112,'11 FORMULAS'!$B$51:$D$53,3,0),"")</f>
        <v/>
      </c>
      <c r="M112" s="245" t="s">
        <v>134</v>
      </c>
      <c r="N112" s="246">
        <f>+IFERROR(VLOOKUP($M112,'11 FORMULAS'!$B$54:$C$55,2,0),"")</f>
        <v>0.25</v>
      </c>
      <c r="O112" s="247" t="s">
        <v>146</v>
      </c>
      <c r="P112" s="247" t="s">
        <v>239</v>
      </c>
      <c r="Q112" s="247" t="s">
        <v>137</v>
      </c>
      <c r="R112" s="247" t="s">
        <v>247</v>
      </c>
      <c r="S112" s="213" t="str">
        <f t="shared" si="3"/>
        <v/>
      </c>
      <c r="T112" s="246">
        <f>IF($L112='11 FORMULAS'!$D$51,$C$100-($C$100*$S$100),$C$100)</f>
        <v>0.6</v>
      </c>
      <c r="U112" s="213" t="str">
        <f>IF($L112='11 FORMULAS'!$D$53,D112-(D112*S112),D112)</f>
        <v/>
      </c>
      <c r="V112" s="597">
        <f>+IF(T117="","",T117)</f>
        <v>0.6</v>
      </c>
      <c r="W112" s="600">
        <f>+IF(U117="","",U117)</f>
        <v>0</v>
      </c>
      <c r="X112" s="27"/>
      <c r="Y112" s="211"/>
      <c r="Z112" s="212"/>
      <c r="AA112" s="212"/>
    </row>
    <row r="113" spans="1:27" ht="29.45" hidden="1" customHeight="1" thickBot="1" x14ac:dyDescent="0.3">
      <c r="A113" s="560"/>
      <c r="B113" s="564"/>
      <c r="C113" s="567"/>
      <c r="D113" s="568"/>
      <c r="E113" s="244">
        <v>2</v>
      </c>
      <c r="F113" s="236"/>
      <c r="G113" s="234"/>
      <c r="H113" s="234"/>
      <c r="I113" s="209" t="str">
        <f t="shared" si="2"/>
        <v xml:space="preserve">  </v>
      </c>
      <c r="J113" s="281"/>
      <c r="K113" s="213" t="str">
        <f>+IFERROR(VLOOKUP($J113,'11 FORMULAS'!$B$51:$C$53,2,0),"")</f>
        <v/>
      </c>
      <c r="L113" s="213" t="str">
        <f>+IFERROR(VLOOKUP($J113,'11 FORMULAS'!$B$51:$D$53,3,0),"")</f>
        <v/>
      </c>
      <c r="M113" s="245" t="s">
        <v>134</v>
      </c>
      <c r="N113" s="246">
        <f>+IFERROR(VLOOKUP($M113,'11 FORMULAS'!$B$54:$C$55,2,0),"")</f>
        <v>0.25</v>
      </c>
      <c r="O113" s="247" t="s">
        <v>146</v>
      </c>
      <c r="P113" s="247" t="s">
        <v>239</v>
      </c>
      <c r="Q113" s="247" t="s">
        <v>137</v>
      </c>
      <c r="R113" s="247" t="s">
        <v>247</v>
      </c>
      <c r="S113" s="213" t="str">
        <f t="shared" si="3"/>
        <v/>
      </c>
      <c r="T113" s="246">
        <f>IF($L113='11 FORMULAS'!$D$51,$C$100-($C$100*$S$100),$C$100)</f>
        <v>0.6</v>
      </c>
      <c r="U113" s="213">
        <f>IF($L113='11 FORMULAS'!$D$53,D113-(D113*S113),D113)</f>
        <v>0</v>
      </c>
      <c r="V113" s="603"/>
      <c r="W113" s="604"/>
      <c r="X113" s="27"/>
      <c r="Y113" s="211"/>
      <c r="Z113" s="212"/>
      <c r="AA113" s="212"/>
    </row>
    <row r="114" spans="1:27" ht="29.45" hidden="1" customHeight="1" thickBot="1" x14ac:dyDescent="0.3">
      <c r="A114" s="560"/>
      <c r="B114" s="564"/>
      <c r="C114" s="567"/>
      <c r="D114" s="568"/>
      <c r="E114" s="244">
        <v>3</v>
      </c>
      <c r="F114" s="236"/>
      <c r="G114" s="234"/>
      <c r="H114" s="234"/>
      <c r="I114" s="209" t="str">
        <f t="shared" si="2"/>
        <v xml:space="preserve">  </v>
      </c>
      <c r="J114" s="281"/>
      <c r="K114" s="213" t="str">
        <f>+IFERROR(VLOOKUP($J114,'11 FORMULAS'!$B$51:$C$53,2,0),"")</f>
        <v/>
      </c>
      <c r="L114" s="213" t="str">
        <f>+IFERROR(VLOOKUP($J114,'11 FORMULAS'!$B$51:$D$53,3,0),"")</f>
        <v/>
      </c>
      <c r="M114" s="245" t="s">
        <v>134</v>
      </c>
      <c r="N114" s="246">
        <f>+IFERROR(VLOOKUP($M114,'11 FORMULAS'!$B$54:$C$55,2,0),"")</f>
        <v>0.25</v>
      </c>
      <c r="O114" s="247" t="s">
        <v>146</v>
      </c>
      <c r="P114" s="247" t="s">
        <v>239</v>
      </c>
      <c r="Q114" s="247" t="s">
        <v>137</v>
      </c>
      <c r="R114" s="247" t="s">
        <v>247</v>
      </c>
      <c r="S114" s="213" t="str">
        <f t="shared" si="3"/>
        <v/>
      </c>
      <c r="T114" s="246">
        <f>IF($L114='11 FORMULAS'!$D$51,$C$100-($C$100*$S$100),$C$100)</f>
        <v>0.6</v>
      </c>
      <c r="U114" s="213">
        <f>IF($L114='11 FORMULAS'!$D$53,D114-(D114*S114),D114)</f>
        <v>0</v>
      </c>
      <c r="V114" s="603"/>
      <c r="W114" s="604"/>
      <c r="X114" s="27"/>
      <c r="Y114" s="211"/>
      <c r="Z114" s="212"/>
      <c r="AA114" s="212"/>
    </row>
    <row r="115" spans="1:27" ht="29.45" hidden="1" customHeight="1" thickBot="1" x14ac:dyDescent="0.3">
      <c r="A115" s="561"/>
      <c r="B115" s="565"/>
      <c r="C115" s="419"/>
      <c r="D115" s="557"/>
      <c r="E115" s="244">
        <v>4</v>
      </c>
      <c r="F115" s="237"/>
      <c r="G115" s="160"/>
      <c r="H115" s="160"/>
      <c r="I115" s="209" t="str">
        <f t="shared" si="2"/>
        <v xml:space="preserve">  </v>
      </c>
      <c r="J115" s="281"/>
      <c r="K115" s="213" t="str">
        <f>+IFERROR(VLOOKUP($J115,'11 FORMULAS'!$B$51:$C$53,2,0),"")</f>
        <v/>
      </c>
      <c r="L115" s="213" t="str">
        <f>+IFERROR(VLOOKUP($J115,'11 FORMULAS'!$B$51:$D$53,3,0),"")</f>
        <v/>
      </c>
      <c r="M115" s="245" t="s">
        <v>134</v>
      </c>
      <c r="N115" s="246">
        <f>+IFERROR(VLOOKUP($M115,'11 FORMULAS'!$B$54:$C$55,2,0),"")</f>
        <v>0.25</v>
      </c>
      <c r="O115" s="247" t="s">
        <v>146</v>
      </c>
      <c r="P115" s="247" t="s">
        <v>239</v>
      </c>
      <c r="Q115" s="247" t="s">
        <v>137</v>
      </c>
      <c r="R115" s="247" t="s">
        <v>247</v>
      </c>
      <c r="S115" s="213" t="str">
        <f t="shared" si="3"/>
        <v/>
      </c>
      <c r="T115" s="246">
        <f>IF($L115='11 FORMULAS'!$D$51,$C$100-($C$100*$S$100),$C$100)</f>
        <v>0.6</v>
      </c>
      <c r="U115" s="213">
        <f>IF($L115='11 FORMULAS'!$D$53,D115-(D115*S115),D115)</f>
        <v>0</v>
      </c>
      <c r="V115" s="598"/>
      <c r="W115" s="601"/>
      <c r="X115" s="27"/>
      <c r="Y115" s="211"/>
      <c r="Z115" s="212"/>
      <c r="AA115" s="212"/>
    </row>
    <row r="116" spans="1:27" ht="29.45" hidden="1" customHeight="1" thickBot="1" x14ac:dyDescent="0.3">
      <c r="A116" s="561"/>
      <c r="B116" s="565"/>
      <c r="C116" s="419"/>
      <c r="D116" s="557"/>
      <c r="E116" s="244">
        <v>5</v>
      </c>
      <c r="F116" s="237"/>
      <c r="G116" s="160"/>
      <c r="H116" s="160"/>
      <c r="I116" s="209" t="str">
        <f t="shared" si="2"/>
        <v xml:space="preserve">  </v>
      </c>
      <c r="J116" s="281"/>
      <c r="K116" s="213" t="str">
        <f>+IFERROR(VLOOKUP($J116,'11 FORMULAS'!$B$51:$C$53,2,0),"")</f>
        <v/>
      </c>
      <c r="L116" s="213" t="str">
        <f>+IFERROR(VLOOKUP($J116,'11 FORMULAS'!$B$51:$D$53,3,0),"")</f>
        <v/>
      </c>
      <c r="M116" s="245" t="s">
        <v>134</v>
      </c>
      <c r="N116" s="246">
        <f>+IFERROR(VLOOKUP($M116,'11 FORMULAS'!$B$54:$C$55,2,0),"")</f>
        <v>0.25</v>
      </c>
      <c r="O116" s="247" t="s">
        <v>146</v>
      </c>
      <c r="P116" s="247" t="s">
        <v>239</v>
      </c>
      <c r="Q116" s="247" t="s">
        <v>137</v>
      </c>
      <c r="R116" s="247" t="s">
        <v>247</v>
      </c>
      <c r="S116" s="213" t="str">
        <f t="shared" si="3"/>
        <v/>
      </c>
      <c r="T116" s="246">
        <f>IF($L116='11 FORMULAS'!$D$51,$C$100-($C$100*$S$100),$C$100)</f>
        <v>0.6</v>
      </c>
      <c r="U116" s="213">
        <f>IF($L116='11 FORMULAS'!$D$53,D116-(D116*S116),D116)</f>
        <v>0</v>
      </c>
      <c r="V116" s="598"/>
      <c r="W116" s="601"/>
      <c r="X116" s="27"/>
      <c r="Y116" s="211"/>
      <c r="Z116" s="212"/>
      <c r="AA116" s="212"/>
    </row>
    <row r="117" spans="1:27" ht="29.45" hidden="1" customHeight="1" thickBot="1" x14ac:dyDescent="0.3">
      <c r="A117" s="562"/>
      <c r="B117" s="566"/>
      <c r="C117" s="420"/>
      <c r="D117" s="558"/>
      <c r="E117" s="248">
        <v>6</v>
      </c>
      <c r="F117" s="239"/>
      <c r="G117" s="161"/>
      <c r="H117" s="161"/>
      <c r="I117" s="209" t="str">
        <f t="shared" si="2"/>
        <v xml:space="preserve">  </v>
      </c>
      <c r="J117" s="281"/>
      <c r="K117" s="213" t="str">
        <f>+IFERROR(VLOOKUP($J117,'11 FORMULAS'!$B$51:$C$53,2,0),"")</f>
        <v/>
      </c>
      <c r="L117" s="213" t="str">
        <f>+IFERROR(VLOOKUP($J117,'11 FORMULAS'!$B$51:$D$53,3,0),"")</f>
        <v/>
      </c>
      <c r="M117" s="245" t="s">
        <v>134</v>
      </c>
      <c r="N117" s="246">
        <f>+IFERROR(VLOOKUP($M117,'11 FORMULAS'!$B$54:$C$55,2,0),"")</f>
        <v>0.25</v>
      </c>
      <c r="O117" s="247" t="s">
        <v>146</v>
      </c>
      <c r="P117" s="247" t="s">
        <v>239</v>
      </c>
      <c r="Q117" s="247" t="s">
        <v>137</v>
      </c>
      <c r="R117" s="247" t="s">
        <v>247</v>
      </c>
      <c r="S117" s="213" t="str">
        <f t="shared" si="3"/>
        <v/>
      </c>
      <c r="T117" s="246">
        <f>IF($L117='11 FORMULAS'!$D$51,$C$100-($C$100*$S$100),$C$100)</f>
        <v>0.6</v>
      </c>
      <c r="U117" s="213">
        <f>IF($L117='11 FORMULAS'!$D$53,D117-(D117*S117),D117)</f>
        <v>0</v>
      </c>
      <c r="V117" s="599"/>
      <c r="W117" s="602"/>
      <c r="X117" s="27"/>
    </row>
    <row r="118" spans="1:27" ht="29.45" hidden="1" customHeight="1" thickBot="1" x14ac:dyDescent="0.3">
      <c r="A118" s="559" t="str">
        <f>'2 IDENTIFICACIÓN'!A28</f>
        <v>R19</v>
      </c>
      <c r="B118" s="563" t="str">
        <f>+'2 IDENTIFICACIÓN'!J28</f>
        <v xml:space="preserve"> por  debido a </v>
      </c>
      <c r="C118" s="418" t="str">
        <f>+'3 PROBABIL E IMPACTO INHERENTE'!E28</f>
        <v/>
      </c>
      <c r="D118" s="556" t="str">
        <f>+'3 PROBABIL E IMPACTO INHERENTE'!M28</f>
        <v/>
      </c>
      <c r="E118" s="249">
        <v>1</v>
      </c>
      <c r="F118" s="238"/>
      <c r="G118" s="34"/>
      <c r="H118" s="34"/>
      <c r="I118" s="209" t="str">
        <f t="shared" si="2"/>
        <v xml:space="preserve">  </v>
      </c>
      <c r="J118" s="281"/>
      <c r="K118" s="213" t="str">
        <f>+IFERROR(VLOOKUP($J118,'11 FORMULAS'!$B$51:$C$53,2,0),"")</f>
        <v/>
      </c>
      <c r="L118" s="213" t="str">
        <f>+IFERROR(VLOOKUP($J118,'11 FORMULAS'!$B$51:$D$53,3,0),"")</f>
        <v/>
      </c>
      <c r="M118" s="245" t="s">
        <v>134</v>
      </c>
      <c r="N118" s="246">
        <f>+IFERROR(VLOOKUP($M118,'11 FORMULAS'!$B$54:$C$55,2,0),"")</f>
        <v>0.25</v>
      </c>
      <c r="O118" s="247" t="s">
        <v>146</v>
      </c>
      <c r="P118" s="247" t="s">
        <v>239</v>
      </c>
      <c r="Q118" s="247" t="s">
        <v>137</v>
      </c>
      <c r="R118" s="247" t="s">
        <v>247</v>
      </c>
      <c r="S118" s="213" t="str">
        <f t="shared" si="3"/>
        <v/>
      </c>
      <c r="T118" s="246">
        <f>IF($L118='11 FORMULAS'!$D$51,$C$100-($C$100*$S$100),$C$100)</f>
        <v>0.6</v>
      </c>
      <c r="U118" s="213" t="str">
        <f>IF($L118='11 FORMULAS'!$D$53,D118-(D118*S118),D118)</f>
        <v/>
      </c>
      <c r="V118" s="597">
        <f>+IF(T123="","",T123)</f>
        <v>0.6</v>
      </c>
      <c r="W118" s="600">
        <f>+IF(U123="","",U123)</f>
        <v>0</v>
      </c>
      <c r="X118" s="27"/>
      <c r="Y118" s="211"/>
      <c r="Z118" s="212"/>
      <c r="AA118" s="212"/>
    </row>
    <row r="119" spans="1:27" ht="29.45" hidden="1" customHeight="1" thickBot="1" x14ac:dyDescent="0.3">
      <c r="A119" s="560"/>
      <c r="B119" s="564"/>
      <c r="C119" s="567"/>
      <c r="D119" s="568"/>
      <c r="E119" s="244">
        <v>2</v>
      </c>
      <c r="F119" s="236"/>
      <c r="G119" s="234"/>
      <c r="H119" s="234"/>
      <c r="I119" s="209" t="str">
        <f t="shared" si="2"/>
        <v xml:space="preserve">  </v>
      </c>
      <c r="J119" s="281"/>
      <c r="K119" s="213" t="str">
        <f>+IFERROR(VLOOKUP($J119,'11 FORMULAS'!$B$51:$C$53,2,0),"")</f>
        <v/>
      </c>
      <c r="L119" s="213" t="str">
        <f>+IFERROR(VLOOKUP($J119,'11 FORMULAS'!$B$51:$D$53,3,0),"")</f>
        <v/>
      </c>
      <c r="M119" s="245" t="s">
        <v>134</v>
      </c>
      <c r="N119" s="246">
        <f>+IFERROR(VLOOKUP($M119,'11 FORMULAS'!$B$54:$C$55,2,0),"")</f>
        <v>0.25</v>
      </c>
      <c r="O119" s="247" t="s">
        <v>146</v>
      </c>
      <c r="P119" s="247" t="s">
        <v>239</v>
      </c>
      <c r="Q119" s="247" t="s">
        <v>137</v>
      </c>
      <c r="R119" s="247" t="s">
        <v>247</v>
      </c>
      <c r="S119" s="213" t="str">
        <f t="shared" si="3"/>
        <v/>
      </c>
      <c r="T119" s="246">
        <f>IF($L119='11 FORMULAS'!$D$51,$C$100-($C$100*$S$100),$C$100)</f>
        <v>0.6</v>
      </c>
      <c r="U119" s="213">
        <f>IF($L119='11 FORMULAS'!$D$53,D119-(D119*S119),D119)</f>
        <v>0</v>
      </c>
      <c r="V119" s="603"/>
      <c r="W119" s="604"/>
      <c r="X119" s="27"/>
      <c r="Y119" s="211"/>
      <c r="Z119" s="212"/>
      <c r="AA119" s="212"/>
    </row>
    <row r="120" spans="1:27" ht="29.45" hidden="1" customHeight="1" thickBot="1" x14ac:dyDescent="0.3">
      <c r="A120" s="560"/>
      <c r="B120" s="564"/>
      <c r="C120" s="567"/>
      <c r="D120" s="568"/>
      <c r="E120" s="244">
        <v>3</v>
      </c>
      <c r="F120" s="236"/>
      <c r="G120" s="234"/>
      <c r="H120" s="234"/>
      <c r="I120" s="209" t="str">
        <f t="shared" si="2"/>
        <v xml:space="preserve">  </v>
      </c>
      <c r="J120" s="281"/>
      <c r="K120" s="213" t="str">
        <f>+IFERROR(VLOOKUP($J120,'11 FORMULAS'!$B$51:$C$53,2,0),"")</f>
        <v/>
      </c>
      <c r="L120" s="213" t="str">
        <f>+IFERROR(VLOOKUP($J120,'11 FORMULAS'!$B$51:$D$53,3,0),"")</f>
        <v/>
      </c>
      <c r="M120" s="245" t="s">
        <v>134</v>
      </c>
      <c r="N120" s="246">
        <f>+IFERROR(VLOOKUP($M120,'11 FORMULAS'!$B$54:$C$55,2,0),"")</f>
        <v>0.25</v>
      </c>
      <c r="O120" s="247" t="s">
        <v>146</v>
      </c>
      <c r="P120" s="247" t="s">
        <v>239</v>
      </c>
      <c r="Q120" s="247" t="s">
        <v>137</v>
      </c>
      <c r="R120" s="247" t="s">
        <v>247</v>
      </c>
      <c r="S120" s="213" t="str">
        <f t="shared" si="3"/>
        <v/>
      </c>
      <c r="T120" s="246">
        <f>IF($L120='11 FORMULAS'!$D$51,$C$100-($C$100*$S$100),$C$100)</f>
        <v>0.6</v>
      </c>
      <c r="U120" s="213">
        <f>IF($L120='11 FORMULAS'!$D$53,D120-(D120*S120),D120)</f>
        <v>0</v>
      </c>
      <c r="V120" s="603"/>
      <c r="W120" s="604"/>
      <c r="X120" s="27"/>
      <c r="Y120" s="211"/>
      <c r="Z120" s="212"/>
      <c r="AA120" s="212"/>
    </row>
    <row r="121" spans="1:27" ht="29.45" hidden="1" customHeight="1" thickBot="1" x14ac:dyDescent="0.3">
      <c r="A121" s="561"/>
      <c r="B121" s="565"/>
      <c r="C121" s="419"/>
      <c r="D121" s="557"/>
      <c r="E121" s="244">
        <v>4</v>
      </c>
      <c r="F121" s="237"/>
      <c r="G121" s="160"/>
      <c r="H121" s="160"/>
      <c r="I121" s="209" t="str">
        <f t="shared" si="2"/>
        <v xml:space="preserve">  </v>
      </c>
      <c r="J121" s="281"/>
      <c r="K121" s="213" t="str">
        <f>+IFERROR(VLOOKUP($J121,'11 FORMULAS'!$B$51:$C$53,2,0),"")</f>
        <v/>
      </c>
      <c r="L121" s="213" t="str">
        <f>+IFERROR(VLOOKUP($J121,'11 FORMULAS'!$B$51:$D$53,3,0),"")</f>
        <v/>
      </c>
      <c r="M121" s="245" t="s">
        <v>134</v>
      </c>
      <c r="N121" s="246">
        <f>+IFERROR(VLOOKUP($M121,'11 FORMULAS'!$B$54:$C$55,2,0),"")</f>
        <v>0.25</v>
      </c>
      <c r="O121" s="247" t="s">
        <v>146</v>
      </c>
      <c r="P121" s="247" t="s">
        <v>239</v>
      </c>
      <c r="Q121" s="247" t="s">
        <v>137</v>
      </c>
      <c r="R121" s="247" t="s">
        <v>247</v>
      </c>
      <c r="S121" s="213" t="str">
        <f t="shared" si="3"/>
        <v/>
      </c>
      <c r="T121" s="246">
        <f>IF($L121='11 FORMULAS'!$D$51,$C$100-($C$100*$S$100),$C$100)</f>
        <v>0.6</v>
      </c>
      <c r="U121" s="213">
        <f>IF($L121='11 FORMULAS'!$D$53,D121-(D121*S121),D121)</f>
        <v>0</v>
      </c>
      <c r="V121" s="598"/>
      <c r="W121" s="601"/>
      <c r="X121" s="27"/>
      <c r="Y121" s="211"/>
      <c r="Z121" s="212"/>
      <c r="AA121" s="212"/>
    </row>
    <row r="122" spans="1:27" ht="29.45" hidden="1" customHeight="1" thickBot="1" x14ac:dyDescent="0.3">
      <c r="A122" s="561"/>
      <c r="B122" s="565"/>
      <c r="C122" s="419"/>
      <c r="D122" s="557"/>
      <c r="E122" s="244">
        <v>5</v>
      </c>
      <c r="F122" s="237"/>
      <c r="G122" s="160"/>
      <c r="H122" s="160"/>
      <c r="I122" s="209" t="str">
        <f t="shared" si="2"/>
        <v xml:space="preserve">  </v>
      </c>
      <c r="J122" s="281"/>
      <c r="K122" s="213" t="str">
        <f>+IFERROR(VLOOKUP($J122,'11 FORMULAS'!$B$51:$C$53,2,0),"")</f>
        <v/>
      </c>
      <c r="L122" s="213" t="str">
        <f>+IFERROR(VLOOKUP($J122,'11 FORMULAS'!$B$51:$D$53,3,0),"")</f>
        <v/>
      </c>
      <c r="M122" s="245" t="s">
        <v>134</v>
      </c>
      <c r="N122" s="246">
        <f>+IFERROR(VLOOKUP($M122,'11 FORMULAS'!$B$54:$C$55,2,0),"")</f>
        <v>0.25</v>
      </c>
      <c r="O122" s="247" t="s">
        <v>146</v>
      </c>
      <c r="P122" s="247" t="s">
        <v>239</v>
      </c>
      <c r="Q122" s="247" t="s">
        <v>137</v>
      </c>
      <c r="R122" s="247" t="s">
        <v>247</v>
      </c>
      <c r="S122" s="213" t="str">
        <f t="shared" si="3"/>
        <v/>
      </c>
      <c r="T122" s="246">
        <f>IF($L122='11 FORMULAS'!$D$51,$C$100-($C$100*$S$100),$C$100)</f>
        <v>0.6</v>
      </c>
      <c r="U122" s="213">
        <f>IF($L122='11 FORMULAS'!$D$53,D122-(D122*S122),D122)</f>
        <v>0</v>
      </c>
      <c r="V122" s="598"/>
      <c r="W122" s="601"/>
      <c r="X122" s="27"/>
      <c r="Y122" s="211"/>
      <c r="Z122" s="212"/>
      <c r="AA122" s="212"/>
    </row>
    <row r="123" spans="1:27" ht="29.45" hidden="1" customHeight="1" thickBot="1" x14ac:dyDescent="0.3">
      <c r="A123" s="562"/>
      <c r="B123" s="566"/>
      <c r="C123" s="420"/>
      <c r="D123" s="558"/>
      <c r="E123" s="248">
        <v>6</v>
      </c>
      <c r="F123" s="239"/>
      <c r="G123" s="161"/>
      <c r="H123" s="161"/>
      <c r="I123" s="209" t="str">
        <f t="shared" si="2"/>
        <v xml:space="preserve">  </v>
      </c>
      <c r="J123" s="281"/>
      <c r="K123" s="213" t="str">
        <f>+IFERROR(VLOOKUP($J123,'11 FORMULAS'!$B$51:$C$53,2,0),"")</f>
        <v/>
      </c>
      <c r="L123" s="213" t="str">
        <f>+IFERROR(VLOOKUP($J123,'11 FORMULAS'!$B$51:$D$53,3,0),"")</f>
        <v/>
      </c>
      <c r="M123" s="245" t="s">
        <v>134</v>
      </c>
      <c r="N123" s="246">
        <f>+IFERROR(VLOOKUP($M123,'11 FORMULAS'!$B$54:$C$55,2,0),"")</f>
        <v>0.25</v>
      </c>
      <c r="O123" s="247" t="s">
        <v>146</v>
      </c>
      <c r="P123" s="247" t="s">
        <v>239</v>
      </c>
      <c r="Q123" s="247" t="s">
        <v>137</v>
      </c>
      <c r="R123" s="247" t="s">
        <v>247</v>
      </c>
      <c r="S123" s="213" t="str">
        <f t="shared" si="3"/>
        <v/>
      </c>
      <c r="T123" s="246">
        <f>IF($L123='11 FORMULAS'!$D$51,$C$100-($C$100*$S$100),$C$100)</f>
        <v>0.6</v>
      </c>
      <c r="U123" s="213">
        <f>IF($L123='11 FORMULAS'!$D$53,D123-(D123*S123),D123)</f>
        <v>0</v>
      </c>
      <c r="V123" s="599"/>
      <c r="W123" s="602"/>
      <c r="X123" s="27"/>
    </row>
    <row r="124" spans="1:27" ht="29.45" hidden="1" customHeight="1" thickBot="1" x14ac:dyDescent="0.3">
      <c r="A124" s="559" t="str">
        <f>'2 IDENTIFICACIÓN'!A29</f>
        <v>R20</v>
      </c>
      <c r="B124" s="563" t="str">
        <f>+'2 IDENTIFICACIÓN'!J29</f>
        <v xml:space="preserve"> por  debido a </v>
      </c>
      <c r="C124" s="418" t="str">
        <f>+'3 PROBABIL E IMPACTO INHERENTE'!E29</f>
        <v/>
      </c>
      <c r="D124" s="556" t="str">
        <f>+'3 PROBABIL E IMPACTO INHERENTE'!M29</f>
        <v/>
      </c>
      <c r="E124" s="249">
        <v>1</v>
      </c>
      <c r="F124" s="238"/>
      <c r="G124" s="34"/>
      <c r="H124" s="34"/>
      <c r="I124" s="209" t="str">
        <f t="shared" ref="I124:I183" si="4">+CONCATENATE(F124," ",G124," ",H124)</f>
        <v xml:space="preserve">  </v>
      </c>
      <c r="J124" s="281"/>
      <c r="K124" s="213" t="str">
        <f>+IFERROR(VLOOKUP($J124,'11 FORMULAS'!$B$51:$C$53,2,0),"")</f>
        <v/>
      </c>
      <c r="L124" s="213" t="str">
        <f>+IFERROR(VLOOKUP($J124,'11 FORMULAS'!$B$51:$D$53,3,0),"")</f>
        <v/>
      </c>
      <c r="M124" s="245" t="s">
        <v>134</v>
      </c>
      <c r="N124" s="246">
        <f>+IFERROR(VLOOKUP($M124,'11 FORMULAS'!$B$54:$C$55,2,0),"")</f>
        <v>0.25</v>
      </c>
      <c r="O124" s="247" t="s">
        <v>146</v>
      </c>
      <c r="P124" s="247" t="s">
        <v>239</v>
      </c>
      <c r="Q124" s="247" t="s">
        <v>137</v>
      </c>
      <c r="R124" s="247" t="s">
        <v>247</v>
      </c>
      <c r="S124" s="213" t="str">
        <f t="shared" si="3"/>
        <v/>
      </c>
      <c r="T124" s="246">
        <f>IF($L124='11 FORMULAS'!$D$51,$C$100-($C$100*$S$100),$C$100)</f>
        <v>0.6</v>
      </c>
      <c r="U124" s="213" t="str">
        <f>IF($L124='11 FORMULAS'!$D$53,D124-(D124*S124),D124)</f>
        <v/>
      </c>
      <c r="V124" s="597">
        <f>+IF(T129="","",T129)</f>
        <v>0.6</v>
      </c>
      <c r="W124" s="600">
        <f>+IF(U129="","",U129)</f>
        <v>0</v>
      </c>
      <c r="X124" s="27"/>
    </row>
    <row r="125" spans="1:27" ht="29.45" hidden="1" customHeight="1" thickBot="1" x14ac:dyDescent="0.3">
      <c r="A125" s="560"/>
      <c r="B125" s="564"/>
      <c r="C125" s="567"/>
      <c r="D125" s="568"/>
      <c r="E125" s="244">
        <v>2</v>
      </c>
      <c r="F125" s="236"/>
      <c r="G125" s="234"/>
      <c r="H125" s="234"/>
      <c r="I125" s="209" t="str">
        <f t="shared" si="4"/>
        <v xml:space="preserve">  </v>
      </c>
      <c r="J125" s="281"/>
      <c r="K125" s="213" t="str">
        <f>+IFERROR(VLOOKUP($J125,'11 FORMULAS'!$B$51:$C$53,2,0),"")</f>
        <v/>
      </c>
      <c r="L125" s="213" t="str">
        <f>+IFERROR(VLOOKUP($J125,'11 FORMULAS'!$B$51:$D$53,3,0),"")</f>
        <v/>
      </c>
      <c r="M125" s="245" t="s">
        <v>134</v>
      </c>
      <c r="N125" s="246">
        <f>+IFERROR(VLOOKUP($M125,'11 FORMULAS'!$B$54:$C$55,2,0),"")</f>
        <v>0.25</v>
      </c>
      <c r="O125" s="247" t="s">
        <v>146</v>
      </c>
      <c r="P125" s="247" t="s">
        <v>239</v>
      </c>
      <c r="Q125" s="247" t="s">
        <v>137</v>
      </c>
      <c r="R125" s="247" t="s">
        <v>247</v>
      </c>
      <c r="S125" s="213" t="str">
        <f t="shared" si="3"/>
        <v/>
      </c>
      <c r="T125" s="246">
        <f>IF($L125='11 FORMULAS'!$D$51,$C$100-($C$100*$S$100),$C$100)</f>
        <v>0.6</v>
      </c>
      <c r="U125" s="213">
        <f>IF($L125='11 FORMULAS'!$D$53,D125-(D125*S125),D125)</f>
        <v>0</v>
      </c>
      <c r="V125" s="603"/>
      <c r="W125" s="604"/>
      <c r="X125" s="27"/>
    </row>
    <row r="126" spans="1:27" ht="29.45" hidden="1" customHeight="1" thickBot="1" x14ac:dyDescent="0.3">
      <c r="A126" s="560"/>
      <c r="B126" s="564"/>
      <c r="C126" s="567"/>
      <c r="D126" s="568"/>
      <c r="E126" s="244">
        <v>3</v>
      </c>
      <c r="F126" s="236"/>
      <c r="G126" s="234"/>
      <c r="H126" s="234"/>
      <c r="I126" s="209" t="str">
        <f t="shared" si="4"/>
        <v xml:space="preserve">  </v>
      </c>
      <c r="J126" s="281"/>
      <c r="K126" s="213" t="str">
        <f>+IFERROR(VLOOKUP($J126,'11 FORMULAS'!$B$51:$C$53,2,0),"")</f>
        <v/>
      </c>
      <c r="L126" s="213" t="str">
        <f>+IFERROR(VLOOKUP($J126,'11 FORMULAS'!$B$51:$D$53,3,0),"")</f>
        <v/>
      </c>
      <c r="M126" s="245" t="s">
        <v>134</v>
      </c>
      <c r="N126" s="246">
        <f>+IFERROR(VLOOKUP($M126,'11 FORMULAS'!$B$54:$C$55,2,0),"")</f>
        <v>0.25</v>
      </c>
      <c r="O126" s="247" t="s">
        <v>146</v>
      </c>
      <c r="P126" s="247" t="s">
        <v>239</v>
      </c>
      <c r="Q126" s="247" t="s">
        <v>137</v>
      </c>
      <c r="R126" s="247" t="s">
        <v>247</v>
      </c>
      <c r="S126" s="213" t="str">
        <f t="shared" si="3"/>
        <v/>
      </c>
      <c r="T126" s="246">
        <f>IF($L126='11 FORMULAS'!$D$51,$C$100-($C$100*$S$100),$C$100)</f>
        <v>0.6</v>
      </c>
      <c r="U126" s="213">
        <f>IF($L126='11 FORMULAS'!$D$53,D126-(D126*S126),D126)</f>
        <v>0</v>
      </c>
      <c r="V126" s="603"/>
      <c r="W126" s="604"/>
      <c r="X126" s="27"/>
    </row>
    <row r="127" spans="1:27" ht="29.45" hidden="1" customHeight="1" thickBot="1" x14ac:dyDescent="0.3">
      <c r="A127" s="561"/>
      <c r="B127" s="565"/>
      <c r="C127" s="419"/>
      <c r="D127" s="557"/>
      <c r="E127" s="244">
        <v>4</v>
      </c>
      <c r="F127" s="237"/>
      <c r="G127" s="160"/>
      <c r="H127" s="160"/>
      <c r="I127" s="209" t="str">
        <f t="shared" si="4"/>
        <v xml:space="preserve">  </v>
      </c>
      <c r="J127" s="281"/>
      <c r="K127" s="213" t="str">
        <f>+IFERROR(VLOOKUP($J127,'11 FORMULAS'!$B$51:$C$53,2,0),"")</f>
        <v/>
      </c>
      <c r="L127" s="213" t="str">
        <f>+IFERROR(VLOOKUP($J127,'11 FORMULAS'!$B$51:$D$53,3,0),"")</f>
        <v/>
      </c>
      <c r="M127" s="245" t="s">
        <v>134</v>
      </c>
      <c r="N127" s="246">
        <f>+IFERROR(VLOOKUP($M127,'11 FORMULAS'!$B$54:$C$55,2,0),"")</f>
        <v>0.25</v>
      </c>
      <c r="O127" s="247" t="s">
        <v>146</v>
      </c>
      <c r="P127" s="247" t="s">
        <v>239</v>
      </c>
      <c r="Q127" s="247" t="s">
        <v>137</v>
      </c>
      <c r="R127" s="247" t="s">
        <v>247</v>
      </c>
      <c r="S127" s="213" t="str">
        <f t="shared" si="3"/>
        <v/>
      </c>
      <c r="T127" s="246">
        <f>IF($L127='11 FORMULAS'!$D$51,$C$100-($C$100*$S$100),$C$100)</f>
        <v>0.6</v>
      </c>
      <c r="U127" s="213">
        <f>IF($L127='11 FORMULAS'!$D$53,D127-(D127*S127),D127)</f>
        <v>0</v>
      </c>
      <c r="V127" s="598"/>
      <c r="W127" s="601"/>
      <c r="X127" s="27"/>
    </row>
    <row r="128" spans="1:27" ht="29.45" hidden="1" customHeight="1" thickBot="1" x14ac:dyDescent="0.3">
      <c r="A128" s="561"/>
      <c r="B128" s="565"/>
      <c r="C128" s="419"/>
      <c r="D128" s="557"/>
      <c r="E128" s="244">
        <v>5</v>
      </c>
      <c r="F128" s="237"/>
      <c r="G128" s="160"/>
      <c r="H128" s="160"/>
      <c r="I128" s="209" t="str">
        <f t="shared" si="4"/>
        <v xml:space="preserve">  </v>
      </c>
      <c r="J128" s="281"/>
      <c r="K128" s="213" t="str">
        <f>+IFERROR(VLOOKUP($J128,'11 FORMULAS'!$B$51:$C$53,2,0),"")</f>
        <v/>
      </c>
      <c r="L128" s="213" t="str">
        <f>+IFERROR(VLOOKUP($J128,'11 FORMULAS'!$B$51:$D$53,3,0),"")</f>
        <v/>
      </c>
      <c r="M128" s="245" t="s">
        <v>134</v>
      </c>
      <c r="N128" s="246">
        <f>+IFERROR(VLOOKUP($M128,'11 FORMULAS'!$B$54:$C$55,2,0),"")</f>
        <v>0.25</v>
      </c>
      <c r="O128" s="247" t="s">
        <v>146</v>
      </c>
      <c r="P128" s="247" t="s">
        <v>239</v>
      </c>
      <c r="Q128" s="247" t="s">
        <v>137</v>
      </c>
      <c r="R128" s="247" t="s">
        <v>247</v>
      </c>
      <c r="S128" s="213" t="str">
        <f t="shared" si="3"/>
        <v/>
      </c>
      <c r="T128" s="246">
        <f>IF($L128='11 FORMULAS'!$D$51,$C$100-($C$100*$S$100),$C$100)</f>
        <v>0.6</v>
      </c>
      <c r="U128" s="213">
        <f>IF($L128='11 FORMULAS'!$D$53,D128-(D128*S128),D128)</f>
        <v>0</v>
      </c>
      <c r="V128" s="598"/>
      <c r="W128" s="601"/>
      <c r="X128" s="27"/>
    </row>
    <row r="129" spans="1:24" ht="29.45" hidden="1" customHeight="1" thickBot="1" x14ac:dyDescent="0.3">
      <c r="A129" s="562"/>
      <c r="B129" s="566"/>
      <c r="C129" s="420"/>
      <c r="D129" s="558"/>
      <c r="E129" s="248">
        <v>6</v>
      </c>
      <c r="F129" s="239"/>
      <c r="G129" s="161"/>
      <c r="H129" s="161"/>
      <c r="I129" s="209" t="str">
        <f t="shared" si="4"/>
        <v xml:space="preserve">  </v>
      </c>
      <c r="J129" s="281"/>
      <c r="K129" s="213" t="str">
        <f>+IFERROR(VLOOKUP($J129,'11 FORMULAS'!$B$51:$C$53,2,0),"")</f>
        <v/>
      </c>
      <c r="L129" s="213" t="str">
        <f>+IFERROR(VLOOKUP($J129,'11 FORMULAS'!$B$51:$D$53,3,0),"")</f>
        <v/>
      </c>
      <c r="M129" s="245" t="s">
        <v>134</v>
      </c>
      <c r="N129" s="246">
        <f>+IFERROR(VLOOKUP($M129,'11 FORMULAS'!$B$54:$C$55,2,0),"")</f>
        <v>0.25</v>
      </c>
      <c r="O129" s="247" t="s">
        <v>146</v>
      </c>
      <c r="P129" s="247" t="s">
        <v>239</v>
      </c>
      <c r="Q129" s="247" t="s">
        <v>137</v>
      </c>
      <c r="R129" s="247" t="s">
        <v>247</v>
      </c>
      <c r="S129" s="213" t="str">
        <f t="shared" si="3"/>
        <v/>
      </c>
      <c r="T129" s="246">
        <f>IF($L129='11 FORMULAS'!$D$51,$C$100-($C$100*$S$100),$C$100)</f>
        <v>0.6</v>
      </c>
      <c r="U129" s="213">
        <f>IF($L129='11 FORMULAS'!$D$53,D129-(D129*S129),D129)</f>
        <v>0</v>
      </c>
      <c r="V129" s="599"/>
      <c r="W129" s="602"/>
      <c r="X129" s="27"/>
    </row>
    <row r="130" spans="1:24" ht="29.45" hidden="1" customHeight="1" thickBot="1" x14ac:dyDescent="0.3">
      <c r="A130" s="559" t="str">
        <f>'2 IDENTIFICACIÓN'!A30</f>
        <v>R21</v>
      </c>
      <c r="B130" s="563" t="str">
        <f>+'2 IDENTIFICACIÓN'!J30</f>
        <v xml:space="preserve"> por  debido a </v>
      </c>
      <c r="C130" s="418" t="str">
        <f>+'3 PROBABIL E IMPACTO INHERENTE'!E30</f>
        <v/>
      </c>
      <c r="D130" s="556" t="str">
        <f>+'3 PROBABIL E IMPACTO INHERENTE'!M30</f>
        <v/>
      </c>
      <c r="E130" s="249">
        <v>1</v>
      </c>
      <c r="F130" s="238"/>
      <c r="G130" s="34"/>
      <c r="H130" s="34"/>
      <c r="I130" s="209" t="str">
        <f t="shared" si="4"/>
        <v xml:space="preserve">  </v>
      </c>
      <c r="J130" s="281"/>
      <c r="K130" s="213" t="str">
        <f>+IFERROR(VLOOKUP($J130,'11 FORMULAS'!$B$51:$C$53,2,0),"")</f>
        <v/>
      </c>
      <c r="L130" s="213" t="str">
        <f>+IFERROR(VLOOKUP($J130,'11 FORMULAS'!$B$51:$D$53,3,0),"")</f>
        <v/>
      </c>
      <c r="M130" s="245" t="s">
        <v>134</v>
      </c>
      <c r="N130" s="246">
        <f>+IFERROR(VLOOKUP($M130,'11 FORMULAS'!$B$54:$C$55,2,0),"")</f>
        <v>0.25</v>
      </c>
      <c r="O130" s="247" t="s">
        <v>146</v>
      </c>
      <c r="P130" s="247" t="s">
        <v>239</v>
      </c>
      <c r="Q130" s="247" t="s">
        <v>137</v>
      </c>
      <c r="R130" s="247" t="s">
        <v>247</v>
      </c>
      <c r="S130" s="213" t="str">
        <f t="shared" si="3"/>
        <v/>
      </c>
      <c r="T130" s="246">
        <f>IF($L130='11 FORMULAS'!$D$51,$C$100-($C$100*$S$100),$C$100)</f>
        <v>0.6</v>
      </c>
      <c r="U130" s="213" t="str">
        <f>IF($L130='11 FORMULAS'!$D$53,D130-(D130*S130),D130)</f>
        <v/>
      </c>
      <c r="V130" s="597">
        <f>+IF(T135="","",T135)</f>
        <v>0.6</v>
      </c>
      <c r="W130" s="600">
        <f>+IF(U135="","",U135)</f>
        <v>0</v>
      </c>
      <c r="X130" s="27"/>
    </row>
    <row r="131" spans="1:24" ht="29.45" hidden="1" customHeight="1" thickBot="1" x14ac:dyDescent="0.3">
      <c r="A131" s="560"/>
      <c r="B131" s="564"/>
      <c r="C131" s="567"/>
      <c r="D131" s="568"/>
      <c r="E131" s="244">
        <v>2</v>
      </c>
      <c r="F131" s="236"/>
      <c r="G131" s="234"/>
      <c r="H131" s="234"/>
      <c r="I131" s="209" t="str">
        <f t="shared" si="4"/>
        <v xml:space="preserve">  </v>
      </c>
      <c r="J131" s="281"/>
      <c r="K131" s="213" t="str">
        <f>+IFERROR(VLOOKUP($J131,'11 FORMULAS'!$B$51:$C$53,2,0),"")</f>
        <v/>
      </c>
      <c r="L131" s="213" t="str">
        <f>+IFERROR(VLOOKUP($J131,'11 FORMULAS'!$B$51:$D$53,3,0),"")</f>
        <v/>
      </c>
      <c r="M131" s="245" t="s">
        <v>134</v>
      </c>
      <c r="N131" s="246">
        <f>+IFERROR(VLOOKUP($M131,'11 FORMULAS'!$B$54:$C$55,2,0),"")</f>
        <v>0.25</v>
      </c>
      <c r="O131" s="247" t="s">
        <v>146</v>
      </c>
      <c r="P131" s="247" t="s">
        <v>239</v>
      </c>
      <c r="Q131" s="247" t="s">
        <v>137</v>
      </c>
      <c r="R131" s="247" t="s">
        <v>247</v>
      </c>
      <c r="S131" s="213" t="str">
        <f t="shared" si="3"/>
        <v/>
      </c>
      <c r="T131" s="246">
        <f>IF($L131='11 FORMULAS'!$D$51,$C$100-($C$100*$S$100),$C$100)</f>
        <v>0.6</v>
      </c>
      <c r="U131" s="213">
        <f>IF($L131='11 FORMULAS'!$D$53,D131-(D131*S131),D131)</f>
        <v>0</v>
      </c>
      <c r="V131" s="603"/>
      <c r="W131" s="604"/>
      <c r="X131" s="27"/>
    </row>
    <row r="132" spans="1:24" ht="29.45" hidden="1" customHeight="1" thickBot="1" x14ac:dyDescent="0.3">
      <c r="A132" s="560"/>
      <c r="B132" s="564"/>
      <c r="C132" s="567"/>
      <c r="D132" s="568"/>
      <c r="E132" s="244">
        <v>3</v>
      </c>
      <c r="F132" s="236"/>
      <c r="G132" s="234"/>
      <c r="H132" s="234"/>
      <c r="I132" s="209" t="str">
        <f t="shared" si="4"/>
        <v xml:space="preserve">  </v>
      </c>
      <c r="J132" s="281"/>
      <c r="K132" s="213" t="str">
        <f>+IFERROR(VLOOKUP($J132,'11 FORMULAS'!$B$51:$C$53,2,0),"")</f>
        <v/>
      </c>
      <c r="L132" s="213" t="str">
        <f>+IFERROR(VLOOKUP($J132,'11 FORMULAS'!$B$51:$D$53,3,0),"")</f>
        <v/>
      </c>
      <c r="M132" s="245" t="s">
        <v>134</v>
      </c>
      <c r="N132" s="246">
        <f>+IFERROR(VLOOKUP($M132,'11 FORMULAS'!$B$54:$C$55,2,0),"")</f>
        <v>0.25</v>
      </c>
      <c r="O132" s="247" t="s">
        <v>146</v>
      </c>
      <c r="P132" s="247" t="s">
        <v>239</v>
      </c>
      <c r="Q132" s="247" t="s">
        <v>137</v>
      </c>
      <c r="R132" s="247" t="s">
        <v>247</v>
      </c>
      <c r="S132" s="213" t="str">
        <f t="shared" si="3"/>
        <v/>
      </c>
      <c r="T132" s="246">
        <f>IF($L132='11 FORMULAS'!$D$51,$C$100-($C$100*$S$100),$C$100)</f>
        <v>0.6</v>
      </c>
      <c r="U132" s="213">
        <f>IF($L132='11 FORMULAS'!$D$53,D132-(D132*S132),D132)</f>
        <v>0</v>
      </c>
      <c r="V132" s="603"/>
      <c r="W132" s="604"/>
      <c r="X132" s="27"/>
    </row>
    <row r="133" spans="1:24" ht="29.45" hidden="1" customHeight="1" thickBot="1" x14ac:dyDescent="0.3">
      <c r="A133" s="561"/>
      <c r="B133" s="565"/>
      <c r="C133" s="419"/>
      <c r="D133" s="557"/>
      <c r="E133" s="244">
        <v>4</v>
      </c>
      <c r="F133" s="237"/>
      <c r="G133" s="160"/>
      <c r="H133" s="160"/>
      <c r="I133" s="209" t="str">
        <f t="shared" si="4"/>
        <v xml:space="preserve">  </v>
      </c>
      <c r="J133" s="281"/>
      <c r="K133" s="213" t="str">
        <f>+IFERROR(VLOOKUP($J133,'11 FORMULAS'!$B$51:$C$53,2,0),"")</f>
        <v/>
      </c>
      <c r="L133" s="213" t="str">
        <f>+IFERROR(VLOOKUP($J133,'11 FORMULAS'!$B$51:$D$53,3,0),"")</f>
        <v/>
      </c>
      <c r="M133" s="245" t="s">
        <v>134</v>
      </c>
      <c r="N133" s="246">
        <f>+IFERROR(VLOOKUP($M133,'11 FORMULAS'!$B$54:$C$55,2,0),"")</f>
        <v>0.25</v>
      </c>
      <c r="O133" s="247" t="s">
        <v>146</v>
      </c>
      <c r="P133" s="247" t="s">
        <v>239</v>
      </c>
      <c r="Q133" s="247" t="s">
        <v>137</v>
      </c>
      <c r="R133" s="247" t="s">
        <v>247</v>
      </c>
      <c r="S133" s="213" t="str">
        <f t="shared" si="3"/>
        <v/>
      </c>
      <c r="T133" s="246">
        <f>IF($L133='11 FORMULAS'!$D$51,$C$100-($C$100*$S$100),$C$100)</f>
        <v>0.6</v>
      </c>
      <c r="U133" s="213">
        <f>IF($L133='11 FORMULAS'!$D$53,D133-(D133*S133),D133)</f>
        <v>0</v>
      </c>
      <c r="V133" s="598"/>
      <c r="W133" s="601"/>
      <c r="X133" s="27"/>
    </row>
    <row r="134" spans="1:24" ht="29.45" hidden="1" customHeight="1" thickBot="1" x14ac:dyDescent="0.3">
      <c r="A134" s="561"/>
      <c r="B134" s="565"/>
      <c r="C134" s="419"/>
      <c r="D134" s="557"/>
      <c r="E134" s="244">
        <v>5</v>
      </c>
      <c r="F134" s="237"/>
      <c r="G134" s="160"/>
      <c r="H134" s="160"/>
      <c r="I134" s="209" t="str">
        <f t="shared" si="4"/>
        <v xml:space="preserve">  </v>
      </c>
      <c r="J134" s="281"/>
      <c r="K134" s="213" t="str">
        <f>+IFERROR(VLOOKUP($J134,'11 FORMULAS'!$B$51:$C$53,2,0),"")</f>
        <v/>
      </c>
      <c r="L134" s="213" t="str">
        <f>+IFERROR(VLOOKUP($J134,'11 FORMULAS'!$B$51:$D$53,3,0),"")</f>
        <v/>
      </c>
      <c r="M134" s="245" t="s">
        <v>134</v>
      </c>
      <c r="N134" s="246">
        <f>+IFERROR(VLOOKUP($M134,'11 FORMULAS'!$B$54:$C$55,2,0),"")</f>
        <v>0.25</v>
      </c>
      <c r="O134" s="247" t="s">
        <v>146</v>
      </c>
      <c r="P134" s="247" t="s">
        <v>239</v>
      </c>
      <c r="Q134" s="247" t="s">
        <v>137</v>
      </c>
      <c r="R134" s="247" t="s">
        <v>247</v>
      </c>
      <c r="S134" s="213" t="str">
        <f t="shared" si="3"/>
        <v/>
      </c>
      <c r="T134" s="246">
        <f>IF($L134='11 FORMULAS'!$D$51,$C$100-($C$100*$S$100),$C$100)</f>
        <v>0.6</v>
      </c>
      <c r="U134" s="213">
        <f>IF($L134='11 FORMULAS'!$D$53,D134-(D134*S134),D134)</f>
        <v>0</v>
      </c>
      <c r="V134" s="598"/>
      <c r="W134" s="601"/>
      <c r="X134" s="27"/>
    </row>
    <row r="135" spans="1:24" ht="29.45" hidden="1" customHeight="1" thickBot="1" x14ac:dyDescent="0.3">
      <c r="A135" s="562"/>
      <c r="B135" s="566"/>
      <c r="C135" s="420"/>
      <c r="D135" s="558"/>
      <c r="E135" s="248">
        <v>6</v>
      </c>
      <c r="F135" s="239"/>
      <c r="G135" s="161"/>
      <c r="H135" s="161"/>
      <c r="I135" s="209" t="str">
        <f t="shared" si="4"/>
        <v xml:space="preserve">  </v>
      </c>
      <c r="J135" s="281"/>
      <c r="K135" s="213" t="str">
        <f>+IFERROR(VLOOKUP($J135,'11 FORMULAS'!$B$51:$C$53,2,0),"")</f>
        <v/>
      </c>
      <c r="L135" s="213" t="str">
        <f>+IFERROR(VLOOKUP($J135,'11 FORMULAS'!$B$51:$D$53,3,0),"")</f>
        <v/>
      </c>
      <c r="M135" s="245" t="s">
        <v>134</v>
      </c>
      <c r="N135" s="246">
        <f>+IFERROR(VLOOKUP($M135,'11 FORMULAS'!$B$54:$C$55,2,0),"")</f>
        <v>0.25</v>
      </c>
      <c r="O135" s="247" t="s">
        <v>146</v>
      </c>
      <c r="P135" s="247" t="s">
        <v>239</v>
      </c>
      <c r="Q135" s="247" t="s">
        <v>137</v>
      </c>
      <c r="R135" s="247" t="s">
        <v>247</v>
      </c>
      <c r="S135" s="213" t="str">
        <f t="shared" si="3"/>
        <v/>
      </c>
      <c r="T135" s="246">
        <f>IF($L135='11 FORMULAS'!$D$51,$C$100-($C$100*$S$100),$C$100)</f>
        <v>0.6</v>
      </c>
      <c r="U135" s="213">
        <f>IF($L135='11 FORMULAS'!$D$53,D135-(D135*S135),D135)</f>
        <v>0</v>
      </c>
      <c r="V135" s="599"/>
      <c r="W135" s="602"/>
      <c r="X135" s="27"/>
    </row>
    <row r="136" spans="1:24" ht="29.45" hidden="1" customHeight="1" thickBot="1" x14ac:dyDescent="0.3">
      <c r="A136" s="559" t="str">
        <f>'2 IDENTIFICACIÓN'!A31</f>
        <v>R22</v>
      </c>
      <c r="B136" s="563" t="str">
        <f>+'2 IDENTIFICACIÓN'!J31</f>
        <v xml:space="preserve"> por  debido a </v>
      </c>
      <c r="C136" s="418" t="str">
        <f>+'3 PROBABIL E IMPACTO INHERENTE'!E31</f>
        <v/>
      </c>
      <c r="D136" s="556" t="str">
        <f>+'3 PROBABIL E IMPACTO INHERENTE'!M31</f>
        <v/>
      </c>
      <c r="E136" s="249">
        <v>1</v>
      </c>
      <c r="F136" s="238"/>
      <c r="G136" s="34"/>
      <c r="H136" s="34"/>
      <c r="I136" s="209" t="str">
        <f t="shared" si="4"/>
        <v xml:space="preserve">  </v>
      </c>
      <c r="J136" s="281"/>
      <c r="K136" s="213" t="str">
        <f>+IFERROR(VLOOKUP($J136,'11 FORMULAS'!$B$51:$C$53,2,0),"")</f>
        <v/>
      </c>
      <c r="L136" s="213" t="str">
        <f>+IFERROR(VLOOKUP($J136,'11 FORMULAS'!$B$51:$D$53,3,0),"")</f>
        <v/>
      </c>
      <c r="M136" s="245" t="s">
        <v>134</v>
      </c>
      <c r="N136" s="246">
        <f>+IFERROR(VLOOKUP($M136,'11 FORMULAS'!$B$54:$C$55,2,0),"")</f>
        <v>0.25</v>
      </c>
      <c r="O136" s="247" t="s">
        <v>146</v>
      </c>
      <c r="P136" s="247" t="s">
        <v>239</v>
      </c>
      <c r="Q136" s="247" t="s">
        <v>137</v>
      </c>
      <c r="R136" s="247" t="s">
        <v>247</v>
      </c>
      <c r="S136" s="213" t="str">
        <f t="shared" si="3"/>
        <v/>
      </c>
      <c r="T136" s="246">
        <f>IF($L136='11 FORMULAS'!$D$51,$C$100-($C$100*$S$100),$C$100)</f>
        <v>0.6</v>
      </c>
      <c r="U136" s="213" t="str">
        <f>IF($L136='11 FORMULAS'!$D$53,D136-(D136*S136),D136)</f>
        <v/>
      </c>
      <c r="V136" s="597">
        <f>+IF(T141="","",T141)</f>
        <v>0.6</v>
      </c>
      <c r="W136" s="600">
        <f>+IF(U141="","",U141)</f>
        <v>0</v>
      </c>
      <c r="X136" s="27"/>
    </row>
    <row r="137" spans="1:24" ht="29.45" hidden="1" customHeight="1" thickBot="1" x14ac:dyDescent="0.3">
      <c r="A137" s="560"/>
      <c r="B137" s="564"/>
      <c r="C137" s="567"/>
      <c r="D137" s="568"/>
      <c r="E137" s="244">
        <v>2</v>
      </c>
      <c r="F137" s="236"/>
      <c r="G137" s="234"/>
      <c r="H137" s="234"/>
      <c r="I137" s="209" t="str">
        <f t="shared" si="4"/>
        <v xml:space="preserve">  </v>
      </c>
      <c r="J137" s="281"/>
      <c r="K137" s="213" t="str">
        <f>+IFERROR(VLOOKUP($J137,'11 FORMULAS'!$B$51:$C$53,2,0),"")</f>
        <v/>
      </c>
      <c r="L137" s="213" t="str">
        <f>+IFERROR(VLOOKUP($J137,'11 FORMULAS'!$B$51:$D$53,3,0),"")</f>
        <v/>
      </c>
      <c r="M137" s="245" t="s">
        <v>134</v>
      </c>
      <c r="N137" s="246">
        <f>+IFERROR(VLOOKUP($M137,'11 FORMULAS'!$B$54:$C$55,2,0),"")</f>
        <v>0.25</v>
      </c>
      <c r="O137" s="247" t="s">
        <v>146</v>
      </c>
      <c r="P137" s="247" t="s">
        <v>239</v>
      </c>
      <c r="Q137" s="247" t="s">
        <v>137</v>
      </c>
      <c r="R137" s="247" t="s">
        <v>247</v>
      </c>
      <c r="S137" s="213" t="str">
        <f t="shared" si="3"/>
        <v/>
      </c>
      <c r="T137" s="246">
        <f>IF($L137='11 FORMULAS'!$D$51,$C$100-($C$100*$S$100),$C$100)</f>
        <v>0.6</v>
      </c>
      <c r="U137" s="213">
        <f>IF($L137='11 FORMULAS'!$D$53,D137-(D137*S137),D137)</f>
        <v>0</v>
      </c>
      <c r="V137" s="603"/>
      <c r="W137" s="604"/>
      <c r="X137" s="27"/>
    </row>
    <row r="138" spans="1:24" ht="29.45" hidden="1" customHeight="1" thickBot="1" x14ac:dyDescent="0.3">
      <c r="A138" s="560"/>
      <c r="B138" s="564"/>
      <c r="C138" s="567"/>
      <c r="D138" s="568"/>
      <c r="E138" s="244">
        <v>3</v>
      </c>
      <c r="F138" s="236"/>
      <c r="G138" s="234"/>
      <c r="H138" s="234"/>
      <c r="I138" s="209" t="str">
        <f t="shared" si="4"/>
        <v xml:space="preserve">  </v>
      </c>
      <c r="J138" s="281"/>
      <c r="K138" s="213" t="str">
        <f>+IFERROR(VLOOKUP($J138,'11 FORMULAS'!$B$51:$C$53,2,0),"")</f>
        <v/>
      </c>
      <c r="L138" s="213" t="str">
        <f>+IFERROR(VLOOKUP($J138,'11 FORMULAS'!$B$51:$D$53,3,0),"")</f>
        <v/>
      </c>
      <c r="M138" s="245" t="s">
        <v>134</v>
      </c>
      <c r="N138" s="246">
        <f>+IFERROR(VLOOKUP($M138,'11 FORMULAS'!$B$54:$C$55,2,0),"")</f>
        <v>0.25</v>
      </c>
      <c r="O138" s="247" t="s">
        <v>146</v>
      </c>
      <c r="P138" s="247" t="s">
        <v>239</v>
      </c>
      <c r="Q138" s="247" t="s">
        <v>137</v>
      </c>
      <c r="R138" s="247" t="s">
        <v>247</v>
      </c>
      <c r="S138" s="213" t="str">
        <f t="shared" si="3"/>
        <v/>
      </c>
      <c r="T138" s="246">
        <f>IF($L138='11 FORMULAS'!$D$51,$C$100-($C$100*$S$100),$C$100)</f>
        <v>0.6</v>
      </c>
      <c r="U138" s="213">
        <f>IF($L138='11 FORMULAS'!$D$53,D138-(D138*S138),D138)</f>
        <v>0</v>
      </c>
      <c r="V138" s="603"/>
      <c r="W138" s="604"/>
      <c r="X138" s="27"/>
    </row>
    <row r="139" spans="1:24" ht="29.45" hidden="1" customHeight="1" thickBot="1" x14ac:dyDescent="0.3">
      <c r="A139" s="561"/>
      <c r="B139" s="565"/>
      <c r="C139" s="419"/>
      <c r="D139" s="557"/>
      <c r="E139" s="244">
        <v>4</v>
      </c>
      <c r="F139" s="237"/>
      <c r="G139" s="160"/>
      <c r="H139" s="160"/>
      <c r="I139" s="209" t="str">
        <f t="shared" si="4"/>
        <v xml:space="preserve">  </v>
      </c>
      <c r="J139" s="281"/>
      <c r="K139" s="213" t="str">
        <f>+IFERROR(VLOOKUP($J139,'11 FORMULAS'!$B$51:$C$53,2,0),"")</f>
        <v/>
      </c>
      <c r="L139" s="213" t="str">
        <f>+IFERROR(VLOOKUP($J139,'11 FORMULAS'!$B$51:$D$53,3,0),"")</f>
        <v/>
      </c>
      <c r="M139" s="245" t="s">
        <v>134</v>
      </c>
      <c r="N139" s="246">
        <f>+IFERROR(VLOOKUP($M139,'11 FORMULAS'!$B$54:$C$55,2,0),"")</f>
        <v>0.25</v>
      </c>
      <c r="O139" s="247" t="s">
        <v>146</v>
      </c>
      <c r="P139" s="247" t="s">
        <v>239</v>
      </c>
      <c r="Q139" s="247" t="s">
        <v>137</v>
      </c>
      <c r="R139" s="247" t="s">
        <v>247</v>
      </c>
      <c r="S139" s="213" t="str">
        <f t="shared" si="3"/>
        <v/>
      </c>
      <c r="T139" s="246">
        <f>IF($L139='11 FORMULAS'!$D$51,$C$100-($C$100*$S$100),$C$100)</f>
        <v>0.6</v>
      </c>
      <c r="U139" s="213">
        <f>IF($L139='11 FORMULAS'!$D$53,D139-(D139*S139),D139)</f>
        <v>0</v>
      </c>
      <c r="V139" s="598"/>
      <c r="W139" s="601"/>
      <c r="X139" s="27"/>
    </row>
    <row r="140" spans="1:24" ht="29.45" hidden="1" customHeight="1" thickBot="1" x14ac:dyDescent="0.3">
      <c r="A140" s="561"/>
      <c r="B140" s="565"/>
      <c r="C140" s="419"/>
      <c r="D140" s="557"/>
      <c r="E140" s="244">
        <v>5</v>
      </c>
      <c r="F140" s="237"/>
      <c r="G140" s="160"/>
      <c r="H140" s="160"/>
      <c r="I140" s="209" t="str">
        <f t="shared" si="4"/>
        <v xml:space="preserve">  </v>
      </c>
      <c r="J140" s="281"/>
      <c r="K140" s="213" t="str">
        <f>+IFERROR(VLOOKUP($J140,'11 FORMULAS'!$B$51:$C$53,2,0),"")</f>
        <v/>
      </c>
      <c r="L140" s="213" t="str">
        <f>+IFERROR(VLOOKUP($J140,'11 FORMULAS'!$B$51:$D$53,3,0),"")</f>
        <v/>
      </c>
      <c r="M140" s="245" t="s">
        <v>134</v>
      </c>
      <c r="N140" s="246">
        <f>+IFERROR(VLOOKUP($M140,'11 FORMULAS'!$B$54:$C$55,2,0),"")</f>
        <v>0.25</v>
      </c>
      <c r="O140" s="247" t="s">
        <v>146</v>
      </c>
      <c r="P140" s="247" t="s">
        <v>239</v>
      </c>
      <c r="Q140" s="247" t="s">
        <v>137</v>
      </c>
      <c r="R140" s="247" t="s">
        <v>247</v>
      </c>
      <c r="S140" s="213" t="str">
        <f t="shared" si="3"/>
        <v/>
      </c>
      <c r="T140" s="246">
        <f>IF($L140='11 FORMULAS'!$D$51,$C$100-($C$100*$S$100),$C$100)</f>
        <v>0.6</v>
      </c>
      <c r="U140" s="213">
        <f>IF($L140='11 FORMULAS'!$D$53,D140-(D140*S140),D140)</f>
        <v>0</v>
      </c>
      <c r="V140" s="598"/>
      <c r="W140" s="601"/>
      <c r="X140" s="27"/>
    </row>
    <row r="141" spans="1:24" ht="29.45" hidden="1" customHeight="1" thickBot="1" x14ac:dyDescent="0.3">
      <c r="A141" s="562"/>
      <c r="B141" s="566"/>
      <c r="C141" s="420"/>
      <c r="D141" s="558"/>
      <c r="E141" s="248">
        <v>6</v>
      </c>
      <c r="F141" s="239"/>
      <c r="G141" s="161"/>
      <c r="H141" s="161"/>
      <c r="I141" s="209" t="str">
        <f t="shared" si="4"/>
        <v xml:space="preserve">  </v>
      </c>
      <c r="J141" s="281"/>
      <c r="K141" s="213" t="str">
        <f>+IFERROR(VLOOKUP($J141,'11 FORMULAS'!$B$51:$C$53,2,0),"")</f>
        <v/>
      </c>
      <c r="L141" s="213" t="str">
        <f>+IFERROR(VLOOKUP($J141,'11 FORMULAS'!$B$51:$D$53,3,0),"")</f>
        <v/>
      </c>
      <c r="M141" s="245" t="s">
        <v>134</v>
      </c>
      <c r="N141" s="246">
        <f>+IFERROR(VLOOKUP($M141,'11 FORMULAS'!$B$54:$C$55,2,0),"")</f>
        <v>0.25</v>
      </c>
      <c r="O141" s="247" t="s">
        <v>146</v>
      </c>
      <c r="P141" s="247" t="s">
        <v>239</v>
      </c>
      <c r="Q141" s="247" t="s">
        <v>137</v>
      </c>
      <c r="R141" s="247" t="s">
        <v>247</v>
      </c>
      <c r="S141" s="213" t="str">
        <f t="shared" si="3"/>
        <v/>
      </c>
      <c r="T141" s="246">
        <f>IF($L141='11 FORMULAS'!$D$51,$C$100-($C$100*$S$100),$C$100)</f>
        <v>0.6</v>
      </c>
      <c r="U141" s="213">
        <f>IF($L141='11 FORMULAS'!$D$53,D141-(D141*S141),D141)</f>
        <v>0</v>
      </c>
      <c r="V141" s="599"/>
      <c r="W141" s="602"/>
      <c r="X141" s="27"/>
    </row>
    <row r="142" spans="1:24" ht="29.45" hidden="1" customHeight="1" thickBot="1" x14ac:dyDescent="0.3">
      <c r="A142" s="559" t="str">
        <f>'2 IDENTIFICACIÓN'!A32</f>
        <v>R23</v>
      </c>
      <c r="B142" s="563" t="str">
        <f>+'2 IDENTIFICACIÓN'!J32</f>
        <v xml:space="preserve"> por  debido a </v>
      </c>
      <c r="C142" s="418" t="str">
        <f>+'3 PROBABIL E IMPACTO INHERENTE'!E32</f>
        <v/>
      </c>
      <c r="D142" s="556" t="str">
        <f>+'3 PROBABIL E IMPACTO INHERENTE'!M32</f>
        <v/>
      </c>
      <c r="E142" s="249">
        <v>1</v>
      </c>
      <c r="F142" s="238"/>
      <c r="G142" s="34"/>
      <c r="H142" s="34"/>
      <c r="I142" s="209" t="str">
        <f t="shared" si="4"/>
        <v xml:space="preserve">  </v>
      </c>
      <c r="J142" s="281"/>
      <c r="K142" s="213" t="str">
        <f>+IFERROR(VLOOKUP($J142,'11 FORMULAS'!$B$51:$C$53,2,0),"")</f>
        <v/>
      </c>
      <c r="L142" s="213" t="str">
        <f>+IFERROR(VLOOKUP($J142,'11 FORMULAS'!$B$51:$D$53,3,0),"")</f>
        <v/>
      </c>
      <c r="M142" s="245" t="s">
        <v>134</v>
      </c>
      <c r="N142" s="246">
        <f>+IFERROR(VLOOKUP($M142,'11 FORMULAS'!$B$54:$C$55,2,0),"")</f>
        <v>0.25</v>
      </c>
      <c r="O142" s="247" t="s">
        <v>146</v>
      </c>
      <c r="P142" s="247" t="s">
        <v>239</v>
      </c>
      <c r="Q142" s="247" t="s">
        <v>137</v>
      </c>
      <c r="R142" s="247" t="s">
        <v>247</v>
      </c>
      <c r="S142" s="213" t="str">
        <f t="shared" si="3"/>
        <v/>
      </c>
      <c r="T142" s="246">
        <f>IF($L142='11 FORMULAS'!$D$51,$C$100-($C$100*$S$100),$C$100)</f>
        <v>0.6</v>
      </c>
      <c r="U142" s="213" t="str">
        <f>IF($L142='11 FORMULAS'!$D$53,D142-(D142*S142),D142)</f>
        <v/>
      </c>
      <c r="V142" s="597">
        <f>+IF(T147="","",T147)</f>
        <v>0.6</v>
      </c>
      <c r="W142" s="600">
        <f>+IF(U147="","",U147)</f>
        <v>0</v>
      </c>
      <c r="X142" s="27"/>
    </row>
    <row r="143" spans="1:24" ht="29.45" hidden="1" customHeight="1" thickBot="1" x14ac:dyDescent="0.3">
      <c r="A143" s="560"/>
      <c r="B143" s="564"/>
      <c r="C143" s="567"/>
      <c r="D143" s="568"/>
      <c r="E143" s="244">
        <v>2</v>
      </c>
      <c r="F143" s="236"/>
      <c r="G143" s="234"/>
      <c r="H143" s="234"/>
      <c r="I143" s="209" t="str">
        <f t="shared" si="4"/>
        <v xml:space="preserve">  </v>
      </c>
      <c r="J143" s="281"/>
      <c r="K143" s="213" t="str">
        <f>+IFERROR(VLOOKUP($J143,'11 FORMULAS'!$B$51:$C$53,2,0),"")</f>
        <v/>
      </c>
      <c r="L143" s="213" t="str">
        <f>+IFERROR(VLOOKUP($J143,'11 FORMULAS'!$B$51:$D$53,3,0),"")</f>
        <v/>
      </c>
      <c r="M143" s="245" t="s">
        <v>134</v>
      </c>
      <c r="N143" s="246">
        <f>+IFERROR(VLOOKUP($M143,'11 FORMULAS'!$B$54:$C$55,2,0),"")</f>
        <v>0.25</v>
      </c>
      <c r="O143" s="247" t="s">
        <v>146</v>
      </c>
      <c r="P143" s="247" t="s">
        <v>239</v>
      </c>
      <c r="Q143" s="247" t="s">
        <v>137</v>
      </c>
      <c r="R143" s="247" t="s">
        <v>247</v>
      </c>
      <c r="S143" s="213" t="str">
        <f t="shared" si="3"/>
        <v/>
      </c>
      <c r="T143" s="246">
        <f>IF($L143='11 FORMULAS'!$D$51,$C$100-($C$100*$S$100),$C$100)</f>
        <v>0.6</v>
      </c>
      <c r="U143" s="213">
        <f>IF($L143='11 FORMULAS'!$D$53,D143-(D143*S143),D143)</f>
        <v>0</v>
      </c>
      <c r="V143" s="603"/>
      <c r="W143" s="604"/>
      <c r="X143" s="27"/>
    </row>
    <row r="144" spans="1:24" ht="29.45" hidden="1" customHeight="1" thickBot="1" x14ac:dyDescent="0.3">
      <c r="A144" s="560"/>
      <c r="B144" s="564"/>
      <c r="C144" s="567"/>
      <c r="D144" s="568"/>
      <c r="E144" s="244">
        <v>3</v>
      </c>
      <c r="F144" s="236"/>
      <c r="G144" s="234"/>
      <c r="H144" s="234"/>
      <c r="I144" s="209" t="str">
        <f t="shared" si="4"/>
        <v xml:space="preserve">  </v>
      </c>
      <c r="J144" s="281"/>
      <c r="K144" s="213" t="str">
        <f>+IFERROR(VLOOKUP($J144,'11 FORMULAS'!$B$51:$C$53,2,0),"")</f>
        <v/>
      </c>
      <c r="L144" s="213" t="str">
        <f>+IFERROR(VLOOKUP($J144,'11 FORMULAS'!$B$51:$D$53,3,0),"")</f>
        <v/>
      </c>
      <c r="M144" s="245" t="s">
        <v>134</v>
      </c>
      <c r="N144" s="246">
        <f>+IFERROR(VLOOKUP($M144,'11 FORMULAS'!$B$54:$C$55,2,0),"")</f>
        <v>0.25</v>
      </c>
      <c r="O144" s="247" t="s">
        <v>146</v>
      </c>
      <c r="P144" s="247" t="s">
        <v>239</v>
      </c>
      <c r="Q144" s="247" t="s">
        <v>137</v>
      </c>
      <c r="R144" s="247" t="s">
        <v>247</v>
      </c>
      <c r="S144" s="213" t="str">
        <f t="shared" si="3"/>
        <v/>
      </c>
      <c r="T144" s="246">
        <f>IF($L144='11 FORMULAS'!$D$51,$C$100-($C$100*$S$100),$C$100)</f>
        <v>0.6</v>
      </c>
      <c r="U144" s="213">
        <f>IF($L144='11 FORMULAS'!$D$53,D144-(D144*S144),D144)</f>
        <v>0</v>
      </c>
      <c r="V144" s="603"/>
      <c r="W144" s="604"/>
      <c r="X144" s="27"/>
    </row>
    <row r="145" spans="1:24" ht="29.45" hidden="1" customHeight="1" thickBot="1" x14ac:dyDescent="0.3">
      <c r="A145" s="561"/>
      <c r="B145" s="565"/>
      <c r="C145" s="419"/>
      <c r="D145" s="557"/>
      <c r="E145" s="244">
        <v>4</v>
      </c>
      <c r="F145" s="237"/>
      <c r="G145" s="160"/>
      <c r="H145" s="160"/>
      <c r="I145" s="209" t="str">
        <f t="shared" si="4"/>
        <v xml:space="preserve">  </v>
      </c>
      <c r="J145" s="281"/>
      <c r="K145" s="213" t="str">
        <f>+IFERROR(VLOOKUP($J145,'11 FORMULAS'!$B$51:$C$53,2,0),"")</f>
        <v/>
      </c>
      <c r="L145" s="213" t="str">
        <f>+IFERROR(VLOOKUP($J145,'11 FORMULAS'!$B$51:$D$53,3,0),"")</f>
        <v/>
      </c>
      <c r="M145" s="245" t="s">
        <v>134</v>
      </c>
      <c r="N145" s="246">
        <f>+IFERROR(VLOOKUP($M145,'11 FORMULAS'!$B$54:$C$55,2,0),"")</f>
        <v>0.25</v>
      </c>
      <c r="O145" s="247" t="s">
        <v>146</v>
      </c>
      <c r="P145" s="247" t="s">
        <v>239</v>
      </c>
      <c r="Q145" s="247" t="s">
        <v>137</v>
      </c>
      <c r="R145" s="247" t="s">
        <v>247</v>
      </c>
      <c r="S145" s="213" t="str">
        <f t="shared" si="3"/>
        <v/>
      </c>
      <c r="T145" s="246">
        <f>IF($L145='11 FORMULAS'!$D$51,$C$100-($C$100*$S$100),$C$100)</f>
        <v>0.6</v>
      </c>
      <c r="U145" s="213">
        <f>IF($L145='11 FORMULAS'!$D$53,D145-(D145*S145),D145)</f>
        <v>0</v>
      </c>
      <c r="V145" s="598"/>
      <c r="W145" s="601"/>
      <c r="X145" s="27"/>
    </row>
    <row r="146" spans="1:24" ht="29.45" hidden="1" customHeight="1" thickBot="1" x14ac:dyDescent="0.3">
      <c r="A146" s="561"/>
      <c r="B146" s="565"/>
      <c r="C146" s="419"/>
      <c r="D146" s="557"/>
      <c r="E146" s="244">
        <v>5</v>
      </c>
      <c r="F146" s="237"/>
      <c r="G146" s="160"/>
      <c r="H146" s="160"/>
      <c r="I146" s="209" t="str">
        <f t="shared" si="4"/>
        <v xml:space="preserve">  </v>
      </c>
      <c r="J146" s="281"/>
      <c r="K146" s="213" t="str">
        <f>+IFERROR(VLOOKUP($J146,'11 FORMULAS'!$B$51:$C$53,2,0),"")</f>
        <v/>
      </c>
      <c r="L146" s="213" t="str">
        <f>+IFERROR(VLOOKUP($J146,'11 FORMULAS'!$B$51:$D$53,3,0),"")</f>
        <v/>
      </c>
      <c r="M146" s="245" t="s">
        <v>134</v>
      </c>
      <c r="N146" s="246">
        <f>+IFERROR(VLOOKUP($M146,'11 FORMULAS'!$B$54:$C$55,2,0),"")</f>
        <v>0.25</v>
      </c>
      <c r="O146" s="247" t="s">
        <v>146</v>
      </c>
      <c r="P146" s="247" t="s">
        <v>239</v>
      </c>
      <c r="Q146" s="247" t="s">
        <v>137</v>
      </c>
      <c r="R146" s="247" t="s">
        <v>247</v>
      </c>
      <c r="S146" s="213" t="str">
        <f t="shared" si="3"/>
        <v/>
      </c>
      <c r="T146" s="246">
        <f>IF($L146='11 FORMULAS'!$D$51,$C$100-($C$100*$S$100),$C$100)</f>
        <v>0.6</v>
      </c>
      <c r="U146" s="213">
        <f>IF($L146='11 FORMULAS'!$D$53,D146-(D146*S146),D146)</f>
        <v>0</v>
      </c>
      <c r="V146" s="598"/>
      <c r="W146" s="601"/>
      <c r="X146" s="27"/>
    </row>
    <row r="147" spans="1:24" ht="29.45" hidden="1" customHeight="1" thickBot="1" x14ac:dyDescent="0.3">
      <c r="A147" s="562"/>
      <c r="B147" s="566"/>
      <c r="C147" s="420"/>
      <c r="D147" s="558"/>
      <c r="E147" s="248">
        <v>6</v>
      </c>
      <c r="F147" s="239"/>
      <c r="G147" s="161"/>
      <c r="H147" s="161"/>
      <c r="I147" s="209" t="str">
        <f t="shared" si="4"/>
        <v xml:space="preserve">  </v>
      </c>
      <c r="J147" s="281"/>
      <c r="K147" s="213" t="str">
        <f>+IFERROR(VLOOKUP($J147,'11 FORMULAS'!$B$51:$C$53,2,0),"")</f>
        <v/>
      </c>
      <c r="L147" s="213" t="str">
        <f>+IFERROR(VLOOKUP($J147,'11 FORMULAS'!$B$51:$D$53,3,0),"")</f>
        <v/>
      </c>
      <c r="M147" s="245" t="s">
        <v>134</v>
      </c>
      <c r="N147" s="246">
        <f>+IFERROR(VLOOKUP($M147,'11 FORMULAS'!$B$54:$C$55,2,0),"")</f>
        <v>0.25</v>
      </c>
      <c r="O147" s="247" t="s">
        <v>146</v>
      </c>
      <c r="P147" s="247" t="s">
        <v>239</v>
      </c>
      <c r="Q147" s="247" t="s">
        <v>137</v>
      </c>
      <c r="R147" s="247" t="s">
        <v>247</v>
      </c>
      <c r="S147" s="213" t="str">
        <f t="shared" si="3"/>
        <v/>
      </c>
      <c r="T147" s="246">
        <f>IF($L147='11 FORMULAS'!$D$51,$C$100-($C$100*$S$100),$C$100)</f>
        <v>0.6</v>
      </c>
      <c r="U147" s="213">
        <f>IF($L147='11 FORMULAS'!$D$53,D147-(D147*S147),D147)</f>
        <v>0</v>
      </c>
      <c r="V147" s="599"/>
      <c r="W147" s="602"/>
      <c r="X147" s="27"/>
    </row>
    <row r="148" spans="1:24" ht="29.45" hidden="1" customHeight="1" thickBot="1" x14ac:dyDescent="0.3">
      <c r="A148" s="559" t="str">
        <f>'2 IDENTIFICACIÓN'!A33</f>
        <v>R24</v>
      </c>
      <c r="B148" s="563" t="str">
        <f>+'2 IDENTIFICACIÓN'!J33</f>
        <v xml:space="preserve"> por  debido a </v>
      </c>
      <c r="C148" s="418" t="str">
        <f>+'3 PROBABIL E IMPACTO INHERENTE'!E33</f>
        <v/>
      </c>
      <c r="D148" s="556" t="str">
        <f>+'3 PROBABIL E IMPACTO INHERENTE'!M33</f>
        <v/>
      </c>
      <c r="E148" s="249">
        <v>1</v>
      </c>
      <c r="F148" s="238"/>
      <c r="G148" s="34"/>
      <c r="H148" s="34"/>
      <c r="I148" s="209" t="str">
        <f t="shared" si="4"/>
        <v xml:space="preserve">  </v>
      </c>
      <c r="J148" s="281"/>
      <c r="K148" s="213" t="str">
        <f>+IFERROR(VLOOKUP($J148,'11 FORMULAS'!$B$51:$C$53,2,0),"")</f>
        <v/>
      </c>
      <c r="L148" s="213" t="str">
        <f>+IFERROR(VLOOKUP($J148,'11 FORMULAS'!$B$51:$D$53,3,0),"")</f>
        <v/>
      </c>
      <c r="M148" s="245" t="s">
        <v>134</v>
      </c>
      <c r="N148" s="246">
        <f>+IFERROR(VLOOKUP($M148,'11 FORMULAS'!$B$54:$C$55,2,0),"")</f>
        <v>0.25</v>
      </c>
      <c r="O148" s="247" t="s">
        <v>146</v>
      </c>
      <c r="P148" s="247" t="s">
        <v>239</v>
      </c>
      <c r="Q148" s="247" t="s">
        <v>137</v>
      </c>
      <c r="R148" s="247" t="s">
        <v>247</v>
      </c>
      <c r="S148" s="213" t="str">
        <f t="shared" si="3"/>
        <v/>
      </c>
      <c r="T148" s="246">
        <f>IF($L148='11 FORMULAS'!$D$51,$C$100-($C$100*$S$100),$C$100)</f>
        <v>0.6</v>
      </c>
      <c r="U148" s="213" t="str">
        <f>IF($L148='11 FORMULAS'!$D$53,D148-(D148*S148),D148)</f>
        <v/>
      </c>
      <c r="V148" s="597">
        <f>+IF(T153="","",T153)</f>
        <v>0.6</v>
      </c>
      <c r="W148" s="600">
        <f>+IF(U153="","",U153)</f>
        <v>0</v>
      </c>
      <c r="X148" s="27"/>
    </row>
    <row r="149" spans="1:24" ht="29.45" hidden="1" customHeight="1" thickBot="1" x14ac:dyDescent="0.3">
      <c r="A149" s="560"/>
      <c r="B149" s="564"/>
      <c r="C149" s="567"/>
      <c r="D149" s="568"/>
      <c r="E149" s="244">
        <v>2</v>
      </c>
      <c r="F149" s="236"/>
      <c r="G149" s="234"/>
      <c r="H149" s="234"/>
      <c r="I149" s="209" t="str">
        <f t="shared" si="4"/>
        <v xml:space="preserve">  </v>
      </c>
      <c r="J149" s="281"/>
      <c r="K149" s="213" t="str">
        <f>+IFERROR(VLOOKUP($J149,'11 FORMULAS'!$B$51:$C$53,2,0),"")</f>
        <v/>
      </c>
      <c r="L149" s="213" t="str">
        <f>+IFERROR(VLOOKUP($J149,'11 FORMULAS'!$B$51:$D$53,3,0),"")</f>
        <v/>
      </c>
      <c r="M149" s="245" t="s">
        <v>134</v>
      </c>
      <c r="N149" s="246">
        <f>+IFERROR(VLOOKUP($M149,'11 FORMULAS'!$B$54:$C$55,2,0),"")</f>
        <v>0.25</v>
      </c>
      <c r="O149" s="247" t="s">
        <v>146</v>
      </c>
      <c r="P149" s="247" t="s">
        <v>239</v>
      </c>
      <c r="Q149" s="247" t="s">
        <v>137</v>
      </c>
      <c r="R149" s="247" t="s">
        <v>247</v>
      </c>
      <c r="S149" s="213" t="str">
        <f t="shared" si="3"/>
        <v/>
      </c>
      <c r="T149" s="246">
        <f>IF($L149='11 FORMULAS'!$D$51,$C$100-($C$100*$S$100),$C$100)</f>
        <v>0.6</v>
      </c>
      <c r="U149" s="213">
        <f>IF($L149='11 FORMULAS'!$D$53,D149-(D149*S149),D149)</f>
        <v>0</v>
      </c>
      <c r="V149" s="603"/>
      <c r="W149" s="604"/>
      <c r="X149" s="27"/>
    </row>
    <row r="150" spans="1:24" ht="29.45" hidden="1" customHeight="1" thickBot="1" x14ac:dyDescent="0.3">
      <c r="A150" s="560"/>
      <c r="B150" s="564"/>
      <c r="C150" s="567"/>
      <c r="D150" s="568"/>
      <c r="E150" s="244">
        <v>3</v>
      </c>
      <c r="F150" s="236"/>
      <c r="G150" s="234"/>
      <c r="H150" s="234"/>
      <c r="I150" s="209" t="str">
        <f t="shared" si="4"/>
        <v xml:space="preserve">  </v>
      </c>
      <c r="J150" s="281"/>
      <c r="K150" s="213" t="str">
        <f>+IFERROR(VLOOKUP($J150,'11 FORMULAS'!$B$51:$C$53,2,0),"")</f>
        <v/>
      </c>
      <c r="L150" s="213" t="str">
        <f>+IFERROR(VLOOKUP($J150,'11 FORMULAS'!$B$51:$D$53,3,0),"")</f>
        <v/>
      </c>
      <c r="M150" s="245" t="s">
        <v>134</v>
      </c>
      <c r="N150" s="246">
        <f>+IFERROR(VLOOKUP($M150,'11 FORMULAS'!$B$54:$C$55,2,0),"")</f>
        <v>0.25</v>
      </c>
      <c r="O150" s="247" t="s">
        <v>146</v>
      </c>
      <c r="P150" s="247" t="s">
        <v>239</v>
      </c>
      <c r="Q150" s="247" t="s">
        <v>137</v>
      </c>
      <c r="R150" s="247" t="s">
        <v>247</v>
      </c>
      <c r="S150" s="213" t="str">
        <f t="shared" si="3"/>
        <v/>
      </c>
      <c r="T150" s="246">
        <f>IF($L150='11 FORMULAS'!$D$51,$C$100-($C$100*$S$100),$C$100)</f>
        <v>0.6</v>
      </c>
      <c r="U150" s="213">
        <f>IF($L150='11 FORMULAS'!$D$53,D150-(D150*S150),D150)</f>
        <v>0</v>
      </c>
      <c r="V150" s="603"/>
      <c r="W150" s="604"/>
      <c r="X150" s="27"/>
    </row>
    <row r="151" spans="1:24" ht="29.45" hidden="1" customHeight="1" thickBot="1" x14ac:dyDescent="0.3">
      <c r="A151" s="561"/>
      <c r="B151" s="565"/>
      <c r="C151" s="419"/>
      <c r="D151" s="557"/>
      <c r="E151" s="244">
        <v>4</v>
      </c>
      <c r="F151" s="237"/>
      <c r="G151" s="160"/>
      <c r="H151" s="160"/>
      <c r="I151" s="209" t="str">
        <f t="shared" si="4"/>
        <v xml:space="preserve">  </v>
      </c>
      <c r="J151" s="281"/>
      <c r="K151" s="213" t="str">
        <f>+IFERROR(VLOOKUP($J151,'11 FORMULAS'!$B$51:$C$53,2,0),"")</f>
        <v/>
      </c>
      <c r="L151" s="213" t="str">
        <f>+IFERROR(VLOOKUP($J151,'11 FORMULAS'!$B$51:$D$53,3,0),"")</f>
        <v/>
      </c>
      <c r="M151" s="245" t="s">
        <v>134</v>
      </c>
      <c r="N151" s="246">
        <f>+IFERROR(VLOOKUP($M151,'11 FORMULAS'!$B$54:$C$55,2,0),"")</f>
        <v>0.25</v>
      </c>
      <c r="O151" s="247" t="s">
        <v>146</v>
      </c>
      <c r="P151" s="247" t="s">
        <v>239</v>
      </c>
      <c r="Q151" s="247" t="s">
        <v>137</v>
      </c>
      <c r="R151" s="247" t="s">
        <v>247</v>
      </c>
      <c r="S151" s="213" t="str">
        <f t="shared" si="3"/>
        <v/>
      </c>
      <c r="T151" s="246">
        <f>IF($L151='11 FORMULAS'!$D$51,$C$100-($C$100*$S$100),$C$100)</f>
        <v>0.6</v>
      </c>
      <c r="U151" s="213">
        <f>IF($L151='11 FORMULAS'!$D$53,D151-(D151*S151),D151)</f>
        <v>0</v>
      </c>
      <c r="V151" s="598"/>
      <c r="W151" s="601"/>
      <c r="X151" s="27"/>
    </row>
    <row r="152" spans="1:24" ht="29.45" hidden="1" customHeight="1" thickBot="1" x14ac:dyDescent="0.3">
      <c r="A152" s="561"/>
      <c r="B152" s="565"/>
      <c r="C152" s="419"/>
      <c r="D152" s="557"/>
      <c r="E152" s="244">
        <v>5</v>
      </c>
      <c r="F152" s="237"/>
      <c r="G152" s="160"/>
      <c r="H152" s="160"/>
      <c r="I152" s="209" t="str">
        <f t="shared" si="4"/>
        <v xml:space="preserve">  </v>
      </c>
      <c r="J152" s="281"/>
      <c r="K152" s="213" t="str">
        <f>+IFERROR(VLOOKUP($J152,'11 FORMULAS'!$B$51:$C$53,2,0),"")</f>
        <v/>
      </c>
      <c r="L152" s="213" t="str">
        <f>+IFERROR(VLOOKUP($J152,'11 FORMULAS'!$B$51:$D$53,3,0),"")</f>
        <v/>
      </c>
      <c r="M152" s="245" t="s">
        <v>134</v>
      </c>
      <c r="N152" s="246">
        <f>+IFERROR(VLOOKUP($M152,'11 FORMULAS'!$B$54:$C$55,2,0),"")</f>
        <v>0.25</v>
      </c>
      <c r="O152" s="247" t="s">
        <v>146</v>
      </c>
      <c r="P152" s="247" t="s">
        <v>239</v>
      </c>
      <c r="Q152" s="247" t="s">
        <v>137</v>
      </c>
      <c r="R152" s="247" t="s">
        <v>247</v>
      </c>
      <c r="S152" s="213" t="str">
        <f t="shared" si="3"/>
        <v/>
      </c>
      <c r="T152" s="246">
        <f>IF($L152='11 FORMULAS'!$D$51,$C$100-($C$100*$S$100),$C$100)</f>
        <v>0.6</v>
      </c>
      <c r="U152" s="213">
        <f>IF($L152='11 FORMULAS'!$D$53,D152-(D152*S152),D152)</f>
        <v>0</v>
      </c>
      <c r="V152" s="598"/>
      <c r="W152" s="601"/>
      <c r="X152" s="27"/>
    </row>
    <row r="153" spans="1:24" ht="29.45" hidden="1" customHeight="1" thickBot="1" x14ac:dyDescent="0.3">
      <c r="A153" s="562"/>
      <c r="B153" s="566"/>
      <c r="C153" s="420"/>
      <c r="D153" s="558"/>
      <c r="E153" s="248">
        <v>6</v>
      </c>
      <c r="F153" s="239"/>
      <c r="G153" s="161"/>
      <c r="H153" s="161"/>
      <c r="I153" s="209" t="str">
        <f t="shared" si="4"/>
        <v xml:space="preserve">  </v>
      </c>
      <c r="J153" s="281"/>
      <c r="K153" s="213" t="str">
        <f>+IFERROR(VLOOKUP($J153,'11 FORMULAS'!$B$51:$C$53,2,0),"")</f>
        <v/>
      </c>
      <c r="L153" s="213" t="str">
        <f>+IFERROR(VLOOKUP($J153,'11 FORMULAS'!$B$51:$D$53,3,0),"")</f>
        <v/>
      </c>
      <c r="M153" s="245" t="s">
        <v>134</v>
      </c>
      <c r="N153" s="246">
        <f>+IFERROR(VLOOKUP($M153,'11 FORMULAS'!$B$54:$C$55,2,0),"")</f>
        <v>0.25</v>
      </c>
      <c r="O153" s="247" t="s">
        <v>146</v>
      </c>
      <c r="P153" s="247" t="s">
        <v>239</v>
      </c>
      <c r="Q153" s="247" t="s">
        <v>137</v>
      </c>
      <c r="R153" s="247" t="s">
        <v>247</v>
      </c>
      <c r="S153" s="213" t="str">
        <f t="shared" si="3"/>
        <v/>
      </c>
      <c r="T153" s="246">
        <f>IF($L153='11 FORMULAS'!$D$51,$C$100-($C$100*$S$100),$C$100)</f>
        <v>0.6</v>
      </c>
      <c r="U153" s="213">
        <f>IF($L153='11 FORMULAS'!$D$53,D153-(D153*S153),D153)</f>
        <v>0</v>
      </c>
      <c r="V153" s="599"/>
      <c r="W153" s="602"/>
      <c r="X153" s="27"/>
    </row>
    <row r="154" spans="1:24" ht="29.45" hidden="1" customHeight="1" thickBot="1" x14ac:dyDescent="0.3">
      <c r="A154" s="559" t="str">
        <f>'2 IDENTIFICACIÓN'!A34</f>
        <v>R25</v>
      </c>
      <c r="B154" s="563" t="str">
        <f>+'2 IDENTIFICACIÓN'!J34</f>
        <v xml:space="preserve"> por  debido a </v>
      </c>
      <c r="C154" s="418" t="str">
        <f>+'3 PROBABIL E IMPACTO INHERENTE'!E34</f>
        <v/>
      </c>
      <c r="D154" s="556" t="str">
        <f>+'3 PROBABIL E IMPACTO INHERENTE'!M34</f>
        <v/>
      </c>
      <c r="E154" s="249">
        <v>1</v>
      </c>
      <c r="F154" s="238"/>
      <c r="G154" s="34"/>
      <c r="H154" s="34"/>
      <c r="I154" s="209" t="str">
        <f t="shared" si="4"/>
        <v xml:space="preserve">  </v>
      </c>
      <c r="J154" s="281"/>
      <c r="K154" s="213" t="str">
        <f>+IFERROR(VLOOKUP($J154,'11 FORMULAS'!$B$51:$C$53,2,0),"")</f>
        <v/>
      </c>
      <c r="L154" s="213" t="str">
        <f>+IFERROR(VLOOKUP($J154,'11 FORMULAS'!$B$51:$D$53,3,0),"")</f>
        <v/>
      </c>
      <c r="M154" s="245" t="s">
        <v>134</v>
      </c>
      <c r="N154" s="246">
        <f>+IFERROR(VLOOKUP($M154,'11 FORMULAS'!$B$54:$C$55,2,0),"")</f>
        <v>0.25</v>
      </c>
      <c r="O154" s="247" t="s">
        <v>146</v>
      </c>
      <c r="P154" s="247" t="s">
        <v>239</v>
      </c>
      <c r="Q154" s="247" t="s">
        <v>137</v>
      </c>
      <c r="R154" s="247" t="s">
        <v>247</v>
      </c>
      <c r="S154" s="213" t="str">
        <f t="shared" si="3"/>
        <v/>
      </c>
      <c r="T154" s="246">
        <f>IF($L154='11 FORMULAS'!$D$51,$C$100-($C$100*$S$100),$C$100)</f>
        <v>0.6</v>
      </c>
      <c r="U154" s="213" t="str">
        <f>IF($L154='11 FORMULAS'!$D$53,D154-(D154*S154),D154)</f>
        <v/>
      </c>
      <c r="V154" s="597">
        <f>+IF(T159="","",T159)</f>
        <v>0.6</v>
      </c>
      <c r="W154" s="600">
        <f>+IF(U159="","",U159)</f>
        <v>0</v>
      </c>
      <c r="X154" s="27"/>
    </row>
    <row r="155" spans="1:24" ht="29.45" hidden="1" customHeight="1" thickBot="1" x14ac:dyDescent="0.3">
      <c r="A155" s="560"/>
      <c r="B155" s="564"/>
      <c r="C155" s="567"/>
      <c r="D155" s="568"/>
      <c r="E155" s="244">
        <v>2</v>
      </c>
      <c r="F155" s="236"/>
      <c r="G155" s="234"/>
      <c r="H155" s="234"/>
      <c r="I155" s="209" t="str">
        <f t="shared" si="4"/>
        <v xml:space="preserve">  </v>
      </c>
      <c r="J155" s="281"/>
      <c r="K155" s="213" t="str">
        <f>+IFERROR(VLOOKUP($J155,'11 FORMULAS'!$B$51:$C$53,2,0),"")</f>
        <v/>
      </c>
      <c r="L155" s="213" t="str">
        <f>+IFERROR(VLOOKUP($J155,'11 FORMULAS'!$B$51:$D$53,3,0),"")</f>
        <v/>
      </c>
      <c r="M155" s="245" t="s">
        <v>134</v>
      </c>
      <c r="N155" s="246">
        <f>+IFERROR(VLOOKUP($M155,'11 FORMULAS'!$B$54:$C$55,2,0),"")</f>
        <v>0.25</v>
      </c>
      <c r="O155" s="247" t="s">
        <v>146</v>
      </c>
      <c r="P155" s="247" t="s">
        <v>239</v>
      </c>
      <c r="Q155" s="247" t="s">
        <v>137</v>
      </c>
      <c r="R155" s="247" t="s">
        <v>247</v>
      </c>
      <c r="S155" s="213" t="str">
        <f t="shared" si="3"/>
        <v/>
      </c>
      <c r="T155" s="246">
        <f>IF($L155='11 FORMULAS'!$D$51,$C$100-($C$100*$S$100),$C$100)</f>
        <v>0.6</v>
      </c>
      <c r="U155" s="213">
        <f>IF($L155='11 FORMULAS'!$D$53,D155-(D155*S155),D155)</f>
        <v>0</v>
      </c>
      <c r="V155" s="603"/>
      <c r="W155" s="604"/>
      <c r="X155" s="27"/>
    </row>
    <row r="156" spans="1:24" ht="29.45" hidden="1" customHeight="1" thickBot="1" x14ac:dyDescent="0.3">
      <c r="A156" s="560"/>
      <c r="B156" s="564"/>
      <c r="C156" s="567"/>
      <c r="D156" s="568"/>
      <c r="E156" s="244">
        <v>3</v>
      </c>
      <c r="F156" s="236"/>
      <c r="G156" s="234"/>
      <c r="H156" s="234"/>
      <c r="I156" s="209" t="str">
        <f t="shared" si="4"/>
        <v xml:space="preserve">  </v>
      </c>
      <c r="J156" s="281"/>
      <c r="K156" s="213" t="str">
        <f>+IFERROR(VLOOKUP($J156,'11 FORMULAS'!$B$51:$C$53,2,0),"")</f>
        <v/>
      </c>
      <c r="L156" s="213" t="str">
        <f>+IFERROR(VLOOKUP($J156,'11 FORMULAS'!$B$51:$D$53,3,0),"")</f>
        <v/>
      </c>
      <c r="M156" s="245" t="s">
        <v>134</v>
      </c>
      <c r="N156" s="246">
        <f>+IFERROR(VLOOKUP($M156,'11 FORMULAS'!$B$54:$C$55,2,0),"")</f>
        <v>0.25</v>
      </c>
      <c r="O156" s="247" t="s">
        <v>146</v>
      </c>
      <c r="P156" s="247" t="s">
        <v>239</v>
      </c>
      <c r="Q156" s="247" t="s">
        <v>137</v>
      </c>
      <c r="R156" s="247" t="s">
        <v>247</v>
      </c>
      <c r="S156" s="213" t="str">
        <f t="shared" si="3"/>
        <v/>
      </c>
      <c r="T156" s="246">
        <f>IF($L156='11 FORMULAS'!$D$51,$C$100-($C$100*$S$100),$C$100)</f>
        <v>0.6</v>
      </c>
      <c r="U156" s="213">
        <f>IF($L156='11 FORMULAS'!$D$53,D156-(D156*S156),D156)</f>
        <v>0</v>
      </c>
      <c r="V156" s="603"/>
      <c r="W156" s="604"/>
      <c r="X156" s="27"/>
    </row>
    <row r="157" spans="1:24" ht="29.45" hidden="1" customHeight="1" thickBot="1" x14ac:dyDescent="0.3">
      <c r="A157" s="561"/>
      <c r="B157" s="565"/>
      <c r="C157" s="419"/>
      <c r="D157" s="557"/>
      <c r="E157" s="244">
        <v>4</v>
      </c>
      <c r="F157" s="237"/>
      <c r="G157" s="160"/>
      <c r="H157" s="160"/>
      <c r="I157" s="209" t="str">
        <f t="shared" si="4"/>
        <v xml:space="preserve">  </v>
      </c>
      <c r="J157" s="281"/>
      <c r="K157" s="213" t="str">
        <f>+IFERROR(VLOOKUP($J157,'11 FORMULAS'!$B$51:$C$53,2,0),"")</f>
        <v/>
      </c>
      <c r="L157" s="213" t="str">
        <f>+IFERROR(VLOOKUP($J157,'11 FORMULAS'!$B$51:$D$53,3,0),"")</f>
        <v/>
      </c>
      <c r="M157" s="245" t="s">
        <v>134</v>
      </c>
      <c r="N157" s="246">
        <f>+IFERROR(VLOOKUP($M157,'11 FORMULAS'!$B$54:$C$55,2,0),"")</f>
        <v>0.25</v>
      </c>
      <c r="O157" s="247" t="s">
        <v>146</v>
      </c>
      <c r="P157" s="247" t="s">
        <v>239</v>
      </c>
      <c r="Q157" s="247" t="s">
        <v>137</v>
      </c>
      <c r="R157" s="247" t="s">
        <v>247</v>
      </c>
      <c r="S157" s="213" t="str">
        <f t="shared" si="3"/>
        <v/>
      </c>
      <c r="T157" s="246">
        <f>IF($L157='11 FORMULAS'!$D$51,$C$100-($C$100*$S$100),$C$100)</f>
        <v>0.6</v>
      </c>
      <c r="U157" s="213">
        <f>IF($L157='11 FORMULAS'!$D$53,D157-(D157*S157),D157)</f>
        <v>0</v>
      </c>
      <c r="V157" s="598"/>
      <c r="W157" s="601"/>
      <c r="X157" s="27"/>
    </row>
    <row r="158" spans="1:24" ht="29.45" hidden="1" customHeight="1" thickBot="1" x14ac:dyDescent="0.3">
      <c r="A158" s="561"/>
      <c r="B158" s="565"/>
      <c r="C158" s="419"/>
      <c r="D158" s="557"/>
      <c r="E158" s="244">
        <v>5</v>
      </c>
      <c r="F158" s="237"/>
      <c r="G158" s="160"/>
      <c r="H158" s="160"/>
      <c r="I158" s="209" t="str">
        <f t="shared" si="4"/>
        <v xml:space="preserve">  </v>
      </c>
      <c r="J158" s="281"/>
      <c r="K158" s="213" t="str">
        <f>+IFERROR(VLOOKUP($J158,'11 FORMULAS'!$B$51:$C$53,2,0),"")</f>
        <v/>
      </c>
      <c r="L158" s="213" t="str">
        <f>+IFERROR(VLOOKUP($J158,'11 FORMULAS'!$B$51:$D$53,3,0),"")</f>
        <v/>
      </c>
      <c r="M158" s="245" t="s">
        <v>134</v>
      </c>
      <c r="N158" s="246">
        <f>+IFERROR(VLOOKUP($M158,'11 FORMULAS'!$B$54:$C$55,2,0),"")</f>
        <v>0.25</v>
      </c>
      <c r="O158" s="247" t="s">
        <v>146</v>
      </c>
      <c r="P158" s="247" t="s">
        <v>239</v>
      </c>
      <c r="Q158" s="247" t="s">
        <v>137</v>
      </c>
      <c r="R158" s="247" t="s">
        <v>247</v>
      </c>
      <c r="S158" s="213" t="str">
        <f t="shared" si="3"/>
        <v/>
      </c>
      <c r="T158" s="246">
        <f>IF($L158='11 FORMULAS'!$D$51,$C$100-($C$100*$S$100),$C$100)</f>
        <v>0.6</v>
      </c>
      <c r="U158" s="213">
        <f>IF($L158='11 FORMULAS'!$D$53,D158-(D158*S158),D158)</f>
        <v>0</v>
      </c>
      <c r="V158" s="598"/>
      <c r="W158" s="601"/>
      <c r="X158" s="27"/>
    </row>
    <row r="159" spans="1:24" ht="29.45" hidden="1" customHeight="1" thickBot="1" x14ac:dyDescent="0.3">
      <c r="A159" s="562"/>
      <c r="B159" s="566"/>
      <c r="C159" s="420"/>
      <c r="D159" s="558"/>
      <c r="E159" s="248">
        <v>6</v>
      </c>
      <c r="F159" s="239"/>
      <c r="G159" s="161"/>
      <c r="H159" s="161"/>
      <c r="I159" s="209" t="str">
        <f t="shared" si="4"/>
        <v xml:space="preserve">  </v>
      </c>
      <c r="J159" s="281"/>
      <c r="K159" s="213" t="str">
        <f>+IFERROR(VLOOKUP($J159,'11 FORMULAS'!$B$51:$C$53,2,0),"")</f>
        <v/>
      </c>
      <c r="L159" s="213" t="str">
        <f>+IFERROR(VLOOKUP($J159,'11 FORMULAS'!$B$51:$D$53,3,0),"")</f>
        <v/>
      </c>
      <c r="M159" s="245" t="s">
        <v>134</v>
      </c>
      <c r="N159" s="246">
        <f>+IFERROR(VLOOKUP($M159,'11 FORMULAS'!$B$54:$C$55,2,0),"")</f>
        <v>0.25</v>
      </c>
      <c r="O159" s="247" t="s">
        <v>146</v>
      </c>
      <c r="P159" s="247" t="s">
        <v>239</v>
      </c>
      <c r="Q159" s="247" t="s">
        <v>137</v>
      </c>
      <c r="R159" s="247" t="s">
        <v>247</v>
      </c>
      <c r="S159" s="213" t="str">
        <f t="shared" si="3"/>
        <v/>
      </c>
      <c r="T159" s="246">
        <f>IF($L159='11 FORMULAS'!$D$51,$C$100-($C$100*$S$100),$C$100)</f>
        <v>0.6</v>
      </c>
      <c r="U159" s="213">
        <f>IF($L159='11 FORMULAS'!$D$53,D159-(D159*S159),D159)</f>
        <v>0</v>
      </c>
      <c r="V159" s="599"/>
      <c r="W159" s="602"/>
      <c r="X159" s="27"/>
    </row>
    <row r="160" spans="1:24" ht="29.45" hidden="1" customHeight="1" thickBot="1" x14ac:dyDescent="0.3">
      <c r="A160" s="559" t="str">
        <f>'2 IDENTIFICACIÓN'!A35</f>
        <v>R26</v>
      </c>
      <c r="B160" s="563" t="str">
        <f>+'2 IDENTIFICACIÓN'!J35</f>
        <v xml:space="preserve"> por  debido a </v>
      </c>
      <c r="C160" s="418" t="str">
        <f>+'3 PROBABIL E IMPACTO INHERENTE'!E35</f>
        <v/>
      </c>
      <c r="D160" s="556" t="str">
        <f>+'3 PROBABIL E IMPACTO INHERENTE'!M35</f>
        <v/>
      </c>
      <c r="E160" s="249">
        <v>1</v>
      </c>
      <c r="F160" s="238"/>
      <c r="G160" s="34"/>
      <c r="H160" s="34"/>
      <c r="I160" s="209" t="str">
        <f t="shared" si="4"/>
        <v xml:space="preserve">  </v>
      </c>
      <c r="J160" s="281"/>
      <c r="K160" s="213" t="str">
        <f>+IFERROR(VLOOKUP($J160,'11 FORMULAS'!$B$51:$C$53,2,0),"")</f>
        <v/>
      </c>
      <c r="L160" s="213" t="str">
        <f>+IFERROR(VLOOKUP($J160,'11 FORMULAS'!$B$51:$D$53,3,0),"")</f>
        <v/>
      </c>
      <c r="M160" s="245" t="s">
        <v>134</v>
      </c>
      <c r="N160" s="246">
        <f>+IFERROR(VLOOKUP($M160,'11 FORMULAS'!$B$54:$C$55,2,0),"")</f>
        <v>0.25</v>
      </c>
      <c r="O160" s="247" t="s">
        <v>146</v>
      </c>
      <c r="P160" s="247" t="s">
        <v>239</v>
      </c>
      <c r="Q160" s="247" t="s">
        <v>137</v>
      </c>
      <c r="R160" s="247" t="s">
        <v>247</v>
      </c>
      <c r="S160" s="213" t="str">
        <f t="shared" si="3"/>
        <v/>
      </c>
      <c r="T160" s="246">
        <f>IF($L160='11 FORMULAS'!$D$51,$C$100-($C$100*$S$100),$C$100)</f>
        <v>0.6</v>
      </c>
      <c r="U160" s="213" t="str">
        <f>IF($L160='11 FORMULAS'!$D$53,D160-(D160*S160),D160)</f>
        <v/>
      </c>
      <c r="V160" s="597">
        <f>+IF(T165="","",T165)</f>
        <v>0.6</v>
      </c>
      <c r="W160" s="600">
        <f>+IF(U165="","",U165)</f>
        <v>0</v>
      </c>
      <c r="X160" s="27"/>
    </row>
    <row r="161" spans="1:24" ht="29.45" hidden="1" customHeight="1" thickBot="1" x14ac:dyDescent="0.3">
      <c r="A161" s="560"/>
      <c r="B161" s="564"/>
      <c r="C161" s="567"/>
      <c r="D161" s="568"/>
      <c r="E161" s="244">
        <v>2</v>
      </c>
      <c r="F161" s="236"/>
      <c r="G161" s="234"/>
      <c r="H161" s="234"/>
      <c r="I161" s="209" t="str">
        <f t="shared" si="4"/>
        <v xml:space="preserve">  </v>
      </c>
      <c r="J161" s="281"/>
      <c r="K161" s="213" t="str">
        <f>+IFERROR(VLOOKUP($J161,'11 FORMULAS'!$B$51:$C$53,2,0),"")</f>
        <v/>
      </c>
      <c r="L161" s="213" t="str">
        <f>+IFERROR(VLOOKUP($J161,'11 FORMULAS'!$B$51:$D$53,3,0),"")</f>
        <v/>
      </c>
      <c r="M161" s="245" t="s">
        <v>134</v>
      </c>
      <c r="N161" s="246">
        <f>+IFERROR(VLOOKUP($M161,'11 FORMULAS'!$B$54:$C$55,2,0),"")</f>
        <v>0.25</v>
      </c>
      <c r="O161" s="247" t="s">
        <v>146</v>
      </c>
      <c r="P161" s="247" t="s">
        <v>239</v>
      </c>
      <c r="Q161" s="247" t="s">
        <v>137</v>
      </c>
      <c r="R161" s="247" t="s">
        <v>247</v>
      </c>
      <c r="S161" s="213" t="str">
        <f t="shared" si="3"/>
        <v/>
      </c>
      <c r="T161" s="246">
        <f>IF($L161='11 FORMULAS'!$D$51,$C$100-($C$100*$S$100),$C$100)</f>
        <v>0.6</v>
      </c>
      <c r="U161" s="213">
        <f>IF($L161='11 FORMULAS'!$D$53,D161-(D161*S161),D161)</f>
        <v>0</v>
      </c>
      <c r="V161" s="603"/>
      <c r="W161" s="604"/>
      <c r="X161" s="27"/>
    </row>
    <row r="162" spans="1:24" ht="29.45" hidden="1" customHeight="1" thickBot="1" x14ac:dyDescent="0.3">
      <c r="A162" s="560"/>
      <c r="B162" s="564"/>
      <c r="C162" s="567"/>
      <c r="D162" s="568"/>
      <c r="E162" s="244">
        <v>3</v>
      </c>
      <c r="F162" s="236"/>
      <c r="G162" s="234"/>
      <c r="H162" s="234"/>
      <c r="I162" s="209" t="str">
        <f t="shared" si="4"/>
        <v xml:space="preserve">  </v>
      </c>
      <c r="J162" s="281"/>
      <c r="K162" s="213" t="str">
        <f>+IFERROR(VLOOKUP($J162,'11 FORMULAS'!$B$51:$C$53,2,0),"")</f>
        <v/>
      </c>
      <c r="L162" s="213" t="str">
        <f>+IFERROR(VLOOKUP($J162,'11 FORMULAS'!$B$51:$D$53,3,0),"")</f>
        <v/>
      </c>
      <c r="M162" s="245" t="s">
        <v>134</v>
      </c>
      <c r="N162" s="246">
        <f>+IFERROR(VLOOKUP($M162,'11 FORMULAS'!$B$54:$C$55,2,0),"")</f>
        <v>0.25</v>
      </c>
      <c r="O162" s="247" t="s">
        <v>146</v>
      </c>
      <c r="P162" s="247" t="s">
        <v>239</v>
      </c>
      <c r="Q162" s="247" t="s">
        <v>137</v>
      </c>
      <c r="R162" s="247" t="s">
        <v>247</v>
      </c>
      <c r="S162" s="213" t="str">
        <f t="shared" si="3"/>
        <v/>
      </c>
      <c r="T162" s="246">
        <f>IF($L162='11 FORMULAS'!$D$51,$C$100-($C$100*$S$100),$C$100)</f>
        <v>0.6</v>
      </c>
      <c r="U162" s="213">
        <f>IF($L162='11 FORMULAS'!$D$53,D162-(D162*S162),D162)</f>
        <v>0</v>
      </c>
      <c r="V162" s="603"/>
      <c r="W162" s="604"/>
      <c r="X162" s="27"/>
    </row>
    <row r="163" spans="1:24" ht="29.45" hidden="1" customHeight="1" thickBot="1" x14ac:dyDescent="0.3">
      <c r="A163" s="561"/>
      <c r="B163" s="565"/>
      <c r="C163" s="419"/>
      <c r="D163" s="557"/>
      <c r="E163" s="244">
        <v>4</v>
      </c>
      <c r="F163" s="237"/>
      <c r="G163" s="160"/>
      <c r="H163" s="160"/>
      <c r="I163" s="209" t="str">
        <f t="shared" si="4"/>
        <v xml:space="preserve">  </v>
      </c>
      <c r="J163" s="281"/>
      <c r="K163" s="213" t="str">
        <f>+IFERROR(VLOOKUP($J163,'11 FORMULAS'!$B$51:$C$53,2,0),"")</f>
        <v/>
      </c>
      <c r="L163" s="213" t="str">
        <f>+IFERROR(VLOOKUP($J163,'11 FORMULAS'!$B$51:$D$53,3,0),"")</f>
        <v/>
      </c>
      <c r="M163" s="245" t="s">
        <v>134</v>
      </c>
      <c r="N163" s="246">
        <f>+IFERROR(VLOOKUP($M163,'11 FORMULAS'!$B$54:$C$55,2,0),"")</f>
        <v>0.25</v>
      </c>
      <c r="O163" s="247" t="s">
        <v>146</v>
      </c>
      <c r="P163" s="247" t="s">
        <v>239</v>
      </c>
      <c r="Q163" s="247" t="s">
        <v>137</v>
      </c>
      <c r="R163" s="247" t="s">
        <v>247</v>
      </c>
      <c r="S163" s="213" t="str">
        <f t="shared" si="3"/>
        <v/>
      </c>
      <c r="T163" s="246">
        <f>IF($L163='11 FORMULAS'!$D$51,$C$100-($C$100*$S$100),$C$100)</f>
        <v>0.6</v>
      </c>
      <c r="U163" s="213">
        <f>IF($L163='11 FORMULAS'!$D$53,D163-(D163*S163),D163)</f>
        <v>0</v>
      </c>
      <c r="V163" s="598"/>
      <c r="W163" s="601"/>
      <c r="X163" s="27"/>
    </row>
    <row r="164" spans="1:24" ht="29.45" hidden="1" customHeight="1" thickBot="1" x14ac:dyDescent="0.3">
      <c r="A164" s="561"/>
      <c r="B164" s="565"/>
      <c r="C164" s="419"/>
      <c r="D164" s="557"/>
      <c r="E164" s="244">
        <v>5</v>
      </c>
      <c r="F164" s="237"/>
      <c r="G164" s="160"/>
      <c r="H164" s="160"/>
      <c r="I164" s="209" t="str">
        <f t="shared" si="4"/>
        <v xml:space="preserve">  </v>
      </c>
      <c r="J164" s="281"/>
      <c r="K164" s="213" t="str">
        <f>+IFERROR(VLOOKUP($J164,'11 FORMULAS'!$B$51:$C$53,2,0),"")</f>
        <v/>
      </c>
      <c r="L164" s="213" t="str">
        <f>+IFERROR(VLOOKUP($J164,'11 FORMULAS'!$B$51:$D$53,3,0),"")</f>
        <v/>
      </c>
      <c r="M164" s="245" t="s">
        <v>134</v>
      </c>
      <c r="N164" s="246">
        <f>+IFERROR(VLOOKUP($M164,'11 FORMULAS'!$B$54:$C$55,2,0),"")</f>
        <v>0.25</v>
      </c>
      <c r="O164" s="247" t="s">
        <v>146</v>
      </c>
      <c r="P164" s="247" t="s">
        <v>239</v>
      </c>
      <c r="Q164" s="247" t="s">
        <v>137</v>
      </c>
      <c r="R164" s="247" t="s">
        <v>247</v>
      </c>
      <c r="S164" s="213" t="str">
        <f t="shared" si="3"/>
        <v/>
      </c>
      <c r="T164" s="246">
        <f>IF($L164='11 FORMULAS'!$D$51,$C$100-($C$100*$S$100),$C$100)</f>
        <v>0.6</v>
      </c>
      <c r="U164" s="213">
        <f>IF($L164='11 FORMULAS'!$D$53,D164-(D164*S164),D164)</f>
        <v>0</v>
      </c>
      <c r="V164" s="598"/>
      <c r="W164" s="601"/>
      <c r="X164" s="27"/>
    </row>
    <row r="165" spans="1:24" ht="29.45" hidden="1" customHeight="1" thickBot="1" x14ac:dyDescent="0.3">
      <c r="A165" s="562"/>
      <c r="B165" s="566"/>
      <c r="C165" s="420"/>
      <c r="D165" s="558"/>
      <c r="E165" s="248">
        <v>6</v>
      </c>
      <c r="F165" s="239"/>
      <c r="G165" s="161"/>
      <c r="H165" s="161"/>
      <c r="I165" s="209" t="str">
        <f t="shared" si="4"/>
        <v xml:space="preserve">  </v>
      </c>
      <c r="J165" s="281"/>
      <c r="K165" s="213" t="str">
        <f>+IFERROR(VLOOKUP($J165,'11 FORMULAS'!$B$51:$C$53,2,0),"")</f>
        <v/>
      </c>
      <c r="L165" s="213" t="str">
        <f>+IFERROR(VLOOKUP($J165,'11 FORMULAS'!$B$51:$D$53,3,0),"")</f>
        <v/>
      </c>
      <c r="M165" s="245" t="s">
        <v>134</v>
      </c>
      <c r="N165" s="246">
        <f>+IFERROR(VLOOKUP($M165,'11 FORMULAS'!$B$54:$C$55,2,0),"")</f>
        <v>0.25</v>
      </c>
      <c r="O165" s="247" t="s">
        <v>146</v>
      </c>
      <c r="P165" s="247" t="s">
        <v>239</v>
      </c>
      <c r="Q165" s="247" t="s">
        <v>137</v>
      </c>
      <c r="R165" s="247" t="s">
        <v>247</v>
      </c>
      <c r="S165" s="213" t="str">
        <f t="shared" si="3"/>
        <v/>
      </c>
      <c r="T165" s="246">
        <f>IF($L165='11 FORMULAS'!$D$51,$C$100-($C$100*$S$100),$C$100)</f>
        <v>0.6</v>
      </c>
      <c r="U165" s="213">
        <f>IF($L165='11 FORMULAS'!$D$53,D165-(D165*S165),D165)</f>
        <v>0</v>
      </c>
      <c r="V165" s="599"/>
      <c r="W165" s="602"/>
      <c r="X165" s="27"/>
    </row>
    <row r="166" spans="1:24" ht="29.45" hidden="1" customHeight="1" thickBot="1" x14ac:dyDescent="0.3">
      <c r="A166" s="559" t="str">
        <f>'2 IDENTIFICACIÓN'!A36</f>
        <v>R27</v>
      </c>
      <c r="B166" s="563" t="str">
        <f>+'2 IDENTIFICACIÓN'!J36</f>
        <v xml:space="preserve"> por  debido a </v>
      </c>
      <c r="C166" s="418" t="str">
        <f>+'3 PROBABIL E IMPACTO INHERENTE'!E36</f>
        <v/>
      </c>
      <c r="D166" s="556" t="str">
        <f>+'3 PROBABIL E IMPACTO INHERENTE'!M36</f>
        <v/>
      </c>
      <c r="E166" s="249">
        <v>1</v>
      </c>
      <c r="F166" s="238"/>
      <c r="G166" s="34"/>
      <c r="H166" s="34"/>
      <c r="I166" s="209" t="str">
        <f t="shared" si="4"/>
        <v xml:space="preserve">  </v>
      </c>
      <c r="J166" s="281"/>
      <c r="K166" s="213" t="str">
        <f>+IFERROR(VLOOKUP($J166,'11 FORMULAS'!$B$51:$C$53,2,0),"")</f>
        <v/>
      </c>
      <c r="L166" s="213" t="str">
        <f>+IFERROR(VLOOKUP($J166,'11 FORMULAS'!$B$51:$D$53,3,0),"")</f>
        <v/>
      </c>
      <c r="M166" s="245" t="s">
        <v>134</v>
      </c>
      <c r="N166" s="246">
        <f>+IFERROR(VLOOKUP($M166,'11 FORMULAS'!$B$54:$C$55,2,0),"")</f>
        <v>0.25</v>
      </c>
      <c r="O166" s="247" t="s">
        <v>146</v>
      </c>
      <c r="P166" s="247" t="s">
        <v>239</v>
      </c>
      <c r="Q166" s="247" t="s">
        <v>137</v>
      </c>
      <c r="R166" s="247" t="s">
        <v>247</v>
      </c>
      <c r="S166" s="213" t="str">
        <f t="shared" si="3"/>
        <v/>
      </c>
      <c r="T166" s="246">
        <f>IF($L166='11 FORMULAS'!$D$51,$C$100-($C$100*$S$100),$C$100)</f>
        <v>0.6</v>
      </c>
      <c r="U166" s="213" t="str">
        <f>IF($L166='11 FORMULAS'!$D$53,D166-(D166*S166),D166)</f>
        <v/>
      </c>
      <c r="V166" s="597">
        <f>+IF(T171="","",T171)</f>
        <v>0.6</v>
      </c>
      <c r="W166" s="600">
        <f>+IF(U171="","",U171)</f>
        <v>0</v>
      </c>
      <c r="X166" s="27"/>
    </row>
    <row r="167" spans="1:24" ht="29.45" hidden="1" customHeight="1" thickBot="1" x14ac:dyDescent="0.3">
      <c r="A167" s="560"/>
      <c r="B167" s="564"/>
      <c r="C167" s="567"/>
      <c r="D167" s="568"/>
      <c r="E167" s="244">
        <v>2</v>
      </c>
      <c r="F167" s="236"/>
      <c r="G167" s="234"/>
      <c r="H167" s="234"/>
      <c r="I167" s="209" t="str">
        <f t="shared" si="4"/>
        <v xml:space="preserve">  </v>
      </c>
      <c r="J167" s="281"/>
      <c r="K167" s="213" t="str">
        <f>+IFERROR(VLOOKUP($J167,'11 FORMULAS'!$B$51:$C$53,2,0),"")</f>
        <v/>
      </c>
      <c r="L167" s="213" t="str">
        <f>+IFERROR(VLOOKUP($J167,'11 FORMULAS'!$B$51:$D$53,3,0),"")</f>
        <v/>
      </c>
      <c r="M167" s="245" t="s">
        <v>134</v>
      </c>
      <c r="N167" s="246">
        <f>+IFERROR(VLOOKUP($M167,'11 FORMULAS'!$B$54:$C$55,2,0),"")</f>
        <v>0.25</v>
      </c>
      <c r="O167" s="247" t="s">
        <v>146</v>
      </c>
      <c r="P167" s="247" t="s">
        <v>239</v>
      </c>
      <c r="Q167" s="247" t="s">
        <v>137</v>
      </c>
      <c r="R167" s="247" t="s">
        <v>247</v>
      </c>
      <c r="S167" s="213" t="str">
        <f t="shared" si="3"/>
        <v/>
      </c>
      <c r="T167" s="246">
        <f>IF($L167='11 FORMULAS'!$D$51,$C$100-($C$100*$S$100),$C$100)</f>
        <v>0.6</v>
      </c>
      <c r="U167" s="213">
        <f>IF($L167='11 FORMULAS'!$D$53,D167-(D167*S167),D167)</f>
        <v>0</v>
      </c>
      <c r="V167" s="603"/>
      <c r="W167" s="604"/>
      <c r="X167" s="27"/>
    </row>
    <row r="168" spans="1:24" ht="29.45" hidden="1" customHeight="1" thickBot="1" x14ac:dyDescent="0.3">
      <c r="A168" s="560"/>
      <c r="B168" s="564"/>
      <c r="C168" s="567"/>
      <c r="D168" s="568"/>
      <c r="E168" s="244">
        <v>3</v>
      </c>
      <c r="F168" s="236"/>
      <c r="G168" s="234"/>
      <c r="H168" s="234"/>
      <c r="I168" s="209" t="str">
        <f t="shared" si="4"/>
        <v xml:space="preserve">  </v>
      </c>
      <c r="J168" s="281"/>
      <c r="K168" s="213" t="str">
        <f>+IFERROR(VLOOKUP($J168,'11 FORMULAS'!$B$51:$C$53,2,0),"")</f>
        <v/>
      </c>
      <c r="L168" s="213" t="str">
        <f>+IFERROR(VLOOKUP($J168,'11 FORMULAS'!$B$51:$D$53,3,0),"")</f>
        <v/>
      </c>
      <c r="M168" s="245" t="s">
        <v>134</v>
      </c>
      <c r="N168" s="246">
        <f>+IFERROR(VLOOKUP($M168,'11 FORMULAS'!$B$54:$C$55,2,0),"")</f>
        <v>0.25</v>
      </c>
      <c r="O168" s="247" t="s">
        <v>146</v>
      </c>
      <c r="P168" s="247" t="s">
        <v>239</v>
      </c>
      <c r="Q168" s="247" t="s">
        <v>137</v>
      </c>
      <c r="R168" s="247" t="s">
        <v>247</v>
      </c>
      <c r="S168" s="213" t="str">
        <f t="shared" si="3"/>
        <v/>
      </c>
      <c r="T168" s="246">
        <f>IF($L168='11 FORMULAS'!$D$51,$C$100-($C$100*$S$100),$C$100)</f>
        <v>0.6</v>
      </c>
      <c r="U168" s="213">
        <f>IF($L168='11 FORMULAS'!$D$53,D168-(D168*S168),D168)</f>
        <v>0</v>
      </c>
      <c r="V168" s="603"/>
      <c r="W168" s="604"/>
      <c r="X168" s="27"/>
    </row>
    <row r="169" spans="1:24" ht="29.45" hidden="1" customHeight="1" thickBot="1" x14ac:dyDescent="0.3">
      <c r="A169" s="561"/>
      <c r="B169" s="565"/>
      <c r="C169" s="419"/>
      <c r="D169" s="557"/>
      <c r="E169" s="244">
        <v>4</v>
      </c>
      <c r="F169" s="237"/>
      <c r="G169" s="160"/>
      <c r="H169" s="160"/>
      <c r="I169" s="209" t="str">
        <f t="shared" si="4"/>
        <v xml:space="preserve">  </v>
      </c>
      <c r="J169" s="281"/>
      <c r="K169" s="213" t="str">
        <f>+IFERROR(VLOOKUP($J169,'11 FORMULAS'!$B$51:$C$53,2,0),"")</f>
        <v/>
      </c>
      <c r="L169" s="213" t="str">
        <f>+IFERROR(VLOOKUP($J169,'11 FORMULAS'!$B$51:$D$53,3,0),"")</f>
        <v/>
      </c>
      <c r="M169" s="245" t="s">
        <v>134</v>
      </c>
      <c r="N169" s="246">
        <f>+IFERROR(VLOOKUP($M169,'11 FORMULAS'!$B$54:$C$55,2,0),"")</f>
        <v>0.25</v>
      </c>
      <c r="O169" s="247" t="s">
        <v>146</v>
      </c>
      <c r="P169" s="247" t="s">
        <v>239</v>
      </c>
      <c r="Q169" s="247" t="s">
        <v>137</v>
      </c>
      <c r="R169" s="247" t="s">
        <v>247</v>
      </c>
      <c r="S169" s="213" t="str">
        <f t="shared" si="3"/>
        <v/>
      </c>
      <c r="T169" s="246">
        <f>IF($L169='11 FORMULAS'!$D$51,$C$100-($C$100*$S$100),$C$100)</f>
        <v>0.6</v>
      </c>
      <c r="U169" s="213">
        <f>IF($L169='11 FORMULAS'!$D$53,D169-(D169*S169),D169)</f>
        <v>0</v>
      </c>
      <c r="V169" s="598"/>
      <c r="W169" s="601"/>
      <c r="X169" s="27"/>
    </row>
    <row r="170" spans="1:24" ht="29.45" hidden="1" customHeight="1" thickBot="1" x14ac:dyDescent="0.3">
      <c r="A170" s="561"/>
      <c r="B170" s="565"/>
      <c r="C170" s="419"/>
      <c r="D170" s="557"/>
      <c r="E170" s="244">
        <v>5</v>
      </c>
      <c r="F170" s="237"/>
      <c r="G170" s="160"/>
      <c r="H170" s="160"/>
      <c r="I170" s="209" t="str">
        <f t="shared" si="4"/>
        <v xml:space="preserve">  </v>
      </c>
      <c r="J170" s="281"/>
      <c r="K170" s="213" t="str">
        <f>+IFERROR(VLOOKUP($J170,'11 FORMULAS'!$B$51:$C$53,2,0),"")</f>
        <v/>
      </c>
      <c r="L170" s="213" t="str">
        <f>+IFERROR(VLOOKUP($J170,'11 FORMULAS'!$B$51:$D$53,3,0),"")</f>
        <v/>
      </c>
      <c r="M170" s="245" t="s">
        <v>134</v>
      </c>
      <c r="N170" s="246">
        <f>+IFERROR(VLOOKUP($M170,'11 FORMULAS'!$B$54:$C$55,2,0),"")</f>
        <v>0.25</v>
      </c>
      <c r="O170" s="247" t="s">
        <v>146</v>
      </c>
      <c r="P170" s="247" t="s">
        <v>239</v>
      </c>
      <c r="Q170" s="247" t="s">
        <v>137</v>
      </c>
      <c r="R170" s="247" t="s">
        <v>247</v>
      </c>
      <c r="S170" s="213" t="str">
        <f t="shared" si="3"/>
        <v/>
      </c>
      <c r="T170" s="246">
        <f>IF($L170='11 FORMULAS'!$D$51,$C$100-($C$100*$S$100),$C$100)</f>
        <v>0.6</v>
      </c>
      <c r="U170" s="213">
        <f>IF($L170='11 FORMULAS'!$D$53,D170-(D170*S170),D170)</f>
        <v>0</v>
      </c>
      <c r="V170" s="598"/>
      <c r="W170" s="601"/>
      <c r="X170" s="27"/>
    </row>
    <row r="171" spans="1:24" ht="29.45" hidden="1" customHeight="1" thickBot="1" x14ac:dyDescent="0.3">
      <c r="A171" s="562"/>
      <c r="B171" s="566"/>
      <c r="C171" s="420"/>
      <c r="D171" s="558"/>
      <c r="E171" s="248">
        <v>6</v>
      </c>
      <c r="F171" s="239"/>
      <c r="G171" s="161"/>
      <c r="H171" s="161"/>
      <c r="I171" s="209" t="str">
        <f t="shared" si="4"/>
        <v xml:space="preserve">  </v>
      </c>
      <c r="J171" s="281"/>
      <c r="K171" s="213" t="str">
        <f>+IFERROR(VLOOKUP($J171,'11 FORMULAS'!$B$51:$C$53,2,0),"")</f>
        <v/>
      </c>
      <c r="L171" s="213" t="str">
        <f>+IFERROR(VLOOKUP($J171,'11 FORMULAS'!$B$51:$D$53,3,0),"")</f>
        <v/>
      </c>
      <c r="M171" s="245" t="s">
        <v>134</v>
      </c>
      <c r="N171" s="246">
        <f>+IFERROR(VLOOKUP($M171,'11 FORMULAS'!$B$54:$C$55,2,0),"")</f>
        <v>0.25</v>
      </c>
      <c r="O171" s="247" t="s">
        <v>146</v>
      </c>
      <c r="P171" s="247" t="s">
        <v>239</v>
      </c>
      <c r="Q171" s="247" t="s">
        <v>137</v>
      </c>
      <c r="R171" s="247" t="s">
        <v>247</v>
      </c>
      <c r="S171" s="213" t="str">
        <f t="shared" si="3"/>
        <v/>
      </c>
      <c r="T171" s="246">
        <f>IF($L171='11 FORMULAS'!$D$51,$C$100-($C$100*$S$100),$C$100)</f>
        <v>0.6</v>
      </c>
      <c r="U171" s="213">
        <f>IF($L171='11 FORMULAS'!$D$53,D171-(D171*S171),D171)</f>
        <v>0</v>
      </c>
      <c r="V171" s="599"/>
      <c r="W171" s="602"/>
      <c r="X171" s="27"/>
    </row>
    <row r="172" spans="1:24" ht="29.45" hidden="1" customHeight="1" thickBot="1" x14ac:dyDescent="0.3">
      <c r="A172" s="559" t="str">
        <f>'2 IDENTIFICACIÓN'!A37</f>
        <v>R28</v>
      </c>
      <c r="B172" s="563" t="str">
        <f>+'2 IDENTIFICACIÓN'!J37</f>
        <v xml:space="preserve"> por  debido a </v>
      </c>
      <c r="C172" s="418" t="str">
        <f>+'3 PROBABIL E IMPACTO INHERENTE'!E37</f>
        <v/>
      </c>
      <c r="D172" s="556" t="str">
        <f>+'3 PROBABIL E IMPACTO INHERENTE'!M37</f>
        <v/>
      </c>
      <c r="E172" s="249">
        <v>1</v>
      </c>
      <c r="F172" s="238"/>
      <c r="G172" s="34"/>
      <c r="H172" s="34"/>
      <c r="I172" s="209" t="str">
        <f t="shared" si="4"/>
        <v xml:space="preserve">  </v>
      </c>
      <c r="J172" s="281"/>
      <c r="K172" s="213" t="str">
        <f>+IFERROR(VLOOKUP($J172,'11 FORMULAS'!$B$51:$C$53,2,0),"")</f>
        <v/>
      </c>
      <c r="L172" s="213" t="str">
        <f>+IFERROR(VLOOKUP($J172,'11 FORMULAS'!$B$51:$D$53,3,0),"")</f>
        <v/>
      </c>
      <c r="M172" s="245" t="s">
        <v>134</v>
      </c>
      <c r="N172" s="246">
        <f>+IFERROR(VLOOKUP($M172,'11 FORMULAS'!$B$54:$C$55,2,0),"")</f>
        <v>0.25</v>
      </c>
      <c r="O172" s="247" t="s">
        <v>146</v>
      </c>
      <c r="P172" s="247" t="s">
        <v>239</v>
      </c>
      <c r="Q172" s="247" t="s">
        <v>137</v>
      </c>
      <c r="R172" s="247" t="s">
        <v>247</v>
      </c>
      <c r="S172" s="213" t="str">
        <f t="shared" si="3"/>
        <v/>
      </c>
      <c r="T172" s="246">
        <f>IF($L172='11 FORMULAS'!$D$51,$C$100-($C$100*$S$100),$C$100)</f>
        <v>0.6</v>
      </c>
      <c r="U172" s="213" t="str">
        <f>IF($L172='11 FORMULAS'!$D$53,D172-(D172*S172),D172)</f>
        <v/>
      </c>
      <c r="V172" s="597">
        <f>+IF(T177="","",T177)</f>
        <v>0.6</v>
      </c>
      <c r="W172" s="600">
        <f>+IF(U177="","",U177)</f>
        <v>0</v>
      </c>
      <c r="X172" s="27"/>
    </row>
    <row r="173" spans="1:24" ht="29.45" hidden="1" customHeight="1" thickBot="1" x14ac:dyDescent="0.3">
      <c r="A173" s="560"/>
      <c r="B173" s="564"/>
      <c r="C173" s="567"/>
      <c r="D173" s="568"/>
      <c r="E173" s="244">
        <v>2</v>
      </c>
      <c r="F173" s="236"/>
      <c r="G173" s="234"/>
      <c r="H173" s="234"/>
      <c r="I173" s="209" t="str">
        <f t="shared" si="4"/>
        <v xml:space="preserve">  </v>
      </c>
      <c r="J173" s="281"/>
      <c r="K173" s="213" t="str">
        <f>+IFERROR(VLOOKUP($J173,'11 FORMULAS'!$B$51:$C$53,2,0),"")</f>
        <v/>
      </c>
      <c r="L173" s="213" t="str">
        <f>+IFERROR(VLOOKUP($J173,'11 FORMULAS'!$B$51:$D$53,3,0),"")</f>
        <v/>
      </c>
      <c r="M173" s="245" t="s">
        <v>134</v>
      </c>
      <c r="N173" s="246">
        <f>+IFERROR(VLOOKUP($M173,'11 FORMULAS'!$B$54:$C$55,2,0),"")</f>
        <v>0.25</v>
      </c>
      <c r="O173" s="247" t="s">
        <v>146</v>
      </c>
      <c r="P173" s="247" t="s">
        <v>239</v>
      </c>
      <c r="Q173" s="247" t="s">
        <v>137</v>
      </c>
      <c r="R173" s="247" t="s">
        <v>247</v>
      </c>
      <c r="S173" s="213" t="str">
        <f t="shared" si="3"/>
        <v/>
      </c>
      <c r="T173" s="246">
        <f>IF($L173='11 FORMULAS'!$D$51,$C$100-($C$100*$S$100),$C$100)</f>
        <v>0.6</v>
      </c>
      <c r="U173" s="213">
        <f>IF($L173='11 FORMULAS'!$D$53,D173-(D173*S173),D173)</f>
        <v>0</v>
      </c>
      <c r="V173" s="603"/>
      <c r="W173" s="604"/>
      <c r="X173" s="27"/>
    </row>
    <row r="174" spans="1:24" ht="29.45" hidden="1" customHeight="1" thickBot="1" x14ac:dyDescent="0.3">
      <c r="A174" s="560"/>
      <c r="B174" s="564"/>
      <c r="C174" s="567"/>
      <c r="D174" s="568"/>
      <c r="E174" s="244">
        <v>3</v>
      </c>
      <c r="F174" s="236"/>
      <c r="G174" s="234"/>
      <c r="H174" s="234"/>
      <c r="I174" s="209" t="str">
        <f t="shared" si="4"/>
        <v xml:space="preserve">  </v>
      </c>
      <c r="J174" s="281"/>
      <c r="K174" s="213" t="str">
        <f>+IFERROR(VLOOKUP($J174,'11 FORMULAS'!$B$51:$C$53,2,0),"")</f>
        <v/>
      </c>
      <c r="L174" s="213" t="str">
        <f>+IFERROR(VLOOKUP($J174,'11 FORMULAS'!$B$51:$D$53,3,0),"")</f>
        <v/>
      </c>
      <c r="M174" s="245" t="s">
        <v>134</v>
      </c>
      <c r="N174" s="246">
        <f>+IFERROR(VLOOKUP($M174,'11 FORMULAS'!$B$54:$C$55,2,0),"")</f>
        <v>0.25</v>
      </c>
      <c r="O174" s="247" t="s">
        <v>146</v>
      </c>
      <c r="P174" s="247" t="s">
        <v>239</v>
      </c>
      <c r="Q174" s="247" t="s">
        <v>137</v>
      </c>
      <c r="R174" s="247" t="s">
        <v>247</v>
      </c>
      <c r="S174" s="213" t="str">
        <f t="shared" si="3"/>
        <v/>
      </c>
      <c r="T174" s="246">
        <f>IF($L174='11 FORMULAS'!$D$51,$C$100-($C$100*$S$100),$C$100)</f>
        <v>0.6</v>
      </c>
      <c r="U174" s="213">
        <f>IF($L174='11 FORMULAS'!$D$53,D174-(D174*S174),D174)</f>
        <v>0</v>
      </c>
      <c r="V174" s="603"/>
      <c r="W174" s="604"/>
      <c r="X174" s="27"/>
    </row>
    <row r="175" spans="1:24" ht="29.45" hidden="1" customHeight="1" thickBot="1" x14ac:dyDescent="0.3">
      <c r="A175" s="561"/>
      <c r="B175" s="565"/>
      <c r="C175" s="419"/>
      <c r="D175" s="557"/>
      <c r="E175" s="244">
        <v>4</v>
      </c>
      <c r="F175" s="237"/>
      <c r="G175" s="160"/>
      <c r="H175" s="160"/>
      <c r="I175" s="209" t="str">
        <f t="shared" si="4"/>
        <v xml:space="preserve">  </v>
      </c>
      <c r="J175" s="281"/>
      <c r="K175" s="213" t="str">
        <f>+IFERROR(VLOOKUP($J175,'11 FORMULAS'!$B$51:$C$53,2,0),"")</f>
        <v/>
      </c>
      <c r="L175" s="213" t="str">
        <f>+IFERROR(VLOOKUP($J175,'11 FORMULAS'!$B$51:$D$53,3,0),"")</f>
        <v/>
      </c>
      <c r="M175" s="245" t="s">
        <v>134</v>
      </c>
      <c r="N175" s="246">
        <f>+IFERROR(VLOOKUP($M175,'11 FORMULAS'!$B$54:$C$55,2,0),"")</f>
        <v>0.25</v>
      </c>
      <c r="O175" s="247" t="s">
        <v>146</v>
      </c>
      <c r="P175" s="247" t="s">
        <v>239</v>
      </c>
      <c r="Q175" s="247" t="s">
        <v>137</v>
      </c>
      <c r="R175" s="247" t="s">
        <v>247</v>
      </c>
      <c r="S175" s="213" t="str">
        <f t="shared" si="3"/>
        <v/>
      </c>
      <c r="T175" s="246">
        <f>IF($L175='11 FORMULAS'!$D$51,$C$100-($C$100*$S$100),$C$100)</f>
        <v>0.6</v>
      </c>
      <c r="U175" s="213">
        <f>IF($L175='11 FORMULAS'!$D$53,D175-(D175*S175),D175)</f>
        <v>0</v>
      </c>
      <c r="V175" s="598"/>
      <c r="W175" s="601"/>
      <c r="X175" s="27"/>
    </row>
    <row r="176" spans="1:24" ht="29.45" hidden="1" customHeight="1" thickBot="1" x14ac:dyDescent="0.3">
      <c r="A176" s="561"/>
      <c r="B176" s="565"/>
      <c r="C176" s="419"/>
      <c r="D176" s="557"/>
      <c r="E176" s="244">
        <v>5</v>
      </c>
      <c r="F176" s="237"/>
      <c r="G176" s="160"/>
      <c r="H176" s="160"/>
      <c r="I176" s="209" t="str">
        <f t="shared" si="4"/>
        <v xml:space="preserve">  </v>
      </c>
      <c r="J176" s="281"/>
      <c r="K176" s="213" t="str">
        <f>+IFERROR(VLOOKUP($J176,'11 FORMULAS'!$B$51:$C$53,2,0),"")</f>
        <v/>
      </c>
      <c r="L176" s="213" t="str">
        <f>+IFERROR(VLOOKUP($J176,'11 FORMULAS'!$B$51:$D$53,3,0),"")</f>
        <v/>
      </c>
      <c r="M176" s="245" t="s">
        <v>134</v>
      </c>
      <c r="N176" s="246">
        <f>+IFERROR(VLOOKUP($M176,'11 FORMULAS'!$B$54:$C$55,2,0),"")</f>
        <v>0.25</v>
      </c>
      <c r="O176" s="247" t="s">
        <v>146</v>
      </c>
      <c r="P176" s="247" t="s">
        <v>239</v>
      </c>
      <c r="Q176" s="247" t="s">
        <v>137</v>
      </c>
      <c r="R176" s="247" t="s">
        <v>247</v>
      </c>
      <c r="S176" s="213" t="str">
        <f t="shared" si="3"/>
        <v/>
      </c>
      <c r="T176" s="246">
        <f>IF($L176='11 FORMULAS'!$D$51,$C$100-($C$100*$S$100),$C$100)</f>
        <v>0.6</v>
      </c>
      <c r="U176" s="213">
        <f>IF($L176='11 FORMULAS'!$D$53,D176-(D176*S176),D176)</f>
        <v>0</v>
      </c>
      <c r="V176" s="598"/>
      <c r="W176" s="601"/>
      <c r="X176" s="27"/>
    </row>
    <row r="177" spans="1:27" ht="29.45" hidden="1" customHeight="1" thickBot="1" x14ac:dyDescent="0.3">
      <c r="A177" s="562"/>
      <c r="B177" s="566"/>
      <c r="C177" s="420"/>
      <c r="D177" s="558"/>
      <c r="E177" s="248">
        <v>6</v>
      </c>
      <c r="F177" s="239"/>
      <c r="G177" s="161"/>
      <c r="H177" s="161"/>
      <c r="I177" s="209" t="str">
        <f t="shared" si="4"/>
        <v xml:space="preserve">  </v>
      </c>
      <c r="J177" s="281"/>
      <c r="K177" s="213" t="str">
        <f>+IFERROR(VLOOKUP($J177,'11 FORMULAS'!$B$51:$C$53,2,0),"")</f>
        <v/>
      </c>
      <c r="L177" s="213" t="str">
        <f>+IFERROR(VLOOKUP($J177,'11 FORMULAS'!$B$51:$D$53,3,0),"")</f>
        <v/>
      </c>
      <c r="M177" s="245" t="s">
        <v>134</v>
      </c>
      <c r="N177" s="246">
        <f>+IFERROR(VLOOKUP($M177,'11 FORMULAS'!$B$54:$C$55,2,0),"")</f>
        <v>0.25</v>
      </c>
      <c r="O177" s="247" t="s">
        <v>146</v>
      </c>
      <c r="P177" s="247" t="s">
        <v>239</v>
      </c>
      <c r="Q177" s="247" t="s">
        <v>137</v>
      </c>
      <c r="R177" s="247" t="s">
        <v>247</v>
      </c>
      <c r="S177" s="213" t="str">
        <f t="shared" si="3"/>
        <v/>
      </c>
      <c r="T177" s="246">
        <f>IF($L177='11 FORMULAS'!$D$51,$C$100-($C$100*$S$100),$C$100)</f>
        <v>0.6</v>
      </c>
      <c r="U177" s="213">
        <f>IF($L177='11 FORMULAS'!$D$53,D177-(D177*S177),D177)</f>
        <v>0</v>
      </c>
      <c r="V177" s="599"/>
      <c r="W177" s="602"/>
      <c r="X177" s="27"/>
    </row>
    <row r="178" spans="1:27" ht="29.45" hidden="1" customHeight="1" thickBot="1" x14ac:dyDescent="0.3">
      <c r="A178" s="559" t="str">
        <f>'2 IDENTIFICACIÓN'!A38</f>
        <v>R29</v>
      </c>
      <c r="B178" s="563" t="str">
        <f>+'2 IDENTIFICACIÓN'!J38</f>
        <v xml:space="preserve"> por  debido a </v>
      </c>
      <c r="C178" s="418" t="str">
        <f>+'3 PROBABIL E IMPACTO INHERENTE'!E38</f>
        <v/>
      </c>
      <c r="D178" s="556" t="str">
        <f>+'3 PROBABIL E IMPACTO INHERENTE'!M38</f>
        <v/>
      </c>
      <c r="E178" s="249">
        <v>1</v>
      </c>
      <c r="F178" s="238"/>
      <c r="G178" s="34"/>
      <c r="H178" s="34"/>
      <c r="I178" s="209" t="str">
        <f t="shared" si="4"/>
        <v xml:space="preserve">  </v>
      </c>
      <c r="J178" s="281"/>
      <c r="K178" s="213" t="str">
        <f>+IFERROR(VLOOKUP($J178,'11 FORMULAS'!$B$51:$C$53,2,0),"")</f>
        <v/>
      </c>
      <c r="L178" s="213" t="str">
        <f>+IFERROR(VLOOKUP($J178,'11 FORMULAS'!$B$51:$D$53,3,0),"")</f>
        <v/>
      </c>
      <c r="M178" s="245" t="s">
        <v>134</v>
      </c>
      <c r="N178" s="246">
        <f>+IFERROR(VLOOKUP($M178,'11 FORMULAS'!$B$54:$C$55,2,0),"")</f>
        <v>0.25</v>
      </c>
      <c r="O178" s="247" t="s">
        <v>146</v>
      </c>
      <c r="P178" s="247" t="s">
        <v>239</v>
      </c>
      <c r="Q178" s="247" t="s">
        <v>137</v>
      </c>
      <c r="R178" s="247" t="s">
        <v>247</v>
      </c>
      <c r="S178" s="213" t="str">
        <f t="shared" si="3"/>
        <v/>
      </c>
      <c r="T178" s="246">
        <f>IF($L178='11 FORMULAS'!$D$51,$C$100-($C$100*$S$100),$C$100)</f>
        <v>0.6</v>
      </c>
      <c r="U178" s="213" t="str">
        <f>IF($L178='11 FORMULAS'!$D$53,D178-(D178*S178),D178)</f>
        <v/>
      </c>
      <c r="V178" s="597">
        <f>+IF(T183="","",T183)</f>
        <v>0.6</v>
      </c>
      <c r="W178" s="600">
        <f>+IF(U183="","",U183)</f>
        <v>0</v>
      </c>
      <c r="X178" s="27"/>
    </row>
    <row r="179" spans="1:27" ht="29.45" hidden="1" customHeight="1" thickBot="1" x14ac:dyDescent="0.3">
      <c r="A179" s="560"/>
      <c r="B179" s="564"/>
      <c r="C179" s="567"/>
      <c r="D179" s="568"/>
      <c r="E179" s="244">
        <v>2</v>
      </c>
      <c r="F179" s="236"/>
      <c r="G179" s="234"/>
      <c r="H179" s="234"/>
      <c r="I179" s="209" t="str">
        <f t="shared" si="4"/>
        <v xml:space="preserve">  </v>
      </c>
      <c r="J179" s="281"/>
      <c r="K179" s="213" t="str">
        <f>+IFERROR(VLOOKUP($J179,'11 FORMULAS'!$B$51:$C$53,2,0),"")</f>
        <v/>
      </c>
      <c r="L179" s="213" t="str">
        <f>+IFERROR(VLOOKUP($J179,'11 FORMULAS'!$B$51:$D$53,3,0),"")</f>
        <v/>
      </c>
      <c r="M179" s="245" t="s">
        <v>134</v>
      </c>
      <c r="N179" s="246">
        <f>+IFERROR(VLOOKUP($M179,'11 FORMULAS'!$B$54:$C$55,2,0),"")</f>
        <v>0.25</v>
      </c>
      <c r="O179" s="247" t="s">
        <v>146</v>
      </c>
      <c r="P179" s="247" t="s">
        <v>239</v>
      </c>
      <c r="Q179" s="247" t="s">
        <v>137</v>
      </c>
      <c r="R179" s="247" t="s">
        <v>247</v>
      </c>
      <c r="S179" s="213" t="str">
        <f t="shared" si="3"/>
        <v/>
      </c>
      <c r="T179" s="246">
        <f>IF($L179='11 FORMULAS'!$D$51,$C$100-($C$100*$S$100),$C$100)</f>
        <v>0.6</v>
      </c>
      <c r="U179" s="213">
        <f>IF($L179='11 FORMULAS'!$D$53,D179-(D179*S179),D179)</f>
        <v>0</v>
      </c>
      <c r="V179" s="603"/>
      <c r="W179" s="604"/>
      <c r="X179" s="27"/>
    </row>
    <row r="180" spans="1:27" ht="29.45" hidden="1" customHeight="1" thickBot="1" x14ac:dyDescent="0.3">
      <c r="A180" s="560"/>
      <c r="B180" s="564"/>
      <c r="C180" s="567"/>
      <c r="D180" s="568"/>
      <c r="E180" s="244">
        <v>3</v>
      </c>
      <c r="F180" s="236"/>
      <c r="G180" s="234"/>
      <c r="H180" s="234"/>
      <c r="I180" s="209" t="str">
        <f t="shared" si="4"/>
        <v xml:space="preserve">  </v>
      </c>
      <c r="J180" s="281"/>
      <c r="K180" s="213" t="str">
        <f>+IFERROR(VLOOKUP($J180,'11 FORMULAS'!$B$51:$C$53,2,0),"")</f>
        <v/>
      </c>
      <c r="L180" s="213" t="str">
        <f>+IFERROR(VLOOKUP($J180,'11 FORMULAS'!$B$51:$D$53,3,0),"")</f>
        <v/>
      </c>
      <c r="M180" s="245" t="s">
        <v>134</v>
      </c>
      <c r="N180" s="246">
        <f>+IFERROR(VLOOKUP($M180,'11 FORMULAS'!$B$54:$C$55,2,0),"")</f>
        <v>0.25</v>
      </c>
      <c r="O180" s="247" t="s">
        <v>146</v>
      </c>
      <c r="P180" s="247" t="s">
        <v>239</v>
      </c>
      <c r="Q180" s="247" t="s">
        <v>137</v>
      </c>
      <c r="R180" s="247" t="s">
        <v>247</v>
      </c>
      <c r="S180" s="213" t="str">
        <f t="shared" si="3"/>
        <v/>
      </c>
      <c r="T180" s="246">
        <f>IF($L180='11 FORMULAS'!$D$51,$C$100-($C$100*$S$100),$C$100)</f>
        <v>0.6</v>
      </c>
      <c r="U180" s="213">
        <f>IF($L180='11 FORMULAS'!$D$53,D180-(D180*S180),D180)</f>
        <v>0</v>
      </c>
      <c r="V180" s="603"/>
      <c r="W180" s="604"/>
      <c r="X180" s="27"/>
    </row>
    <row r="181" spans="1:27" ht="29.45" hidden="1" customHeight="1" thickBot="1" x14ac:dyDescent="0.3">
      <c r="A181" s="561"/>
      <c r="B181" s="565"/>
      <c r="C181" s="419"/>
      <c r="D181" s="557"/>
      <c r="E181" s="244">
        <v>4</v>
      </c>
      <c r="F181" s="237"/>
      <c r="G181" s="160"/>
      <c r="H181" s="160"/>
      <c r="I181" s="209" t="str">
        <f t="shared" si="4"/>
        <v xml:space="preserve">  </v>
      </c>
      <c r="J181" s="281"/>
      <c r="K181" s="213" t="str">
        <f>+IFERROR(VLOOKUP($J181,'11 FORMULAS'!$B$51:$C$53,2,0),"")</f>
        <v/>
      </c>
      <c r="L181" s="213" t="str">
        <f>+IFERROR(VLOOKUP($J181,'11 FORMULAS'!$B$51:$D$53,3,0),"")</f>
        <v/>
      </c>
      <c r="M181" s="245" t="s">
        <v>134</v>
      </c>
      <c r="N181" s="246">
        <f>+IFERROR(VLOOKUP($M181,'11 FORMULAS'!$B$54:$C$55,2,0),"")</f>
        <v>0.25</v>
      </c>
      <c r="O181" s="247" t="s">
        <v>146</v>
      </c>
      <c r="P181" s="247" t="s">
        <v>239</v>
      </c>
      <c r="Q181" s="247" t="s">
        <v>137</v>
      </c>
      <c r="R181" s="247" t="s">
        <v>247</v>
      </c>
      <c r="S181" s="213" t="str">
        <f t="shared" si="3"/>
        <v/>
      </c>
      <c r="T181" s="246">
        <f>IF($L181='11 FORMULAS'!$D$51,$C$100-($C$100*$S$100),$C$100)</f>
        <v>0.6</v>
      </c>
      <c r="U181" s="213">
        <f>IF($L181='11 FORMULAS'!$D$53,D181-(D181*S181),D181)</f>
        <v>0</v>
      </c>
      <c r="V181" s="598"/>
      <c r="W181" s="601"/>
      <c r="X181" s="27"/>
    </row>
    <row r="182" spans="1:27" ht="29.45" hidden="1" customHeight="1" thickBot="1" x14ac:dyDescent="0.3">
      <c r="A182" s="561"/>
      <c r="B182" s="565"/>
      <c r="C182" s="419"/>
      <c r="D182" s="557"/>
      <c r="E182" s="244">
        <v>5</v>
      </c>
      <c r="F182" s="237"/>
      <c r="G182" s="160"/>
      <c r="H182" s="160"/>
      <c r="I182" s="209" t="str">
        <f t="shared" si="4"/>
        <v xml:space="preserve">  </v>
      </c>
      <c r="J182" s="281"/>
      <c r="K182" s="213" t="str">
        <f>+IFERROR(VLOOKUP($J182,'11 FORMULAS'!$B$51:$C$53,2,0),"")</f>
        <v/>
      </c>
      <c r="L182" s="213" t="str">
        <f>+IFERROR(VLOOKUP($J182,'11 FORMULAS'!$B$51:$D$53,3,0),"")</f>
        <v/>
      </c>
      <c r="M182" s="245" t="s">
        <v>134</v>
      </c>
      <c r="N182" s="246">
        <f>+IFERROR(VLOOKUP($M182,'11 FORMULAS'!$B$54:$C$55,2,0),"")</f>
        <v>0.25</v>
      </c>
      <c r="O182" s="247" t="s">
        <v>146</v>
      </c>
      <c r="P182" s="247" t="s">
        <v>239</v>
      </c>
      <c r="Q182" s="247" t="s">
        <v>137</v>
      </c>
      <c r="R182" s="247" t="s">
        <v>247</v>
      </c>
      <c r="S182" s="213" t="str">
        <f t="shared" si="3"/>
        <v/>
      </c>
      <c r="T182" s="246">
        <f>IF($L182='11 FORMULAS'!$D$51,$C$100-($C$100*$S$100),$C$100)</f>
        <v>0.6</v>
      </c>
      <c r="U182" s="213">
        <f>IF($L182='11 FORMULAS'!$D$53,D182-(D182*S182),D182)</f>
        <v>0</v>
      </c>
      <c r="V182" s="598"/>
      <c r="W182" s="601"/>
      <c r="X182" s="27"/>
    </row>
    <row r="183" spans="1:27" ht="29.45" hidden="1" customHeight="1" thickBot="1" x14ac:dyDescent="0.3">
      <c r="A183" s="562"/>
      <c r="B183" s="566"/>
      <c r="C183" s="420"/>
      <c r="D183" s="558"/>
      <c r="E183" s="248">
        <v>6</v>
      </c>
      <c r="F183" s="239"/>
      <c r="G183" s="161"/>
      <c r="H183" s="161"/>
      <c r="I183" s="209" t="str">
        <f t="shared" si="4"/>
        <v xml:space="preserve">  </v>
      </c>
      <c r="J183" s="281"/>
      <c r="K183" s="213" t="str">
        <f>+IFERROR(VLOOKUP($J183,'11 FORMULAS'!$B$51:$C$53,2,0),"")</f>
        <v/>
      </c>
      <c r="L183" s="213" t="str">
        <f>+IFERROR(VLOOKUP($J183,'11 FORMULAS'!$B$51:$D$53,3,0),"")</f>
        <v/>
      </c>
      <c r="M183" s="245" t="s">
        <v>134</v>
      </c>
      <c r="N183" s="246">
        <f>+IFERROR(VLOOKUP($M183,'11 FORMULAS'!$B$54:$C$55,2,0),"")</f>
        <v>0.25</v>
      </c>
      <c r="O183" s="247" t="s">
        <v>146</v>
      </c>
      <c r="P183" s="247" t="s">
        <v>239</v>
      </c>
      <c r="Q183" s="247" t="s">
        <v>137</v>
      </c>
      <c r="R183" s="247" t="s">
        <v>247</v>
      </c>
      <c r="S183" s="213" t="str">
        <f t="shared" si="3"/>
        <v/>
      </c>
      <c r="T183" s="246">
        <f>IF($L183='11 FORMULAS'!$D$51,$C$100-($C$100*$S$100),$C$100)</f>
        <v>0.6</v>
      </c>
      <c r="U183" s="213">
        <f>IF($L183='11 FORMULAS'!$D$53,D183-(D183*S183),D183)</f>
        <v>0</v>
      </c>
      <c r="V183" s="599"/>
      <c r="W183" s="602"/>
      <c r="X183" s="27"/>
    </row>
    <row r="184" spans="1:27" ht="29.45" hidden="1" customHeight="1" thickBot="1" x14ac:dyDescent="0.3">
      <c r="A184" s="559" t="str">
        <f>'2 IDENTIFICACIÓN'!A39</f>
        <v>R30</v>
      </c>
      <c r="B184" s="563" t="str">
        <f>+'2 IDENTIFICACIÓN'!J39</f>
        <v xml:space="preserve"> por  debido a </v>
      </c>
      <c r="C184" s="418" t="str">
        <f>+'3 PROBABIL E IMPACTO INHERENTE'!E39</f>
        <v/>
      </c>
      <c r="D184" s="556" t="str">
        <f>+'3 PROBABIL E IMPACTO INHERENTE'!M39</f>
        <v/>
      </c>
      <c r="E184" s="249">
        <v>1</v>
      </c>
      <c r="F184" s="238"/>
      <c r="G184" s="34"/>
      <c r="H184" s="34"/>
      <c r="I184" s="209" t="str">
        <f t="shared" si="2"/>
        <v xml:space="preserve">  </v>
      </c>
      <c r="J184" s="281"/>
      <c r="K184" s="213" t="str">
        <f>+IFERROR(VLOOKUP($J184,'11 FORMULAS'!$B$51:$C$53,2,0),"")</f>
        <v/>
      </c>
      <c r="L184" s="213" t="str">
        <f>+IFERROR(VLOOKUP($J184,'11 FORMULAS'!$B$51:$D$53,3,0),"")</f>
        <v/>
      </c>
      <c r="M184" s="245" t="s">
        <v>134</v>
      </c>
      <c r="N184" s="246">
        <f>+IFERROR(VLOOKUP($M184,'11 FORMULAS'!$B$54:$C$55,2,0),"")</f>
        <v>0.25</v>
      </c>
      <c r="O184" s="247" t="s">
        <v>146</v>
      </c>
      <c r="P184" s="247" t="s">
        <v>239</v>
      </c>
      <c r="Q184" s="247" t="s">
        <v>137</v>
      </c>
      <c r="R184" s="247" t="s">
        <v>247</v>
      </c>
      <c r="S184" s="213" t="str">
        <f t="shared" si="3"/>
        <v/>
      </c>
      <c r="T184" s="246">
        <f>IF($L184='11 FORMULAS'!$D$51,$C$100-($C$100*$S$100),$C$100)</f>
        <v>0.6</v>
      </c>
      <c r="U184" s="213" t="str">
        <f>IF($L184='11 FORMULAS'!$D$53,D184-(D184*S184),D184)</f>
        <v/>
      </c>
      <c r="V184" s="597">
        <f>+IF(T189="","",T189)</f>
        <v>0.6</v>
      </c>
      <c r="W184" s="600">
        <f>+IF(U189="","",U189)</f>
        <v>0</v>
      </c>
      <c r="X184" s="27"/>
      <c r="Y184" s="211"/>
      <c r="Z184" s="212"/>
      <c r="AA184" s="212"/>
    </row>
    <row r="185" spans="1:27" ht="29.45" hidden="1" customHeight="1" thickBot="1" x14ac:dyDescent="0.3">
      <c r="A185" s="560"/>
      <c r="B185" s="564"/>
      <c r="C185" s="567"/>
      <c r="D185" s="568"/>
      <c r="E185" s="244">
        <v>2</v>
      </c>
      <c r="F185" s="236"/>
      <c r="G185" s="234"/>
      <c r="H185" s="234"/>
      <c r="I185" s="209" t="str">
        <f t="shared" si="2"/>
        <v xml:space="preserve">  </v>
      </c>
      <c r="J185" s="281"/>
      <c r="K185" s="213" t="str">
        <f>+IFERROR(VLOOKUP($J185,'11 FORMULAS'!$B$51:$C$53,2,0),"")</f>
        <v/>
      </c>
      <c r="L185" s="213" t="str">
        <f>+IFERROR(VLOOKUP($J185,'11 FORMULAS'!$B$51:$D$53,3,0),"")</f>
        <v/>
      </c>
      <c r="M185" s="245" t="s">
        <v>134</v>
      </c>
      <c r="N185" s="246">
        <f>+IFERROR(VLOOKUP($M185,'11 FORMULAS'!$B$54:$C$55,2,0),"")</f>
        <v>0.25</v>
      </c>
      <c r="O185" s="247" t="s">
        <v>146</v>
      </c>
      <c r="P185" s="247" t="s">
        <v>239</v>
      </c>
      <c r="Q185" s="247" t="s">
        <v>137</v>
      </c>
      <c r="R185" s="247" t="s">
        <v>247</v>
      </c>
      <c r="S185" s="213" t="str">
        <f t="shared" si="3"/>
        <v/>
      </c>
      <c r="T185" s="246">
        <f>IF($L185='11 FORMULAS'!$D$51,$C$100-($C$100*$S$100),$C$100)</f>
        <v>0.6</v>
      </c>
      <c r="U185" s="213">
        <f>IF($L185='11 FORMULAS'!$D$53,D185-(D185*S185),D185)</f>
        <v>0</v>
      </c>
      <c r="V185" s="603"/>
      <c r="W185" s="604"/>
      <c r="X185" s="27"/>
      <c r="Y185" s="211"/>
      <c r="Z185" s="212"/>
      <c r="AA185" s="212"/>
    </row>
    <row r="186" spans="1:27" ht="29.45" hidden="1" customHeight="1" thickBot="1" x14ac:dyDescent="0.3">
      <c r="A186" s="560"/>
      <c r="B186" s="564"/>
      <c r="C186" s="567"/>
      <c r="D186" s="568"/>
      <c r="E186" s="244">
        <v>3</v>
      </c>
      <c r="F186" s="236"/>
      <c r="G186" s="234"/>
      <c r="H186" s="234"/>
      <c r="I186" s="209" t="str">
        <f t="shared" si="2"/>
        <v xml:space="preserve">  </v>
      </c>
      <c r="J186" s="281"/>
      <c r="K186" s="213" t="str">
        <f>+IFERROR(VLOOKUP($J186,'11 FORMULAS'!$B$51:$C$53,2,0),"")</f>
        <v/>
      </c>
      <c r="L186" s="213" t="str">
        <f>+IFERROR(VLOOKUP($J186,'11 FORMULAS'!$B$51:$D$53,3,0),"")</f>
        <v/>
      </c>
      <c r="M186" s="245" t="s">
        <v>145</v>
      </c>
      <c r="N186" s="246">
        <f>+IFERROR(VLOOKUP($M186,'11 FORMULAS'!$B$54:$C$55,2,0),"")</f>
        <v>0.15</v>
      </c>
      <c r="O186" s="247" t="s">
        <v>146</v>
      </c>
      <c r="P186" s="247" t="s">
        <v>239</v>
      </c>
      <c r="Q186" s="247" t="s">
        <v>137</v>
      </c>
      <c r="R186" s="247" t="s">
        <v>247</v>
      </c>
      <c r="S186" s="213" t="str">
        <f t="shared" si="3"/>
        <v/>
      </c>
      <c r="T186" s="246">
        <f>IF($L186='11 FORMULAS'!$D$51,$C$100-($C$100*$S$100),$C$100)</f>
        <v>0.6</v>
      </c>
      <c r="U186" s="213">
        <f>IF($L186='11 FORMULAS'!$D$53,D186-(D186*S186),D186)</f>
        <v>0</v>
      </c>
      <c r="V186" s="603"/>
      <c r="W186" s="604"/>
      <c r="X186" s="27"/>
      <c r="Y186" s="211"/>
      <c r="Z186" s="212"/>
      <c r="AA186" s="212"/>
    </row>
    <row r="187" spans="1:27" ht="29.45" hidden="1" customHeight="1" thickBot="1" x14ac:dyDescent="0.3">
      <c r="A187" s="561"/>
      <c r="B187" s="565"/>
      <c r="C187" s="419"/>
      <c r="D187" s="557"/>
      <c r="E187" s="244">
        <v>4</v>
      </c>
      <c r="F187" s="237"/>
      <c r="G187" s="160"/>
      <c r="H187" s="160"/>
      <c r="I187" s="209" t="str">
        <f t="shared" si="2"/>
        <v xml:space="preserve">  </v>
      </c>
      <c r="J187" s="281"/>
      <c r="K187" s="213" t="str">
        <f>+IFERROR(VLOOKUP($J187,'11 FORMULAS'!$B$51:$C$53,2,0),"")</f>
        <v/>
      </c>
      <c r="L187" s="213" t="str">
        <f>+IFERROR(VLOOKUP($J187,'11 FORMULAS'!$B$51:$D$53,3,0),"")</f>
        <v/>
      </c>
      <c r="M187" s="245" t="s">
        <v>134</v>
      </c>
      <c r="N187" s="246">
        <f>+IFERROR(VLOOKUP($M187,'11 FORMULAS'!$B$54:$C$55,2,0),"")</f>
        <v>0.25</v>
      </c>
      <c r="O187" s="247" t="s">
        <v>146</v>
      </c>
      <c r="P187" s="247" t="s">
        <v>239</v>
      </c>
      <c r="Q187" s="247" t="s">
        <v>137</v>
      </c>
      <c r="R187" s="247" t="s">
        <v>247</v>
      </c>
      <c r="S187" s="213" t="str">
        <f t="shared" si="3"/>
        <v/>
      </c>
      <c r="T187" s="246">
        <f>IF($L187='11 FORMULAS'!$D$51,$C$100-($C$100*$S$100),$C$100)</f>
        <v>0.6</v>
      </c>
      <c r="U187" s="213">
        <f>IF($L187='11 FORMULAS'!$D$53,D187-(D187*S187),D187)</f>
        <v>0</v>
      </c>
      <c r="V187" s="598"/>
      <c r="W187" s="601"/>
      <c r="X187" s="27"/>
      <c r="Y187" s="211"/>
      <c r="Z187" s="212"/>
      <c r="AA187" s="212"/>
    </row>
    <row r="188" spans="1:27" ht="29.45" hidden="1" customHeight="1" thickBot="1" x14ac:dyDescent="0.3">
      <c r="A188" s="561"/>
      <c r="B188" s="565"/>
      <c r="C188" s="419"/>
      <c r="D188" s="557"/>
      <c r="E188" s="244">
        <v>5</v>
      </c>
      <c r="F188" s="237"/>
      <c r="G188" s="160"/>
      <c r="H188" s="160"/>
      <c r="I188" s="209" t="str">
        <f t="shared" si="2"/>
        <v xml:space="preserve">  </v>
      </c>
      <c r="J188" s="281"/>
      <c r="K188" s="213" t="str">
        <f>+IFERROR(VLOOKUP($J188,'11 FORMULAS'!$B$51:$C$53,2,0),"")</f>
        <v/>
      </c>
      <c r="L188" s="213" t="str">
        <f>+IFERROR(VLOOKUP($J188,'11 FORMULAS'!$B$51:$D$53,3,0),"")</f>
        <v/>
      </c>
      <c r="M188" s="245" t="s">
        <v>134</v>
      </c>
      <c r="N188" s="246">
        <f>+IFERROR(VLOOKUP($M188,'11 FORMULAS'!$B$54:$C$55,2,0),"")</f>
        <v>0.25</v>
      </c>
      <c r="O188" s="247" t="s">
        <v>146</v>
      </c>
      <c r="P188" s="247" t="s">
        <v>239</v>
      </c>
      <c r="Q188" s="247" t="s">
        <v>137</v>
      </c>
      <c r="R188" s="247" t="s">
        <v>247</v>
      </c>
      <c r="S188" s="213" t="str">
        <f t="shared" si="3"/>
        <v/>
      </c>
      <c r="T188" s="246">
        <f>IF($L188='11 FORMULAS'!$D$51,$C$100-($C$100*$S$100),$C$100)</f>
        <v>0.6</v>
      </c>
      <c r="U188" s="213">
        <f>IF($L188='11 FORMULAS'!$D$53,D188-(D188*S188),D188)</f>
        <v>0</v>
      </c>
      <c r="V188" s="598"/>
      <c r="W188" s="601"/>
      <c r="X188" s="27"/>
      <c r="Y188" s="211"/>
      <c r="Z188" s="212"/>
      <c r="AA188" s="212"/>
    </row>
    <row r="189" spans="1:27" ht="29.45" hidden="1" customHeight="1" thickBot="1" x14ac:dyDescent="0.3">
      <c r="A189" s="562"/>
      <c r="B189" s="566"/>
      <c r="C189" s="420"/>
      <c r="D189" s="558"/>
      <c r="E189" s="248">
        <v>6</v>
      </c>
      <c r="F189" s="239"/>
      <c r="G189" s="161"/>
      <c r="H189" s="161"/>
      <c r="I189" s="209" t="str">
        <f t="shared" si="2"/>
        <v xml:space="preserve">  </v>
      </c>
      <c r="J189" s="281"/>
      <c r="K189" s="213" t="str">
        <f>+IFERROR(VLOOKUP($J189,'11 FORMULAS'!$B$51:$C$53,2,0),"")</f>
        <v/>
      </c>
      <c r="L189" s="213" t="str">
        <f>+IFERROR(VLOOKUP($J189,'11 FORMULAS'!$B$51:$D$53,3,0),"")</f>
        <v/>
      </c>
      <c r="M189" s="245" t="s">
        <v>134</v>
      </c>
      <c r="N189" s="246">
        <f>+IFERROR(VLOOKUP($M189,'11 FORMULAS'!$B$54:$C$55,2,0),"")</f>
        <v>0.25</v>
      </c>
      <c r="O189" s="247" t="s">
        <v>146</v>
      </c>
      <c r="P189" s="247" t="s">
        <v>239</v>
      </c>
      <c r="Q189" s="247" t="s">
        <v>137</v>
      </c>
      <c r="R189" s="247" t="s">
        <v>247</v>
      </c>
      <c r="S189" s="213" t="str">
        <f t="shared" si="3"/>
        <v/>
      </c>
      <c r="T189" s="246">
        <f>IF($L189='11 FORMULAS'!$D$51,$C$100-($C$100*$S$100),$C$100)</f>
        <v>0.6</v>
      </c>
      <c r="U189" s="213">
        <f>IF($L189='11 FORMULAS'!$D$53,D189-(D189*S189),D189)</f>
        <v>0</v>
      </c>
      <c r="V189" s="599"/>
      <c r="W189" s="602"/>
      <c r="X189" s="27"/>
    </row>
    <row r="190" spans="1:27" ht="15" thickBot="1" x14ac:dyDescent="0.3"/>
    <row r="191" spans="1:27" ht="15.75" thickTop="1" thickBot="1" x14ac:dyDescent="0.3">
      <c r="A191" s="424" t="s">
        <v>376</v>
      </c>
      <c r="B191" s="424"/>
      <c r="C191" s="424"/>
      <c r="D191" s="424"/>
      <c r="E191" s="424"/>
      <c r="F191" s="424"/>
      <c r="G191" s="424"/>
    </row>
    <row r="192" spans="1:27" ht="15.75" thickTop="1" thickBot="1" x14ac:dyDescent="0.3">
      <c r="A192" s="312" t="s">
        <v>377</v>
      </c>
      <c r="B192" s="424" t="s">
        <v>378</v>
      </c>
      <c r="C192" s="424"/>
      <c r="D192" s="424" t="s">
        <v>379</v>
      </c>
      <c r="E192" s="424"/>
      <c r="F192" s="424" t="s">
        <v>380</v>
      </c>
      <c r="G192" s="424"/>
    </row>
    <row r="193" spans="1:7" ht="114.95" customHeight="1" thickTop="1" thickBot="1" x14ac:dyDescent="0.3">
      <c r="A193" s="313" t="s">
        <v>381</v>
      </c>
      <c r="B193" s="399">
        <v>46163</v>
      </c>
      <c r="C193" s="399"/>
      <c r="D193" s="400" t="s">
        <v>382</v>
      </c>
      <c r="E193" s="400"/>
      <c r="F193" s="401" t="s">
        <v>383</v>
      </c>
      <c r="G193" s="401"/>
    </row>
    <row r="194" spans="1:7" ht="15" thickTop="1" x14ac:dyDescent="0.25"/>
  </sheetData>
  <sheetProtection formatCells="0" formatColumns="0" formatRows="0" sort="0" autoFilter="0" pivotTables="0"/>
  <autoFilter ref="A9:X189" xr:uid="{00000000-0009-0000-0000-000005000000}"/>
  <dataConsolidate/>
  <mergeCells count="203">
    <mergeCell ref="V154:V159"/>
    <mergeCell ref="W154:W159"/>
    <mergeCell ref="V160:V165"/>
    <mergeCell ref="W160:W165"/>
    <mergeCell ref="V166:V171"/>
    <mergeCell ref="W166:W171"/>
    <mergeCell ref="V172:V177"/>
    <mergeCell ref="W172:W177"/>
    <mergeCell ref="V178:V183"/>
    <mergeCell ref="W178:W183"/>
    <mergeCell ref="C154:C159"/>
    <mergeCell ref="D154:D159"/>
    <mergeCell ref="C160:C165"/>
    <mergeCell ref="D160:D165"/>
    <mergeCell ref="C166:C171"/>
    <mergeCell ref="D166:D171"/>
    <mergeCell ref="C172:C177"/>
    <mergeCell ref="D172:D177"/>
    <mergeCell ref="C178:C183"/>
    <mergeCell ref="D178:D183"/>
    <mergeCell ref="C124:C129"/>
    <mergeCell ref="D124:D129"/>
    <mergeCell ref="C130:C135"/>
    <mergeCell ref="D130:D135"/>
    <mergeCell ref="C136:C141"/>
    <mergeCell ref="D136:D141"/>
    <mergeCell ref="C142:C147"/>
    <mergeCell ref="D142:D147"/>
    <mergeCell ref="C148:C153"/>
    <mergeCell ref="D148:D153"/>
    <mergeCell ref="A172:A177"/>
    <mergeCell ref="A178:A183"/>
    <mergeCell ref="B130:B135"/>
    <mergeCell ref="B136:B141"/>
    <mergeCell ref="B142:B147"/>
    <mergeCell ref="B148:B153"/>
    <mergeCell ref="B154:B159"/>
    <mergeCell ref="B160:B165"/>
    <mergeCell ref="B166:B171"/>
    <mergeCell ref="B172:B177"/>
    <mergeCell ref="B178:B183"/>
    <mergeCell ref="A124:A129"/>
    <mergeCell ref="B124:B129"/>
    <mergeCell ref="A130:A135"/>
    <mergeCell ref="A136:A141"/>
    <mergeCell ref="A142:A147"/>
    <mergeCell ref="A148:A153"/>
    <mergeCell ref="A154:A159"/>
    <mergeCell ref="A160:A165"/>
    <mergeCell ref="A166:A171"/>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22:V27"/>
    <mergeCell ref="W22:W27"/>
    <mergeCell ref="V28:V33"/>
    <mergeCell ref="W28:W33"/>
    <mergeCell ref="V10:V15"/>
    <mergeCell ref="W10:W15"/>
    <mergeCell ref="V16:V21"/>
    <mergeCell ref="W16:W21"/>
    <mergeCell ref="V58:V63"/>
    <mergeCell ref="W58:W63"/>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B10:B15"/>
    <mergeCell ref="A28:A33"/>
    <mergeCell ref="B28:B33"/>
    <mergeCell ref="C28:C33"/>
    <mergeCell ref="D28:D33"/>
    <mergeCell ref="A16:A21"/>
    <mergeCell ref="B16:B21"/>
    <mergeCell ref="C16:C21"/>
    <mergeCell ref="D16:D21"/>
    <mergeCell ref="A22:A27"/>
    <mergeCell ref="B22:B27"/>
    <mergeCell ref="C22:C27"/>
    <mergeCell ref="D22:D27"/>
    <mergeCell ref="S6:S8"/>
    <mergeCell ref="T6:T8"/>
    <mergeCell ref="U6:U8"/>
    <mergeCell ref="A8:A9"/>
    <mergeCell ref="B8:B9"/>
    <mergeCell ref="E8:E9"/>
    <mergeCell ref="J8:N8"/>
    <mergeCell ref="F8:H8"/>
    <mergeCell ref="O8:R8"/>
    <mergeCell ref="J7:R7"/>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W106 C106:D108 V106:V108 C112:D114 V112:W114 C118:D120 V118:W120 C184:D186 V184:W186">
    <cfRule type="cellIs" dxfId="159" priority="372" operator="between">
      <formula>$Z$11</formula>
      <formula>$AA$11</formula>
    </cfRule>
    <cfRule type="cellIs" dxfId="158" priority="371" operator="between">
      <formula>$Z$10</formula>
      <formula>$AA$10</formula>
    </cfRule>
    <cfRule type="cellIs" dxfId="157" priority="370" operator="between">
      <formula>$Z$9</formula>
      <formula>$AA$9</formula>
    </cfRule>
    <cfRule type="cellIs" dxfId="156" priority="369" operator="between">
      <formula>$Z$8</formula>
      <formula>$AA$8</formula>
    </cfRule>
    <cfRule type="cellIs" dxfId="155" priority="373" operator="between">
      <formula>$Z$12</formula>
      <formula>$AA$12</formula>
    </cfRule>
  </conditionalFormatting>
  <conditionalFormatting sqref="C124:D126">
    <cfRule type="cellIs" dxfId="154" priority="99" operator="between">
      <formula>$Z$11</formula>
      <formula>$AA$11</formula>
    </cfRule>
    <cfRule type="cellIs" dxfId="153" priority="100" operator="between">
      <formula>$Z$12</formula>
      <formula>$AA$12</formula>
    </cfRule>
    <cfRule type="cellIs" dxfId="152" priority="98" operator="between">
      <formula>$Z$10</formula>
      <formula>$AA$10</formula>
    </cfRule>
    <cfRule type="cellIs" dxfId="151" priority="97" operator="between">
      <formula>$Z$9</formula>
      <formula>$AA$9</formula>
    </cfRule>
    <cfRule type="cellIs" dxfId="150" priority="96" operator="between">
      <formula>$Z$8</formula>
      <formula>$AA$8</formula>
    </cfRule>
  </conditionalFormatting>
  <conditionalFormatting sqref="C130:D132">
    <cfRule type="cellIs" dxfId="149" priority="93" operator="between">
      <formula>$Z$10</formula>
      <formula>$AA$10</formula>
    </cfRule>
    <cfRule type="cellIs" dxfId="148" priority="95" operator="between">
      <formula>$Z$12</formula>
      <formula>$AA$12</formula>
    </cfRule>
    <cfRule type="cellIs" dxfId="147" priority="94" operator="between">
      <formula>$Z$11</formula>
      <formula>$AA$11</formula>
    </cfRule>
    <cfRule type="cellIs" dxfId="146" priority="92" operator="between">
      <formula>$Z$9</formula>
      <formula>$AA$9</formula>
    </cfRule>
    <cfRule type="cellIs" dxfId="145" priority="91" operator="between">
      <formula>$Z$8</formula>
      <formula>$AA$8</formula>
    </cfRule>
  </conditionalFormatting>
  <conditionalFormatting sqref="C136:D138">
    <cfRule type="cellIs" dxfId="144" priority="90" operator="between">
      <formula>$Z$12</formula>
      <formula>$AA$12</formula>
    </cfRule>
    <cfRule type="cellIs" dxfId="143" priority="89" operator="between">
      <formula>$Z$11</formula>
      <formula>$AA$11</formula>
    </cfRule>
    <cfRule type="cellIs" dxfId="142" priority="88" operator="between">
      <formula>$Z$10</formula>
      <formula>$AA$10</formula>
    </cfRule>
    <cfRule type="cellIs" dxfId="141" priority="87" operator="between">
      <formula>$Z$9</formula>
      <formula>$AA$9</formula>
    </cfRule>
    <cfRule type="cellIs" dxfId="140" priority="86" operator="between">
      <formula>$Z$8</formula>
      <formula>$AA$8</formula>
    </cfRule>
  </conditionalFormatting>
  <conditionalFormatting sqref="C142:D144">
    <cfRule type="cellIs" dxfId="139" priority="81" operator="between">
      <formula>$Z$8</formula>
      <formula>$AA$8</formula>
    </cfRule>
    <cfRule type="cellIs" dxfId="138" priority="85" operator="between">
      <formula>$Z$12</formula>
      <formula>$AA$12</formula>
    </cfRule>
    <cfRule type="cellIs" dxfId="137" priority="84" operator="between">
      <formula>$Z$11</formula>
      <formula>$AA$11</formula>
    </cfRule>
    <cfRule type="cellIs" dxfId="136" priority="83" operator="between">
      <formula>$Z$10</formula>
      <formula>$AA$10</formula>
    </cfRule>
    <cfRule type="cellIs" dxfId="135" priority="82" operator="between">
      <formula>$Z$9</formula>
      <formula>$AA$9</formula>
    </cfRule>
  </conditionalFormatting>
  <conditionalFormatting sqref="C148:D150">
    <cfRule type="cellIs" dxfId="134" priority="80" operator="between">
      <formula>$Z$12</formula>
      <formula>$AA$12</formula>
    </cfRule>
    <cfRule type="cellIs" dxfId="133" priority="79" operator="between">
      <formula>$Z$11</formula>
      <formula>$AA$11</formula>
    </cfRule>
    <cfRule type="cellIs" dxfId="132" priority="78" operator="between">
      <formula>$Z$10</formula>
      <formula>$AA$10</formula>
    </cfRule>
    <cfRule type="cellIs" dxfId="131" priority="77" operator="between">
      <formula>$Z$9</formula>
      <formula>$AA$9</formula>
    </cfRule>
    <cfRule type="cellIs" dxfId="130" priority="76" operator="between">
      <formula>$Z$8</formula>
      <formula>$AA$8</formula>
    </cfRule>
  </conditionalFormatting>
  <conditionalFormatting sqref="C154:D156">
    <cfRule type="cellIs" dxfId="129" priority="75" operator="between">
      <formula>$Z$12</formula>
      <formula>$AA$12</formula>
    </cfRule>
    <cfRule type="cellIs" dxfId="128" priority="74" operator="between">
      <formula>$Z$11</formula>
      <formula>$AA$11</formula>
    </cfRule>
    <cfRule type="cellIs" dxfId="127" priority="73" operator="between">
      <formula>$Z$10</formula>
      <formula>$AA$10</formula>
    </cfRule>
    <cfRule type="cellIs" dxfId="126" priority="72" operator="between">
      <formula>$Z$9</formula>
      <formula>$AA$9</formula>
    </cfRule>
    <cfRule type="cellIs" dxfId="125" priority="71" operator="between">
      <formula>$Z$8</formula>
      <formula>$AA$8</formula>
    </cfRule>
  </conditionalFormatting>
  <conditionalFormatting sqref="C160:D162">
    <cfRule type="cellIs" dxfId="124" priority="70" operator="between">
      <formula>$Z$12</formula>
      <formula>$AA$12</formula>
    </cfRule>
    <cfRule type="cellIs" dxfId="123" priority="69" operator="between">
      <formula>$Z$11</formula>
      <formula>$AA$11</formula>
    </cfRule>
    <cfRule type="cellIs" dxfId="122" priority="68" operator="between">
      <formula>$Z$10</formula>
      <formula>$AA$10</formula>
    </cfRule>
    <cfRule type="cellIs" dxfId="121" priority="67" operator="between">
      <formula>$Z$9</formula>
      <formula>$AA$9</formula>
    </cfRule>
    <cfRule type="cellIs" dxfId="120" priority="66" operator="between">
      <formula>$Z$8</formula>
      <formula>$AA$8</formula>
    </cfRule>
  </conditionalFormatting>
  <conditionalFormatting sqref="C166:D168">
    <cfRule type="cellIs" dxfId="119" priority="65" operator="between">
      <formula>$Z$12</formula>
      <formula>$AA$12</formula>
    </cfRule>
    <cfRule type="cellIs" dxfId="118" priority="64" operator="between">
      <formula>$Z$11</formula>
      <formula>$AA$11</formula>
    </cfRule>
    <cfRule type="cellIs" dxfId="117" priority="63" operator="between">
      <formula>$Z$10</formula>
      <formula>$AA$10</formula>
    </cfRule>
    <cfRule type="cellIs" dxfId="116" priority="62" operator="between">
      <formula>$Z$9</formula>
      <formula>$AA$9</formula>
    </cfRule>
    <cfRule type="cellIs" dxfId="115" priority="61" operator="between">
      <formula>$Z$8</formula>
      <formula>$AA$8</formula>
    </cfRule>
  </conditionalFormatting>
  <conditionalFormatting sqref="C172:D174">
    <cfRule type="cellIs" dxfId="114" priority="60" operator="between">
      <formula>$Z$12</formula>
      <formula>$AA$12</formula>
    </cfRule>
    <cfRule type="cellIs" dxfId="113" priority="59" operator="between">
      <formula>$Z$11</formula>
      <formula>$AA$11</formula>
    </cfRule>
    <cfRule type="cellIs" dxfId="112" priority="58" operator="between">
      <formula>$Z$10</formula>
      <formula>$AA$10</formula>
    </cfRule>
    <cfRule type="cellIs" dxfId="111" priority="57" operator="between">
      <formula>$Z$9</formula>
      <formula>$AA$9</formula>
    </cfRule>
    <cfRule type="cellIs" dxfId="110" priority="56" operator="between">
      <formula>$Z$8</formula>
      <formula>$AA$8</formula>
    </cfRule>
  </conditionalFormatting>
  <conditionalFormatting sqref="C178:D180">
    <cfRule type="cellIs" dxfId="109" priority="51" operator="between">
      <formula>$Z$8</formula>
      <formula>$AA$8</formula>
    </cfRule>
    <cfRule type="cellIs" dxfId="108" priority="52" operator="between">
      <formula>$Z$9</formula>
      <formula>$AA$9</formula>
    </cfRule>
    <cfRule type="cellIs" dxfId="107" priority="53" operator="between">
      <formula>$Z$10</formula>
      <formula>$AA$10</formula>
    </cfRule>
    <cfRule type="cellIs" dxfId="106" priority="54" operator="between">
      <formula>$Z$11</formula>
      <formula>$AA$11</formula>
    </cfRule>
    <cfRule type="cellIs" dxfId="105" priority="55" operator="between">
      <formula>$Z$12</formula>
      <formula>$AA$12</formula>
    </cfRule>
  </conditionalFormatting>
  <conditionalFormatting sqref="V124:W126">
    <cfRule type="cellIs" dxfId="104" priority="50" operator="between">
      <formula>$Z$12</formula>
      <formula>$AA$12</formula>
    </cfRule>
    <cfRule type="cellIs" dxfId="103" priority="49" operator="between">
      <formula>$Z$11</formula>
      <formula>$AA$11</formula>
    </cfRule>
    <cfRule type="cellIs" dxfId="102" priority="48" operator="between">
      <formula>$Z$10</formula>
      <formula>$AA$10</formula>
    </cfRule>
    <cfRule type="cellIs" dxfId="101" priority="47" operator="between">
      <formula>$Z$9</formula>
      <formula>$AA$9</formula>
    </cfRule>
    <cfRule type="cellIs" dxfId="100" priority="46" operator="between">
      <formula>$Z$8</formula>
      <formula>$AA$8</formula>
    </cfRule>
  </conditionalFormatting>
  <conditionalFormatting sqref="V130:W132">
    <cfRule type="cellIs" dxfId="99" priority="45" operator="between">
      <formula>$Z$12</formula>
      <formula>$AA$12</formula>
    </cfRule>
    <cfRule type="cellIs" dxfId="98" priority="44" operator="between">
      <formula>$Z$11</formula>
      <formula>$AA$11</formula>
    </cfRule>
    <cfRule type="cellIs" dxfId="97" priority="43" operator="between">
      <formula>$Z$10</formula>
      <formula>$AA$10</formula>
    </cfRule>
    <cfRule type="cellIs" dxfId="96" priority="42" operator="between">
      <formula>$Z$9</formula>
      <formula>$AA$9</formula>
    </cfRule>
    <cfRule type="cellIs" dxfId="95" priority="41" operator="between">
      <formula>$Z$8</formula>
      <formula>$AA$8</formula>
    </cfRule>
  </conditionalFormatting>
  <conditionalFormatting sqref="V136:W138">
    <cfRule type="cellIs" dxfId="94" priority="40" operator="between">
      <formula>$Z$12</formula>
      <formula>$AA$12</formula>
    </cfRule>
    <cfRule type="cellIs" dxfId="93" priority="39" operator="between">
      <formula>$Z$11</formula>
      <formula>$AA$11</formula>
    </cfRule>
    <cfRule type="cellIs" dxfId="92" priority="38" operator="between">
      <formula>$Z$10</formula>
      <formula>$AA$10</formula>
    </cfRule>
    <cfRule type="cellIs" dxfId="91" priority="37" operator="between">
      <formula>$Z$9</formula>
      <formula>$AA$9</formula>
    </cfRule>
    <cfRule type="cellIs" dxfId="90" priority="36" operator="between">
      <formula>$Z$8</formula>
      <formula>$AA$8</formula>
    </cfRule>
  </conditionalFormatting>
  <conditionalFormatting sqref="V142:W144">
    <cfRule type="cellIs" dxfId="89" priority="35" operator="between">
      <formula>$Z$12</formula>
      <formula>$AA$12</formula>
    </cfRule>
    <cfRule type="cellIs" dxfId="88" priority="34" operator="between">
      <formula>$Z$11</formula>
      <formula>$AA$11</formula>
    </cfRule>
    <cfRule type="cellIs" dxfId="87" priority="33" operator="between">
      <formula>$Z$10</formula>
      <formula>$AA$10</formula>
    </cfRule>
    <cfRule type="cellIs" dxfId="86" priority="32" operator="between">
      <formula>$Z$9</formula>
      <formula>$AA$9</formula>
    </cfRule>
    <cfRule type="cellIs" dxfId="85" priority="31" operator="between">
      <formula>$Z$8</formula>
      <formula>$AA$8</formula>
    </cfRule>
  </conditionalFormatting>
  <conditionalFormatting sqref="V148:W150">
    <cfRule type="cellIs" dxfId="84" priority="30" operator="between">
      <formula>$Z$12</formula>
      <formula>$AA$12</formula>
    </cfRule>
    <cfRule type="cellIs" dxfId="83" priority="29" operator="between">
      <formula>$Z$11</formula>
      <formula>$AA$11</formula>
    </cfRule>
    <cfRule type="cellIs" dxfId="82" priority="28" operator="between">
      <formula>$Z$10</formula>
      <formula>$AA$10</formula>
    </cfRule>
    <cfRule type="cellIs" dxfId="81" priority="27" operator="between">
      <formula>$Z$9</formula>
      <formula>$AA$9</formula>
    </cfRule>
    <cfRule type="cellIs" dxfId="80" priority="26" operator="between">
      <formula>$Z$8</formula>
      <formula>$AA$8</formula>
    </cfRule>
  </conditionalFormatting>
  <conditionalFormatting sqref="V154:W156">
    <cfRule type="cellIs" dxfId="79" priority="25" operator="between">
      <formula>$Z$12</formula>
      <formula>$AA$12</formula>
    </cfRule>
    <cfRule type="cellIs" dxfId="78" priority="24" operator="between">
      <formula>$Z$11</formula>
      <formula>$AA$11</formula>
    </cfRule>
    <cfRule type="cellIs" dxfId="77" priority="23" operator="between">
      <formula>$Z$10</formula>
      <formula>$AA$10</formula>
    </cfRule>
    <cfRule type="cellIs" dxfId="76" priority="22" operator="between">
      <formula>$Z$9</formula>
      <formula>$AA$9</formula>
    </cfRule>
    <cfRule type="cellIs" dxfId="75" priority="21" operator="between">
      <formula>$Z$8</formula>
      <formula>$AA$8</formula>
    </cfRule>
  </conditionalFormatting>
  <conditionalFormatting sqref="V160:W162">
    <cfRule type="cellIs" dxfId="74" priority="20" operator="between">
      <formula>$Z$12</formula>
      <formula>$AA$12</formula>
    </cfRule>
    <cfRule type="cellIs" dxfId="73" priority="19" operator="between">
      <formula>$Z$11</formula>
      <formula>$AA$11</formula>
    </cfRule>
    <cfRule type="cellIs" dxfId="72" priority="18" operator="between">
      <formula>$Z$10</formula>
      <formula>$AA$10</formula>
    </cfRule>
    <cfRule type="cellIs" dxfId="71" priority="17" operator="between">
      <formula>$Z$9</formula>
      <formula>$AA$9</formula>
    </cfRule>
    <cfRule type="cellIs" dxfId="70" priority="16" operator="between">
      <formula>$Z$8</formula>
      <formula>$AA$8</formula>
    </cfRule>
  </conditionalFormatting>
  <conditionalFormatting sqref="V166:W168">
    <cfRule type="cellIs" dxfId="69" priority="15" operator="between">
      <formula>$Z$12</formula>
      <formula>$AA$12</formula>
    </cfRule>
    <cfRule type="cellIs" dxfId="68" priority="14" operator="between">
      <formula>$Z$11</formula>
      <formula>$AA$11</formula>
    </cfRule>
    <cfRule type="cellIs" dxfId="67" priority="12" operator="between">
      <formula>$Z$9</formula>
      <formula>$AA$9</formula>
    </cfRule>
    <cfRule type="cellIs" dxfId="66" priority="11" operator="between">
      <formula>$Z$8</formula>
      <formula>$AA$8</formula>
    </cfRule>
    <cfRule type="cellIs" dxfId="65" priority="13" operator="between">
      <formula>$Z$10</formula>
      <formula>$AA$10</formula>
    </cfRule>
  </conditionalFormatting>
  <conditionalFormatting sqref="V172:W174">
    <cfRule type="cellIs" dxfId="64" priority="10" operator="between">
      <formula>$Z$12</formula>
      <formula>$AA$12</formula>
    </cfRule>
    <cfRule type="cellIs" dxfId="63" priority="9" operator="between">
      <formula>$Z$11</formula>
      <formula>$AA$11</formula>
    </cfRule>
    <cfRule type="cellIs" dxfId="62" priority="8" operator="between">
      <formula>$Z$10</formula>
      <formula>$AA$10</formula>
    </cfRule>
    <cfRule type="cellIs" dxfId="61" priority="6" operator="between">
      <formula>$Z$8</formula>
      <formula>$AA$8</formula>
    </cfRule>
    <cfRule type="cellIs" dxfId="60" priority="7" operator="between">
      <formula>$Z$9</formula>
      <formula>$AA$9</formula>
    </cfRule>
  </conditionalFormatting>
  <conditionalFormatting sqref="V178:W180">
    <cfRule type="cellIs" dxfId="59" priority="1" operator="between">
      <formula>$Z$8</formula>
      <formula>$AA$8</formula>
    </cfRule>
    <cfRule type="cellIs" dxfId="58" priority="5" operator="between">
      <formula>$Z$12</formula>
      <formula>$AA$12</formula>
    </cfRule>
    <cfRule type="cellIs" dxfId="57" priority="4" operator="between">
      <formula>$Z$11</formula>
      <formula>$AA$11</formula>
    </cfRule>
    <cfRule type="cellIs" dxfId="56" priority="3" operator="between">
      <formula>$Z$10</formula>
      <formula>$AA$10</formula>
    </cfRule>
    <cfRule type="cellIs" dxfId="55"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85546875" defaultRowHeight="12.75" x14ac:dyDescent="0.2"/>
  <cols>
    <col min="1" max="1" width="35.42578125" style="99" customWidth="1"/>
    <col min="2" max="2" width="47.140625" style="99" customWidth="1"/>
    <col min="3" max="3" width="42.42578125" style="99" customWidth="1"/>
    <col min="4" max="4" width="34.42578125" style="99" customWidth="1"/>
    <col min="5" max="5" width="27.140625" style="99" customWidth="1"/>
    <col min="6" max="6" width="45.42578125" style="99" customWidth="1"/>
    <col min="7" max="7" width="22.140625" style="99" customWidth="1"/>
    <col min="8" max="8" width="20.85546875" style="99" customWidth="1"/>
    <col min="9" max="9" width="46.28515625" style="99" customWidth="1"/>
    <col min="10" max="10" width="10.85546875" style="99"/>
    <col min="11" max="11" width="20.85546875" style="99" customWidth="1"/>
    <col min="12" max="12" width="14.42578125" style="99" customWidth="1"/>
    <col min="13" max="14" width="21" style="99" customWidth="1"/>
    <col min="15" max="16" width="10.85546875" style="99"/>
    <col min="17" max="17" width="14.85546875" style="99" customWidth="1"/>
    <col min="18" max="18" width="10.85546875" style="99"/>
    <col min="19" max="19" width="16.42578125" style="99" customWidth="1"/>
    <col min="20" max="20" width="10.85546875" style="99"/>
    <col min="21" max="21" width="30.140625" style="99" customWidth="1"/>
    <col min="22" max="16384" width="10.85546875" style="99"/>
  </cols>
  <sheetData>
    <row r="1" spans="1:23" ht="25.5" customHeight="1" x14ac:dyDescent="0.2">
      <c r="A1" s="612" t="s">
        <v>117</v>
      </c>
      <c r="B1" s="612"/>
      <c r="E1" s="611" t="s">
        <v>118</v>
      </c>
      <c r="F1" s="611"/>
      <c r="G1" s="611"/>
      <c r="H1" s="611"/>
    </row>
    <row r="2" spans="1:23" ht="48.95" customHeight="1" x14ac:dyDescent="0.2">
      <c r="B2" s="110" t="s">
        <v>84</v>
      </c>
      <c r="C2" s="110"/>
      <c r="E2" s="610" t="s">
        <v>119</v>
      </c>
      <c r="F2" s="610"/>
      <c r="G2" s="610"/>
      <c r="H2" s="610"/>
      <c r="I2" s="610"/>
      <c r="K2" s="610" t="s">
        <v>120</v>
      </c>
      <c r="L2" s="610"/>
      <c r="M2" s="610"/>
      <c r="N2" s="610"/>
      <c r="P2" s="610" t="s">
        <v>50</v>
      </c>
      <c r="Q2" s="610"/>
      <c r="S2" s="100" t="s">
        <v>68</v>
      </c>
      <c r="U2" s="100" t="s">
        <v>121</v>
      </c>
      <c r="W2" s="52" t="s">
        <v>72</v>
      </c>
    </row>
    <row r="3" spans="1:23" ht="29.25" thickBot="1" x14ac:dyDescent="0.25">
      <c r="A3" s="101" t="s">
        <v>122</v>
      </c>
      <c r="B3" s="110" t="s">
        <v>122</v>
      </c>
      <c r="C3" s="110" t="s">
        <v>84</v>
      </c>
      <c r="E3" s="102" t="s">
        <v>46</v>
      </c>
      <c r="F3" s="102" t="s">
        <v>48</v>
      </c>
      <c r="H3" s="102" t="s">
        <v>51</v>
      </c>
      <c r="I3" s="102" t="s">
        <v>53</v>
      </c>
      <c r="K3" s="100" t="s">
        <v>123</v>
      </c>
      <c r="L3" s="100" t="s">
        <v>124</v>
      </c>
      <c r="M3" s="100" t="s">
        <v>125</v>
      </c>
      <c r="N3" s="100" t="s">
        <v>126</v>
      </c>
      <c r="P3" s="106" t="s">
        <v>46</v>
      </c>
      <c r="Q3" s="106" t="s">
        <v>127</v>
      </c>
      <c r="S3" s="101" t="s">
        <v>128</v>
      </c>
      <c r="U3" s="10" t="s">
        <v>129</v>
      </c>
      <c r="W3" s="35" t="s">
        <v>130</v>
      </c>
    </row>
    <row r="4" spans="1:23" ht="38.25" x14ac:dyDescent="0.2">
      <c r="A4" s="109" t="s">
        <v>131</v>
      </c>
      <c r="B4" s="112" t="s">
        <v>131</v>
      </c>
      <c r="C4" s="123" t="s">
        <v>132</v>
      </c>
      <c r="E4" s="101" t="s">
        <v>133</v>
      </c>
      <c r="F4" s="103">
        <v>0.25</v>
      </c>
      <c r="H4" s="101" t="s">
        <v>134</v>
      </c>
      <c r="I4" s="103">
        <v>0.25</v>
      </c>
      <c r="K4" s="217" t="s">
        <v>135</v>
      </c>
      <c r="L4" s="101" t="s">
        <v>136</v>
      </c>
      <c r="M4" s="101" t="s">
        <v>137</v>
      </c>
      <c r="N4" s="101" t="s">
        <v>138</v>
      </c>
      <c r="P4" s="101" t="s">
        <v>133</v>
      </c>
      <c r="Q4" s="140" t="s">
        <v>139</v>
      </c>
      <c r="S4" s="101" t="s">
        <v>140</v>
      </c>
      <c r="U4" s="10" t="s">
        <v>141</v>
      </c>
      <c r="W4" s="35" t="s">
        <v>142</v>
      </c>
    </row>
    <row r="5" spans="1:23" ht="77.25" thickBot="1" x14ac:dyDescent="0.25">
      <c r="A5" s="109" t="s">
        <v>143</v>
      </c>
      <c r="B5" s="116"/>
      <c r="C5" s="124"/>
      <c r="E5" s="101" t="s">
        <v>144</v>
      </c>
      <c r="F5" s="103">
        <v>0.15</v>
      </c>
      <c r="H5" s="101" t="s">
        <v>145</v>
      </c>
      <c r="I5" s="103">
        <v>0.15</v>
      </c>
      <c r="K5" s="217" t="s">
        <v>146</v>
      </c>
      <c r="L5" s="101" t="s">
        <v>147</v>
      </c>
      <c r="M5" s="101" t="s">
        <v>148</v>
      </c>
      <c r="N5" s="101" t="s">
        <v>149</v>
      </c>
      <c r="P5" s="101" t="s">
        <v>144</v>
      </c>
      <c r="Q5" s="140" t="s">
        <v>139</v>
      </c>
      <c r="S5" s="101" t="s">
        <v>150</v>
      </c>
      <c r="U5" s="10" t="s">
        <v>151</v>
      </c>
      <c r="W5" s="35" t="s">
        <v>152</v>
      </c>
    </row>
    <row r="6" spans="1:23" ht="28.5" x14ac:dyDescent="0.2">
      <c r="A6" s="109" t="s">
        <v>153</v>
      </c>
      <c r="B6" s="118" t="s">
        <v>143</v>
      </c>
      <c r="C6" s="125" t="s">
        <v>154</v>
      </c>
      <c r="E6" s="101" t="s">
        <v>155</v>
      </c>
      <c r="F6" s="103">
        <v>0.1</v>
      </c>
      <c r="H6" s="101"/>
      <c r="I6" s="101"/>
      <c r="K6" s="217" t="s">
        <v>156</v>
      </c>
      <c r="L6" s="101"/>
      <c r="M6" s="101"/>
      <c r="N6" s="101" t="s">
        <v>157</v>
      </c>
      <c r="P6" s="101" t="s">
        <v>155</v>
      </c>
      <c r="Q6" s="140" t="s">
        <v>158</v>
      </c>
      <c r="S6" s="101" t="s">
        <v>159</v>
      </c>
      <c r="U6" s="10" t="s">
        <v>160</v>
      </c>
      <c r="W6" s="101"/>
    </row>
    <row r="7" spans="1:23" ht="13.5" thickBot="1" x14ac:dyDescent="0.25">
      <c r="A7" s="109" t="s">
        <v>161</v>
      </c>
      <c r="B7" s="116"/>
      <c r="C7" s="124"/>
      <c r="E7" s="101"/>
      <c r="F7" s="103"/>
      <c r="P7" s="104"/>
      <c r="S7" s="101" t="s">
        <v>162</v>
      </c>
    </row>
    <row r="8" spans="1:23" x14ac:dyDescent="0.2">
      <c r="A8" s="109" t="s">
        <v>163</v>
      </c>
      <c r="B8" s="118" t="s">
        <v>153</v>
      </c>
      <c r="C8" s="125" t="s">
        <v>164</v>
      </c>
      <c r="S8" s="101"/>
    </row>
    <row r="9" spans="1:23" ht="26.25" thickBot="1" x14ac:dyDescent="0.25">
      <c r="A9" s="109" t="s">
        <v>165</v>
      </c>
      <c r="B9" s="120"/>
      <c r="C9" s="124"/>
    </row>
    <row r="10" spans="1:23" x14ac:dyDescent="0.2">
      <c r="A10" s="109" t="s">
        <v>166</v>
      </c>
      <c r="B10" s="118" t="s">
        <v>161</v>
      </c>
      <c r="C10" s="125" t="s">
        <v>167</v>
      </c>
    </row>
    <row r="11" spans="1:23" ht="14.25" customHeight="1" thickBot="1" x14ac:dyDescent="0.25">
      <c r="A11" s="111"/>
      <c r="B11" s="116"/>
      <c r="C11" s="124"/>
    </row>
    <row r="12" spans="1:23" ht="14.25" customHeight="1" x14ac:dyDescent="0.2">
      <c r="B12" s="118" t="s">
        <v>163</v>
      </c>
      <c r="C12" s="119" t="s">
        <v>132</v>
      </c>
    </row>
    <row r="13" spans="1:23" ht="14.25" customHeight="1" x14ac:dyDescent="0.2">
      <c r="A13" s="215" t="s">
        <v>89</v>
      </c>
      <c r="B13" s="115"/>
      <c r="C13" s="114" t="s">
        <v>154</v>
      </c>
    </row>
    <row r="14" spans="1:23" ht="14.25" customHeight="1" x14ac:dyDescent="0.2">
      <c r="A14" s="216" t="s">
        <v>168</v>
      </c>
      <c r="B14" s="113"/>
      <c r="C14" s="114" t="s">
        <v>164</v>
      </c>
    </row>
    <row r="15" spans="1:23" ht="14.25" customHeight="1" x14ac:dyDescent="0.2">
      <c r="A15" s="216" t="s">
        <v>96</v>
      </c>
      <c r="B15" s="113"/>
      <c r="C15" s="114" t="s">
        <v>167</v>
      </c>
    </row>
    <row r="16" spans="1:23" ht="14.25" customHeight="1" x14ac:dyDescent="0.2">
      <c r="A16" s="216" t="s">
        <v>169</v>
      </c>
      <c r="B16" s="113"/>
      <c r="C16" s="114" t="s">
        <v>170</v>
      </c>
    </row>
    <row r="17" spans="1:5" ht="14.25" customHeight="1" thickBot="1" x14ac:dyDescent="0.25">
      <c r="A17" s="216" t="s">
        <v>171</v>
      </c>
      <c r="B17" s="116"/>
      <c r="C17" s="117"/>
    </row>
    <row r="18" spans="1:5" x14ac:dyDescent="0.2">
      <c r="A18" s="216" t="s">
        <v>172</v>
      </c>
      <c r="B18" s="118" t="s">
        <v>165</v>
      </c>
      <c r="C18" s="119" t="s">
        <v>132</v>
      </c>
    </row>
    <row r="19" spans="1:5" ht="14.25" customHeight="1" x14ac:dyDescent="0.2">
      <c r="B19" s="113"/>
      <c r="C19" s="114" t="s">
        <v>154</v>
      </c>
    </row>
    <row r="20" spans="1:5" ht="14.25" customHeight="1" x14ac:dyDescent="0.2">
      <c r="B20" s="113"/>
      <c r="C20" s="114" t="s">
        <v>164</v>
      </c>
    </row>
    <row r="21" spans="1:5" ht="14.25" customHeight="1" x14ac:dyDescent="0.2">
      <c r="B21" s="113"/>
      <c r="C21" s="114" t="s">
        <v>167</v>
      </c>
    </row>
    <row r="22" spans="1:5" ht="14.25" customHeight="1" x14ac:dyDescent="0.2">
      <c r="B22" s="113"/>
      <c r="C22" s="114" t="s">
        <v>170</v>
      </c>
    </row>
    <row r="23" spans="1:5" ht="14.25" customHeight="1" thickBot="1" x14ac:dyDescent="0.25">
      <c r="B23" s="120"/>
      <c r="C23" s="121"/>
    </row>
    <row r="24" spans="1:5" ht="14.25" customHeight="1" x14ac:dyDescent="0.2">
      <c r="B24" s="118" t="s">
        <v>166</v>
      </c>
      <c r="C24" s="119" t="s">
        <v>170</v>
      </c>
    </row>
    <row r="25" spans="1:5" ht="14.25" customHeight="1" x14ac:dyDescent="0.2">
      <c r="B25" s="113"/>
      <c r="C25" s="114" t="s">
        <v>154</v>
      </c>
    </row>
    <row r="26" spans="1:5" ht="14.25" customHeight="1" thickBot="1" x14ac:dyDescent="0.25">
      <c r="B26" s="116"/>
      <c r="C26" s="117"/>
    </row>
    <row r="30" spans="1:5" x14ac:dyDescent="0.2">
      <c r="A30" s="215"/>
      <c r="B30" s="215"/>
      <c r="C30" s="215"/>
      <c r="D30" s="215"/>
      <c r="E30" s="215"/>
    </row>
    <row r="31" spans="1:5" ht="25.5" x14ac:dyDescent="0.2">
      <c r="A31" s="99" t="s">
        <v>168</v>
      </c>
      <c r="B31" s="99" t="s">
        <v>96</v>
      </c>
      <c r="C31" s="99" t="s">
        <v>173</v>
      </c>
      <c r="D31" s="99" t="s">
        <v>174</v>
      </c>
      <c r="E31" s="99" t="s">
        <v>175</v>
      </c>
    </row>
    <row r="32" spans="1:5" ht="25.5" x14ac:dyDescent="0.2">
      <c r="A32" s="224" t="s">
        <v>176</v>
      </c>
      <c r="B32" s="99" t="s">
        <v>177</v>
      </c>
      <c r="C32" s="99" t="s">
        <v>178</v>
      </c>
      <c r="D32" s="99" t="s">
        <v>179</v>
      </c>
      <c r="E32" s="99" t="s">
        <v>179</v>
      </c>
    </row>
    <row r="33" spans="1:9" ht="25.5" x14ac:dyDescent="0.2">
      <c r="A33" s="224" t="s">
        <v>180</v>
      </c>
      <c r="B33" s="99" t="s">
        <v>97</v>
      </c>
      <c r="C33" s="99" t="s">
        <v>181</v>
      </c>
      <c r="D33" s="99" t="s">
        <v>182</v>
      </c>
      <c r="E33" s="99" t="s">
        <v>182</v>
      </c>
    </row>
    <row r="34" spans="1:9" ht="25.5" x14ac:dyDescent="0.2">
      <c r="A34" s="224" t="s">
        <v>183</v>
      </c>
      <c r="B34" s="99" t="s">
        <v>184</v>
      </c>
      <c r="C34" s="99" t="s">
        <v>185</v>
      </c>
      <c r="D34" s="99" t="s">
        <v>186</v>
      </c>
      <c r="E34" s="99" t="s">
        <v>186</v>
      </c>
    </row>
    <row r="35" spans="1:9" ht="25.5" x14ac:dyDescent="0.2">
      <c r="B35" s="99" t="s">
        <v>187</v>
      </c>
    </row>
    <row r="37" spans="1:9" x14ac:dyDescent="0.2">
      <c r="H37" s="99" t="s">
        <v>85</v>
      </c>
      <c r="I37" s="99" t="s">
        <v>188</v>
      </c>
    </row>
    <row r="38" spans="1:9" ht="102" x14ac:dyDescent="0.2">
      <c r="A38" s="230" t="s">
        <v>189</v>
      </c>
      <c r="B38" s="230" t="s">
        <v>94</v>
      </c>
      <c r="C38" s="230" t="s">
        <v>164</v>
      </c>
      <c r="D38" s="230" t="s">
        <v>190</v>
      </c>
      <c r="E38" s="230" t="s">
        <v>170</v>
      </c>
      <c r="F38" s="230" t="s">
        <v>191</v>
      </c>
      <c r="H38" s="99" t="s">
        <v>189</v>
      </c>
      <c r="I38" s="99" t="s">
        <v>192</v>
      </c>
    </row>
    <row r="39" spans="1:9" ht="63.75" x14ac:dyDescent="0.2">
      <c r="A39" s="226" t="s">
        <v>193</v>
      </c>
      <c r="B39" s="227" t="s">
        <v>194</v>
      </c>
      <c r="C39" s="227" t="s">
        <v>195</v>
      </c>
      <c r="D39" s="226" t="s">
        <v>196</v>
      </c>
      <c r="E39" s="226" t="s">
        <v>197</v>
      </c>
      <c r="F39" s="228" t="s">
        <v>198</v>
      </c>
      <c r="H39" s="99" t="s">
        <v>94</v>
      </c>
      <c r="I39" s="99" t="s">
        <v>199</v>
      </c>
    </row>
    <row r="40" spans="1:9" ht="38.25" x14ac:dyDescent="0.2">
      <c r="A40" s="226" t="s">
        <v>200</v>
      </c>
      <c r="B40" s="227" t="s">
        <v>95</v>
      </c>
      <c r="C40" s="227" t="s">
        <v>201</v>
      </c>
      <c r="D40" s="229" t="s">
        <v>202</v>
      </c>
      <c r="E40" s="229" t="s">
        <v>203</v>
      </c>
      <c r="F40" s="226" t="s">
        <v>204</v>
      </c>
      <c r="H40" s="99" t="s">
        <v>164</v>
      </c>
      <c r="I40" s="99" t="s">
        <v>205</v>
      </c>
    </row>
    <row r="41" spans="1:9" ht="28.5" x14ac:dyDescent="0.2">
      <c r="A41" s="226" t="s">
        <v>206</v>
      </c>
      <c r="B41" s="227" t="s">
        <v>207</v>
      </c>
      <c r="C41" s="227" t="s">
        <v>208</v>
      </c>
      <c r="D41" s="229" t="s">
        <v>209</v>
      </c>
      <c r="E41" s="229" t="s">
        <v>210</v>
      </c>
      <c r="F41" s="229" t="s">
        <v>211</v>
      </c>
      <c r="H41" s="99" t="s">
        <v>190</v>
      </c>
      <c r="I41" s="99" t="s">
        <v>212</v>
      </c>
    </row>
    <row r="42" spans="1:9" ht="28.5" x14ac:dyDescent="0.2">
      <c r="A42" s="226" t="s">
        <v>213</v>
      </c>
      <c r="B42" s="227" t="s">
        <v>214</v>
      </c>
      <c r="C42" s="227" t="s">
        <v>215</v>
      </c>
      <c r="D42" s="229" t="s">
        <v>216</v>
      </c>
      <c r="E42" s="229" t="s">
        <v>217</v>
      </c>
      <c r="F42" s="229" t="s">
        <v>218</v>
      </c>
      <c r="H42" s="99" t="s">
        <v>170</v>
      </c>
      <c r="I42" s="99" t="s">
        <v>219</v>
      </c>
    </row>
    <row r="43" spans="1:9" ht="25.5" x14ac:dyDescent="0.2">
      <c r="A43" s="226" t="s">
        <v>220</v>
      </c>
      <c r="B43" s="225"/>
      <c r="C43" s="225"/>
      <c r="D43" s="229" t="s">
        <v>221</v>
      </c>
      <c r="E43" s="225"/>
      <c r="F43" s="225"/>
      <c r="H43" s="99" t="s">
        <v>191</v>
      </c>
      <c r="I43" s="99" t="s">
        <v>222</v>
      </c>
    </row>
    <row r="44" spans="1:9" ht="28.5" x14ac:dyDescent="0.2">
      <c r="A44" s="226" t="s">
        <v>223</v>
      </c>
      <c r="B44" s="225"/>
      <c r="C44" s="225"/>
      <c r="D44" s="225"/>
      <c r="E44" s="225"/>
      <c r="F44" s="225"/>
    </row>
    <row r="45" spans="1:9" ht="42.75" x14ac:dyDescent="0.2">
      <c r="A45" s="226" t="s">
        <v>224</v>
      </c>
      <c r="B45" s="225"/>
      <c r="C45" s="225"/>
      <c r="D45" s="225"/>
      <c r="E45" s="225"/>
      <c r="F45" s="225"/>
    </row>
    <row r="46" spans="1:9" ht="28.5" x14ac:dyDescent="0.2">
      <c r="A46" s="226" t="s">
        <v>225</v>
      </c>
      <c r="B46" s="225"/>
      <c r="C46" s="225"/>
      <c r="D46" s="225"/>
      <c r="E46" s="225"/>
      <c r="F46" s="225"/>
    </row>
    <row r="47" spans="1:9" ht="28.5" x14ac:dyDescent="0.2">
      <c r="A47" s="226" t="s">
        <v>226</v>
      </c>
      <c r="B47" s="225"/>
      <c r="C47" s="225"/>
      <c r="D47" s="225"/>
      <c r="E47" s="225"/>
      <c r="F47" s="225"/>
    </row>
    <row r="50" spans="1:4" x14ac:dyDescent="0.2">
      <c r="A50" s="605" t="s">
        <v>227</v>
      </c>
      <c r="B50" s="606"/>
      <c r="C50" s="232" t="s">
        <v>228</v>
      </c>
      <c r="D50" s="232" t="s">
        <v>229</v>
      </c>
    </row>
    <row r="51" spans="1:4" ht="14.25" x14ac:dyDescent="0.2">
      <c r="A51" s="613" t="s">
        <v>230</v>
      </c>
      <c r="B51" s="231" t="s">
        <v>133</v>
      </c>
      <c r="C51" s="233">
        <v>0.25</v>
      </c>
      <c r="D51" s="233" t="s">
        <v>139</v>
      </c>
    </row>
    <row r="52" spans="1:4" ht="14.25" x14ac:dyDescent="0.2">
      <c r="A52" s="614"/>
      <c r="B52" s="231" t="s">
        <v>144</v>
      </c>
      <c r="C52" s="233">
        <v>0.15</v>
      </c>
      <c r="D52" s="233" t="s">
        <v>139</v>
      </c>
    </row>
    <row r="53" spans="1:4" ht="14.25" x14ac:dyDescent="0.2">
      <c r="A53" s="615"/>
      <c r="B53" s="231" t="s">
        <v>155</v>
      </c>
      <c r="C53" s="233">
        <v>0.1</v>
      </c>
      <c r="D53" s="233" t="s">
        <v>158</v>
      </c>
    </row>
    <row r="54" spans="1:4" ht="14.25" x14ac:dyDescent="0.2">
      <c r="A54" s="231" t="s">
        <v>231</v>
      </c>
      <c r="B54" s="231" t="s">
        <v>134</v>
      </c>
      <c r="C54" s="233">
        <v>0.25</v>
      </c>
    </row>
    <row r="55" spans="1:4" ht="23.25" x14ac:dyDescent="0.2">
      <c r="A55" s="231" t="s">
        <v>232</v>
      </c>
      <c r="B55" s="231" t="s">
        <v>145</v>
      </c>
      <c r="C55" s="233">
        <v>0.15</v>
      </c>
    </row>
    <row r="58" spans="1:4" ht="15" x14ac:dyDescent="0.25">
      <c r="A58" t="s">
        <v>233</v>
      </c>
      <c r="B58"/>
      <c r="C58"/>
    </row>
    <row r="59" spans="1:4" x14ac:dyDescent="0.2">
      <c r="A59" s="605" t="s">
        <v>227</v>
      </c>
      <c r="B59" s="606"/>
      <c r="C59" s="235" t="s">
        <v>188</v>
      </c>
    </row>
    <row r="60" spans="1:4" ht="80.45" customHeight="1" x14ac:dyDescent="0.2">
      <c r="A60" s="607" t="s">
        <v>123</v>
      </c>
      <c r="B60" s="226" t="s">
        <v>135</v>
      </c>
      <c r="C60" s="226" t="s">
        <v>234</v>
      </c>
    </row>
    <row r="61" spans="1:4" ht="34.5" customHeight="1" x14ac:dyDescent="0.2">
      <c r="A61" s="608"/>
      <c r="B61" s="226" t="s">
        <v>146</v>
      </c>
      <c r="C61" s="226" t="s">
        <v>235</v>
      </c>
    </row>
    <row r="62" spans="1:4" ht="34.5" customHeight="1" x14ac:dyDescent="0.2">
      <c r="A62" s="609"/>
      <c r="B62" s="226" t="s">
        <v>156</v>
      </c>
      <c r="C62" s="226" t="s">
        <v>236</v>
      </c>
    </row>
    <row r="63" spans="1:4" ht="12.75" customHeight="1" x14ac:dyDescent="0.2">
      <c r="A63" s="226" t="s">
        <v>124</v>
      </c>
      <c r="B63" s="226" t="s">
        <v>237</v>
      </c>
      <c r="C63" s="226" t="s">
        <v>238</v>
      </c>
    </row>
    <row r="64" spans="1:4" ht="14.25" x14ac:dyDescent="0.2">
      <c r="A64" s="226"/>
      <c r="B64" s="226" t="s">
        <v>239</v>
      </c>
      <c r="C64" s="226"/>
    </row>
    <row r="65" spans="1:3" ht="14.25" x14ac:dyDescent="0.2">
      <c r="A65" s="226"/>
      <c r="B65" s="226" t="s">
        <v>240</v>
      </c>
      <c r="C65" s="226"/>
    </row>
    <row r="66" spans="1:3" ht="14.25" x14ac:dyDescent="0.2">
      <c r="A66" s="226"/>
      <c r="B66" s="226" t="s">
        <v>241</v>
      </c>
      <c r="C66" s="226"/>
    </row>
    <row r="67" spans="1:3" ht="14.25" x14ac:dyDescent="0.2">
      <c r="A67" s="226"/>
      <c r="B67" s="226" t="s">
        <v>370</v>
      </c>
      <c r="C67" s="226"/>
    </row>
    <row r="68" spans="1:3" ht="14.25" x14ac:dyDescent="0.2">
      <c r="A68" s="226"/>
      <c r="B68" s="226" t="s">
        <v>242</v>
      </c>
      <c r="C68" s="226"/>
    </row>
    <row r="69" spans="1:3" ht="14.25" x14ac:dyDescent="0.2">
      <c r="A69" s="226"/>
      <c r="B69" s="226" t="s">
        <v>371</v>
      </c>
      <c r="C69" s="226"/>
    </row>
    <row r="70" spans="1:3" ht="12.75" customHeight="1" x14ac:dyDescent="0.2">
      <c r="A70" s="226" t="s">
        <v>243</v>
      </c>
      <c r="B70" s="226" t="s">
        <v>137</v>
      </c>
      <c r="C70" s="226" t="s">
        <v>244</v>
      </c>
    </row>
    <row r="71" spans="1:3" ht="14.25" x14ac:dyDescent="0.2">
      <c r="A71" s="226"/>
      <c r="B71" s="226" t="s">
        <v>148</v>
      </c>
      <c r="C71" s="226"/>
    </row>
    <row r="72" spans="1:3" ht="38.25" x14ac:dyDescent="0.2">
      <c r="A72" s="226" t="s">
        <v>245</v>
      </c>
      <c r="B72" s="226" t="s">
        <v>138</v>
      </c>
      <c r="C72" s="226" t="s">
        <v>246</v>
      </c>
    </row>
    <row r="73" spans="1:3" ht="69" customHeight="1" x14ac:dyDescent="0.2">
      <c r="A73" s="226"/>
      <c r="B73" s="226" t="s">
        <v>247</v>
      </c>
      <c r="C73" s="226" t="s">
        <v>248</v>
      </c>
    </row>
    <row r="74" spans="1:3" ht="34.5" customHeight="1" x14ac:dyDescent="0.2">
      <c r="A74" s="226"/>
      <c r="B74" s="226" t="s">
        <v>157</v>
      </c>
      <c r="C74" s="226" t="s">
        <v>249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zoomScale="85" zoomScaleNormal="85" workbookViewId="0">
      <selection sqref="A1:A3"/>
    </sheetView>
  </sheetViews>
  <sheetFormatPr baseColWidth="10" defaultColWidth="0" defaultRowHeight="12.75" zeroHeight="1" x14ac:dyDescent="0.25"/>
  <cols>
    <col min="1" max="1" width="11.42578125" style="50" customWidth="1"/>
    <col min="2" max="2" width="36.5703125" style="50" customWidth="1"/>
    <col min="3" max="3" width="13.42578125" style="50" customWidth="1"/>
    <col min="4" max="4" width="13" style="50" customWidth="1"/>
    <col min="5" max="5" width="16.42578125" style="50" customWidth="1"/>
    <col min="6" max="6" width="13.42578125" style="50" customWidth="1"/>
    <col min="7" max="7" width="29.85546875" style="50" bestFit="1" customWidth="1"/>
    <col min="8" max="8" width="10.140625" style="50" bestFit="1" customWidth="1"/>
    <col min="9" max="9" width="11.5703125" style="50" customWidth="1"/>
    <col min="10" max="10" width="29" style="50" bestFit="1" customWidth="1"/>
    <col min="11" max="11" width="15.42578125" style="50" customWidth="1"/>
    <col min="12" max="15" width="12.42578125" style="50" customWidth="1"/>
    <col min="16" max="16" width="3.85546875" style="50" customWidth="1"/>
    <col min="17" max="17" width="4.85546875" style="50" customWidth="1"/>
    <col min="18" max="18" width="5.85546875" style="50" bestFit="1" customWidth="1"/>
    <col min="19" max="24" width="14" style="50" customWidth="1"/>
    <col min="25" max="25" width="11.42578125" style="50" customWidth="1"/>
    <col min="26" max="29" width="11.42578125" style="50" hidden="1" customWidth="1"/>
    <col min="30" max="30" width="5.42578125" style="50" hidden="1" customWidth="1"/>
    <col min="31" max="31" width="26.85546875" style="50" hidden="1" customWidth="1"/>
    <col min="32" max="36" width="22.85546875" style="50" hidden="1" customWidth="1"/>
    <col min="37" max="37" width="23.42578125" style="50" hidden="1" customWidth="1"/>
    <col min="38" max="265" width="11.42578125" style="50" hidden="1" customWidth="1"/>
    <col min="266" max="266" width="12.42578125" style="50" hidden="1" customWidth="1"/>
    <col min="267" max="267" width="47" style="50" hidden="1" customWidth="1"/>
    <col min="268" max="268" width="35" style="50" hidden="1" customWidth="1"/>
    <col min="269" max="16384" width="14.42578125" style="50" hidden="1"/>
  </cols>
  <sheetData>
    <row r="1" spans="1:38" s="4" customFormat="1" ht="20.100000000000001" customHeight="1" thickTop="1" x14ac:dyDescent="0.25">
      <c r="A1" s="440"/>
      <c r="B1" s="443" t="s">
        <v>374</v>
      </c>
      <c r="C1" s="444"/>
      <c r="D1" s="444"/>
      <c r="E1" s="444"/>
      <c r="F1" s="444"/>
      <c r="G1" s="444"/>
      <c r="H1" s="444"/>
      <c r="I1" s="445"/>
      <c r="J1" s="304" t="s">
        <v>372</v>
      </c>
      <c r="K1" s="305"/>
      <c r="L1" s="252"/>
    </row>
    <row r="2" spans="1:38" s="4" customFormat="1" ht="20.100000000000001" customHeight="1" x14ac:dyDescent="0.25">
      <c r="A2" s="441"/>
      <c r="B2" s="446"/>
      <c r="C2" s="447"/>
      <c r="D2" s="447"/>
      <c r="E2" s="447"/>
      <c r="F2" s="447"/>
      <c r="G2" s="447"/>
      <c r="H2" s="447"/>
      <c r="I2" s="448"/>
      <c r="J2" s="306" t="s">
        <v>375</v>
      </c>
      <c r="K2" s="307"/>
      <c r="L2" s="252"/>
    </row>
    <row r="3" spans="1:38" s="3" customFormat="1" ht="16.5" thickBot="1" x14ac:dyDescent="0.25">
      <c r="A3" s="442"/>
      <c r="B3" s="449" t="s">
        <v>358</v>
      </c>
      <c r="C3" s="450"/>
      <c r="D3" s="450"/>
      <c r="E3" s="450"/>
      <c r="F3" s="450"/>
      <c r="G3" s="450"/>
      <c r="H3" s="450"/>
      <c r="I3" s="451"/>
      <c r="J3" s="308" t="s">
        <v>373</v>
      </c>
      <c r="K3" s="309"/>
      <c r="L3" s="253"/>
    </row>
    <row r="4" spans="1:38" s="3" customFormat="1" ht="17.100000000000001" customHeight="1" thickTop="1" x14ac:dyDescent="0.2">
      <c r="A4" s="452"/>
      <c r="B4" s="453"/>
      <c r="C4" s="453"/>
      <c r="D4" s="453"/>
      <c r="E4" s="453"/>
      <c r="F4" s="453"/>
      <c r="G4" s="453"/>
      <c r="H4" s="453"/>
      <c r="I4" s="453"/>
      <c r="J4" s="453"/>
      <c r="K4" s="454"/>
    </row>
    <row r="5" spans="1:38" s="27" customFormat="1" ht="27" customHeight="1" x14ac:dyDescent="0.25">
      <c r="A5" s="105" t="s">
        <v>80</v>
      </c>
      <c r="B5" s="264" t="str">
        <f>'2 IDENTIFICACIÓN'!B5</f>
        <v>ALCALDÍA DE BUCARAMANGA</v>
      </c>
      <c r="C5" s="285"/>
      <c r="D5" s="285"/>
      <c r="E5" s="282"/>
      <c r="F5" s="243" t="s">
        <v>81</v>
      </c>
      <c r="G5" s="264" t="str">
        <f>'2 IDENTIFICACIÓN'!G5</f>
        <v>GESTIÓN DE SERVICIOS DE LA EDUCACIÓN PÚBLICA</v>
      </c>
      <c r="H5" s="282"/>
      <c r="I5" s="243" t="s">
        <v>352</v>
      </c>
      <c r="J5" s="280">
        <f>'2 IDENTIFICACIÓN'!J5</f>
        <v>2026</v>
      </c>
      <c r="K5" s="286"/>
    </row>
    <row r="6" spans="1:38" s="27" customFormat="1" ht="15.75" thickBot="1" x14ac:dyDescent="0.25">
      <c r="A6" s="255"/>
      <c r="B6" s="7"/>
      <c r="C6" s="7"/>
      <c r="D6" s="7"/>
      <c r="E6" s="7"/>
      <c r="F6" s="255"/>
      <c r="G6" s="166"/>
      <c r="H6" s="166"/>
      <c r="I6" s="166"/>
      <c r="J6" s="166"/>
      <c r="K6" s="166"/>
      <c r="S6" s="287"/>
      <c r="T6" s="287"/>
      <c r="U6" s="287"/>
    </row>
    <row r="7" spans="1:38" s="287" customFormat="1" ht="13.5" thickBot="1" x14ac:dyDescent="0.25">
      <c r="D7" s="38"/>
      <c r="E7" s="283"/>
      <c r="F7" s="38"/>
      <c r="I7" s="551" t="s">
        <v>320</v>
      </c>
      <c r="J7" s="552"/>
      <c r="K7" s="552"/>
      <c r="L7" s="552"/>
      <c r="M7" s="552"/>
      <c r="N7" s="552"/>
      <c r="O7" s="553"/>
      <c r="R7" s="288"/>
      <c r="S7" s="289"/>
      <c r="T7" s="547" t="s">
        <v>158</v>
      </c>
      <c r="U7" s="547"/>
      <c r="V7" s="547"/>
      <c r="W7" s="547"/>
      <c r="X7" s="548"/>
      <c r="AF7" s="37"/>
      <c r="AG7" s="37"/>
      <c r="AH7" s="37"/>
      <c r="AI7" s="37"/>
      <c r="AJ7" s="37"/>
    </row>
    <row r="8" spans="1:38" x14ac:dyDescent="0.25">
      <c r="A8" s="42"/>
      <c r="B8" s="42"/>
      <c r="C8" s="42"/>
      <c r="D8" s="42"/>
      <c r="E8" s="405" t="s">
        <v>321</v>
      </c>
      <c r="F8" s="405"/>
      <c r="G8" s="405"/>
      <c r="H8" s="42"/>
      <c r="I8" s="290"/>
      <c r="J8" s="291"/>
      <c r="K8" s="547" t="s">
        <v>158</v>
      </c>
      <c r="L8" s="547"/>
      <c r="M8" s="547"/>
      <c r="N8" s="547"/>
      <c r="O8" s="548"/>
      <c r="P8" s="42"/>
      <c r="R8" s="292"/>
      <c r="T8" s="47">
        <v>0.2</v>
      </c>
      <c r="U8" s="47">
        <v>0.4</v>
      </c>
      <c r="V8" s="47">
        <v>0.6</v>
      </c>
      <c r="W8" s="47">
        <v>0.8</v>
      </c>
      <c r="X8" s="48">
        <v>1</v>
      </c>
      <c r="Y8" s="293"/>
      <c r="Z8" s="293"/>
      <c r="AA8" s="293"/>
      <c r="AB8" s="293"/>
      <c r="AC8" s="293"/>
      <c r="AD8" s="293"/>
      <c r="AE8" s="293"/>
    </row>
    <row r="9" spans="1:38" ht="39.950000000000003" customHeight="1" x14ac:dyDescent="0.2">
      <c r="A9" s="52" t="s">
        <v>255</v>
      </c>
      <c r="B9" s="52" t="s">
        <v>297</v>
      </c>
      <c r="C9" s="52" t="s">
        <v>322</v>
      </c>
      <c r="D9" s="52" t="s">
        <v>322</v>
      </c>
      <c r="E9" s="52" t="s">
        <v>139</v>
      </c>
      <c r="F9" s="52" t="s">
        <v>158</v>
      </c>
      <c r="G9" s="52" t="s">
        <v>323</v>
      </c>
      <c r="H9" s="42"/>
      <c r="I9" s="292"/>
      <c r="J9" s="52"/>
      <c r="K9" s="54" t="s">
        <v>272</v>
      </c>
      <c r="L9" s="54" t="s">
        <v>276</v>
      </c>
      <c r="M9" s="54" t="s">
        <v>280</v>
      </c>
      <c r="N9" s="54" t="s">
        <v>285</v>
      </c>
      <c r="O9" s="55" t="s">
        <v>290</v>
      </c>
      <c r="P9" s="42"/>
      <c r="R9" s="292"/>
      <c r="S9" s="250"/>
      <c r="T9" s="57" t="s">
        <v>272</v>
      </c>
      <c r="U9" s="57" t="s">
        <v>276</v>
      </c>
      <c r="V9" s="57" t="s">
        <v>280</v>
      </c>
      <c r="W9" s="57" t="s">
        <v>285</v>
      </c>
      <c r="X9" s="58" t="s">
        <v>290</v>
      </c>
      <c r="AA9" s="293"/>
      <c r="AB9" s="293"/>
      <c r="AC9" s="294"/>
      <c r="AD9" s="294"/>
      <c r="AE9" s="294"/>
      <c r="AF9" s="294"/>
      <c r="AG9" s="294"/>
      <c r="AH9" s="294"/>
      <c r="AI9" s="294"/>
      <c r="AJ9" s="294"/>
      <c r="AK9" s="294"/>
      <c r="AL9" s="294"/>
    </row>
    <row r="10" spans="1:38" ht="140.25" x14ac:dyDescent="0.2">
      <c r="A10" s="60" t="str">
        <f>'2 IDENTIFICACIÓN'!A10</f>
        <v>R1</v>
      </c>
      <c r="B10" s="250"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10" s="87">
        <f>+'5 VALORACIÓN DEL CONTROL'!T15</f>
        <v>1</v>
      </c>
      <c r="D10" s="62">
        <f>+'5 VALORACIÓN DEL CONTROL'!U15</f>
        <v>0.8</v>
      </c>
      <c r="E10" s="62" t="str">
        <f>+IF(C10=0,"",IF(C10&lt;=$R$14,$S$14,IF(C10&lt;=$R$13,$S$13,IF(C10&lt;=$R$12,$S$12,IF(C10&lt;=$R$11,$S$11,IF(C10&lt;=$R$10,$S$10,""))))))</f>
        <v>Muy Alta</v>
      </c>
      <c r="F10" s="62" t="str">
        <f>+IF(D10=0,"",IF(D10&lt;=$T$8,$T$9,IF(D10&lt;=$U$8,$U$9,IF(D10&lt;=$V$8,$V$9,IF(D10&lt;=$W$8,$W$9,IF(D10&lt;=$X$8,$X$9,""))))))</f>
        <v>Mayor</v>
      </c>
      <c r="G10" s="250"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Alto</v>
      </c>
      <c r="I10" s="549" t="s">
        <v>139</v>
      </c>
      <c r="J10" s="54" t="s">
        <v>288</v>
      </c>
      <c r="K10" s="64"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4"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4"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4"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R1                   </v>
      </c>
      <c r="O10" s="65"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616" t="s">
        <v>139</v>
      </c>
      <c r="R10" s="66">
        <v>1</v>
      </c>
      <c r="S10" s="57" t="s">
        <v>288</v>
      </c>
      <c r="T10" s="64" t="s">
        <v>298</v>
      </c>
      <c r="U10" s="64" t="s">
        <v>298</v>
      </c>
      <c r="V10" s="64" t="s">
        <v>298</v>
      </c>
      <c r="W10" s="64" t="s">
        <v>298</v>
      </c>
      <c r="X10" s="65" t="s">
        <v>299</v>
      </c>
      <c r="AA10" s="293"/>
      <c r="AB10" s="293"/>
      <c r="AC10" s="294"/>
      <c r="AD10" s="294"/>
      <c r="AE10" s="294"/>
      <c r="AF10" s="67"/>
      <c r="AG10" s="67"/>
      <c r="AH10" s="67"/>
      <c r="AI10" s="67"/>
      <c r="AJ10" s="67"/>
      <c r="AK10" s="294"/>
      <c r="AL10" s="294"/>
    </row>
    <row r="11" spans="1:38" ht="93" customHeight="1" x14ac:dyDescent="0.2">
      <c r="A11" s="60" t="str">
        <f>'2 IDENTIFICACIÓN'!A11</f>
        <v>R2</v>
      </c>
      <c r="B11" s="250" t="str">
        <f>+'2 IDENTIFICACIÓN'!J11</f>
        <v>Posibilidad de afectación reputacional por publicaciones extemporáneas en el SECOP, debido a demoras en la entrega y remisión de la información requerida para la gestión contractual.</v>
      </c>
      <c r="C11" s="87">
        <f>+'5 VALORACIÓN DEL CONTROL'!T21</f>
        <v>0.6</v>
      </c>
      <c r="D11" s="62">
        <f>+'5 VALORACIÓN DEL CONTROL'!U21</f>
        <v>0.2</v>
      </c>
      <c r="E11" s="62" t="str">
        <f t="shared" ref="E11:E39" si="0">+IF(C11=0,"",IF(C11&lt;=$R$14,$S$14,IF(C11&lt;=$R$13,$S$13,IF(C11&lt;=$R$12,$S$12,IF(C11&lt;=$R$11,$S$11,IF(C11&lt;=$R$10,$S$10,""))))))</f>
        <v>Media</v>
      </c>
      <c r="F11" s="62" t="str">
        <f t="shared" ref="F11:F39" si="1">+IF(D11=0,"",IF(D11&lt;=$T$8,$T$9,IF(D11&lt;=$U$8,$U$9,IF(D11&lt;=$V$8,$V$9,IF(D11&lt;=$W$8,$W$9,IF(D11&lt;=$X$8,$X$9,""))))))</f>
        <v>Leve</v>
      </c>
      <c r="G11" s="250"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Moderado</v>
      </c>
      <c r="I11" s="549"/>
      <c r="J11" s="54" t="s">
        <v>283</v>
      </c>
      <c r="K11" s="68"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R12        </v>
      </c>
      <c r="L11" s="68"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4"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R14      </v>
      </c>
      <c r="N11" s="64"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R13       </v>
      </c>
      <c r="O11" s="65"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616"/>
      <c r="R11" s="66">
        <v>0.8</v>
      </c>
      <c r="S11" s="57" t="s">
        <v>283</v>
      </c>
      <c r="T11" s="68" t="s">
        <v>280</v>
      </c>
      <c r="U11" s="68" t="s">
        <v>280</v>
      </c>
      <c r="V11" s="64" t="s">
        <v>298</v>
      </c>
      <c r="W11" s="64" t="s">
        <v>298</v>
      </c>
      <c r="X11" s="65" t="s">
        <v>299</v>
      </c>
      <c r="AA11" s="293"/>
      <c r="AB11" s="293"/>
      <c r="AC11" s="294"/>
      <c r="AD11" s="295"/>
      <c r="AE11" s="70"/>
      <c r="AF11" s="67"/>
      <c r="AG11" s="67"/>
      <c r="AH11" s="67"/>
      <c r="AI11" s="67"/>
      <c r="AJ11" s="67"/>
      <c r="AK11" s="294"/>
      <c r="AL11" s="294"/>
    </row>
    <row r="12" spans="1:38" ht="93" customHeight="1" x14ac:dyDescent="0.2">
      <c r="A12" s="60" t="str">
        <f>'2 IDENTIFICACIÓN'!A12</f>
        <v>R3</v>
      </c>
      <c r="B12" s="250" t="str">
        <f>+'2 IDENTIFICACIÓN'!J12</f>
        <v>Posibilidad de afectación reputacional por posibles investigaciones y sanciones disciplinarias por entes de control, debido a incumplimiento de la Ley 594 del 2000 en los documentos generados por la Secretaría de Educación.</v>
      </c>
      <c r="C12" s="87">
        <f>+'5 VALORACIÓN DEL CONTROL'!T27</f>
        <v>0.6</v>
      </c>
      <c r="D12" s="62">
        <f>+'5 VALORACIÓN DEL CONTROL'!U27</f>
        <v>0.6</v>
      </c>
      <c r="E12" s="62" t="str">
        <f t="shared" si="0"/>
        <v>Media</v>
      </c>
      <c r="F12" s="62" t="str">
        <f t="shared" si="1"/>
        <v>Moderado</v>
      </c>
      <c r="G12" s="250"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549"/>
      <c r="J12" s="54" t="s">
        <v>278</v>
      </c>
      <c r="K12" s="68"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R2                  </v>
      </c>
      <c r="L12" s="68"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R9           </v>
      </c>
      <c r="M12" s="68"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  R3  R5           R16    </v>
      </c>
      <c r="N12" s="64"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v>
      </c>
      <c r="O12" s="65"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R7 R8            </v>
      </c>
      <c r="Q12" s="616"/>
      <c r="R12" s="66">
        <v>0.6</v>
      </c>
      <c r="S12" s="57" t="s">
        <v>278</v>
      </c>
      <c r="T12" s="68" t="s">
        <v>280</v>
      </c>
      <c r="U12" s="68" t="s">
        <v>280</v>
      </c>
      <c r="V12" s="68" t="s">
        <v>280</v>
      </c>
      <c r="W12" s="64" t="s">
        <v>298</v>
      </c>
      <c r="X12" s="65" t="s">
        <v>299</v>
      </c>
      <c r="AA12" s="293"/>
      <c r="AB12" s="293"/>
      <c r="AC12" s="294"/>
      <c r="AD12" s="295"/>
      <c r="AE12" s="70"/>
      <c r="AF12" s="67"/>
      <c r="AG12" s="67"/>
      <c r="AH12" s="67"/>
      <c r="AI12" s="67"/>
      <c r="AJ12" s="71"/>
      <c r="AK12" s="294"/>
      <c r="AL12" s="294"/>
    </row>
    <row r="13" spans="1:38" ht="93" customHeight="1" x14ac:dyDescent="0.2">
      <c r="A13" s="60" t="str">
        <f>'2 IDENTIFICACIÓN'!A13</f>
        <v>R4</v>
      </c>
      <c r="B13" s="250"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13" s="87">
        <f>+'5 VALORACIÓN DEL CONTROL'!T33</f>
        <v>0.2</v>
      </c>
      <c r="D13" s="62">
        <f>+'5 VALORACIÓN DEL CONTROL'!U33</f>
        <v>0.6</v>
      </c>
      <c r="E13" s="62" t="str">
        <f t="shared" si="0"/>
        <v>Muy Baja</v>
      </c>
      <c r="F13" s="62" t="str">
        <f t="shared" si="1"/>
        <v>Moderado</v>
      </c>
      <c r="G13" s="250"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Moderado</v>
      </c>
      <c r="I13" s="549"/>
      <c r="J13" s="54" t="s">
        <v>274</v>
      </c>
      <c r="K13" s="72"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68"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68"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R6              </v>
      </c>
      <c r="N13" s="64"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R15     </v>
      </c>
      <c r="O13" s="65"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R10          </v>
      </c>
      <c r="Q13" s="616"/>
      <c r="R13" s="66">
        <v>0.4</v>
      </c>
      <c r="S13" s="57" t="s">
        <v>274</v>
      </c>
      <c r="T13" s="72" t="s">
        <v>300</v>
      </c>
      <c r="U13" s="68" t="s">
        <v>280</v>
      </c>
      <c r="V13" s="68" t="s">
        <v>280</v>
      </c>
      <c r="W13" s="64" t="s">
        <v>298</v>
      </c>
      <c r="X13" s="65" t="s">
        <v>299</v>
      </c>
      <c r="AA13" s="293"/>
      <c r="AB13" s="293"/>
      <c r="AC13" s="294"/>
      <c r="AD13" s="295"/>
      <c r="AE13" s="70"/>
      <c r="AF13" s="67"/>
      <c r="AG13" s="67"/>
      <c r="AH13" s="67"/>
      <c r="AI13" s="71"/>
      <c r="AJ13" s="67"/>
      <c r="AK13" s="294"/>
      <c r="AL13" s="294"/>
    </row>
    <row r="14" spans="1:38" ht="93" customHeight="1" thickBot="1" x14ac:dyDescent="0.25">
      <c r="A14" s="60" t="str">
        <f>'2 IDENTIFICACIÓN'!A14</f>
        <v>R5</v>
      </c>
      <c r="B14" s="250"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4" s="87">
        <f>+'5 VALORACIÓN DEL CONTROL'!T39</f>
        <v>0.6</v>
      </c>
      <c r="D14" s="62">
        <f>+'5 VALORACIÓN DEL CONTROL'!U39</f>
        <v>0.6</v>
      </c>
      <c r="E14" s="62" t="str">
        <f t="shared" si="0"/>
        <v>Media</v>
      </c>
      <c r="F14" s="62" t="str">
        <f t="shared" si="1"/>
        <v>Moderado</v>
      </c>
      <c r="G14" s="250" t="str">
        <f t="shared" si="2"/>
        <v>Moderado</v>
      </c>
      <c r="I14" s="550"/>
      <c r="J14" s="73" t="s">
        <v>270</v>
      </c>
      <c r="K14" s="74"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R11         </v>
      </c>
      <c r="L14" s="74"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5"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R4                </v>
      </c>
      <c r="N14" s="76"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7"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616"/>
      <c r="R14" s="78">
        <v>0.2</v>
      </c>
      <c r="S14" s="79" t="s">
        <v>270</v>
      </c>
      <c r="T14" s="74" t="s">
        <v>300</v>
      </c>
      <c r="U14" s="74" t="s">
        <v>300</v>
      </c>
      <c r="V14" s="75" t="s">
        <v>280</v>
      </c>
      <c r="W14" s="76" t="s">
        <v>298</v>
      </c>
      <c r="X14" s="77" t="s">
        <v>299</v>
      </c>
      <c r="AA14" s="293"/>
      <c r="AB14" s="293"/>
      <c r="AC14" s="294"/>
      <c r="AD14" s="295"/>
      <c r="AE14" s="70"/>
      <c r="AF14" s="67"/>
      <c r="AG14" s="67"/>
      <c r="AH14" s="67"/>
      <c r="AI14" s="67"/>
      <c r="AJ14" s="67"/>
      <c r="AK14" s="294"/>
      <c r="AL14" s="294"/>
    </row>
    <row r="15" spans="1:38" ht="93" customHeight="1" x14ac:dyDescent="0.2">
      <c r="A15" s="60" t="str">
        <f>'2 IDENTIFICACIÓN'!A15</f>
        <v>R6</v>
      </c>
      <c r="B15" s="250" t="str">
        <f>+'2 IDENTIFICACIÓN'!J15</f>
        <v>Posibilidad de afectación reputacional por investigaciones y sanciones disciplinarias por entes de control, debido a la falta de seguimiento al cumplimiento de metas del Plan de Desarrollo Municipal programadas para la vigencia.</v>
      </c>
      <c r="C15" s="87">
        <f>+'5 VALORACIÓN DEL CONTROL'!T45</f>
        <v>0.4</v>
      </c>
      <c r="D15" s="62">
        <f>+'5 VALORACIÓN DEL CONTROL'!U45</f>
        <v>0.6</v>
      </c>
      <c r="E15" s="62" t="str">
        <f t="shared" si="0"/>
        <v>Baja</v>
      </c>
      <c r="F15" s="62" t="str">
        <f t="shared" si="1"/>
        <v>Moderado</v>
      </c>
      <c r="G15" s="250" t="str">
        <f t="shared" si="2"/>
        <v>Moderado</v>
      </c>
      <c r="AA15" s="293"/>
      <c r="AB15" s="293"/>
      <c r="AC15" s="294"/>
      <c r="AD15" s="295"/>
      <c r="AE15" s="70"/>
      <c r="AF15" s="67"/>
      <c r="AG15" s="67"/>
      <c r="AH15" s="67"/>
      <c r="AI15" s="67"/>
      <c r="AJ15" s="67"/>
      <c r="AK15" s="294"/>
      <c r="AL15" s="294"/>
    </row>
    <row r="16" spans="1:38" ht="93" customHeight="1" x14ac:dyDescent="0.2">
      <c r="A16" s="60" t="str">
        <f>'2 IDENTIFICACIÓN'!A16</f>
        <v>R7</v>
      </c>
      <c r="B16" s="250"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16" s="87">
        <f>+'5 VALORACIÓN DEL CONTROL'!T51</f>
        <v>0.6</v>
      </c>
      <c r="D16" s="62">
        <f>+'5 VALORACIÓN DEL CONTROL'!U51</f>
        <v>1</v>
      </c>
      <c r="E16" s="62" t="str">
        <f t="shared" si="0"/>
        <v>Media</v>
      </c>
      <c r="F16" s="62" t="str">
        <f t="shared" si="1"/>
        <v>Catastrófico</v>
      </c>
      <c r="G16" s="250" t="str">
        <f t="shared" si="2"/>
        <v>Extremo</v>
      </c>
      <c r="T16" s="52" t="s">
        <v>301</v>
      </c>
      <c r="V16" s="293"/>
      <c r="W16" s="293"/>
      <c r="X16" s="293"/>
      <c r="Y16" s="293"/>
      <c r="Z16" s="293"/>
      <c r="AA16" s="293"/>
      <c r="AB16" s="293"/>
      <c r="AC16" s="294"/>
      <c r="AD16" s="295"/>
      <c r="AE16" s="294"/>
      <c r="AF16" s="70"/>
      <c r="AG16" s="70"/>
      <c r="AH16" s="70"/>
      <c r="AI16" s="70"/>
      <c r="AJ16" s="70"/>
      <c r="AK16" s="294"/>
      <c r="AL16" s="294"/>
    </row>
    <row r="17" spans="1:38" ht="93" customHeight="1" x14ac:dyDescent="0.2">
      <c r="A17" s="60" t="str">
        <f>'2 IDENTIFICACIÓN'!A17</f>
        <v>R8</v>
      </c>
      <c r="B17" s="250"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17" s="87">
        <f>+'5 VALORACIÓN DEL CONTROL'!T57</f>
        <v>0.6</v>
      </c>
      <c r="D17" s="62">
        <f>+'5 VALORACIÓN DEL CONTROL'!U57</f>
        <v>1</v>
      </c>
      <c r="E17" s="62" t="str">
        <f t="shared" si="0"/>
        <v>Media</v>
      </c>
      <c r="F17" s="62" t="str">
        <f t="shared" si="1"/>
        <v>Catastrófico</v>
      </c>
      <c r="G17" s="250" t="str">
        <f t="shared" si="2"/>
        <v>Extremo</v>
      </c>
      <c r="T17" s="81" t="s">
        <v>299</v>
      </c>
      <c r="V17" s="293"/>
      <c r="W17" s="293"/>
      <c r="X17" s="293"/>
      <c r="Y17" s="293"/>
      <c r="Z17" s="293"/>
      <c r="AA17" s="293"/>
      <c r="AB17" s="293"/>
      <c r="AC17" s="294"/>
      <c r="AD17" s="294"/>
      <c r="AE17" s="294"/>
      <c r="AF17" s="67"/>
      <c r="AG17" s="67"/>
      <c r="AH17" s="67"/>
      <c r="AI17" s="67"/>
      <c r="AJ17" s="67"/>
      <c r="AK17" s="294"/>
      <c r="AL17" s="294"/>
    </row>
    <row r="18" spans="1:38" ht="93" customHeight="1" x14ac:dyDescent="0.2">
      <c r="A18" s="60" t="str">
        <f>'2 IDENTIFICACIÓN'!A18</f>
        <v>R9</v>
      </c>
      <c r="B18" s="250" t="str">
        <f>+'2 IDENTIFICACIÓN'!J18</f>
        <v>Posibilidad  de efecto dañoso sobre el recurso público por pago de sanción e intereses moratorios, debido a  trámite inoportuno a los requerimientos de los entes de control y vigilancia, de acuerdo con sus lineamientos y términos de ley.</v>
      </c>
      <c r="C18" s="87">
        <f>+'5 VALORACIÓN DEL CONTROL'!T63</f>
        <v>0.6</v>
      </c>
      <c r="D18" s="62">
        <f>+'5 VALORACIÓN DEL CONTROL'!U63</f>
        <v>0.4</v>
      </c>
      <c r="E18" s="62" t="str">
        <f t="shared" si="0"/>
        <v>Media</v>
      </c>
      <c r="F18" s="62" t="str">
        <f t="shared" si="1"/>
        <v>Menor</v>
      </c>
      <c r="G18" s="250" t="str">
        <f t="shared" si="2"/>
        <v>Moderado</v>
      </c>
      <c r="T18" s="64" t="s">
        <v>298</v>
      </c>
      <c r="U18" s="293"/>
      <c r="V18" s="293"/>
      <c r="W18" s="293"/>
      <c r="X18" s="293"/>
      <c r="Y18" s="293"/>
      <c r="Z18" s="293"/>
      <c r="AA18" s="293"/>
      <c r="AB18" s="293"/>
      <c r="AC18" s="294"/>
      <c r="AD18" s="294"/>
      <c r="AE18" s="294"/>
      <c r="AF18" s="67"/>
      <c r="AG18" s="67"/>
      <c r="AH18" s="67"/>
      <c r="AI18" s="67"/>
      <c r="AJ18" s="67"/>
      <c r="AK18" s="294"/>
      <c r="AL18" s="294"/>
    </row>
    <row r="19" spans="1:38" ht="93" customHeight="1" x14ac:dyDescent="0.2">
      <c r="A19" s="60" t="str">
        <f>'2 IDENTIFICACIÓN'!A19</f>
        <v>R10</v>
      </c>
      <c r="B19" s="250"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19" s="87">
        <f>+'5 VALORACIÓN DEL CONTROL'!T69</f>
        <v>0.4</v>
      </c>
      <c r="D19" s="62">
        <f>+'5 VALORACIÓN DEL CONTROL'!U69</f>
        <v>1</v>
      </c>
      <c r="E19" s="62" t="str">
        <f t="shared" si="0"/>
        <v>Baja</v>
      </c>
      <c r="F19" s="62" t="str">
        <f t="shared" si="1"/>
        <v>Catastrófico</v>
      </c>
      <c r="G19" s="250" t="str">
        <f t="shared" si="2"/>
        <v>Extremo</v>
      </c>
      <c r="S19" s="296"/>
      <c r="T19" s="68" t="s">
        <v>280</v>
      </c>
      <c r="U19" s="296"/>
      <c r="V19" s="296"/>
      <c r="W19" s="296"/>
      <c r="X19" s="296"/>
      <c r="Y19" s="296"/>
      <c r="Z19" s="296"/>
      <c r="AA19" s="296"/>
      <c r="AB19" s="296"/>
      <c r="AC19" s="294"/>
      <c r="AD19" s="294"/>
      <c r="AE19" s="297"/>
      <c r="AF19" s="297"/>
      <c r="AG19" s="297"/>
      <c r="AH19" s="297"/>
      <c r="AI19" s="297"/>
      <c r="AJ19" s="297"/>
      <c r="AK19" s="294"/>
      <c r="AL19" s="294"/>
    </row>
    <row r="20" spans="1:38" ht="93" customHeight="1" x14ac:dyDescent="0.2">
      <c r="A20" s="60" t="str">
        <f>'2 IDENTIFICACIÓN'!A20</f>
        <v>R11</v>
      </c>
      <c r="B20" s="250"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20" s="87">
        <f>+'5 VALORACIÓN DEL CONTROL'!T75</f>
        <v>0.2</v>
      </c>
      <c r="D20" s="62">
        <f>+'5 VALORACIÓN DEL CONTROL'!U75</f>
        <v>0.2</v>
      </c>
      <c r="E20" s="62" t="str">
        <f t="shared" si="0"/>
        <v>Muy Baja</v>
      </c>
      <c r="F20" s="62" t="str">
        <f t="shared" si="1"/>
        <v>Leve</v>
      </c>
      <c r="G20" s="250" t="str">
        <f t="shared" si="2"/>
        <v>Bajo</v>
      </c>
      <c r="S20" s="296"/>
      <c r="T20" s="72" t="s">
        <v>300</v>
      </c>
      <c r="AA20" s="296"/>
      <c r="AB20" s="296"/>
      <c r="AC20" s="294"/>
      <c r="AD20" s="294"/>
      <c r="AE20" s="294"/>
      <c r="AF20" s="67"/>
      <c r="AG20" s="67"/>
      <c r="AH20" s="67"/>
      <c r="AI20" s="67"/>
      <c r="AJ20" s="67"/>
      <c r="AK20" s="294"/>
      <c r="AL20" s="294"/>
    </row>
    <row r="21" spans="1:38" ht="140.25" x14ac:dyDescent="0.2">
      <c r="A21" s="60" t="str">
        <f>'2 IDENTIFICACIÓN'!A21</f>
        <v>R12</v>
      </c>
      <c r="B21" s="250"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21" s="87">
        <f>+'5 VALORACIÓN DEL CONTROL'!T81</f>
        <v>0.8</v>
      </c>
      <c r="D21" s="62">
        <f>+'5 VALORACIÓN DEL CONTROL'!U81</f>
        <v>0.2</v>
      </c>
      <c r="E21" s="62" t="str">
        <f t="shared" si="0"/>
        <v>Alta</v>
      </c>
      <c r="F21" s="62" t="str">
        <f t="shared" si="1"/>
        <v>Leve</v>
      </c>
      <c r="G21" s="250" t="str">
        <f t="shared" si="2"/>
        <v>Moderado</v>
      </c>
      <c r="Q21" s="298"/>
      <c r="R21" s="298"/>
      <c r="S21" s="296"/>
      <c r="AA21" s="296"/>
      <c r="AB21" s="296"/>
      <c r="AC21" s="294"/>
      <c r="AD21" s="294"/>
      <c r="AE21" s="294"/>
      <c r="AF21" s="67"/>
      <c r="AG21" s="67"/>
      <c r="AH21" s="67"/>
      <c r="AI21" s="67"/>
      <c r="AJ21" s="67"/>
      <c r="AK21" s="294"/>
      <c r="AL21" s="294"/>
    </row>
    <row r="22" spans="1:38" ht="127.5" x14ac:dyDescent="0.2">
      <c r="A22" s="60" t="str">
        <f>'2 IDENTIFICACIÓN'!A22</f>
        <v>R13</v>
      </c>
      <c r="B22" s="250"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22" s="87">
        <f>+'5 VALORACIÓN DEL CONTROL'!T87</f>
        <v>0.8</v>
      </c>
      <c r="D22" s="62">
        <f>+'5 VALORACIÓN DEL CONTROL'!U87</f>
        <v>0.8</v>
      </c>
      <c r="E22" s="62" t="str">
        <f t="shared" si="0"/>
        <v>Alta</v>
      </c>
      <c r="F22" s="62" t="str">
        <f t="shared" si="1"/>
        <v>Mayor</v>
      </c>
      <c r="G22" s="250" t="str">
        <f t="shared" si="2"/>
        <v>Alto</v>
      </c>
      <c r="Q22" s="298"/>
      <c r="R22" s="298"/>
      <c r="S22" s="299"/>
      <c r="AA22" s="296"/>
      <c r="AB22" s="296"/>
      <c r="AC22" s="294"/>
      <c r="AD22" s="67"/>
      <c r="AE22" s="67"/>
      <c r="AF22" s="67"/>
      <c r="AG22" s="67"/>
      <c r="AH22" s="67"/>
      <c r="AI22" s="67"/>
      <c r="AJ22" s="67"/>
      <c r="AK22" s="294"/>
      <c r="AL22" s="294"/>
    </row>
    <row r="23" spans="1:38" ht="127.5" x14ac:dyDescent="0.2">
      <c r="A23" s="60" t="str">
        <f>'2 IDENTIFICACIÓN'!A23</f>
        <v>R14</v>
      </c>
      <c r="B23" s="250"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23" s="87">
        <f>+'5 VALORACIÓN DEL CONTROL'!T93</f>
        <v>0.8</v>
      </c>
      <c r="D23" s="62">
        <f>+'5 VALORACIÓN DEL CONTROL'!U93</f>
        <v>0.6</v>
      </c>
      <c r="E23" s="62" t="str">
        <f t="shared" si="0"/>
        <v>Alta</v>
      </c>
      <c r="F23" s="62" t="str">
        <f t="shared" si="1"/>
        <v>Moderado</v>
      </c>
      <c r="G23" s="250" t="str">
        <f t="shared" si="2"/>
        <v>Alto</v>
      </c>
      <c r="Q23" s="298"/>
      <c r="R23" s="298"/>
      <c r="AC23" s="294"/>
      <c r="AD23" s="300"/>
      <c r="AE23" s="300"/>
      <c r="AF23" s="300"/>
      <c r="AG23" s="300"/>
      <c r="AH23" s="300"/>
      <c r="AI23" s="300"/>
      <c r="AJ23" s="67"/>
      <c r="AK23" s="294"/>
      <c r="AL23" s="294"/>
    </row>
    <row r="24" spans="1:38" ht="140.25" x14ac:dyDescent="0.2">
      <c r="A24" s="60" t="str">
        <f>'2 IDENTIFICACIÓN'!A24</f>
        <v>R15</v>
      </c>
      <c r="B24" s="250"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24" s="87">
        <f>+'5 VALORACIÓN DEL CONTROL'!T99</f>
        <v>0.4</v>
      </c>
      <c r="D24" s="62">
        <f>+'5 VALORACIÓN DEL CONTROL'!U99</f>
        <v>0.8</v>
      </c>
      <c r="E24" s="62" t="str">
        <f t="shared" si="0"/>
        <v>Baja</v>
      </c>
      <c r="F24" s="62" t="str">
        <f t="shared" si="1"/>
        <v>Mayor</v>
      </c>
      <c r="G24" s="250" t="str">
        <f t="shared" si="2"/>
        <v>Alto</v>
      </c>
      <c r="Q24" s="298"/>
      <c r="R24" s="298"/>
      <c r="AC24" s="294"/>
      <c r="AD24" s="67"/>
      <c r="AE24" s="67"/>
      <c r="AF24" s="67"/>
      <c r="AG24" s="67"/>
      <c r="AH24" s="67"/>
      <c r="AI24" s="67"/>
      <c r="AJ24" s="67"/>
      <c r="AK24" s="294"/>
      <c r="AL24" s="294"/>
    </row>
    <row r="25" spans="1:38" ht="89.25" x14ac:dyDescent="0.2">
      <c r="A25" s="60" t="str">
        <f>'2 IDENTIFICACIÓN'!A25</f>
        <v>R16</v>
      </c>
      <c r="B25" s="250"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25" s="87">
        <f>+'5 VALORACIÓN DEL CONTROL'!T105</f>
        <v>0.6</v>
      </c>
      <c r="D25" s="62">
        <f>+'5 VALORACIÓN DEL CONTROL'!U105</f>
        <v>0.6</v>
      </c>
      <c r="E25" s="62" t="str">
        <f t="shared" si="0"/>
        <v>Media</v>
      </c>
      <c r="F25" s="62" t="str">
        <f t="shared" si="1"/>
        <v>Moderado</v>
      </c>
      <c r="G25" s="250" t="str">
        <f t="shared" si="2"/>
        <v>Moderado</v>
      </c>
      <c r="AC25" s="294"/>
      <c r="AD25" s="67"/>
      <c r="AE25" s="67"/>
      <c r="AF25" s="67"/>
      <c r="AG25" s="67"/>
      <c r="AH25" s="67"/>
      <c r="AI25" s="67"/>
      <c r="AJ25" s="67"/>
      <c r="AK25" s="294"/>
      <c r="AL25" s="294"/>
    </row>
    <row r="26" spans="1:38" ht="117" hidden="1" customHeight="1" x14ac:dyDescent="0.25">
      <c r="A26" s="60" t="str">
        <f>'2 IDENTIFICACIÓN'!A26</f>
        <v>R17</v>
      </c>
      <c r="B26" s="250"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6" s="87">
        <f>+'5 VALORACIÓN DEL CONTROL'!T111</f>
        <v>0.6</v>
      </c>
      <c r="D26" s="62">
        <f>+'5 VALORACIÓN DEL CONTROL'!U111</f>
        <v>0</v>
      </c>
      <c r="E26" s="62" t="str">
        <f t="shared" si="0"/>
        <v>Media</v>
      </c>
      <c r="F26" s="62" t="str">
        <f t="shared" si="1"/>
        <v/>
      </c>
      <c r="G26" s="250" t="b">
        <f t="shared" si="2"/>
        <v>0</v>
      </c>
    </row>
    <row r="27" spans="1:38" ht="117" hidden="1" customHeight="1" x14ac:dyDescent="0.25">
      <c r="A27" s="60" t="str">
        <f>'2 IDENTIFICACIÓN'!A27</f>
        <v>R18</v>
      </c>
      <c r="B27" s="250" t="str">
        <f>+'2 IDENTIFICACIÓN'!J27</f>
        <v xml:space="preserve"> por  debido a </v>
      </c>
      <c r="C27" s="87">
        <f>+'5 VALORACIÓN DEL CONTROL'!T117</f>
        <v>0.6</v>
      </c>
      <c r="D27" s="62">
        <f>+'5 VALORACIÓN DEL CONTROL'!U117</f>
        <v>0</v>
      </c>
      <c r="E27" s="62" t="str">
        <f t="shared" si="0"/>
        <v>Media</v>
      </c>
      <c r="F27" s="62" t="str">
        <f t="shared" si="1"/>
        <v/>
      </c>
      <c r="G27" s="250" t="b">
        <f t="shared" si="2"/>
        <v>0</v>
      </c>
    </row>
    <row r="28" spans="1:38" ht="117" hidden="1" customHeight="1" x14ac:dyDescent="0.25">
      <c r="A28" s="60" t="str">
        <f>'2 IDENTIFICACIÓN'!A28</f>
        <v>R19</v>
      </c>
      <c r="B28" s="250" t="str">
        <f>+'2 IDENTIFICACIÓN'!J28</f>
        <v xml:space="preserve"> por  debido a </v>
      </c>
      <c r="C28" s="87">
        <f>+'5 VALORACIÓN DEL CONTROL'!T123</f>
        <v>0.6</v>
      </c>
      <c r="D28" s="62">
        <f>+'5 VALORACIÓN DEL CONTROL'!U123</f>
        <v>0</v>
      </c>
      <c r="E28" s="62" t="str">
        <f t="shared" si="0"/>
        <v>Media</v>
      </c>
      <c r="F28" s="62" t="str">
        <f t="shared" si="1"/>
        <v/>
      </c>
      <c r="G28" s="250" t="b">
        <f t="shared" si="2"/>
        <v>0</v>
      </c>
    </row>
    <row r="29" spans="1:38" ht="117" hidden="1" customHeight="1" x14ac:dyDescent="0.25">
      <c r="A29" s="60" t="str">
        <f>'2 IDENTIFICACIÓN'!A29</f>
        <v>R20</v>
      </c>
      <c r="B29" s="250" t="str">
        <f>+'2 IDENTIFICACIÓN'!J29</f>
        <v xml:space="preserve"> por  debido a </v>
      </c>
      <c r="C29" s="87">
        <f>+'5 VALORACIÓN DEL CONTROL'!T129</f>
        <v>0.6</v>
      </c>
      <c r="D29" s="62">
        <f>+'5 VALORACIÓN DEL CONTROL'!U129</f>
        <v>0</v>
      </c>
      <c r="E29" s="62" t="str">
        <f t="shared" si="0"/>
        <v>Media</v>
      </c>
      <c r="F29" s="62" t="str">
        <f t="shared" si="1"/>
        <v/>
      </c>
      <c r="G29" s="250" t="b">
        <f t="shared" si="2"/>
        <v>0</v>
      </c>
    </row>
    <row r="30" spans="1:38" ht="117" hidden="1" customHeight="1" x14ac:dyDescent="0.25">
      <c r="A30" s="60" t="str">
        <f>'2 IDENTIFICACIÓN'!A30</f>
        <v>R21</v>
      </c>
      <c r="B30" s="250" t="str">
        <f>+'2 IDENTIFICACIÓN'!J30</f>
        <v xml:space="preserve"> por  debido a </v>
      </c>
      <c r="C30" s="87">
        <f>+'5 VALORACIÓN DEL CONTROL'!T135</f>
        <v>0.6</v>
      </c>
      <c r="D30" s="62">
        <f>+'5 VALORACIÓN DEL CONTROL'!U135</f>
        <v>0</v>
      </c>
      <c r="E30" s="62" t="str">
        <f t="shared" si="0"/>
        <v>Media</v>
      </c>
      <c r="F30" s="62" t="str">
        <f t="shared" si="1"/>
        <v/>
      </c>
      <c r="G30" s="250" t="b">
        <f t="shared" si="2"/>
        <v>0</v>
      </c>
    </row>
    <row r="31" spans="1:38" ht="117" hidden="1" customHeight="1" x14ac:dyDescent="0.25">
      <c r="A31" s="60" t="str">
        <f>'2 IDENTIFICACIÓN'!A31</f>
        <v>R22</v>
      </c>
      <c r="B31" s="250" t="str">
        <f>+'2 IDENTIFICACIÓN'!J31</f>
        <v xml:space="preserve"> por  debido a </v>
      </c>
      <c r="C31" s="87">
        <f>+'5 VALORACIÓN DEL CONTROL'!T141</f>
        <v>0.6</v>
      </c>
      <c r="D31" s="62">
        <f>+'5 VALORACIÓN DEL CONTROL'!U141</f>
        <v>0</v>
      </c>
      <c r="E31" s="62" t="str">
        <f t="shared" si="0"/>
        <v>Media</v>
      </c>
      <c r="F31" s="62" t="str">
        <f t="shared" si="1"/>
        <v/>
      </c>
      <c r="G31" s="250" t="b">
        <f t="shared" si="2"/>
        <v>0</v>
      </c>
    </row>
    <row r="32" spans="1:38" ht="117" hidden="1" customHeight="1" x14ac:dyDescent="0.25">
      <c r="A32" s="60" t="str">
        <f>'2 IDENTIFICACIÓN'!A32</f>
        <v>R23</v>
      </c>
      <c r="B32" s="250" t="str">
        <f>+'2 IDENTIFICACIÓN'!J32</f>
        <v xml:space="preserve"> por  debido a </v>
      </c>
      <c r="C32" s="87">
        <f>+'5 VALORACIÓN DEL CONTROL'!T147</f>
        <v>0.6</v>
      </c>
      <c r="D32" s="62">
        <f>+'5 VALORACIÓN DEL CONTROL'!U147</f>
        <v>0</v>
      </c>
      <c r="E32" s="62" t="str">
        <f t="shared" si="0"/>
        <v>Media</v>
      </c>
      <c r="F32" s="62" t="str">
        <f t="shared" si="1"/>
        <v/>
      </c>
      <c r="G32" s="250" t="b">
        <f t="shared" si="2"/>
        <v>0</v>
      </c>
    </row>
    <row r="33" spans="1:7" ht="117" hidden="1" customHeight="1" x14ac:dyDescent="0.25">
      <c r="A33" s="60" t="str">
        <f>'2 IDENTIFICACIÓN'!A33</f>
        <v>R24</v>
      </c>
      <c r="B33" s="250" t="str">
        <f>+'2 IDENTIFICACIÓN'!J33</f>
        <v xml:space="preserve"> por  debido a </v>
      </c>
      <c r="C33" s="87">
        <f>+'5 VALORACIÓN DEL CONTROL'!T153</f>
        <v>0.6</v>
      </c>
      <c r="D33" s="62">
        <f>+'5 VALORACIÓN DEL CONTROL'!U153</f>
        <v>0</v>
      </c>
      <c r="E33" s="62" t="str">
        <f t="shared" si="0"/>
        <v>Media</v>
      </c>
      <c r="F33" s="62" t="str">
        <f t="shared" si="1"/>
        <v/>
      </c>
      <c r="G33" s="250" t="b">
        <f t="shared" si="2"/>
        <v>0</v>
      </c>
    </row>
    <row r="34" spans="1:7" ht="117" hidden="1" customHeight="1" x14ac:dyDescent="0.25">
      <c r="A34" s="60" t="str">
        <f>'2 IDENTIFICACIÓN'!A34</f>
        <v>R25</v>
      </c>
      <c r="B34" s="250" t="str">
        <f>+'2 IDENTIFICACIÓN'!J34</f>
        <v xml:space="preserve"> por  debido a </v>
      </c>
      <c r="C34" s="87">
        <f>+'5 VALORACIÓN DEL CONTROL'!T159</f>
        <v>0.6</v>
      </c>
      <c r="D34" s="62">
        <f>+'5 VALORACIÓN DEL CONTROL'!U159</f>
        <v>0</v>
      </c>
      <c r="E34" s="62" t="str">
        <f t="shared" si="0"/>
        <v>Media</v>
      </c>
      <c r="F34" s="62" t="str">
        <f t="shared" si="1"/>
        <v/>
      </c>
      <c r="G34" s="250" t="b">
        <f t="shared" si="2"/>
        <v>0</v>
      </c>
    </row>
    <row r="35" spans="1:7" ht="117" hidden="1" customHeight="1" x14ac:dyDescent="0.25">
      <c r="A35" s="60" t="str">
        <f>'2 IDENTIFICACIÓN'!A35</f>
        <v>R26</v>
      </c>
      <c r="B35" s="250" t="str">
        <f>+'2 IDENTIFICACIÓN'!J35</f>
        <v xml:space="preserve"> por  debido a </v>
      </c>
      <c r="C35" s="87">
        <f>+'5 VALORACIÓN DEL CONTROL'!T165</f>
        <v>0.6</v>
      </c>
      <c r="D35" s="62">
        <f>+'5 VALORACIÓN DEL CONTROL'!U165</f>
        <v>0</v>
      </c>
      <c r="E35" s="62" t="str">
        <f t="shared" si="0"/>
        <v>Media</v>
      </c>
      <c r="F35" s="62" t="str">
        <f t="shared" si="1"/>
        <v/>
      </c>
      <c r="G35" s="250" t="b">
        <f t="shared" si="2"/>
        <v>0</v>
      </c>
    </row>
    <row r="36" spans="1:7" ht="117" hidden="1" customHeight="1" x14ac:dyDescent="0.25">
      <c r="A36" s="60" t="str">
        <f>'2 IDENTIFICACIÓN'!A36</f>
        <v>R27</v>
      </c>
      <c r="B36" s="250" t="str">
        <f>+'2 IDENTIFICACIÓN'!J36</f>
        <v xml:space="preserve"> por  debido a </v>
      </c>
      <c r="C36" s="87">
        <f>+'5 VALORACIÓN DEL CONTROL'!T171</f>
        <v>0.6</v>
      </c>
      <c r="D36" s="62">
        <f>+'5 VALORACIÓN DEL CONTROL'!U171</f>
        <v>0</v>
      </c>
      <c r="E36" s="62" t="str">
        <f t="shared" si="0"/>
        <v>Media</v>
      </c>
      <c r="F36" s="62" t="str">
        <f t="shared" si="1"/>
        <v/>
      </c>
      <c r="G36" s="250" t="b">
        <f t="shared" si="2"/>
        <v>0</v>
      </c>
    </row>
    <row r="37" spans="1:7" ht="117" hidden="1" customHeight="1" x14ac:dyDescent="0.25">
      <c r="A37" s="60" t="str">
        <f>'2 IDENTIFICACIÓN'!A37</f>
        <v>R28</v>
      </c>
      <c r="B37" s="250" t="str">
        <f>+'2 IDENTIFICACIÓN'!J37</f>
        <v xml:space="preserve"> por  debido a </v>
      </c>
      <c r="C37" s="87">
        <f>+'5 VALORACIÓN DEL CONTROL'!T177</f>
        <v>0.6</v>
      </c>
      <c r="D37" s="62">
        <f>+'5 VALORACIÓN DEL CONTROL'!U177</f>
        <v>0</v>
      </c>
      <c r="E37" s="62" t="str">
        <f t="shared" si="0"/>
        <v>Media</v>
      </c>
      <c r="F37" s="62" t="str">
        <f t="shared" si="1"/>
        <v/>
      </c>
      <c r="G37" s="250" t="b">
        <f t="shared" si="2"/>
        <v>0</v>
      </c>
    </row>
    <row r="38" spans="1:7" ht="117" hidden="1" customHeight="1" x14ac:dyDescent="0.25">
      <c r="A38" s="60" t="str">
        <f>'2 IDENTIFICACIÓN'!A38</f>
        <v>R29</v>
      </c>
      <c r="B38" s="250" t="str">
        <f>+'2 IDENTIFICACIÓN'!J38</f>
        <v xml:space="preserve"> por  debido a </v>
      </c>
      <c r="C38" s="87">
        <f>+'5 VALORACIÓN DEL CONTROL'!T183</f>
        <v>0.6</v>
      </c>
      <c r="D38" s="62">
        <f>+'5 VALORACIÓN DEL CONTROL'!U183</f>
        <v>0</v>
      </c>
      <c r="E38" s="62" t="str">
        <f t="shared" si="0"/>
        <v>Media</v>
      </c>
      <c r="F38" s="62" t="str">
        <f t="shared" si="1"/>
        <v/>
      </c>
      <c r="G38" s="250" t="b">
        <f t="shared" si="2"/>
        <v>0</v>
      </c>
    </row>
    <row r="39" spans="1:7" ht="117" hidden="1" customHeight="1" x14ac:dyDescent="0.25">
      <c r="A39" s="60" t="str">
        <f>'2 IDENTIFICACIÓN'!A39</f>
        <v>R30</v>
      </c>
      <c r="B39" s="250" t="str">
        <f>+'2 IDENTIFICACIÓN'!J39</f>
        <v xml:space="preserve"> por  debido a </v>
      </c>
      <c r="C39" s="87">
        <f>+'5 VALORACIÓN DEL CONTROL'!T189</f>
        <v>0.6</v>
      </c>
      <c r="D39" s="62">
        <f>+'5 VALORACIÓN DEL CONTROL'!U189</f>
        <v>0</v>
      </c>
      <c r="E39" s="62" t="str">
        <f t="shared" si="0"/>
        <v>Media</v>
      </c>
      <c r="F39" s="62" t="str">
        <f t="shared" si="1"/>
        <v/>
      </c>
      <c r="G39" s="250" t="b">
        <f t="shared" si="2"/>
        <v>0</v>
      </c>
    </row>
    <row r="40" spans="1:7" ht="13.5" thickBot="1" x14ac:dyDescent="0.3">
      <c r="C40" s="142"/>
      <c r="D40" s="143"/>
      <c r="E40" s="143"/>
      <c r="F40" s="143"/>
    </row>
    <row r="41" spans="1:7" ht="14.25" thickTop="1" thickBot="1" x14ac:dyDescent="0.3">
      <c r="A41" s="424" t="s">
        <v>376</v>
      </c>
      <c r="B41" s="424"/>
      <c r="C41" s="424"/>
      <c r="D41" s="424"/>
      <c r="E41" s="424"/>
      <c r="F41" s="424"/>
      <c r="G41" s="424"/>
    </row>
    <row r="42" spans="1:7" ht="14.25" thickTop="1" thickBot="1" x14ac:dyDescent="0.3">
      <c r="A42" s="312" t="s">
        <v>377</v>
      </c>
      <c r="B42" s="424" t="s">
        <v>378</v>
      </c>
      <c r="C42" s="424"/>
      <c r="D42" s="424" t="s">
        <v>379</v>
      </c>
      <c r="E42" s="424"/>
      <c r="F42" s="424" t="s">
        <v>380</v>
      </c>
      <c r="G42" s="424"/>
    </row>
    <row r="43" spans="1:7" ht="78.599999999999994" customHeight="1" thickTop="1" thickBot="1" x14ac:dyDescent="0.3">
      <c r="A43" s="313" t="s">
        <v>381</v>
      </c>
      <c r="B43" s="399">
        <v>46163</v>
      </c>
      <c r="C43" s="399"/>
      <c r="D43" s="400" t="s">
        <v>382</v>
      </c>
      <c r="E43" s="400"/>
      <c r="F43" s="401" t="s">
        <v>383</v>
      </c>
      <c r="G43" s="401"/>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7">
    <mergeCell ref="T7:X7"/>
    <mergeCell ref="E8:G8"/>
    <mergeCell ref="K8:O8"/>
    <mergeCell ref="I10:I14"/>
    <mergeCell ref="Q10:Q14"/>
    <mergeCell ref="I7:O7"/>
    <mergeCell ref="A41:G41"/>
    <mergeCell ref="A4:K4"/>
    <mergeCell ref="A1:A3"/>
    <mergeCell ref="B1:I2"/>
    <mergeCell ref="B3:I3"/>
    <mergeCell ref="B43:C43"/>
    <mergeCell ref="D43:E43"/>
    <mergeCell ref="F43:G43"/>
    <mergeCell ref="B42:C42"/>
    <mergeCell ref="D42:E42"/>
    <mergeCell ref="F42:G42"/>
  </mergeCells>
  <conditionalFormatting sqref="D10:E40">
    <cfRule type="cellIs" dxfId="54" priority="1" operator="equal">
      <formula>$S$14</formula>
    </cfRule>
    <cfRule type="cellIs" dxfId="53" priority="2" operator="equal">
      <formula>$S$13</formula>
    </cfRule>
    <cfRule type="cellIs" dxfId="52" priority="3" operator="equal">
      <formula>$S$12</formula>
    </cfRule>
    <cfRule type="cellIs" dxfId="51" priority="4" operator="equal">
      <formula>$S$11</formula>
    </cfRule>
    <cfRule type="cellIs" dxfId="50" priority="5" operator="equal">
      <formula>$S$10</formula>
    </cfRule>
  </conditionalFormatting>
  <conditionalFormatting sqref="F10:F40">
    <cfRule type="cellIs" dxfId="49" priority="6" operator="equal">
      <formula>$T$9</formula>
    </cfRule>
    <cfRule type="cellIs" dxfId="48" priority="7" operator="equal">
      <formula>$U$9</formula>
    </cfRule>
    <cfRule type="cellIs" dxfId="47" priority="8" operator="equal">
      <formula>$V$9</formula>
    </cfRule>
    <cfRule type="cellIs" dxfId="46" priority="9" operator="equal">
      <formula>$W$9</formula>
    </cfRule>
    <cfRule type="cellIs" dxfId="45" priority="10" operator="equal">
      <formula>$X$9</formula>
    </cfRule>
  </conditionalFormatting>
  <conditionalFormatting sqref="G10:G40">
    <cfRule type="cellIs" dxfId="44" priority="16" operator="equal">
      <formula>$T$17</formula>
    </cfRule>
    <cfRule type="cellIs" dxfId="43" priority="17" operator="equal">
      <formula>$T$18</formula>
    </cfRule>
    <cfRule type="cellIs" dxfId="42" priority="18" operator="equal">
      <formula>$T$19</formula>
    </cfRule>
    <cfRule type="cellIs" dxfId="41"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5" customWidth="1"/>
    <col min="2" max="2" width="30.7109375" style="50" bestFit="1" customWidth="1"/>
    <col min="3" max="4" width="15.42578125" style="50" customWidth="1"/>
    <col min="5" max="6" width="15.42578125" style="88" customWidth="1"/>
    <col min="7" max="7" width="29" style="50" bestFit="1" customWidth="1"/>
    <col min="8" max="8" width="3.85546875" style="50" customWidth="1"/>
    <col min="9" max="9" width="11.140625" style="50" bestFit="1" customWidth="1"/>
    <col min="10" max="10" width="30.5703125" style="50" bestFit="1" customWidth="1"/>
    <col min="11" max="11" width="19.28515625" style="50" customWidth="1"/>
    <col min="12" max="15" width="12.42578125" style="50" customWidth="1"/>
    <col min="16" max="16" width="3.85546875" style="50" customWidth="1"/>
    <col min="17" max="17" width="4.85546875" style="45" hidden="1" customWidth="1"/>
    <col min="18" max="18" width="6.140625" style="45" hidden="1" customWidth="1"/>
    <col min="19" max="24" width="14" style="45" hidden="1" customWidth="1"/>
    <col min="25" max="29" width="11.42578125" style="45" customWidth="1"/>
    <col min="30" max="30" width="5.42578125" style="45" bestFit="1" customWidth="1"/>
    <col min="31" max="31" width="26.85546875" style="45" customWidth="1"/>
    <col min="32" max="32" width="22.85546875" style="50" customWidth="1"/>
    <col min="33" max="36" width="22.85546875" style="50" hidden="1" customWidth="1"/>
    <col min="37" max="37" width="23.42578125" style="45" hidden="1" customWidth="1"/>
    <col min="38" max="265" width="11.42578125" style="45" hidden="1" customWidth="1"/>
    <col min="266" max="266" width="12.42578125" style="45" hidden="1" customWidth="1"/>
    <col min="267" max="267" width="47" style="45" hidden="1" customWidth="1"/>
    <col min="268" max="268" width="35" style="45" hidden="1" customWidth="1"/>
    <col min="269" max="16384" width="14.42578125" style="45" hidden="1"/>
  </cols>
  <sheetData>
    <row r="1" spans="1:38" s="4" customFormat="1" ht="20.100000000000001" customHeight="1" thickTop="1" x14ac:dyDescent="0.25">
      <c r="A1" s="440"/>
      <c r="B1" s="443" t="s">
        <v>374</v>
      </c>
      <c r="C1" s="444"/>
      <c r="D1" s="444"/>
      <c r="E1" s="444"/>
      <c r="F1" s="444"/>
      <c r="G1" s="444"/>
      <c r="H1" s="444"/>
      <c r="I1" s="445"/>
      <c r="J1" s="304" t="s">
        <v>372</v>
      </c>
      <c r="K1" s="305"/>
      <c r="L1" s="252"/>
    </row>
    <row r="2" spans="1:38" s="4" customFormat="1" ht="20.100000000000001" customHeight="1" x14ac:dyDescent="0.25">
      <c r="A2" s="441"/>
      <c r="B2" s="446"/>
      <c r="C2" s="447"/>
      <c r="D2" s="447"/>
      <c r="E2" s="447"/>
      <c r="F2" s="447"/>
      <c r="G2" s="447"/>
      <c r="H2" s="447"/>
      <c r="I2" s="448"/>
      <c r="J2" s="306" t="s">
        <v>375</v>
      </c>
      <c r="K2" s="307"/>
      <c r="L2" s="252"/>
    </row>
    <row r="3" spans="1:38" s="3" customFormat="1" ht="16.5" thickBot="1" x14ac:dyDescent="0.25">
      <c r="A3" s="442"/>
      <c r="B3" s="449" t="s">
        <v>358</v>
      </c>
      <c r="C3" s="450"/>
      <c r="D3" s="450"/>
      <c r="E3" s="450"/>
      <c r="F3" s="450"/>
      <c r="G3" s="450"/>
      <c r="H3" s="450"/>
      <c r="I3" s="451"/>
      <c r="J3" s="308" t="s">
        <v>373</v>
      </c>
      <c r="K3" s="309"/>
      <c r="L3" s="253"/>
    </row>
    <row r="4" spans="1:38" s="3" customFormat="1" ht="17.100000000000001" customHeight="1" thickTop="1" x14ac:dyDescent="0.2">
      <c r="A4" s="452"/>
      <c r="B4" s="453"/>
      <c r="C4" s="453"/>
      <c r="D4" s="453"/>
      <c r="E4" s="453"/>
      <c r="F4" s="453"/>
      <c r="G4" s="453"/>
      <c r="H4" s="453"/>
      <c r="I4" s="453"/>
      <c r="J4" s="453"/>
      <c r="K4" s="454"/>
    </row>
    <row r="5" spans="1:38" s="4" customFormat="1" ht="27" customHeight="1" x14ac:dyDescent="0.25">
      <c r="A5" s="11" t="s">
        <v>80</v>
      </c>
      <c r="B5" s="258" t="str">
        <f>'2 IDENTIFICACIÓN'!B5</f>
        <v>ALCALDÍA DE BUCARAMANGA</v>
      </c>
      <c r="C5" s="259"/>
      <c r="D5" s="259"/>
      <c r="E5" s="260"/>
      <c r="F5" s="243" t="s">
        <v>81</v>
      </c>
      <c r="G5" s="258" t="str">
        <f>'2 IDENTIFICACIÓN'!G5</f>
        <v>GESTIÓN DE SERVICIOS DE LA EDUCACIÓN PÚBLICA</v>
      </c>
      <c r="H5" s="260"/>
      <c r="I5" s="243" t="s">
        <v>352</v>
      </c>
      <c r="J5" s="261">
        <f>'2 IDENTIFICACIÓN'!J5</f>
        <v>2026</v>
      </c>
      <c r="K5" s="262"/>
    </row>
    <row r="6" spans="1:38" s="4" customFormat="1" ht="15.75" thickBot="1" x14ac:dyDescent="0.25">
      <c r="A6" s="163"/>
      <c r="B6" s="254"/>
      <c r="C6" s="254"/>
      <c r="D6" s="254"/>
      <c r="E6" s="254"/>
      <c r="F6" s="255"/>
      <c r="G6" s="256"/>
      <c r="H6" s="256"/>
      <c r="I6" s="256"/>
      <c r="J6" s="256"/>
      <c r="K6" s="256"/>
      <c r="S6" s="36"/>
      <c r="T6" s="36"/>
      <c r="U6" s="36"/>
    </row>
    <row r="7" spans="1:38" s="36" customFormat="1" ht="13.5" thickBot="1" x14ac:dyDescent="0.25">
      <c r="A7" s="617" t="s">
        <v>294</v>
      </c>
      <c r="B7" s="618"/>
      <c r="C7" s="618"/>
      <c r="D7" s="618"/>
      <c r="E7" s="618"/>
      <c r="F7" s="618"/>
      <c r="G7" s="619"/>
      <c r="I7" s="617" t="s">
        <v>320</v>
      </c>
      <c r="J7" s="618"/>
      <c r="K7" s="618"/>
      <c r="L7" s="618"/>
      <c r="M7" s="618"/>
      <c r="N7" s="618"/>
      <c r="O7" s="619"/>
      <c r="R7" s="40"/>
      <c r="S7" s="41"/>
      <c r="T7" s="547" t="s">
        <v>158</v>
      </c>
      <c r="U7" s="547"/>
      <c r="V7" s="547"/>
      <c r="W7" s="547"/>
      <c r="X7" s="548"/>
      <c r="AF7" s="37"/>
      <c r="AG7" s="37"/>
      <c r="AH7" s="37"/>
      <c r="AI7" s="37"/>
      <c r="AJ7" s="37"/>
    </row>
    <row r="8" spans="1:38" x14ac:dyDescent="0.25">
      <c r="A8" s="43"/>
      <c r="B8" s="44"/>
      <c r="C8" s="547" t="s">
        <v>158</v>
      </c>
      <c r="D8" s="547"/>
      <c r="E8" s="547"/>
      <c r="F8" s="547"/>
      <c r="G8" s="548"/>
      <c r="H8" s="42"/>
      <c r="I8" s="43"/>
      <c r="J8" s="44"/>
      <c r="K8" s="547" t="s">
        <v>158</v>
      </c>
      <c r="L8" s="547"/>
      <c r="M8" s="547"/>
      <c r="N8" s="547"/>
      <c r="O8" s="548"/>
      <c r="P8" s="42"/>
      <c r="R8" s="46"/>
      <c r="T8" s="47">
        <v>0.2</v>
      </c>
      <c r="U8" s="47">
        <v>0.4</v>
      </c>
      <c r="V8" s="47">
        <v>0.6</v>
      </c>
      <c r="W8" s="47">
        <v>0.8</v>
      </c>
      <c r="X8" s="48">
        <v>1</v>
      </c>
      <c r="Y8" s="49"/>
      <c r="Z8" s="49"/>
      <c r="AA8" s="49"/>
      <c r="AB8" s="49"/>
      <c r="AC8" s="49"/>
      <c r="AD8" s="49"/>
      <c r="AE8" s="49"/>
    </row>
    <row r="9" spans="1:38" x14ac:dyDescent="0.2">
      <c r="A9" s="46"/>
      <c r="B9" s="53"/>
      <c r="C9" s="54" t="s">
        <v>272</v>
      </c>
      <c r="D9" s="54" t="s">
        <v>276</v>
      </c>
      <c r="E9" s="54" t="s">
        <v>280</v>
      </c>
      <c r="F9" s="54" t="s">
        <v>285</v>
      </c>
      <c r="G9" s="55" t="s">
        <v>290</v>
      </c>
      <c r="H9" s="42"/>
      <c r="I9" s="46"/>
      <c r="J9" s="53"/>
      <c r="K9" s="54" t="s">
        <v>272</v>
      </c>
      <c r="L9" s="54" t="s">
        <v>276</v>
      </c>
      <c r="M9" s="54" t="s">
        <v>280</v>
      </c>
      <c r="N9" s="54" t="s">
        <v>285</v>
      </c>
      <c r="O9" s="55" t="s">
        <v>290</v>
      </c>
      <c r="P9" s="42"/>
      <c r="R9" s="46"/>
      <c r="S9" s="56"/>
      <c r="T9" s="57" t="s">
        <v>272</v>
      </c>
      <c r="U9" s="57" t="s">
        <v>276</v>
      </c>
      <c r="V9" s="57" t="s">
        <v>280</v>
      </c>
      <c r="W9" s="57" t="s">
        <v>285</v>
      </c>
      <c r="X9" s="58" t="s">
        <v>290</v>
      </c>
      <c r="AA9" s="49"/>
      <c r="AB9" s="49"/>
      <c r="AC9" s="59"/>
      <c r="AD9" s="59"/>
      <c r="AE9" s="59"/>
      <c r="AF9" s="59"/>
      <c r="AG9" s="59"/>
      <c r="AH9" s="59"/>
      <c r="AI9" s="59"/>
      <c r="AJ9" s="59"/>
      <c r="AK9" s="59"/>
      <c r="AL9" s="59"/>
    </row>
    <row r="10" spans="1:38" ht="55.5" customHeight="1" x14ac:dyDescent="0.2">
      <c r="A10" s="549" t="s">
        <v>139</v>
      </c>
      <c r="B10" s="54" t="s">
        <v>288</v>
      </c>
      <c r="C10" s="64" t="str">
        <f>+'4 MAPA CALOR INHERENTE'!I10</f>
        <v xml:space="preserve">                   </v>
      </c>
      <c r="D10" s="64" t="str">
        <f>+'4 MAPA CALOR INHERENTE'!J10</f>
        <v xml:space="preserve">                   </v>
      </c>
      <c r="E10" s="64" t="str">
        <f>+'4 MAPA CALOR INHERENTE'!K10</f>
        <v xml:space="preserve">                   </v>
      </c>
      <c r="F10" s="64" t="str">
        <f>+'4 MAPA CALOR INHERENTE'!L10</f>
        <v xml:space="preserve">R1            R13       </v>
      </c>
      <c r="G10" s="65" t="str">
        <f>+'4 MAPA CALOR INHERENTE'!M10</f>
        <v xml:space="preserve">                   </v>
      </c>
      <c r="H10" s="63"/>
      <c r="I10" s="549" t="s">
        <v>139</v>
      </c>
      <c r="J10" s="54" t="s">
        <v>288</v>
      </c>
      <c r="K10" s="64" t="str">
        <f>+'6 MAPA CALOR RESIDUAL'!K10</f>
        <v xml:space="preserve">                   </v>
      </c>
      <c r="L10" s="64" t="str">
        <f>+'6 MAPA CALOR RESIDUAL'!L10</f>
        <v xml:space="preserve">                   </v>
      </c>
      <c r="M10" s="64" t="str">
        <f>+'6 MAPA CALOR RESIDUAL'!M10</f>
        <v xml:space="preserve">                   </v>
      </c>
      <c r="N10" s="64" t="str">
        <f>+'6 MAPA CALOR RESIDUAL'!N10</f>
        <v xml:space="preserve">R1                   </v>
      </c>
      <c r="O10" s="65" t="str">
        <f>+'6 MAPA CALOR RESIDUAL'!O10</f>
        <v xml:space="preserve">                   </v>
      </c>
      <c r="P10" s="63"/>
      <c r="Q10" s="616" t="s">
        <v>139</v>
      </c>
      <c r="R10" s="66">
        <v>1</v>
      </c>
      <c r="S10" s="57" t="s">
        <v>288</v>
      </c>
      <c r="T10" s="64" t="s">
        <v>298</v>
      </c>
      <c r="U10" s="64" t="s">
        <v>298</v>
      </c>
      <c r="V10" s="64" t="s">
        <v>298</v>
      </c>
      <c r="W10" s="64" t="s">
        <v>298</v>
      </c>
      <c r="X10" s="65" t="s">
        <v>299</v>
      </c>
      <c r="AA10" s="49"/>
      <c r="AB10" s="49"/>
      <c r="AC10" s="59"/>
      <c r="AD10" s="59"/>
      <c r="AE10" s="59"/>
      <c r="AF10" s="67"/>
      <c r="AG10" s="67"/>
      <c r="AH10" s="67"/>
      <c r="AI10" s="67"/>
      <c r="AJ10" s="67"/>
      <c r="AK10" s="59"/>
      <c r="AL10" s="59"/>
    </row>
    <row r="11" spans="1:38" ht="55.5" customHeight="1" x14ac:dyDescent="0.2">
      <c r="A11" s="549"/>
      <c r="B11" s="54" t="s">
        <v>283</v>
      </c>
      <c r="C11" s="68" t="str">
        <f>+'4 MAPA CALOR INHERENTE'!I11</f>
        <v xml:space="preserve">           R12        </v>
      </c>
      <c r="D11" s="68" t="str">
        <f>+'4 MAPA CALOR INHERENTE'!J11</f>
        <v xml:space="preserve">                   </v>
      </c>
      <c r="E11" s="64" t="str">
        <f>+'4 MAPA CALOR INHERENTE'!K11</f>
        <v xml:space="preserve">             R14      </v>
      </c>
      <c r="F11" s="64" t="str">
        <f>+'4 MAPA CALOR INHERENTE'!L11</f>
        <v xml:space="preserve">                   </v>
      </c>
      <c r="G11" s="65" t="str">
        <f>+'4 MAPA CALOR INHERENTE'!M11</f>
        <v xml:space="preserve">                   </v>
      </c>
      <c r="H11" s="63"/>
      <c r="I11" s="549"/>
      <c r="J11" s="54" t="s">
        <v>283</v>
      </c>
      <c r="K11" s="68" t="str">
        <f>+'6 MAPA CALOR RESIDUAL'!K11</f>
        <v xml:space="preserve">           R12        </v>
      </c>
      <c r="L11" s="68" t="str">
        <f>+'6 MAPA CALOR RESIDUAL'!L11</f>
        <v xml:space="preserve">                   </v>
      </c>
      <c r="M11" s="64" t="str">
        <f>+'6 MAPA CALOR RESIDUAL'!M11</f>
        <v xml:space="preserve">             R14      </v>
      </c>
      <c r="N11" s="64" t="str">
        <f>+'6 MAPA CALOR RESIDUAL'!N11</f>
        <v xml:space="preserve">            R13       </v>
      </c>
      <c r="O11" s="65" t="str">
        <f>+'6 MAPA CALOR RESIDUAL'!O11</f>
        <v xml:space="preserve">                   </v>
      </c>
      <c r="P11" s="63"/>
      <c r="Q11" s="616"/>
      <c r="R11" s="66">
        <v>0.8</v>
      </c>
      <c r="S11" s="57" t="s">
        <v>283</v>
      </c>
      <c r="T11" s="68" t="s">
        <v>280</v>
      </c>
      <c r="U11" s="68" t="s">
        <v>280</v>
      </c>
      <c r="V11" s="64" t="s">
        <v>298</v>
      </c>
      <c r="W11" s="64" t="s">
        <v>298</v>
      </c>
      <c r="X11" s="65" t="s">
        <v>299</v>
      </c>
      <c r="AA11" s="49"/>
      <c r="AB11" s="49"/>
      <c r="AC11" s="59"/>
      <c r="AD11" s="69"/>
      <c r="AE11" s="70"/>
      <c r="AF11" s="67"/>
      <c r="AG11" s="67"/>
      <c r="AH11" s="67"/>
      <c r="AI11" s="67"/>
      <c r="AJ11" s="67"/>
      <c r="AK11" s="59"/>
      <c r="AL11" s="59"/>
    </row>
    <row r="12" spans="1:38" ht="55.5" customHeight="1" x14ac:dyDescent="0.2">
      <c r="A12" s="549"/>
      <c r="B12" s="54" t="s">
        <v>278</v>
      </c>
      <c r="C12" s="68" t="str">
        <f>+'4 MAPA CALOR INHERENTE'!I12</f>
        <v xml:space="preserve"> R2                  </v>
      </c>
      <c r="D12" s="68" t="str">
        <f>+'4 MAPA CALOR INHERENTE'!J12</f>
        <v xml:space="preserve">        R9           </v>
      </c>
      <c r="E12" s="68" t="str">
        <f>+'4 MAPA CALOR INHERENTE'!K12</f>
        <v xml:space="preserve">  R3  R5           R16    </v>
      </c>
      <c r="F12" s="64" t="str">
        <f>+'4 MAPA CALOR INHERENTE'!L12</f>
        <v xml:space="preserve">                   </v>
      </c>
      <c r="G12" s="65" t="str">
        <f>+'4 MAPA CALOR INHERENTE'!M12</f>
        <v xml:space="preserve">      R7 R8            </v>
      </c>
      <c r="H12" s="63"/>
      <c r="I12" s="549"/>
      <c r="J12" s="54" t="s">
        <v>278</v>
      </c>
      <c r="K12" s="68" t="str">
        <f>+'6 MAPA CALOR RESIDUAL'!K12</f>
        <v xml:space="preserve"> R2                  </v>
      </c>
      <c r="L12" s="68" t="str">
        <f>+'6 MAPA CALOR RESIDUAL'!L12</f>
        <v xml:space="preserve">        R9           </v>
      </c>
      <c r="M12" s="68" t="str">
        <f>+'6 MAPA CALOR RESIDUAL'!M12</f>
        <v xml:space="preserve">  R3  R5           R16    </v>
      </c>
      <c r="N12" s="64" t="str">
        <f>+'6 MAPA CALOR RESIDUAL'!N12</f>
        <v xml:space="preserve">                   </v>
      </c>
      <c r="O12" s="65" t="str">
        <f>+'6 MAPA CALOR RESIDUAL'!O12</f>
        <v xml:space="preserve">      R7 R8            </v>
      </c>
      <c r="P12" s="63"/>
      <c r="Q12" s="616"/>
      <c r="R12" s="66">
        <v>0.6</v>
      </c>
      <c r="S12" s="57" t="s">
        <v>278</v>
      </c>
      <c r="T12" s="68" t="s">
        <v>280</v>
      </c>
      <c r="U12" s="68" t="s">
        <v>280</v>
      </c>
      <c r="V12" s="68" t="s">
        <v>280</v>
      </c>
      <c r="W12" s="64" t="s">
        <v>298</v>
      </c>
      <c r="X12" s="65" t="s">
        <v>299</v>
      </c>
      <c r="AA12" s="49"/>
      <c r="AB12" s="49"/>
      <c r="AC12" s="59"/>
      <c r="AD12" s="69"/>
      <c r="AE12" s="70"/>
      <c r="AF12" s="67"/>
      <c r="AG12" s="67"/>
      <c r="AH12" s="67"/>
      <c r="AI12" s="67"/>
      <c r="AJ12" s="71"/>
      <c r="AK12" s="59"/>
      <c r="AL12" s="59"/>
    </row>
    <row r="13" spans="1:38" ht="55.5" customHeight="1" x14ac:dyDescent="0.2">
      <c r="A13" s="549"/>
      <c r="B13" s="54" t="s">
        <v>274</v>
      </c>
      <c r="C13" s="72" t="str">
        <f>+'4 MAPA CALOR INHERENTE'!I13</f>
        <v xml:space="preserve">                   </v>
      </c>
      <c r="D13" s="68" t="str">
        <f>+'4 MAPA CALOR INHERENTE'!J13</f>
        <v xml:space="preserve">                   </v>
      </c>
      <c r="E13" s="68" t="str">
        <f>+'4 MAPA CALOR INHERENTE'!K13</f>
        <v xml:space="preserve">     R6           R17   </v>
      </c>
      <c r="F13" s="64" t="str">
        <f>+'4 MAPA CALOR INHERENTE'!L13</f>
        <v xml:space="preserve">              R15     </v>
      </c>
      <c r="G13" s="65" t="str">
        <f>+'4 MAPA CALOR INHERENTE'!M13</f>
        <v xml:space="preserve">         R10          </v>
      </c>
      <c r="H13" s="63"/>
      <c r="I13" s="549"/>
      <c r="J13" s="54" t="s">
        <v>274</v>
      </c>
      <c r="K13" s="72" t="str">
        <f>+'6 MAPA CALOR RESIDUAL'!K13</f>
        <v xml:space="preserve">                   </v>
      </c>
      <c r="L13" s="68" t="str">
        <f>+'6 MAPA CALOR RESIDUAL'!L13</f>
        <v xml:space="preserve">                   </v>
      </c>
      <c r="M13" s="68" t="str">
        <f>+'6 MAPA CALOR RESIDUAL'!M13</f>
        <v xml:space="preserve">     R6              </v>
      </c>
      <c r="N13" s="64" t="str">
        <f>+'6 MAPA CALOR RESIDUAL'!N13</f>
        <v xml:space="preserve">              R15     </v>
      </c>
      <c r="O13" s="65" t="str">
        <f>+'6 MAPA CALOR RESIDUAL'!O13</f>
        <v xml:space="preserve">         R10          </v>
      </c>
      <c r="P13" s="63"/>
      <c r="Q13" s="616"/>
      <c r="R13" s="66">
        <v>0.4</v>
      </c>
      <c r="S13" s="57" t="s">
        <v>274</v>
      </c>
      <c r="T13" s="72" t="s">
        <v>300</v>
      </c>
      <c r="U13" s="68" t="s">
        <v>280</v>
      </c>
      <c r="V13" s="68" t="s">
        <v>280</v>
      </c>
      <c r="W13" s="64" t="s">
        <v>298</v>
      </c>
      <c r="X13" s="65" t="s">
        <v>299</v>
      </c>
      <c r="AA13" s="49"/>
      <c r="AB13" s="49"/>
      <c r="AC13" s="59"/>
      <c r="AD13" s="69"/>
      <c r="AE13" s="70"/>
      <c r="AF13" s="67"/>
      <c r="AG13" s="67"/>
      <c r="AH13" s="67"/>
      <c r="AI13" s="71"/>
      <c r="AJ13" s="67"/>
      <c r="AK13" s="59"/>
      <c r="AL13" s="59"/>
    </row>
    <row r="14" spans="1:38" ht="55.5" customHeight="1" thickBot="1" x14ac:dyDescent="0.25">
      <c r="A14" s="550"/>
      <c r="B14" s="73" t="s">
        <v>270</v>
      </c>
      <c r="C14" s="74" t="str">
        <f>+'4 MAPA CALOR INHERENTE'!I14</f>
        <v xml:space="preserve">          R11         </v>
      </c>
      <c r="D14" s="74" t="str">
        <f>+'4 MAPA CALOR INHERENTE'!J14</f>
        <v xml:space="preserve">                   </v>
      </c>
      <c r="E14" s="75" t="str">
        <f>+'4 MAPA CALOR INHERENTE'!K14</f>
        <v xml:space="preserve">   R4                </v>
      </c>
      <c r="F14" s="76" t="str">
        <f>+'4 MAPA CALOR INHERENTE'!L14</f>
        <v xml:space="preserve">                   </v>
      </c>
      <c r="G14" s="77" t="str">
        <f>+'4 MAPA CALOR INHERENTE'!M14</f>
        <v xml:space="preserve">                   </v>
      </c>
      <c r="H14" s="63"/>
      <c r="I14" s="550"/>
      <c r="J14" s="73" t="s">
        <v>270</v>
      </c>
      <c r="K14" s="74" t="str">
        <f>+'6 MAPA CALOR RESIDUAL'!K14</f>
        <v xml:space="preserve">          R11         </v>
      </c>
      <c r="L14" s="74" t="str">
        <f>+'6 MAPA CALOR RESIDUAL'!L14</f>
        <v xml:space="preserve">                   </v>
      </c>
      <c r="M14" s="75" t="str">
        <f>+'6 MAPA CALOR RESIDUAL'!M14</f>
        <v xml:space="preserve">   R4                </v>
      </c>
      <c r="N14" s="76" t="str">
        <f>+'6 MAPA CALOR RESIDUAL'!N14</f>
        <v xml:space="preserve">                   </v>
      </c>
      <c r="O14" s="77" t="str">
        <f>+'6 MAPA CALOR RESIDUAL'!O14</f>
        <v xml:space="preserve">                   </v>
      </c>
      <c r="P14" s="63"/>
      <c r="Q14" s="616"/>
      <c r="R14" s="78">
        <v>0.2</v>
      </c>
      <c r="S14" s="79" t="s">
        <v>270</v>
      </c>
      <c r="T14" s="74" t="s">
        <v>300</v>
      </c>
      <c r="U14" s="74" t="s">
        <v>300</v>
      </c>
      <c r="V14" s="75" t="s">
        <v>280</v>
      </c>
      <c r="W14" s="76" t="s">
        <v>298</v>
      </c>
      <c r="X14" s="77" t="s">
        <v>299</v>
      </c>
      <c r="AA14" s="49"/>
      <c r="AB14" s="49"/>
      <c r="AC14" s="59"/>
      <c r="AD14" s="69"/>
      <c r="AE14" s="70"/>
      <c r="AF14" s="67"/>
      <c r="AG14" s="67"/>
      <c r="AH14" s="67"/>
      <c r="AI14" s="80"/>
      <c r="AJ14" s="67"/>
      <c r="AK14" s="59"/>
      <c r="AL14" s="59"/>
    </row>
    <row r="15" spans="1:38" x14ac:dyDescent="0.2">
      <c r="A15" s="50"/>
      <c r="B15" s="63"/>
      <c r="C15" s="142"/>
      <c r="D15" s="143"/>
      <c r="E15" s="144"/>
      <c r="F15" s="144"/>
      <c r="G15" s="63"/>
      <c r="H15" s="63"/>
      <c r="I15" s="63"/>
      <c r="J15" s="63"/>
      <c r="K15" s="63"/>
      <c r="L15" s="63"/>
      <c r="M15" s="63"/>
      <c r="N15" s="63"/>
      <c r="O15" s="63"/>
      <c r="P15" s="63"/>
      <c r="AA15" s="49"/>
      <c r="AB15" s="49"/>
      <c r="AC15" s="59"/>
      <c r="AD15" s="69"/>
      <c r="AE15" s="70"/>
      <c r="AF15" s="67"/>
      <c r="AG15" s="67"/>
      <c r="AH15" s="67"/>
      <c r="AI15" s="67"/>
      <c r="AJ15" s="67"/>
      <c r="AK15" s="59"/>
      <c r="AL15" s="59"/>
    </row>
    <row r="16" spans="1:38" ht="25.5" x14ac:dyDescent="0.2">
      <c r="A16" s="50"/>
      <c r="B16" s="63"/>
      <c r="C16" s="142"/>
      <c r="D16" s="143"/>
      <c r="E16" s="144"/>
      <c r="F16" s="144"/>
      <c r="G16" s="63"/>
      <c r="H16" s="63"/>
      <c r="I16" s="63"/>
      <c r="J16" s="63"/>
      <c r="K16" s="63"/>
      <c r="L16" s="63"/>
      <c r="M16" s="63"/>
      <c r="N16" s="63"/>
      <c r="O16" s="63"/>
      <c r="P16" s="63"/>
      <c r="T16" s="52" t="s">
        <v>301</v>
      </c>
      <c r="V16" s="49"/>
      <c r="W16" s="49"/>
      <c r="X16" s="49"/>
      <c r="Y16" s="49"/>
      <c r="Z16" s="49"/>
      <c r="AA16" s="49"/>
      <c r="AB16" s="49"/>
      <c r="AC16" s="59"/>
      <c r="AD16" s="69"/>
      <c r="AE16" s="59"/>
      <c r="AF16" s="70"/>
      <c r="AG16" s="70"/>
      <c r="AH16" s="70"/>
      <c r="AI16" s="70"/>
      <c r="AJ16" s="70"/>
      <c r="AK16" s="59"/>
      <c r="AL16" s="59"/>
    </row>
    <row r="17" spans="1:38" x14ac:dyDescent="0.2">
      <c r="A17" s="50"/>
      <c r="B17" s="63"/>
      <c r="C17" s="142"/>
      <c r="D17" s="143"/>
      <c r="E17" s="144"/>
      <c r="F17" s="144"/>
      <c r="G17" s="63"/>
      <c r="H17" s="63"/>
      <c r="I17" s="63"/>
      <c r="J17" s="63"/>
      <c r="K17" s="63"/>
      <c r="L17" s="63"/>
      <c r="M17" s="63"/>
      <c r="N17" s="63"/>
      <c r="O17" s="63"/>
      <c r="P17" s="63"/>
      <c r="T17" s="81" t="s">
        <v>299</v>
      </c>
      <c r="V17" s="49"/>
      <c r="W17" s="49"/>
      <c r="X17" s="49"/>
      <c r="Y17" s="49"/>
      <c r="Z17" s="49"/>
      <c r="AA17" s="49"/>
      <c r="AB17" s="49"/>
      <c r="AC17" s="59"/>
      <c r="AD17" s="59"/>
      <c r="AE17" s="59"/>
      <c r="AF17" s="67"/>
      <c r="AG17" s="67"/>
      <c r="AH17" s="67"/>
      <c r="AI17" s="67"/>
      <c r="AJ17" s="67"/>
      <c r="AK17" s="59"/>
      <c r="AL17" s="59"/>
    </row>
    <row r="18" spans="1:38" x14ac:dyDescent="0.2">
      <c r="A18" s="50"/>
      <c r="B18" s="63"/>
      <c r="C18" s="142"/>
      <c r="D18" s="143"/>
      <c r="E18" s="144"/>
      <c r="F18" s="144"/>
      <c r="G18" s="63"/>
      <c r="H18" s="63"/>
      <c r="I18" s="63"/>
      <c r="J18" s="63"/>
      <c r="K18" s="63"/>
      <c r="L18" s="63"/>
      <c r="M18" s="63"/>
      <c r="N18" s="63"/>
      <c r="O18" s="63"/>
      <c r="P18" s="63"/>
      <c r="T18" s="64" t="s">
        <v>298</v>
      </c>
      <c r="U18" s="49"/>
      <c r="V18" s="49"/>
      <c r="W18" s="49"/>
      <c r="X18" s="49"/>
      <c r="Y18" s="49"/>
      <c r="Z18" s="49"/>
      <c r="AA18" s="49"/>
      <c r="AB18" s="49"/>
      <c r="AC18" s="59"/>
      <c r="AD18" s="59"/>
      <c r="AE18" s="59"/>
      <c r="AF18" s="67"/>
      <c r="AG18" s="67"/>
      <c r="AH18" s="67"/>
      <c r="AI18" s="67"/>
      <c r="AJ18" s="67"/>
      <c r="AK18" s="59"/>
      <c r="AL18" s="59"/>
    </row>
    <row r="19" spans="1:38" x14ac:dyDescent="0.2">
      <c r="A19" s="50"/>
      <c r="B19" s="63"/>
      <c r="C19" s="142"/>
      <c r="D19" s="143"/>
      <c r="E19" s="144"/>
      <c r="F19" s="144"/>
      <c r="G19" s="63"/>
      <c r="H19" s="63"/>
      <c r="I19" s="63"/>
      <c r="J19" s="63"/>
      <c r="K19" s="63"/>
      <c r="L19" s="63"/>
      <c r="M19" s="63"/>
      <c r="N19" s="63"/>
      <c r="O19" s="63"/>
      <c r="P19" s="63"/>
      <c r="S19" s="82"/>
      <c r="T19" s="68" t="s">
        <v>280</v>
      </c>
      <c r="U19" s="82"/>
      <c r="V19" s="82"/>
      <c r="W19" s="82"/>
      <c r="X19" s="82"/>
      <c r="Y19" s="82"/>
      <c r="Z19" s="82"/>
      <c r="AA19" s="82"/>
      <c r="AB19" s="82"/>
      <c r="AC19" s="59"/>
      <c r="AD19" s="59"/>
      <c r="AE19" s="83"/>
      <c r="AF19" s="83"/>
      <c r="AG19" s="83"/>
      <c r="AH19" s="83"/>
      <c r="AI19" s="83"/>
      <c r="AJ19" s="83"/>
      <c r="AK19" s="59"/>
      <c r="AL19" s="59"/>
    </row>
    <row r="20" spans="1:38" x14ac:dyDescent="0.2">
      <c r="A20" s="50"/>
      <c r="B20" s="63"/>
      <c r="C20" s="142"/>
      <c r="D20" s="143"/>
      <c r="E20" s="144"/>
      <c r="F20" s="144"/>
      <c r="G20" s="63"/>
      <c r="H20" s="63"/>
      <c r="I20" s="63"/>
      <c r="J20" s="63"/>
      <c r="K20" s="63"/>
      <c r="L20" s="63"/>
      <c r="M20" s="63"/>
      <c r="N20" s="63"/>
      <c r="O20" s="63"/>
      <c r="P20" s="63"/>
      <c r="S20" s="82"/>
      <c r="T20" s="72" t="s">
        <v>300</v>
      </c>
      <c r="AA20" s="82"/>
      <c r="AB20" s="82"/>
      <c r="AC20" s="59"/>
      <c r="AD20" s="59"/>
      <c r="AE20" s="59"/>
      <c r="AF20" s="67"/>
      <c r="AG20" s="67"/>
      <c r="AH20" s="67"/>
      <c r="AI20" s="67"/>
      <c r="AJ20" s="67"/>
      <c r="AK20" s="59"/>
      <c r="AL20" s="59"/>
    </row>
    <row r="21" spans="1:38" x14ac:dyDescent="0.2">
      <c r="A21" s="50"/>
      <c r="B21" s="63"/>
      <c r="C21" s="142"/>
      <c r="D21" s="143"/>
      <c r="E21" s="144"/>
      <c r="F21" s="144"/>
      <c r="G21" s="63"/>
      <c r="H21" s="63"/>
      <c r="I21" s="63"/>
      <c r="J21" s="63"/>
      <c r="K21" s="63"/>
      <c r="L21" s="63"/>
      <c r="M21" s="63"/>
      <c r="N21" s="63"/>
      <c r="O21" s="63"/>
      <c r="P21" s="63"/>
      <c r="Q21" s="84"/>
      <c r="R21" s="84"/>
      <c r="S21" s="82"/>
      <c r="AA21" s="82"/>
      <c r="AB21" s="82"/>
      <c r="AC21" s="59"/>
      <c r="AD21" s="59"/>
      <c r="AE21" s="59"/>
      <c r="AF21" s="67"/>
      <c r="AG21" s="67"/>
      <c r="AH21" s="67"/>
      <c r="AI21" s="67"/>
      <c r="AJ21" s="67"/>
      <c r="AK21" s="59"/>
      <c r="AL21" s="59"/>
    </row>
    <row r="22" spans="1:38" x14ac:dyDescent="0.2">
      <c r="A22" s="50"/>
      <c r="B22" s="63"/>
      <c r="C22" s="142"/>
      <c r="D22" s="143"/>
      <c r="E22" s="144"/>
      <c r="F22" s="144"/>
      <c r="G22" s="63"/>
      <c r="H22" s="63"/>
      <c r="I22" s="63"/>
      <c r="J22" s="63"/>
      <c r="K22" s="63"/>
      <c r="L22" s="63"/>
      <c r="M22" s="63"/>
      <c r="N22" s="63"/>
      <c r="O22" s="63"/>
      <c r="P22" s="63"/>
      <c r="Q22" s="84"/>
      <c r="R22" s="84"/>
      <c r="S22" s="85"/>
      <c r="AA22" s="82"/>
      <c r="AB22" s="82"/>
      <c r="AC22" s="59"/>
      <c r="AD22" s="80"/>
      <c r="AE22" s="80"/>
      <c r="AF22" s="80"/>
      <c r="AG22" s="80"/>
      <c r="AH22" s="80"/>
      <c r="AI22" s="80"/>
      <c r="AJ22" s="67"/>
      <c r="AK22" s="59"/>
      <c r="AL22" s="59"/>
    </row>
    <row r="23" spans="1:38" x14ac:dyDescent="0.2">
      <c r="A23" s="50"/>
      <c r="B23" s="63"/>
      <c r="C23" s="142"/>
      <c r="D23" s="143"/>
      <c r="E23" s="144"/>
      <c r="F23" s="144"/>
      <c r="G23" s="63"/>
      <c r="H23" s="63"/>
      <c r="I23" s="63"/>
      <c r="J23" s="63"/>
      <c r="K23" s="63"/>
      <c r="L23" s="63"/>
      <c r="M23" s="63"/>
      <c r="N23" s="63"/>
      <c r="O23" s="63"/>
      <c r="P23" s="63"/>
      <c r="Q23" s="84"/>
      <c r="R23" s="84"/>
      <c r="AC23" s="59"/>
      <c r="AD23" s="86"/>
      <c r="AE23" s="86"/>
      <c r="AF23" s="86"/>
      <c r="AG23" s="86"/>
      <c r="AH23" s="86"/>
      <c r="AI23" s="86"/>
      <c r="AJ23" s="67"/>
      <c r="AK23" s="59"/>
      <c r="AL23" s="59"/>
    </row>
    <row r="24" spans="1:38" x14ac:dyDescent="0.2">
      <c r="A24" s="50"/>
      <c r="B24" s="63"/>
      <c r="C24" s="142"/>
      <c r="D24" s="143"/>
      <c r="E24" s="144"/>
      <c r="F24" s="144"/>
      <c r="G24" s="63"/>
      <c r="H24" s="63"/>
      <c r="I24" s="63"/>
      <c r="J24" s="63"/>
      <c r="K24" s="63"/>
      <c r="L24" s="63"/>
      <c r="M24" s="63"/>
      <c r="N24" s="63"/>
      <c r="O24" s="63"/>
      <c r="P24" s="63"/>
      <c r="Q24" s="84"/>
      <c r="R24" s="84"/>
      <c r="AC24" s="59"/>
      <c r="AD24" s="80"/>
      <c r="AE24" s="80"/>
      <c r="AF24" s="80"/>
      <c r="AG24" s="80"/>
      <c r="AH24" s="80"/>
      <c r="AI24" s="80"/>
      <c r="AJ24" s="67"/>
      <c r="AK24" s="59"/>
      <c r="AL24" s="59"/>
    </row>
    <row r="25" spans="1:38" x14ac:dyDescent="0.2">
      <c r="A25" s="50"/>
      <c r="B25" s="63"/>
      <c r="C25" s="142"/>
      <c r="D25" s="143"/>
      <c r="E25" s="144"/>
      <c r="F25" s="144"/>
      <c r="G25" s="63"/>
      <c r="H25" s="63"/>
      <c r="I25" s="63"/>
      <c r="J25" s="63"/>
      <c r="K25" s="63"/>
      <c r="L25" s="63"/>
      <c r="M25" s="63"/>
      <c r="N25" s="63"/>
      <c r="O25" s="63"/>
      <c r="P25" s="63"/>
      <c r="AC25" s="59"/>
      <c r="AD25" s="80"/>
      <c r="AE25" s="80"/>
      <c r="AF25" s="80"/>
      <c r="AG25" s="80"/>
      <c r="AH25" s="80"/>
      <c r="AI25" s="80"/>
      <c r="AJ25" s="67"/>
      <c r="AK25" s="59"/>
      <c r="AL25" s="59"/>
    </row>
    <row r="26" spans="1:38" x14ac:dyDescent="0.25">
      <c r="A26" s="50"/>
      <c r="B26" s="63"/>
      <c r="C26" s="142"/>
      <c r="D26" s="143"/>
      <c r="E26" s="144"/>
      <c r="F26" s="144"/>
      <c r="G26" s="63"/>
      <c r="H26" s="63"/>
      <c r="I26" s="63"/>
      <c r="J26" s="63"/>
      <c r="K26" s="63"/>
      <c r="L26" s="63"/>
      <c r="M26" s="63"/>
      <c r="N26" s="63"/>
      <c r="O26" s="63"/>
      <c r="P26" s="63"/>
    </row>
    <row r="27" spans="1:38" x14ac:dyDescent="0.25">
      <c r="A27" s="50"/>
      <c r="B27" s="63"/>
      <c r="C27" s="142"/>
      <c r="D27" s="143"/>
      <c r="E27" s="144"/>
      <c r="F27" s="144"/>
      <c r="G27" s="63"/>
      <c r="H27" s="63"/>
      <c r="I27" s="63"/>
      <c r="J27" s="63"/>
      <c r="K27" s="63"/>
      <c r="L27" s="63"/>
      <c r="M27" s="63"/>
      <c r="N27" s="63"/>
      <c r="O27" s="63"/>
      <c r="P27" s="63"/>
    </row>
    <row r="28" spans="1:38" x14ac:dyDescent="0.25">
      <c r="A28" s="50"/>
      <c r="B28" s="63"/>
      <c r="C28" s="142"/>
      <c r="D28" s="143"/>
      <c r="E28" s="144"/>
      <c r="F28" s="144"/>
      <c r="G28" s="63"/>
      <c r="H28" s="63"/>
      <c r="I28" s="63"/>
      <c r="J28" s="63"/>
      <c r="K28" s="63"/>
      <c r="L28" s="63"/>
      <c r="M28" s="63"/>
      <c r="N28" s="63"/>
      <c r="O28" s="63"/>
      <c r="P28" s="63"/>
    </row>
    <row r="29" spans="1:38" x14ac:dyDescent="0.25">
      <c r="A29" s="50"/>
      <c r="B29" s="63"/>
      <c r="C29" s="142"/>
      <c r="D29" s="143"/>
      <c r="E29" s="144"/>
      <c r="F29" s="144"/>
      <c r="G29" s="63"/>
      <c r="H29" s="63"/>
      <c r="I29" s="63"/>
      <c r="J29" s="63"/>
      <c r="K29" s="63"/>
      <c r="L29" s="63"/>
      <c r="M29" s="63"/>
      <c r="N29" s="63"/>
      <c r="O29" s="63"/>
      <c r="P29" s="63"/>
    </row>
    <row r="30" spans="1:38" ht="14.45" customHeight="1" x14ac:dyDescent="0.25">
      <c r="B30" s="45"/>
      <c r="D30" s="45"/>
      <c r="G30" s="45"/>
      <c r="H30" s="45"/>
      <c r="I30" s="45"/>
      <c r="J30" s="45"/>
      <c r="K30" s="45"/>
      <c r="L30" s="45"/>
      <c r="M30" s="45"/>
      <c r="N30" s="45"/>
      <c r="O30" s="45"/>
      <c r="P30" s="45"/>
      <c r="AA30" s="50"/>
      <c r="AB30" s="50"/>
      <c r="AC30" s="50"/>
      <c r="AD30" s="50"/>
      <c r="AE30" s="50"/>
      <c r="AF30" s="45"/>
      <c r="AG30" s="45"/>
      <c r="AH30" s="45"/>
      <c r="AI30" s="45"/>
      <c r="AJ30" s="45"/>
    </row>
    <row r="31" spans="1:38" ht="39" customHeight="1" x14ac:dyDescent="0.25">
      <c r="B31" s="45"/>
      <c r="D31" s="45"/>
      <c r="G31" s="45"/>
      <c r="H31" s="45"/>
      <c r="I31" s="45"/>
      <c r="J31" s="45"/>
      <c r="K31" s="45"/>
      <c r="L31" s="45"/>
      <c r="M31" s="45"/>
      <c r="N31" s="45"/>
      <c r="O31" s="45"/>
      <c r="P31" s="45"/>
      <c r="AA31" s="50"/>
      <c r="AB31" s="50"/>
      <c r="AC31" s="50"/>
      <c r="AD31" s="50"/>
      <c r="AE31" s="50"/>
      <c r="AF31" s="45"/>
      <c r="AG31" s="45"/>
      <c r="AH31" s="45"/>
      <c r="AI31" s="45"/>
      <c r="AJ31" s="45"/>
    </row>
    <row r="32" spans="1:38" ht="19.5" customHeight="1" x14ac:dyDescent="0.25">
      <c r="B32" s="45"/>
      <c r="D32" s="45"/>
      <c r="G32" s="45"/>
      <c r="H32" s="45"/>
      <c r="I32" s="45"/>
      <c r="J32" s="45"/>
      <c r="K32" s="45"/>
      <c r="L32" s="45"/>
      <c r="M32" s="45"/>
      <c r="N32" s="45"/>
      <c r="O32" s="45"/>
      <c r="P32" s="45"/>
      <c r="AA32" s="50"/>
      <c r="AB32" s="50"/>
      <c r="AC32" s="50"/>
      <c r="AD32" s="50"/>
      <c r="AE32" s="50"/>
      <c r="AF32" s="45"/>
      <c r="AG32" s="45"/>
      <c r="AH32" s="45"/>
      <c r="AI32" s="45"/>
      <c r="AJ32" s="45"/>
    </row>
    <row r="33" spans="2:36" ht="19.5" customHeight="1" x14ac:dyDescent="0.25">
      <c r="B33" s="45"/>
      <c r="D33" s="45"/>
      <c r="G33" s="45"/>
      <c r="H33" s="45"/>
      <c r="I33" s="45"/>
      <c r="J33" s="45"/>
      <c r="K33" s="45"/>
      <c r="L33" s="45"/>
      <c r="M33" s="45"/>
      <c r="N33" s="45"/>
      <c r="O33" s="45"/>
      <c r="P33" s="45"/>
      <c r="AA33" s="50"/>
      <c r="AB33" s="50"/>
      <c r="AC33" s="50"/>
      <c r="AD33" s="50"/>
      <c r="AE33" s="50"/>
      <c r="AF33" s="45"/>
      <c r="AG33" s="45"/>
      <c r="AH33" s="45"/>
      <c r="AI33" s="45"/>
      <c r="AJ33" s="45"/>
    </row>
    <row r="34" spans="2:36" ht="19.5" customHeight="1" x14ac:dyDescent="0.25">
      <c r="B34" s="45"/>
      <c r="D34" s="45"/>
      <c r="G34" s="45"/>
      <c r="H34" s="45"/>
      <c r="I34" s="45"/>
      <c r="J34" s="45"/>
      <c r="K34" s="45"/>
      <c r="L34" s="45"/>
      <c r="M34" s="45"/>
      <c r="N34" s="45"/>
      <c r="O34" s="45"/>
      <c r="P34" s="45"/>
      <c r="AA34" s="50"/>
      <c r="AB34" s="50"/>
      <c r="AC34" s="50"/>
      <c r="AD34" s="50"/>
      <c r="AE34" s="50"/>
      <c r="AF34" s="45"/>
      <c r="AG34" s="45"/>
      <c r="AH34" s="45"/>
      <c r="AI34" s="45"/>
      <c r="AJ34" s="45"/>
    </row>
    <row r="35" spans="2:36" ht="19.5" customHeight="1" x14ac:dyDescent="0.25">
      <c r="B35" s="45"/>
      <c r="D35" s="45"/>
      <c r="G35" s="45"/>
      <c r="H35" s="45"/>
      <c r="I35" s="45"/>
      <c r="J35" s="45"/>
      <c r="K35" s="45"/>
      <c r="L35" s="45"/>
      <c r="M35" s="45"/>
      <c r="N35" s="45"/>
      <c r="O35" s="45"/>
      <c r="P35" s="45"/>
      <c r="AA35" s="50"/>
      <c r="AB35" s="50"/>
      <c r="AC35" s="50"/>
      <c r="AD35" s="50"/>
      <c r="AE35" s="50"/>
      <c r="AF35" s="45"/>
      <c r="AG35" s="45"/>
      <c r="AH35" s="45"/>
      <c r="AI35" s="45"/>
      <c r="AJ35" s="45"/>
    </row>
    <row r="36" spans="2:36" ht="19.5" customHeight="1" x14ac:dyDescent="0.25">
      <c r="B36" s="45"/>
      <c r="D36" s="45"/>
      <c r="G36" s="45"/>
      <c r="H36" s="45"/>
      <c r="I36" s="45"/>
      <c r="J36" s="45"/>
      <c r="K36" s="45"/>
      <c r="L36" s="45"/>
      <c r="M36" s="45"/>
      <c r="N36" s="45"/>
      <c r="O36" s="45"/>
      <c r="P36" s="45"/>
      <c r="AA36" s="50"/>
      <c r="AB36" s="50"/>
      <c r="AC36" s="50"/>
      <c r="AD36" s="50"/>
      <c r="AE36" s="50"/>
      <c r="AF36" s="45"/>
      <c r="AG36" s="45"/>
      <c r="AH36" s="45"/>
      <c r="AI36" s="45"/>
      <c r="AJ36" s="45"/>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424" t="s">
        <v>376</v>
      </c>
      <c r="B70" s="424"/>
      <c r="C70" s="424"/>
      <c r="D70" s="424"/>
      <c r="E70" s="424"/>
      <c r="F70" s="424"/>
      <c r="G70" s="424"/>
    </row>
    <row r="71" spans="1:7" ht="14.25" thickTop="1" thickBot="1" x14ac:dyDescent="0.3">
      <c r="A71" s="312" t="s">
        <v>377</v>
      </c>
      <c r="B71" s="424" t="s">
        <v>378</v>
      </c>
      <c r="C71" s="424"/>
      <c r="D71" s="424" t="s">
        <v>379</v>
      </c>
      <c r="E71" s="424"/>
      <c r="F71" s="424" t="s">
        <v>380</v>
      </c>
      <c r="G71" s="424"/>
    </row>
    <row r="72" spans="1:7" ht="59.45" customHeight="1" thickTop="1" thickBot="1" x14ac:dyDescent="0.3">
      <c r="A72" s="313" t="s">
        <v>381</v>
      </c>
      <c r="B72" s="399">
        <v>46163</v>
      </c>
      <c r="C72" s="399"/>
      <c r="D72" s="400" t="s">
        <v>382</v>
      </c>
      <c r="E72" s="400"/>
      <c r="F72" s="401" t="s">
        <v>383</v>
      </c>
      <c r="G72" s="401"/>
    </row>
  </sheetData>
  <sheetProtection formatCells="0" formatColumns="0" formatRows="0" sort="0" autoFilter="0" pivotTables="0"/>
  <dataConsolidate/>
  <mergeCells count="19">
    <mergeCell ref="A1:A3"/>
    <mergeCell ref="B1:I2"/>
    <mergeCell ref="B3:I3"/>
    <mergeCell ref="T7:X7"/>
    <mergeCell ref="K8:O8"/>
    <mergeCell ref="A4:K4"/>
    <mergeCell ref="I10:I14"/>
    <mergeCell ref="Q10:Q14"/>
    <mergeCell ref="A7:G7"/>
    <mergeCell ref="C8:G8"/>
    <mergeCell ref="A10:A14"/>
    <mergeCell ref="I7:O7"/>
    <mergeCell ref="A70:G70"/>
    <mergeCell ref="B71:C71"/>
    <mergeCell ref="D71:E71"/>
    <mergeCell ref="F71:G71"/>
    <mergeCell ref="B72:C72"/>
    <mergeCell ref="D72:E72"/>
    <mergeCell ref="F72:G72"/>
  </mergeCells>
  <conditionalFormatting sqref="D15:E29">
    <cfRule type="cellIs" dxfId="40" priority="1" operator="equal">
      <formula>$S$14</formula>
    </cfRule>
    <cfRule type="cellIs" dxfId="39" priority="2" operator="equal">
      <formula>$S$13</formula>
    </cfRule>
    <cfRule type="cellIs" dxfId="38" priority="3" operator="equal">
      <formula>$S$12</formula>
    </cfRule>
    <cfRule type="cellIs" dxfId="37" priority="4" operator="equal">
      <formula>$S$11</formula>
    </cfRule>
    <cfRule type="cellIs" dxfId="36" priority="5" operator="equal">
      <formula>$S$10</formula>
    </cfRule>
  </conditionalFormatting>
  <conditionalFormatting sqref="F15:F29">
    <cfRule type="cellIs" dxfId="35" priority="6" operator="equal">
      <formula>$T$9</formula>
    </cfRule>
    <cfRule type="cellIs" dxfId="34" priority="7" operator="equal">
      <formula>$U$9</formula>
    </cfRule>
    <cfRule type="cellIs" dxfId="33" priority="8" operator="equal">
      <formula>$V$9</formula>
    </cfRule>
    <cfRule type="cellIs" dxfId="32" priority="9" operator="equal">
      <formula>$W$9</formula>
    </cfRule>
    <cfRule type="cellIs" dxfId="31" priority="10" operator="equal">
      <formula>$X$9</formula>
    </cfRule>
  </conditionalFormatting>
  <conditionalFormatting sqref="G15:G29">
    <cfRule type="cellIs" dxfId="30" priority="16" operator="equal">
      <formula>$T$17</formula>
    </cfRule>
    <cfRule type="cellIs" dxfId="29" priority="17" operator="equal">
      <formula>$T$18</formula>
    </cfRule>
    <cfRule type="cellIs" dxfId="28" priority="18" operator="equal">
      <formula>$T$19</formula>
    </cfRule>
    <cfRule type="cellIs" dxfId="27"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4"/>
  <sheetViews>
    <sheetView showGridLines="0" tabSelected="1" topLeftCell="K25" zoomScale="80" zoomScaleNormal="80" workbookViewId="0">
      <selection activeCell="S27" sqref="S27"/>
    </sheetView>
  </sheetViews>
  <sheetFormatPr baseColWidth="10" defaultColWidth="0" defaultRowHeight="12.75" x14ac:dyDescent="0.25"/>
  <cols>
    <col min="1" max="1" width="11.42578125" style="50" customWidth="1"/>
    <col min="2" max="2" width="40" style="50" customWidth="1"/>
    <col min="3" max="4" width="14.140625" style="50" customWidth="1"/>
    <col min="5" max="5" width="16.42578125" style="50" customWidth="1"/>
    <col min="6" max="6" width="16.85546875" style="50" customWidth="1"/>
    <col min="7" max="7" width="29" style="50" bestFit="1" customWidth="1"/>
    <col min="8" max="8" width="15.42578125" style="50" customWidth="1"/>
    <col min="9" max="9" width="13" style="50" customWidth="1"/>
    <col min="10" max="10" width="30" style="50" bestFit="1" customWidth="1"/>
    <col min="11" max="11" width="10.140625" style="50" customWidth="1"/>
    <col min="12" max="12" width="12.42578125" style="50" customWidth="1"/>
    <col min="13" max="13" width="16.85546875" style="50" customWidth="1"/>
    <col min="14" max="14" width="15.42578125" style="50" hidden="1" customWidth="1"/>
    <col min="15" max="15" width="16.42578125" style="50" customWidth="1"/>
    <col min="16" max="16" width="16.42578125" style="50" hidden="1" customWidth="1"/>
    <col min="17" max="17" width="48.5703125" style="50" customWidth="1"/>
    <col min="18" max="18" width="46.42578125" style="50" customWidth="1"/>
    <col min="19" max="19" width="35.5703125" style="50" customWidth="1"/>
    <col min="20" max="20" width="20.85546875" style="50" customWidth="1"/>
    <col min="21" max="21" width="12.5703125" style="89" customWidth="1"/>
    <col min="22" max="22" width="15.42578125" style="89" customWidth="1"/>
    <col min="23" max="24" width="15.42578125" style="50" customWidth="1"/>
    <col min="25" max="25" width="4.85546875" style="50" customWidth="1"/>
    <col min="26" max="26" width="5.42578125" style="50" bestFit="1" customWidth="1"/>
    <col min="27" max="28" width="14" style="50" customWidth="1"/>
    <col min="29" max="29" width="18.42578125" style="50" customWidth="1"/>
    <col min="30" max="30" width="19.42578125" style="50" customWidth="1"/>
    <col min="31" max="31" width="14" style="50" customWidth="1"/>
    <col min="32" max="32" width="17" style="50" bestFit="1" customWidth="1"/>
    <col min="33" max="33" width="11.42578125" style="50" customWidth="1"/>
    <col min="34" max="37" width="11.42578125" style="50" hidden="1" customWidth="1"/>
    <col min="38" max="38" width="5.42578125" style="50" hidden="1" customWidth="1"/>
    <col min="39" max="39" width="26.85546875" style="50" hidden="1" customWidth="1"/>
    <col min="40" max="44" width="22.85546875" style="50" hidden="1" customWidth="1"/>
    <col min="45" max="45" width="23.42578125" style="50" hidden="1" customWidth="1"/>
    <col min="46" max="273" width="11.42578125" style="50" hidden="1" customWidth="1"/>
    <col min="274" max="274" width="12.42578125" style="50" hidden="1" customWidth="1"/>
    <col min="275" max="275" width="47" style="50" hidden="1" customWidth="1"/>
    <col min="276" max="276" width="35" style="50" hidden="1" customWidth="1"/>
    <col min="277" max="279" width="11.42578125" style="50" hidden="1" customWidth="1"/>
    <col min="280" max="280" width="12.42578125" style="50" hidden="1" customWidth="1"/>
    <col min="281" max="281" width="47" style="50" hidden="1" customWidth="1"/>
    <col min="282" max="282" width="35" style="50" hidden="1" customWidth="1"/>
    <col min="283" max="16384" width="14.42578125" style="50" hidden="1"/>
  </cols>
  <sheetData>
    <row r="1" spans="1:46" s="4" customFormat="1" ht="20.100000000000001" customHeight="1" thickTop="1" x14ac:dyDescent="0.25">
      <c r="A1" s="440"/>
      <c r="B1" s="443" t="s">
        <v>374</v>
      </c>
      <c r="C1" s="444"/>
      <c r="D1" s="444"/>
      <c r="E1" s="444"/>
      <c r="F1" s="444"/>
      <c r="G1" s="444"/>
      <c r="H1" s="444"/>
      <c r="I1" s="445"/>
      <c r="J1" s="304" t="s">
        <v>372</v>
      </c>
      <c r="K1" s="305"/>
      <c r="L1" s="252"/>
    </row>
    <row r="2" spans="1:46" s="4" customFormat="1" ht="20.100000000000001" customHeight="1" x14ac:dyDescent="0.25">
      <c r="A2" s="441"/>
      <c r="B2" s="446"/>
      <c r="C2" s="447"/>
      <c r="D2" s="447"/>
      <c r="E2" s="447"/>
      <c r="F2" s="447"/>
      <c r="G2" s="447"/>
      <c r="H2" s="447"/>
      <c r="I2" s="448"/>
      <c r="J2" s="306" t="s">
        <v>375</v>
      </c>
      <c r="K2" s="307"/>
      <c r="L2" s="252"/>
    </row>
    <row r="3" spans="1:46" s="3" customFormat="1" ht="16.5" thickBot="1" x14ac:dyDescent="0.25">
      <c r="A3" s="442"/>
      <c r="B3" s="449" t="s">
        <v>358</v>
      </c>
      <c r="C3" s="450"/>
      <c r="D3" s="450"/>
      <c r="E3" s="450"/>
      <c r="F3" s="450"/>
      <c r="G3" s="450"/>
      <c r="H3" s="450"/>
      <c r="I3" s="451"/>
      <c r="J3" s="308" t="s">
        <v>373</v>
      </c>
      <c r="K3" s="309"/>
      <c r="L3" s="253"/>
    </row>
    <row r="4" spans="1:46" s="3" customFormat="1" ht="17.100000000000001" customHeight="1" thickTop="1" x14ac:dyDescent="0.2">
      <c r="A4" s="452"/>
      <c r="B4" s="453"/>
      <c r="C4" s="453"/>
      <c r="D4" s="453"/>
      <c r="E4" s="453"/>
      <c r="F4" s="453"/>
      <c r="G4" s="453"/>
      <c r="H4" s="453"/>
      <c r="I4" s="453"/>
      <c r="J4" s="453"/>
      <c r="K4" s="454"/>
    </row>
    <row r="5" spans="1:46" s="27" customFormat="1" ht="27" customHeight="1" x14ac:dyDescent="0.25">
      <c r="A5" s="105" t="s">
        <v>80</v>
      </c>
      <c r="B5" s="284" t="str">
        <f>'2 IDENTIFICACIÓN'!B5</f>
        <v>ALCALDÍA DE BUCARAMANGA</v>
      </c>
      <c r="C5" s="285"/>
      <c r="D5" s="285"/>
      <c r="E5" s="282"/>
      <c r="F5" s="243" t="s">
        <v>81</v>
      </c>
      <c r="G5" s="284" t="str">
        <f>'2 IDENTIFICACIÓN'!G5</f>
        <v>GESTIÓN DE SERVICIOS DE LA EDUCACIÓN PÚBLICA</v>
      </c>
      <c r="H5" s="282"/>
      <c r="I5" s="243" t="s">
        <v>352</v>
      </c>
      <c r="J5" s="261">
        <f>'2 IDENTIFICACIÓN'!J5</f>
        <v>2026</v>
      </c>
      <c r="K5" s="286"/>
    </row>
    <row r="6" spans="1:46" s="27" customFormat="1" ht="15" x14ac:dyDescent="0.2">
      <c r="A6" s="255"/>
      <c r="B6" s="7"/>
      <c r="C6" s="7"/>
      <c r="D6" s="7"/>
      <c r="E6" s="7"/>
      <c r="F6" s="255"/>
      <c r="G6" s="166"/>
      <c r="H6" s="166"/>
      <c r="I6" s="166"/>
      <c r="J6" s="166"/>
      <c r="K6" s="166"/>
      <c r="T6" s="287"/>
      <c r="U6" s="287"/>
      <c r="V6" s="287"/>
    </row>
    <row r="7" spans="1:46" ht="14.45" customHeight="1" x14ac:dyDescent="0.25">
      <c r="A7" s="42"/>
      <c r="B7" s="42"/>
      <c r="C7" s="42"/>
      <c r="D7" s="42"/>
      <c r="E7" s="405" t="s">
        <v>295</v>
      </c>
      <c r="F7" s="405"/>
      <c r="G7" s="405"/>
      <c r="H7" s="42"/>
      <c r="I7" s="42"/>
      <c r="J7" s="405" t="s">
        <v>321</v>
      </c>
      <c r="K7" s="405"/>
      <c r="L7" s="405"/>
      <c r="M7" s="42"/>
      <c r="N7" s="42"/>
      <c r="O7" s="42"/>
      <c r="P7" s="42"/>
      <c r="Q7" s="405" t="s">
        <v>324</v>
      </c>
      <c r="R7" s="405"/>
      <c r="S7" s="405"/>
      <c r="T7" s="405"/>
      <c r="U7" s="405"/>
      <c r="V7" s="405"/>
      <c r="W7" s="42"/>
      <c r="X7" s="42"/>
      <c r="Z7" s="292"/>
      <c r="AB7" s="47">
        <v>0.2</v>
      </c>
      <c r="AC7" s="47">
        <v>0.4</v>
      </c>
      <c r="AD7" s="47">
        <v>0.6</v>
      </c>
      <c r="AE7" s="47">
        <v>0.8</v>
      </c>
      <c r="AF7" s="48">
        <v>1</v>
      </c>
      <c r="AG7" s="293"/>
      <c r="AH7" s="293"/>
      <c r="AI7" s="293"/>
      <c r="AJ7" s="293"/>
      <c r="AK7" s="293"/>
      <c r="AL7" s="293"/>
      <c r="AM7" s="293"/>
    </row>
    <row r="8" spans="1:46" ht="39" thickBot="1" x14ac:dyDescent="0.25">
      <c r="A8" s="360" t="s">
        <v>296</v>
      </c>
      <c r="B8" s="360" t="s">
        <v>297</v>
      </c>
      <c r="C8" s="360" t="s">
        <v>325</v>
      </c>
      <c r="D8" s="360" t="s">
        <v>326</v>
      </c>
      <c r="E8" s="360" t="s">
        <v>253</v>
      </c>
      <c r="F8" s="360" t="s">
        <v>254</v>
      </c>
      <c r="G8" s="361" t="s">
        <v>66</v>
      </c>
      <c r="H8" s="360" t="s">
        <v>327</v>
      </c>
      <c r="I8" s="360" t="s">
        <v>328</v>
      </c>
      <c r="J8" s="360" t="s">
        <v>253</v>
      </c>
      <c r="K8" s="360" t="s">
        <v>254</v>
      </c>
      <c r="L8" s="360" t="s">
        <v>66</v>
      </c>
      <c r="M8" s="360" t="s">
        <v>70</v>
      </c>
      <c r="N8" s="360" t="s">
        <v>68</v>
      </c>
      <c r="O8" s="360" t="s">
        <v>351</v>
      </c>
      <c r="P8" s="360" t="s">
        <v>329</v>
      </c>
      <c r="Q8" s="360" t="s">
        <v>44</v>
      </c>
      <c r="R8" s="360" t="s">
        <v>330</v>
      </c>
      <c r="S8" s="360" t="s">
        <v>353</v>
      </c>
      <c r="T8" s="360" t="s">
        <v>331</v>
      </c>
      <c r="U8" s="362" t="s">
        <v>332</v>
      </c>
      <c r="V8" s="362" t="s">
        <v>333</v>
      </c>
      <c r="W8" s="42"/>
      <c r="X8" s="42"/>
      <c r="Z8" s="292"/>
      <c r="AA8" s="250"/>
      <c r="AB8" s="57" t="s">
        <v>272</v>
      </c>
      <c r="AC8" s="57" t="s">
        <v>276</v>
      </c>
      <c r="AD8" s="57" t="s">
        <v>280</v>
      </c>
      <c r="AE8" s="57" t="s">
        <v>285</v>
      </c>
      <c r="AF8" s="58" t="s">
        <v>290</v>
      </c>
      <c r="AI8" s="293"/>
      <c r="AJ8" s="293"/>
      <c r="AK8" s="294"/>
      <c r="AL8" s="294"/>
      <c r="AM8" s="294"/>
      <c r="AN8" s="294"/>
      <c r="AO8" s="294"/>
      <c r="AP8" s="294"/>
      <c r="AQ8" s="294"/>
      <c r="AR8" s="294"/>
      <c r="AS8" s="294"/>
      <c r="AT8" s="294"/>
    </row>
    <row r="9" spans="1:46" ht="105.95" customHeight="1" x14ac:dyDescent="0.2">
      <c r="A9" s="455" t="str">
        <f>'2 IDENTIFICACIÓN'!A10</f>
        <v>R1</v>
      </c>
      <c r="B9" s="412" t="str">
        <f>+'2 IDENTIFICACIÓN'!J10</f>
        <v>Posibilidad de afectación económica y reputacional por inconsistencias en la caracterización y registro de la información de los estudiantes en el SIMAT, debido a deficiencias en el suministro, actualización y validación de la información reportada por las Instituciones Educativas, generando disminución en la asignación de recursos del Sistema General de Participaciones para la prestación del servicio educativo.</v>
      </c>
      <c r="C9" s="458">
        <f>+'3 PROBABIL E IMPACTO INHERENTE'!E10</f>
        <v>1</v>
      </c>
      <c r="D9" s="458">
        <f>+'3 PROBABIL E IMPACTO INHERENTE'!M10</f>
        <v>0.8</v>
      </c>
      <c r="E9" s="421" t="str">
        <f>+'4 MAPA CALOR INHERENTE'!C10</f>
        <v>Muy Alta</v>
      </c>
      <c r="F9" s="421" t="str">
        <f>+'4 MAPA CALOR INHERENTE'!D10</f>
        <v>Mayor</v>
      </c>
      <c r="G9" s="412" t="str">
        <f>+'4 MAPA CALOR INHERENTE'!E10</f>
        <v>Alto</v>
      </c>
      <c r="H9" s="458">
        <f>+'6 MAPA CALOR RESIDUAL'!C10</f>
        <v>1</v>
      </c>
      <c r="I9" s="421">
        <f>+'6 MAPA CALOR RESIDUAL'!D10</f>
        <v>0.8</v>
      </c>
      <c r="J9" s="421" t="str">
        <f>+'6 MAPA CALOR RESIDUAL'!E10</f>
        <v>Muy Alta</v>
      </c>
      <c r="K9" s="421" t="str">
        <f>+'6 MAPA CALOR RESIDUAL'!F10</f>
        <v>Mayor</v>
      </c>
      <c r="L9" s="412" t="str">
        <f>+'6 MAPA CALOR RESIDUAL'!G10</f>
        <v>Alto</v>
      </c>
      <c r="M9" s="412" t="str">
        <f>+IF($N9="","",IF($N9=$AC$20,$AD$20,IF($N9=$AC$23,$AD$23)))</f>
        <v>Requiere Plan de Acción</v>
      </c>
      <c r="N9" s="366" t="str">
        <f>+IF(L9="","",IF(OR(L9=$AB$20,L9=$AB$21,L9=$AB$22),$AC$20,IF(L9=$AB$23,$AC$23)))</f>
        <v>Reducir_mitigar_Transferir_Evitar</v>
      </c>
      <c r="O9" s="406" t="s">
        <v>334</v>
      </c>
      <c r="P9" s="366" t="str">
        <f>+IF($M9="","",IF($M9=$AD$23,$AC$23,$O9))</f>
        <v>Reducir_Mitigar</v>
      </c>
      <c r="Q9" s="409" t="str">
        <f>'5 VALORACIÓN DEL CONTROL'!I10</f>
        <v>El profesional especializado y su equipo de Cobertura de la SEB verifica que la información suministrada en el SIMAT por las instituciones educativas sea la idónea, a través de la validación de la información en el sistema.</v>
      </c>
      <c r="R9" s="369" t="s">
        <v>475</v>
      </c>
      <c r="S9" s="369" t="s">
        <v>476</v>
      </c>
      <c r="T9" s="369" t="s">
        <v>512</v>
      </c>
      <c r="U9" s="370">
        <v>46054</v>
      </c>
      <c r="V9" s="371">
        <v>46374</v>
      </c>
      <c r="Y9" s="402" t="s">
        <v>139</v>
      </c>
      <c r="Z9" s="66">
        <v>1</v>
      </c>
      <c r="AA9" s="57" t="s">
        <v>288</v>
      </c>
      <c r="AB9" s="64" t="s">
        <v>298</v>
      </c>
      <c r="AC9" s="64" t="s">
        <v>298</v>
      </c>
      <c r="AD9" s="64" t="s">
        <v>298</v>
      </c>
      <c r="AE9" s="64" t="s">
        <v>298</v>
      </c>
      <c r="AF9" s="65" t="s">
        <v>299</v>
      </c>
      <c r="AI9" s="293"/>
      <c r="AJ9" s="293"/>
      <c r="AK9" s="294"/>
      <c r="AL9" s="294"/>
      <c r="AM9" s="294"/>
      <c r="AN9" s="67"/>
      <c r="AO9" s="67"/>
      <c r="AP9" s="67"/>
      <c r="AQ9" s="67"/>
      <c r="AR9" s="67"/>
      <c r="AS9" s="294"/>
      <c r="AT9" s="294"/>
    </row>
    <row r="10" spans="1:46" ht="105.95" customHeight="1" x14ac:dyDescent="0.2">
      <c r="A10" s="456"/>
      <c r="B10" s="413"/>
      <c r="C10" s="459"/>
      <c r="D10" s="459"/>
      <c r="E10" s="422"/>
      <c r="F10" s="422"/>
      <c r="G10" s="413"/>
      <c r="H10" s="459"/>
      <c r="I10" s="422"/>
      <c r="J10" s="422"/>
      <c r="K10" s="422"/>
      <c r="L10" s="413"/>
      <c r="M10" s="413"/>
      <c r="N10" s="250"/>
      <c r="O10" s="407"/>
      <c r="P10" s="250"/>
      <c r="Q10" s="410"/>
      <c r="R10" s="251" t="s">
        <v>477</v>
      </c>
      <c r="S10" s="251" t="s">
        <v>478</v>
      </c>
      <c r="T10" s="251" t="s">
        <v>512</v>
      </c>
      <c r="U10" s="302">
        <v>46054</v>
      </c>
      <c r="V10" s="372">
        <v>46374</v>
      </c>
      <c r="Y10" s="403"/>
      <c r="Z10" s="66"/>
      <c r="AA10" s="57"/>
      <c r="AB10" s="64"/>
      <c r="AC10" s="64"/>
      <c r="AD10" s="64"/>
      <c r="AE10" s="64"/>
      <c r="AF10" s="65"/>
      <c r="AI10" s="293"/>
      <c r="AJ10" s="293"/>
      <c r="AK10" s="294"/>
      <c r="AL10" s="294"/>
      <c r="AM10" s="294"/>
      <c r="AN10" s="67"/>
      <c r="AO10" s="67"/>
      <c r="AP10" s="67"/>
      <c r="AQ10" s="67"/>
      <c r="AR10" s="67"/>
      <c r="AS10" s="294"/>
      <c r="AT10" s="294"/>
    </row>
    <row r="11" spans="1:46" ht="105.95" customHeight="1" thickBot="1" x14ac:dyDescent="0.25">
      <c r="A11" s="457"/>
      <c r="B11" s="414"/>
      <c r="C11" s="460"/>
      <c r="D11" s="460"/>
      <c r="E11" s="423"/>
      <c r="F11" s="423"/>
      <c r="G11" s="414"/>
      <c r="H11" s="460"/>
      <c r="I11" s="423"/>
      <c r="J11" s="423"/>
      <c r="K11" s="423"/>
      <c r="L11" s="414"/>
      <c r="M11" s="414"/>
      <c r="N11" s="376"/>
      <c r="O11" s="408"/>
      <c r="P11" s="376"/>
      <c r="Q11" s="411"/>
      <c r="R11" s="379" t="s">
        <v>479</v>
      </c>
      <c r="S11" s="379" t="s">
        <v>480</v>
      </c>
      <c r="T11" s="379" t="s">
        <v>512</v>
      </c>
      <c r="U11" s="380">
        <v>46054</v>
      </c>
      <c r="V11" s="381">
        <v>46374</v>
      </c>
      <c r="Y11" s="403"/>
      <c r="Z11" s="66"/>
      <c r="AA11" s="57"/>
      <c r="AB11" s="64"/>
      <c r="AC11" s="64"/>
      <c r="AD11" s="64"/>
      <c r="AE11" s="64"/>
      <c r="AF11" s="65"/>
      <c r="AI11" s="293"/>
      <c r="AJ11" s="293"/>
      <c r="AK11" s="294"/>
      <c r="AL11" s="294"/>
      <c r="AM11" s="294"/>
      <c r="AN11" s="67"/>
      <c r="AO11" s="67"/>
      <c r="AP11" s="67"/>
      <c r="AQ11" s="67"/>
      <c r="AR11" s="67"/>
      <c r="AS11" s="294"/>
      <c r="AT11" s="294"/>
    </row>
    <row r="12" spans="1:46" ht="105.95" customHeight="1" thickBot="1" x14ac:dyDescent="0.25">
      <c r="A12" s="363" t="str">
        <f>'2 IDENTIFICACIÓN'!A11</f>
        <v>R2</v>
      </c>
      <c r="B12" s="364" t="str">
        <f>+'2 IDENTIFICACIÓN'!J11</f>
        <v>Posibilidad de afectación reputacional por publicaciones extemporáneas en el SECOP, debido a demoras en la entrega y remisión de la información requerida para la gestión contractual.</v>
      </c>
      <c r="C12" s="365">
        <f>+'3 PROBABIL E IMPACTO INHERENTE'!E11</f>
        <v>0.6</v>
      </c>
      <c r="D12" s="365">
        <f>+'3 PROBABIL E IMPACTO INHERENTE'!M11</f>
        <v>0.2</v>
      </c>
      <c r="E12" s="344" t="str">
        <f>+'4 MAPA CALOR INHERENTE'!C11</f>
        <v>Media</v>
      </c>
      <c r="F12" s="344" t="str">
        <f>+'4 MAPA CALOR INHERENTE'!D11</f>
        <v>Leve</v>
      </c>
      <c r="G12" s="364" t="str">
        <f>+'4 MAPA CALOR INHERENTE'!E11</f>
        <v>Moderado</v>
      </c>
      <c r="H12" s="365">
        <f>+'5 VALORACIÓN DEL CONTROL'!T21</f>
        <v>0.6</v>
      </c>
      <c r="I12" s="344">
        <f>+'5 VALORACIÓN DEL CONTROL'!U21</f>
        <v>0.2</v>
      </c>
      <c r="J12" s="344" t="str">
        <f>+IF(H12=0,"",IF(H12&lt;=$Z$17,$AA$17,IF(H12&lt;=$Z$16,$AA$16,IF(H12&lt;=$Z$13,$AA$13,IF(H12&lt;=$Z$12,$AA$12,IF(H12&lt;=$Z$9,$AA$9,""))))))</f>
        <v>Media</v>
      </c>
      <c r="K12" s="344" t="str">
        <f t="shared" ref="K12:K36" si="0">+IF(I12=0,"",IF(I12&lt;=$AB$7,$AB$8,IF(I12&lt;=$AC$7,$AC$8,IF(I12&lt;=$AD$7,$AD$8,IF(I12&lt;=$AE$7,$AE$8,IF(I12&lt;=$AF$7,$AF$8,""))))))</f>
        <v>Leve</v>
      </c>
      <c r="L12" s="364" t="str">
        <f>+IF(J12=$AA$9,IF(K12=$AB$8,$AB$9,IF(K12=$AC$8,$AC$9,IF(K12=$AD$8,$AD$9,IF(K12=$AE$8,$AE$9,IF(K12=$AF$8,$AF$9))))),IF(J12=$AA$12,IF(K12=$AB$8,$AB$12,IF(K12=$AC$8,$AC$12,IF(K12=$AD$8,$AD$12,IF(K12=$AE$8,$AE$12,IF(K12=$AF$8,$AF$12))))),IF(J12=$AA$13,IF(K12=$AB$8,$AB$13,IF(K12=$AC$8,$AC$13,IF(K12=$AD$8,$AD$13,IF(K12=$AE$8,$AE$13,IF(K12=$AF$8,$AF$13))))),IF(J12=$AA$16,IF(K12=$AB$8,$AB$16,IF(K12=$AC$8,$AC$16,IF(K12=$AD$8,$AD$16,IF(K12=$AE$8,$AE$16,IF(K12=$AF$8,$AF$16))))),IF(J12=$AA$17,IF(K12=$AB$8,$AB$17,IF(K12=$AC$8,$AC$17,IF(K12=$AD$8,$AD$17,IF(K12=$AE$8,$AE$17,IF(K12=$AF$8,$AF$17))))),"")))))</f>
        <v>Moderado</v>
      </c>
      <c r="M12" s="364" t="str">
        <f>+IF($N12="","",IF($N12=$AC$20,$AD$20,IF($N12=$AC$23,$AD$23)))</f>
        <v>Requiere Plan de Acción</v>
      </c>
      <c r="N12" s="364" t="str">
        <f>+IF(L12="","",IF(OR(L12=$AB$20,L12=$AB$21,L12=$AB$22),$AC$20,IF(L12=$AB$23,$AC$23)))</f>
        <v>Reducir_mitigar_Transferir_Evitar</v>
      </c>
      <c r="O12" s="367" t="s">
        <v>334</v>
      </c>
      <c r="P12" s="364" t="str">
        <f>+IF($M12="","",IF($M12=$AD$23,$AC$23,$O12))</f>
        <v>Reducir_Mitigar</v>
      </c>
      <c r="Q12" s="368" t="str">
        <f>'5 VALORACIÓN DEL CONTROL'!I16</f>
        <v>Los profesionales encargados del área de Contratación verifican las publicaciones de los contratos de la Secretaría de Educación en el SECOP, a través de seguimientos a muestras representativas.</v>
      </c>
      <c r="R12" s="367" t="s">
        <v>481</v>
      </c>
      <c r="S12" s="367" t="s">
        <v>482</v>
      </c>
      <c r="T12" s="367" t="s">
        <v>513</v>
      </c>
      <c r="U12" s="390">
        <v>46054</v>
      </c>
      <c r="V12" s="391">
        <v>46374</v>
      </c>
      <c r="Y12" s="403"/>
      <c r="Z12" s="66">
        <v>0.8</v>
      </c>
      <c r="AA12" s="57" t="s">
        <v>283</v>
      </c>
      <c r="AB12" s="68" t="s">
        <v>280</v>
      </c>
      <c r="AC12" s="68" t="s">
        <v>280</v>
      </c>
      <c r="AD12" s="64" t="s">
        <v>298</v>
      </c>
      <c r="AE12" s="64" t="s">
        <v>298</v>
      </c>
      <c r="AF12" s="65" t="s">
        <v>299</v>
      </c>
      <c r="AI12" s="293"/>
      <c r="AJ12" s="293"/>
      <c r="AK12" s="294"/>
      <c r="AL12" s="295"/>
      <c r="AM12" s="70"/>
      <c r="AN12" s="67"/>
      <c r="AO12" s="67"/>
      <c r="AP12" s="67"/>
      <c r="AQ12" s="67"/>
      <c r="AR12" s="67"/>
      <c r="AS12" s="294"/>
      <c r="AT12" s="294"/>
    </row>
    <row r="13" spans="1:46" ht="105.95" customHeight="1" x14ac:dyDescent="0.2">
      <c r="A13" s="436" t="str">
        <f>'2 IDENTIFICACIÓN'!A12</f>
        <v>R3</v>
      </c>
      <c r="B13" s="428" t="str">
        <f>+'2 IDENTIFICACIÓN'!J12</f>
        <v>Posibilidad de afectación reputacional por posibles investigaciones y sanciones disciplinarias por entes de control, debido a incumplimiento de la Ley 594 del 2000 en los documentos generados por la Secretaría de Educación.</v>
      </c>
      <c r="C13" s="432">
        <f>+'3 PROBABIL E IMPACTO INHERENTE'!E12</f>
        <v>0.6</v>
      </c>
      <c r="D13" s="432">
        <f>+'3 PROBABIL E IMPACTO INHERENTE'!M12</f>
        <v>0.6</v>
      </c>
      <c r="E13" s="418" t="str">
        <f>+'4 MAPA CALOR INHERENTE'!C12</f>
        <v>Media</v>
      </c>
      <c r="F13" s="418" t="str">
        <f>+'4 MAPA CALOR INHERENTE'!D12</f>
        <v>Moderado</v>
      </c>
      <c r="G13" s="428" t="str">
        <f>+'4 MAPA CALOR INHERENTE'!E12</f>
        <v>Moderado</v>
      </c>
      <c r="H13" s="432">
        <f>+'5 VALORACIÓN DEL CONTROL'!T27</f>
        <v>0.6</v>
      </c>
      <c r="I13" s="418">
        <f>+'5 VALORACIÓN DEL CONTROL'!U27</f>
        <v>0.6</v>
      </c>
      <c r="J13" s="418" t="str">
        <f>+IF(H13=0,"",IF(H13&lt;=$Z$17,$AA$17,IF(H13&lt;=$Z$16,$AA$16,IF(H13&lt;=$Z$13,$AA$13,IF(H13&lt;=$Z$12,$AA$12,IF(H13&lt;=$Z$9,$AA$9,""))))))</f>
        <v>Media</v>
      </c>
      <c r="K13" s="418" t="str">
        <f t="shared" si="0"/>
        <v>Moderado</v>
      </c>
      <c r="L13" s="428" t="str">
        <f>+IF(J13=$AA$9,IF(K13=$AB$8,$AB$9,IF(K13=$AC$8,$AC$9,IF(K13=$AD$8,$AD$9,IF(K13=$AE$8,$AE$9,IF(K13=$AF$8,$AF$9))))),IF(J13=$AA$12,IF(K13=$AB$8,$AB$12,IF(K13=$AC$8,$AC$12,IF(K13=$AD$8,$AD$12,IF(K13=$AE$8,$AE$12,IF(K13=$AF$8,$AF$12))))),IF(J13=$AA$13,IF(K13=$AB$8,$AB$13,IF(K13=$AC$8,$AC$13,IF(K13=$AD$8,$AD$13,IF(K13=$AE$8,$AE$13,IF(K13=$AF$8,$AF$13))))),IF(J13=$AA$16,IF(K13=$AB$8,$AB$16,IF(K13=$AC$8,$AC$16,IF(K13=$AD$8,$AD$16,IF(K13=$AE$8,$AE$16,IF(K13=$AF$8,$AF$16))))),IF(J13=$AA$17,IF(K13=$AB$8,$AB$17,IF(K13=$AC$8,$AC$17,IF(K13=$AD$8,$AD$17,IF(K13=$AE$8,$AE$17,IF(K13=$AF$8,$AF$17))))),"")))))</f>
        <v>Moderado</v>
      </c>
      <c r="M13" s="428" t="str">
        <f>+IF($N13="","",IF($N13=$AC$20,$AD$20,IF($N13=$AC$23,$AD$23)))</f>
        <v>Requiere Plan de Acción</v>
      </c>
      <c r="N13" s="366" t="str">
        <f>+IF(L13="","",IF(OR(L13=$AB$20,L13=$AB$21,L13=$AB$22),$AC$20,IF(L13=$AB$23,$AC$23)))</f>
        <v>Reducir_mitigar_Transferir_Evitar</v>
      </c>
      <c r="O13" s="425" t="s">
        <v>334</v>
      </c>
      <c r="P13" s="366" t="str">
        <f>+IF($M13="","",IF($M13=$AD$23,$AC$23,$O13))</f>
        <v>Reducir_Mitigar</v>
      </c>
      <c r="Q13" s="415" t="str">
        <f>'5 VALORACIÓN DEL CONTROL'!I22</f>
        <v>El Área de Archivo de la Secretaría de Educación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13" s="369" t="s">
        <v>483</v>
      </c>
      <c r="S13" s="369" t="s">
        <v>408</v>
      </c>
      <c r="T13" s="369" t="s">
        <v>514</v>
      </c>
      <c r="U13" s="370">
        <v>46054</v>
      </c>
      <c r="V13" s="371">
        <v>46295</v>
      </c>
      <c r="Y13" s="403"/>
      <c r="Z13" s="66">
        <v>0.6</v>
      </c>
      <c r="AA13" s="57" t="s">
        <v>278</v>
      </c>
      <c r="AB13" s="68" t="s">
        <v>280</v>
      </c>
      <c r="AC13" s="68" t="s">
        <v>280</v>
      </c>
      <c r="AD13" s="68" t="s">
        <v>280</v>
      </c>
      <c r="AE13" s="64" t="s">
        <v>298</v>
      </c>
      <c r="AF13" s="65" t="s">
        <v>299</v>
      </c>
      <c r="AI13" s="293"/>
      <c r="AJ13" s="293"/>
      <c r="AK13" s="294"/>
      <c r="AL13" s="295"/>
      <c r="AM13" s="70"/>
      <c r="AN13" s="67"/>
      <c r="AO13" s="67"/>
      <c r="AP13" s="67"/>
      <c r="AQ13" s="67"/>
      <c r="AR13" s="71"/>
      <c r="AS13" s="294"/>
      <c r="AT13" s="294"/>
    </row>
    <row r="14" spans="1:46" ht="105.95" customHeight="1" x14ac:dyDescent="0.2">
      <c r="A14" s="437"/>
      <c r="B14" s="429"/>
      <c r="C14" s="433"/>
      <c r="D14" s="433"/>
      <c r="E14" s="419"/>
      <c r="F14" s="419"/>
      <c r="G14" s="429"/>
      <c r="H14" s="433"/>
      <c r="I14" s="419"/>
      <c r="J14" s="419"/>
      <c r="K14" s="419"/>
      <c r="L14" s="429"/>
      <c r="M14" s="429"/>
      <c r="N14" s="250"/>
      <c r="O14" s="426"/>
      <c r="P14" s="250"/>
      <c r="Q14" s="416"/>
      <c r="R14" s="251" t="s">
        <v>484</v>
      </c>
      <c r="S14" s="251" t="s">
        <v>409</v>
      </c>
      <c r="T14" s="251" t="s">
        <v>514</v>
      </c>
      <c r="U14" s="302">
        <v>46054</v>
      </c>
      <c r="V14" s="372">
        <v>46386</v>
      </c>
      <c r="Y14" s="403"/>
      <c r="Z14" s="66"/>
      <c r="AA14" s="57"/>
      <c r="AB14" s="68"/>
      <c r="AC14" s="68"/>
      <c r="AD14" s="68"/>
      <c r="AE14" s="64"/>
      <c r="AF14" s="65"/>
      <c r="AI14" s="293"/>
      <c r="AJ14" s="293"/>
      <c r="AK14" s="294"/>
      <c r="AL14" s="295"/>
      <c r="AM14" s="70"/>
      <c r="AN14" s="67"/>
      <c r="AO14" s="67"/>
      <c r="AP14" s="67"/>
      <c r="AQ14" s="67"/>
      <c r="AR14" s="71"/>
      <c r="AS14" s="294"/>
      <c r="AT14" s="294"/>
    </row>
    <row r="15" spans="1:46" ht="105.95" customHeight="1" thickBot="1" x14ac:dyDescent="0.25">
      <c r="A15" s="438"/>
      <c r="B15" s="430"/>
      <c r="C15" s="439"/>
      <c r="D15" s="439"/>
      <c r="E15" s="420"/>
      <c r="F15" s="420"/>
      <c r="G15" s="430"/>
      <c r="H15" s="439"/>
      <c r="I15" s="420"/>
      <c r="J15" s="420"/>
      <c r="K15" s="420"/>
      <c r="L15" s="430"/>
      <c r="M15" s="430"/>
      <c r="N15" s="376"/>
      <c r="O15" s="427"/>
      <c r="P15" s="376"/>
      <c r="Q15" s="417"/>
      <c r="R15" s="379" t="s">
        <v>485</v>
      </c>
      <c r="S15" s="379" t="s">
        <v>410</v>
      </c>
      <c r="T15" s="379" t="s">
        <v>514</v>
      </c>
      <c r="U15" s="380">
        <v>46054</v>
      </c>
      <c r="V15" s="381">
        <v>46386</v>
      </c>
      <c r="Y15" s="403"/>
      <c r="Z15" s="66"/>
      <c r="AA15" s="57"/>
      <c r="AB15" s="68"/>
      <c r="AC15" s="68"/>
      <c r="AD15" s="68"/>
      <c r="AE15" s="64"/>
      <c r="AF15" s="65"/>
      <c r="AI15" s="293"/>
      <c r="AJ15" s="293"/>
      <c r="AK15" s="294"/>
      <c r="AL15" s="295"/>
      <c r="AM15" s="70"/>
      <c r="AN15" s="67"/>
      <c r="AO15" s="67"/>
      <c r="AP15" s="67"/>
      <c r="AQ15" s="67"/>
      <c r="AR15" s="71"/>
      <c r="AS15" s="294"/>
      <c r="AT15" s="294"/>
    </row>
    <row r="16" spans="1:46" ht="105.95" customHeight="1" thickBot="1" x14ac:dyDescent="0.25">
      <c r="A16" s="382" t="str">
        <f>'2 IDENTIFICACIÓN'!A13</f>
        <v>R4</v>
      </c>
      <c r="B16" s="383" t="str">
        <f>+'2 IDENTIFICACIÓN'!J13</f>
        <v>Posibilidad de afectación reputacional por incumplimiento de las acciones establecidas en los planes de mejoramiento derivados de auditorías internas y externas, debido a debilidades en el seguimiento y cumplimiento de los tiempos definidos para su ejecución.</v>
      </c>
      <c r="C16" s="384">
        <f>+'3 PROBABIL E IMPACTO INHERENTE'!E13</f>
        <v>0.2</v>
      </c>
      <c r="D16" s="384">
        <f>+'3 PROBABIL E IMPACTO INHERENTE'!M13</f>
        <v>0.6</v>
      </c>
      <c r="E16" s="385" t="str">
        <f>+'4 MAPA CALOR INHERENTE'!C13</f>
        <v>Muy Baja</v>
      </c>
      <c r="F16" s="385" t="str">
        <f>+'4 MAPA CALOR INHERENTE'!D13</f>
        <v>Moderado</v>
      </c>
      <c r="G16" s="383" t="str">
        <f>+'4 MAPA CALOR INHERENTE'!E13</f>
        <v>Moderado</v>
      </c>
      <c r="H16" s="384">
        <f>+'5 VALORACIÓN DEL CONTROL'!T33</f>
        <v>0.2</v>
      </c>
      <c r="I16" s="385">
        <f>+'5 VALORACIÓN DEL CONTROL'!U33</f>
        <v>0.6</v>
      </c>
      <c r="J16" s="385" t="str">
        <f t="shared" ref="J16:J24" si="1">+IF(H16=0,"",IF(H16&lt;=$Z$17,$AA$17,IF(H16&lt;=$Z$16,$AA$16,IF(H16&lt;=$Z$13,$AA$13,IF(H16&lt;=$Z$12,$AA$12,IF(H16&lt;=$Z$9,$AA$9,""))))))</f>
        <v>Muy Baja</v>
      </c>
      <c r="K16" s="385" t="str">
        <f t="shared" si="0"/>
        <v>Moderado</v>
      </c>
      <c r="L16" s="383" t="str">
        <f t="shared" ref="L16:L24" si="2">+IF(J16=$AA$9,IF(K16=$AB$8,$AB$9,IF(K16=$AC$8,$AC$9,IF(K16=$AD$8,$AD$9,IF(K16=$AE$8,$AE$9,IF(K16=$AF$8,$AF$9))))),IF(J16=$AA$12,IF(K16=$AB$8,$AB$12,IF(K16=$AC$8,$AC$12,IF(K16=$AD$8,$AD$12,IF(K16=$AE$8,$AE$12,IF(K16=$AF$8,$AF$12))))),IF(J16=$AA$13,IF(K16=$AB$8,$AB$13,IF(K16=$AC$8,$AC$13,IF(K16=$AD$8,$AD$13,IF(K16=$AE$8,$AE$13,IF(K16=$AF$8,$AF$13))))),IF(J16=$AA$16,IF(K16=$AB$8,$AB$16,IF(K16=$AC$8,$AC$16,IF(K16=$AD$8,$AD$16,IF(K16=$AE$8,$AE$16,IF(K16=$AF$8,$AF$16))))),IF(J16=$AA$17,IF(K16=$AB$8,$AB$17,IF(K16=$AC$8,$AC$17,IF(K16=$AD$8,$AD$17,IF(K16=$AE$8,$AE$17,IF(K16=$AF$8,$AF$17))))),"")))))</f>
        <v>Moderado</v>
      </c>
      <c r="M16" s="383" t="str">
        <f t="shared" ref="M16:M23" si="3">+IF($N16="","",IF($N16=$AC$20,$AD$20,IF($N16=$AC$23,$AD$23)))</f>
        <v>Requiere Plan de Acción</v>
      </c>
      <c r="N16" s="383" t="str">
        <f t="shared" ref="N16:N23" si="4">+IF(L16="","",IF(OR(L16=$AB$20,L16=$AB$21,L16=$AB$22),$AC$20,IF(L16=$AB$23,$AC$23)))</f>
        <v>Reducir_mitigar_Transferir_Evitar</v>
      </c>
      <c r="O16" s="386" t="s">
        <v>334</v>
      </c>
      <c r="P16" s="383" t="str">
        <f t="shared" ref="P16:P23" si="5">+IF($M16="","",IF($M16=$AD$23,$AC$23,$O16))</f>
        <v>Reducir_Mitigar</v>
      </c>
      <c r="Q16" s="387" t="str">
        <f>'5 VALORACIÓN DEL CONTROL'!I28</f>
        <v>La profesional encargada revisa las acciones correctivas establecidas y plasmadas en los Planes de Mejoramiento de auditorías internas y externas suscritos, a través de seguimientos con los responsables de su cumplimiento</v>
      </c>
      <c r="R16" s="386" t="s">
        <v>413</v>
      </c>
      <c r="S16" s="386" t="s">
        <v>414</v>
      </c>
      <c r="T16" s="386" t="s">
        <v>515</v>
      </c>
      <c r="U16" s="388">
        <v>46113</v>
      </c>
      <c r="V16" s="389">
        <v>46374</v>
      </c>
      <c r="Y16" s="403"/>
      <c r="Z16" s="66">
        <v>0.4</v>
      </c>
      <c r="AA16" s="57" t="s">
        <v>274</v>
      </c>
      <c r="AB16" s="72" t="s">
        <v>300</v>
      </c>
      <c r="AC16" s="68" t="s">
        <v>280</v>
      </c>
      <c r="AD16" s="68" t="s">
        <v>280</v>
      </c>
      <c r="AE16" s="64" t="s">
        <v>298</v>
      </c>
      <c r="AF16" s="65" t="s">
        <v>299</v>
      </c>
      <c r="AI16" s="293"/>
      <c r="AJ16" s="293"/>
      <c r="AK16" s="294"/>
      <c r="AL16" s="295"/>
      <c r="AM16" s="70"/>
      <c r="AN16" s="67"/>
      <c r="AO16" s="67"/>
      <c r="AP16" s="67"/>
      <c r="AQ16" s="71"/>
      <c r="AR16" s="67"/>
      <c r="AS16" s="294"/>
      <c r="AT16" s="294"/>
    </row>
    <row r="17" spans="1:46" ht="105.95" customHeight="1" thickBot="1" x14ac:dyDescent="0.25">
      <c r="A17" s="382" t="str">
        <f>'2 IDENTIFICACIÓN'!A14</f>
        <v>R5</v>
      </c>
      <c r="B17" s="383" t="str">
        <f>+'2 IDENTIFICACIÓN'!J14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7" s="384">
        <f>+'3 PROBABIL E IMPACTO INHERENTE'!E14</f>
        <v>0.6</v>
      </c>
      <c r="D17" s="384">
        <f>+'3 PROBABIL E IMPACTO INHERENTE'!M14</f>
        <v>0.6</v>
      </c>
      <c r="E17" s="385" t="str">
        <f>+'4 MAPA CALOR INHERENTE'!C14</f>
        <v>Media</v>
      </c>
      <c r="F17" s="385" t="str">
        <f>+'4 MAPA CALOR INHERENTE'!D14</f>
        <v>Moderado</v>
      </c>
      <c r="G17" s="383" t="str">
        <f>+'4 MAPA CALOR INHERENTE'!E14</f>
        <v>Moderado</v>
      </c>
      <c r="H17" s="384">
        <f>+'5 VALORACIÓN DEL CONTROL'!T39</f>
        <v>0.6</v>
      </c>
      <c r="I17" s="385">
        <f>+'5 VALORACIÓN DEL CONTROL'!U39</f>
        <v>0.6</v>
      </c>
      <c r="J17" s="385" t="str">
        <f t="shared" si="1"/>
        <v>Media</v>
      </c>
      <c r="K17" s="385" t="str">
        <f t="shared" si="0"/>
        <v>Moderado</v>
      </c>
      <c r="L17" s="383" t="str">
        <f t="shared" si="2"/>
        <v>Moderado</v>
      </c>
      <c r="M17" s="383" t="str">
        <f t="shared" si="3"/>
        <v>Requiere Plan de Acción</v>
      </c>
      <c r="N17" s="383" t="str">
        <f t="shared" si="4"/>
        <v>Reducir_mitigar_Transferir_Evitar</v>
      </c>
      <c r="O17" s="386" t="s">
        <v>334</v>
      </c>
      <c r="P17" s="383" t="str">
        <f t="shared" si="5"/>
        <v>Reducir_Mitigar</v>
      </c>
      <c r="Q17" s="387" t="str">
        <f>'5 VALORACIÓN DEL CONTROL'!I34</f>
        <v>El profesional asignado por el líder del proceso verifica la información sujeta a publicación y actualización en la página web institucional, de acuerdo con los lineamientos establecidos en la Resolución 1519 de 2020 y sus anexos.</v>
      </c>
      <c r="R17" s="386" t="s">
        <v>411</v>
      </c>
      <c r="S17" s="386" t="s">
        <v>412</v>
      </c>
      <c r="T17" s="386" t="s">
        <v>516</v>
      </c>
      <c r="U17" s="388">
        <v>46023</v>
      </c>
      <c r="V17" s="389">
        <v>46387</v>
      </c>
      <c r="Y17" s="404"/>
      <c r="Z17" s="78">
        <v>0.2</v>
      </c>
      <c r="AA17" s="79" t="s">
        <v>270</v>
      </c>
      <c r="AB17" s="74" t="s">
        <v>300</v>
      </c>
      <c r="AC17" s="74" t="s">
        <v>300</v>
      </c>
      <c r="AD17" s="75" t="s">
        <v>280</v>
      </c>
      <c r="AE17" s="76" t="s">
        <v>298</v>
      </c>
      <c r="AF17" s="77" t="s">
        <v>299</v>
      </c>
      <c r="AI17" s="293"/>
      <c r="AJ17" s="293"/>
      <c r="AK17" s="294"/>
      <c r="AL17" s="295"/>
      <c r="AM17" s="70"/>
      <c r="AN17" s="67"/>
      <c r="AO17" s="67"/>
      <c r="AP17" s="67"/>
      <c r="AQ17" s="67"/>
      <c r="AR17" s="67"/>
      <c r="AS17" s="294"/>
      <c r="AT17" s="294"/>
    </row>
    <row r="18" spans="1:46" ht="105.95" customHeight="1" thickBot="1" x14ac:dyDescent="0.25">
      <c r="A18" s="382" t="str">
        <f>'2 IDENTIFICACIÓN'!A15</f>
        <v>R6</v>
      </c>
      <c r="B18" s="383" t="str">
        <f>+'2 IDENTIFICACIÓN'!J15</f>
        <v>Posibilidad de afectación reputacional por investigaciones y sanciones disciplinarias por entes de control, debido a la falta de seguimiento al cumplimiento de metas del Plan de Desarrollo Municipal programadas para la vigencia.</v>
      </c>
      <c r="C18" s="384">
        <f>+'3 PROBABIL E IMPACTO INHERENTE'!E15</f>
        <v>0.4</v>
      </c>
      <c r="D18" s="384">
        <f>+'3 PROBABIL E IMPACTO INHERENTE'!M15</f>
        <v>0.6</v>
      </c>
      <c r="E18" s="385" t="str">
        <f>+'4 MAPA CALOR INHERENTE'!C15</f>
        <v>Baja</v>
      </c>
      <c r="F18" s="385" t="str">
        <f>+'4 MAPA CALOR INHERENTE'!D15</f>
        <v>Moderado</v>
      </c>
      <c r="G18" s="383" t="str">
        <f>+'4 MAPA CALOR INHERENTE'!E15</f>
        <v>Moderado</v>
      </c>
      <c r="H18" s="384">
        <f>+'5 VALORACIÓN DEL CONTROL'!T45</f>
        <v>0.4</v>
      </c>
      <c r="I18" s="385">
        <f>+'5 VALORACIÓN DEL CONTROL'!U45</f>
        <v>0.6</v>
      </c>
      <c r="J18" s="385" t="str">
        <f t="shared" si="1"/>
        <v>Baja</v>
      </c>
      <c r="K18" s="385" t="str">
        <f t="shared" si="0"/>
        <v>Moderado</v>
      </c>
      <c r="L18" s="383" t="str">
        <f t="shared" si="2"/>
        <v>Moderado</v>
      </c>
      <c r="M18" s="383" t="str">
        <f t="shared" si="3"/>
        <v>Requiere Plan de Acción</v>
      </c>
      <c r="N18" s="383" t="str">
        <f t="shared" si="4"/>
        <v>Reducir_mitigar_Transferir_Evitar</v>
      </c>
      <c r="O18" s="386" t="s">
        <v>334</v>
      </c>
      <c r="P18" s="383" t="str">
        <f t="shared" si="5"/>
        <v>Reducir_Mitigar</v>
      </c>
      <c r="Q18" s="387" t="str">
        <f>'5 VALORACIÓN DEL CONTROL'!I40</f>
        <v>La Secretaría de Educación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R18" s="386" t="s">
        <v>486</v>
      </c>
      <c r="S18" s="386" t="s">
        <v>415</v>
      </c>
      <c r="T18" s="386" t="s">
        <v>519</v>
      </c>
      <c r="U18" s="388">
        <v>46054</v>
      </c>
      <c r="V18" s="389">
        <v>46374</v>
      </c>
      <c r="AI18" s="293"/>
      <c r="AJ18" s="293"/>
      <c r="AK18" s="294"/>
      <c r="AL18" s="295"/>
      <c r="AM18" s="70"/>
      <c r="AN18" s="67"/>
      <c r="AO18" s="67"/>
      <c r="AP18" s="67"/>
      <c r="AQ18" s="67"/>
      <c r="AR18" s="67"/>
      <c r="AS18" s="294"/>
      <c r="AT18" s="294"/>
    </row>
    <row r="19" spans="1:46" ht="105.95" customHeight="1" thickBot="1" x14ac:dyDescent="0.25">
      <c r="A19" s="382" t="str">
        <f>'2 IDENTIFICACIÓN'!A16</f>
        <v>R7</v>
      </c>
      <c r="B19" s="383" t="str">
        <f>+'2 IDENTIFICACIÓN'!J16</f>
        <v>Posibilidad  de efecto dañoso sobre bienes de uso público por pérdida, extravío, hurto o faltantes en inventario de bienes muebles de la entidad, debido a deficiencias en la actualización, verificación y control del inventario de bienes muebles.</v>
      </c>
      <c r="C19" s="384">
        <f>+'3 PROBABIL E IMPACTO INHERENTE'!E16</f>
        <v>0.6</v>
      </c>
      <c r="D19" s="384">
        <f>+'3 PROBABIL E IMPACTO INHERENTE'!M16</f>
        <v>1</v>
      </c>
      <c r="E19" s="385" t="str">
        <f>+'4 MAPA CALOR INHERENTE'!C16</f>
        <v>Media</v>
      </c>
      <c r="F19" s="385" t="str">
        <f>+'4 MAPA CALOR INHERENTE'!D16</f>
        <v>Catastrófico</v>
      </c>
      <c r="G19" s="383" t="str">
        <f>+'4 MAPA CALOR INHERENTE'!E16</f>
        <v>Extremo</v>
      </c>
      <c r="H19" s="384">
        <f>+'5 VALORACIÓN DEL CONTROL'!T51</f>
        <v>0.6</v>
      </c>
      <c r="I19" s="385">
        <f>+'5 VALORACIÓN DEL CONTROL'!U51</f>
        <v>1</v>
      </c>
      <c r="J19" s="385" t="str">
        <f t="shared" si="1"/>
        <v>Media</v>
      </c>
      <c r="K19" s="385" t="str">
        <f t="shared" si="0"/>
        <v>Catastrófico</v>
      </c>
      <c r="L19" s="383" t="str">
        <f t="shared" si="2"/>
        <v>Extremo</v>
      </c>
      <c r="M19" s="383" t="str">
        <f t="shared" si="3"/>
        <v>Requiere Plan de Acción</v>
      </c>
      <c r="N19" s="383" t="str">
        <f t="shared" si="4"/>
        <v>Reducir_mitigar_Transferir_Evitar</v>
      </c>
      <c r="O19" s="386" t="s">
        <v>334</v>
      </c>
      <c r="P19" s="383" t="str">
        <f t="shared" si="5"/>
        <v>Reducir_Mitigar</v>
      </c>
      <c r="Q19" s="387" t="str">
        <f>'5 VALORACIÓN DEL CONTROL'!I46</f>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R19" s="387" t="s">
        <v>487</v>
      </c>
      <c r="S19" s="386" t="s">
        <v>416</v>
      </c>
      <c r="T19" s="386" t="s">
        <v>517</v>
      </c>
      <c r="U19" s="388">
        <v>46023</v>
      </c>
      <c r="V19" s="389">
        <v>46374</v>
      </c>
      <c r="AB19" s="52" t="s">
        <v>301</v>
      </c>
      <c r="AC19" s="52" t="s">
        <v>68</v>
      </c>
      <c r="AD19" s="52" t="s">
        <v>70</v>
      </c>
      <c r="AF19" s="250" t="s">
        <v>335</v>
      </c>
      <c r="AG19" s="293"/>
      <c r="AH19" s="293"/>
      <c r="AI19" s="293"/>
      <c r="AJ19" s="293"/>
      <c r="AK19" s="294"/>
      <c r="AL19" s="295"/>
      <c r="AM19" s="294"/>
      <c r="AN19" s="70"/>
      <c r="AO19" s="70"/>
      <c r="AP19" s="70"/>
      <c r="AQ19" s="70"/>
      <c r="AR19" s="70"/>
      <c r="AS19" s="294"/>
      <c r="AT19" s="294"/>
    </row>
    <row r="20" spans="1:46" ht="132.6" customHeight="1" thickBot="1" x14ac:dyDescent="0.25">
      <c r="A20" s="382" t="str">
        <f>'2 IDENTIFICACIÓN'!A17</f>
        <v>R8</v>
      </c>
      <c r="B20" s="383" t="str">
        <f>+'2 IDENTIFICACIÓN'!J17</f>
        <v>Posibilidad  de efecto dañoso sobre el recurso público por deficiencias en la gestión de las etapas precontractual, contractual y postcontractual, debido a incumplimiento de los lineamientos, requisitos y obligaciones establecidos en la normatividad vigente y en los documentos contractuales, generando pagos sobre obligaciones parcialmente ejecutadas o no cumplidas.</v>
      </c>
      <c r="C20" s="384">
        <f>+'3 PROBABIL E IMPACTO INHERENTE'!E17</f>
        <v>0.6</v>
      </c>
      <c r="D20" s="384">
        <f>+'3 PROBABIL E IMPACTO INHERENTE'!M17</f>
        <v>1</v>
      </c>
      <c r="E20" s="385" t="str">
        <f>+'4 MAPA CALOR INHERENTE'!C17</f>
        <v>Media</v>
      </c>
      <c r="F20" s="385" t="str">
        <f>+'4 MAPA CALOR INHERENTE'!D17</f>
        <v>Catastrófico</v>
      </c>
      <c r="G20" s="383" t="str">
        <f>+'4 MAPA CALOR INHERENTE'!E17</f>
        <v>Extremo</v>
      </c>
      <c r="H20" s="384">
        <f>+'5 VALORACIÓN DEL CONTROL'!T57</f>
        <v>0.6</v>
      </c>
      <c r="I20" s="385">
        <f>+'5 VALORACIÓN DEL CONTROL'!U57</f>
        <v>1</v>
      </c>
      <c r="J20" s="385" t="str">
        <f t="shared" si="1"/>
        <v>Media</v>
      </c>
      <c r="K20" s="385" t="str">
        <f t="shared" si="0"/>
        <v>Catastrófico</v>
      </c>
      <c r="L20" s="383" t="str">
        <f t="shared" si="2"/>
        <v>Extremo</v>
      </c>
      <c r="M20" s="383" t="str">
        <f t="shared" si="3"/>
        <v>Requiere Plan de Acción</v>
      </c>
      <c r="N20" s="383" t="str">
        <f t="shared" si="4"/>
        <v>Reducir_mitigar_Transferir_Evitar</v>
      </c>
      <c r="O20" s="386" t="s">
        <v>334</v>
      </c>
      <c r="P20" s="383" t="str">
        <f t="shared" si="5"/>
        <v>Reducir_Mitigar</v>
      </c>
      <c r="Q20" s="387" t="str">
        <f>'5 VALORACIÓN DEL CONTROL'!I52</f>
        <v>Los profesionales encargados de la contratación y los supervisores designados verifican el cumplimiento de los lineamientos, requisitos y obligaciones establecidos en la normatividad vigente y en los documentos contractuales durante las etapas precontractual, contractual y postcontractual de los procesos celebrados por la Secretaría de Educación, diferentes a contratos de prestación de servicios, mediante la aplicación de listas de chequeo y revisión del avance y ejecución contractual.</v>
      </c>
      <c r="R20" s="387" t="s">
        <v>488</v>
      </c>
      <c r="S20" s="387" t="s">
        <v>482</v>
      </c>
      <c r="T20" s="386" t="s">
        <v>518</v>
      </c>
      <c r="U20" s="388">
        <v>46113</v>
      </c>
      <c r="V20" s="389">
        <v>46374</v>
      </c>
      <c r="AB20" s="81" t="s">
        <v>299</v>
      </c>
      <c r="AC20" s="250" t="s">
        <v>335</v>
      </c>
      <c r="AD20" s="250" t="s">
        <v>336</v>
      </c>
      <c r="AE20" s="293"/>
      <c r="AF20" s="303" t="s">
        <v>334</v>
      </c>
      <c r="AI20" s="293"/>
      <c r="AJ20" s="293"/>
      <c r="AK20" s="294"/>
      <c r="AL20" s="294"/>
      <c r="AM20" s="294"/>
      <c r="AN20" s="67"/>
      <c r="AO20" s="67"/>
      <c r="AP20" s="67"/>
      <c r="AQ20" s="67"/>
      <c r="AR20" s="67"/>
      <c r="AS20" s="294"/>
      <c r="AT20" s="294"/>
    </row>
    <row r="21" spans="1:46" ht="105.95" customHeight="1" thickBot="1" x14ac:dyDescent="0.25">
      <c r="A21" s="382" t="str">
        <f>'2 IDENTIFICACIÓN'!A18</f>
        <v>R9</v>
      </c>
      <c r="B21" s="383" t="str">
        <f>+'2 IDENTIFICACIÓN'!J18</f>
        <v>Posibilidad  de efecto dañoso sobre el recurso público por pago de sanción e intereses moratorios, debido a  trámite inoportuno a los requerimientos de los entes de control y vigilancia, de acuerdo con sus lineamientos y términos de ley.</v>
      </c>
      <c r="C21" s="384">
        <f>+'3 PROBABIL E IMPACTO INHERENTE'!E18</f>
        <v>0.6</v>
      </c>
      <c r="D21" s="384">
        <f>+'3 PROBABIL E IMPACTO INHERENTE'!M18</f>
        <v>0.4</v>
      </c>
      <c r="E21" s="385" t="str">
        <f>+'4 MAPA CALOR INHERENTE'!C18</f>
        <v>Media</v>
      </c>
      <c r="F21" s="385" t="str">
        <f>+'4 MAPA CALOR INHERENTE'!D18</f>
        <v>Menor</v>
      </c>
      <c r="G21" s="383" t="str">
        <f>+'4 MAPA CALOR INHERENTE'!E18</f>
        <v>Moderado</v>
      </c>
      <c r="H21" s="384">
        <f>+'5 VALORACIÓN DEL CONTROL'!T63</f>
        <v>0.6</v>
      </c>
      <c r="I21" s="385">
        <f>+'5 VALORACIÓN DEL CONTROL'!U63</f>
        <v>0.4</v>
      </c>
      <c r="J21" s="385" t="str">
        <f t="shared" si="1"/>
        <v>Media</v>
      </c>
      <c r="K21" s="385" t="str">
        <f t="shared" si="0"/>
        <v>Menor</v>
      </c>
      <c r="L21" s="383" t="str">
        <f t="shared" si="2"/>
        <v>Moderado</v>
      </c>
      <c r="M21" s="383" t="str">
        <f t="shared" si="3"/>
        <v>Requiere Plan de Acción</v>
      </c>
      <c r="N21" s="383" t="str">
        <f t="shared" si="4"/>
        <v>Reducir_mitigar_Transferir_Evitar</v>
      </c>
      <c r="O21" s="386" t="s">
        <v>334</v>
      </c>
      <c r="P21" s="383" t="str">
        <f t="shared" si="5"/>
        <v>Reducir_Mitigar</v>
      </c>
      <c r="Q21" s="387" t="str">
        <f>'5 VALORACIÓN DEL CONTROL'!I58</f>
        <v>La persona encargada verifica el cumplimiento de los términos establecidos para la atención de los requerimientos de los entes de control y vigilancia asignados a la Secretaría de Educación, a través del seguimiento y validación de las fechas de vencimiento y respuesta registradas en los mecanismos institucionales de control y seguimiento, identificando alertas frente a posibles incumplimientos.</v>
      </c>
      <c r="R21" s="387" t="s">
        <v>489</v>
      </c>
      <c r="S21" s="387" t="s">
        <v>490</v>
      </c>
      <c r="T21" s="386" t="s">
        <v>520</v>
      </c>
      <c r="U21" s="388">
        <v>46023</v>
      </c>
      <c r="V21" s="389">
        <v>46374</v>
      </c>
      <c r="AB21" s="64" t="s">
        <v>298</v>
      </c>
      <c r="AC21" s="250" t="s">
        <v>335</v>
      </c>
      <c r="AD21" s="250" t="s">
        <v>336</v>
      </c>
      <c r="AE21" s="293"/>
      <c r="AF21" s="303" t="s">
        <v>337</v>
      </c>
      <c r="AG21" s="293"/>
      <c r="AH21" s="293"/>
      <c r="AI21" s="293"/>
      <c r="AJ21" s="293"/>
      <c r="AK21" s="294"/>
      <c r="AL21" s="294"/>
      <c r="AM21" s="294"/>
      <c r="AN21" s="67"/>
      <c r="AO21" s="67"/>
      <c r="AP21" s="67"/>
      <c r="AQ21" s="67"/>
      <c r="AR21" s="67"/>
      <c r="AS21" s="294"/>
      <c r="AT21" s="294"/>
    </row>
    <row r="22" spans="1:46" ht="135.6" customHeight="1" thickBot="1" x14ac:dyDescent="0.25">
      <c r="A22" s="382" t="str">
        <f>'2 IDENTIFICACIÓN'!A19</f>
        <v>R10</v>
      </c>
      <c r="B22" s="383" t="str">
        <f>+'2 IDENTIFICACIÓN'!J19</f>
        <v>Posibilidad de afectación económica y reputacional por afectaciones en la disponibilidad y ejecución de los recursos del Sistema General de Participaciones (SGP) administrados por la Secretaría de Educación, debido a inconsistencias en los procesos financieros y de tesorería relacionados con el manejo de pagos y descuentos efectuados sobre dichos recursos.</v>
      </c>
      <c r="C22" s="384">
        <f>+'3 PROBABIL E IMPACTO INHERENTE'!E19</f>
        <v>0.4</v>
      </c>
      <c r="D22" s="384">
        <f>+'3 PROBABIL E IMPACTO INHERENTE'!M19</f>
        <v>1</v>
      </c>
      <c r="E22" s="385" t="str">
        <f>+'4 MAPA CALOR INHERENTE'!C19</f>
        <v>Baja</v>
      </c>
      <c r="F22" s="385" t="str">
        <f>+'4 MAPA CALOR INHERENTE'!D19</f>
        <v>Catastrófico</v>
      </c>
      <c r="G22" s="383" t="str">
        <f>+'4 MAPA CALOR INHERENTE'!E19</f>
        <v>Extremo</v>
      </c>
      <c r="H22" s="384">
        <f>+'5 VALORACIÓN DEL CONTROL'!T69</f>
        <v>0.4</v>
      </c>
      <c r="I22" s="385">
        <f>+'5 VALORACIÓN DEL CONTROL'!U69</f>
        <v>1</v>
      </c>
      <c r="J22" s="385" t="str">
        <f t="shared" si="1"/>
        <v>Baja</v>
      </c>
      <c r="K22" s="385" t="str">
        <f t="shared" si="0"/>
        <v>Catastrófico</v>
      </c>
      <c r="L22" s="383" t="str">
        <f t="shared" si="2"/>
        <v>Extremo</v>
      </c>
      <c r="M22" s="383" t="str">
        <f t="shared" si="3"/>
        <v>Requiere Plan de Acción</v>
      </c>
      <c r="N22" s="383" t="str">
        <f t="shared" si="4"/>
        <v>Reducir_mitigar_Transferir_Evitar</v>
      </c>
      <c r="O22" s="386" t="s">
        <v>334</v>
      </c>
      <c r="P22" s="383" t="str">
        <f t="shared" si="5"/>
        <v>Reducir_Mitigar</v>
      </c>
      <c r="Q22" s="387" t="str">
        <f>'5 VALORACIÓN DEL CONTROL'!I64</f>
        <v>El profesional del área de presupuesto de la Secretaría de Educación verifica los movimientos bancarios, a través de los soportes recibidos del área de tesorería de la Secretaría de Educación</v>
      </c>
      <c r="R22" s="387" t="s">
        <v>491</v>
      </c>
      <c r="S22" s="387" t="s">
        <v>492</v>
      </c>
      <c r="T22" s="386" t="s">
        <v>521</v>
      </c>
      <c r="U22" s="388">
        <v>46023</v>
      </c>
      <c r="V22" s="389">
        <v>46374</v>
      </c>
      <c r="AA22" s="296"/>
      <c r="AB22" s="68" t="s">
        <v>280</v>
      </c>
      <c r="AC22" s="250" t="s">
        <v>335</v>
      </c>
      <c r="AD22" s="250" t="s">
        <v>336</v>
      </c>
      <c r="AE22" s="296"/>
      <c r="AF22" s="303" t="s">
        <v>162</v>
      </c>
      <c r="AG22" s="296"/>
      <c r="AH22" s="296"/>
      <c r="AI22" s="296"/>
      <c r="AJ22" s="296"/>
      <c r="AK22" s="294"/>
      <c r="AL22" s="294"/>
      <c r="AM22" s="297"/>
      <c r="AN22" s="297"/>
      <c r="AO22" s="297"/>
      <c r="AP22" s="297"/>
      <c r="AQ22" s="297"/>
      <c r="AR22" s="297"/>
      <c r="AS22" s="294"/>
      <c r="AT22" s="294"/>
    </row>
    <row r="23" spans="1:46" ht="135" customHeight="1" thickBot="1" x14ac:dyDescent="0.25">
      <c r="A23" s="363" t="str">
        <f>'2 IDENTIFICACIÓN'!A20</f>
        <v>R11</v>
      </c>
      <c r="B23" s="364" t="str">
        <f>+'2 IDENTIFICACIÓN'!J20</f>
        <v>Posibilidad de afectación reputacional por demoras en el trámite de novedades de retiro y liquidación derivadas del fallecimiento del personal docente, directivo docente y administrativo de las Instituciones Educativas Oficiales, debido a falencias en los procesos de gestión y actualización de la información administrativa y de nómina.</v>
      </c>
      <c r="C23" s="365">
        <f>+'3 PROBABIL E IMPACTO INHERENTE'!E20</f>
        <v>0.2</v>
      </c>
      <c r="D23" s="365">
        <f>+'3 PROBABIL E IMPACTO INHERENTE'!M20</f>
        <v>0.2</v>
      </c>
      <c r="E23" s="344" t="str">
        <f>+'4 MAPA CALOR INHERENTE'!C20</f>
        <v>Muy Baja</v>
      </c>
      <c r="F23" s="344" t="str">
        <f>+'4 MAPA CALOR INHERENTE'!D20</f>
        <v>Leve</v>
      </c>
      <c r="G23" s="364" t="str">
        <f>+'4 MAPA CALOR INHERENTE'!E20</f>
        <v>Bajo</v>
      </c>
      <c r="H23" s="365">
        <f>+'5 VALORACIÓN DEL CONTROL'!T75</f>
        <v>0.2</v>
      </c>
      <c r="I23" s="344">
        <f>+'5 VALORACIÓN DEL CONTROL'!U75</f>
        <v>0.2</v>
      </c>
      <c r="J23" s="344" t="str">
        <f t="shared" si="1"/>
        <v>Muy Baja</v>
      </c>
      <c r="K23" s="344" t="str">
        <f t="shared" si="0"/>
        <v>Leve</v>
      </c>
      <c r="L23" s="364" t="str">
        <f t="shared" si="2"/>
        <v>Bajo</v>
      </c>
      <c r="M23" s="364" t="str">
        <f t="shared" si="3"/>
        <v>No requiere Plan de Acción</v>
      </c>
      <c r="N23" s="364" t="str">
        <f t="shared" si="4"/>
        <v>Aceptar</v>
      </c>
      <c r="O23" s="367" t="s">
        <v>334</v>
      </c>
      <c r="P23" s="364" t="str">
        <f t="shared" si="5"/>
        <v>Aceptar</v>
      </c>
      <c r="Q23" s="368" t="str">
        <f>'5 VALORACIÓN DEL CONTROL'!I70</f>
        <v>El área de talento humano verifica el cumplimiento de los requisitos establecidos en la normatividad vigente para el pago de la liquidación de personal docente, directivo docente y administrativo de Instituciones Educativas Oficiales fallecidos,  a los beneficiarios que acrediten el derecho.</v>
      </c>
      <c r="R23" s="368"/>
      <c r="S23" s="368"/>
      <c r="T23" s="367"/>
      <c r="U23" s="390"/>
      <c r="V23" s="391"/>
      <c r="AA23" s="296"/>
      <c r="AB23" s="72" t="s">
        <v>300</v>
      </c>
      <c r="AC23" s="250" t="s">
        <v>159</v>
      </c>
      <c r="AD23" s="250" t="s">
        <v>338</v>
      </c>
      <c r="AI23" s="296"/>
      <c r="AJ23" s="296"/>
      <c r="AK23" s="294"/>
      <c r="AL23" s="294"/>
      <c r="AM23" s="294"/>
      <c r="AN23" s="67"/>
      <c r="AO23" s="67"/>
      <c r="AP23" s="67"/>
      <c r="AQ23" s="67"/>
      <c r="AR23" s="67"/>
      <c r="AS23" s="294"/>
      <c r="AT23" s="294"/>
    </row>
    <row r="24" spans="1:46" ht="38.25" x14ac:dyDescent="0.2">
      <c r="A24" s="436" t="str">
        <f>'2 IDENTIFICACIÓN'!A21</f>
        <v>R12</v>
      </c>
      <c r="B24" s="428" t="str">
        <f>+'2 IDENTIFICACIÓN'!J21</f>
        <v>Posibilidad de pérdida reputacional por soborno entrante en los trámites administrativos del personal docente, directivo docente y administrativo, al recibir o solicitar ventajas indebidas en actuaciones relacionadas con traslados, permutas, nombramientos en vacancias temporales, ascensos o mejoramientos salariales, debido a al incumplimiento de los requisitos y lineamientos establecidos.</v>
      </c>
      <c r="C24" s="432">
        <f>+'3 PROBABIL E IMPACTO INHERENTE'!E21</f>
        <v>0.8</v>
      </c>
      <c r="D24" s="432">
        <f>+'3 PROBABIL E IMPACTO INHERENTE'!M21</f>
        <v>0.2</v>
      </c>
      <c r="E24" s="418" t="str">
        <f>+'4 MAPA CALOR INHERENTE'!C21</f>
        <v>Alta</v>
      </c>
      <c r="F24" s="418" t="str">
        <f>+'4 MAPA CALOR INHERENTE'!D21</f>
        <v>Leve</v>
      </c>
      <c r="G24" s="428" t="str">
        <f>+'4 MAPA CALOR INHERENTE'!E21</f>
        <v>Moderado</v>
      </c>
      <c r="H24" s="432">
        <f>+'5 VALORACIÓN DEL CONTROL'!T81</f>
        <v>0.8</v>
      </c>
      <c r="I24" s="418">
        <f>+'5 VALORACIÓN DEL CONTROL'!U81</f>
        <v>0.2</v>
      </c>
      <c r="J24" s="418" t="str">
        <f t="shared" si="1"/>
        <v>Alta</v>
      </c>
      <c r="K24" s="418" t="str">
        <f>+IF(I24=0,"",IF(I24&lt;=$AB$7,$AB$8,IF(I24&lt;=$AC$7,$AC$8,IF(I24&lt;=$AD$7,$AD$8,IF(I24&lt;=$AE$7,$AE$8,IF(I24&lt;=$AF$7,$AF$8,""))))))</f>
        <v>Leve</v>
      </c>
      <c r="L24" s="428" t="str">
        <f t="shared" si="2"/>
        <v>Moderado</v>
      </c>
      <c r="M24" s="428" t="str">
        <f>+IF($N26="","",IF($N26=$AC$20,$AD$20,IF($N26=$AC$23,$AD$23)))</f>
        <v>Requiere Plan de Acción</v>
      </c>
      <c r="N24" s="366"/>
      <c r="O24" s="425" t="s">
        <v>334</v>
      </c>
      <c r="P24" s="366"/>
      <c r="Q24" s="415" t="str">
        <f>'5 VALORACIÓN DEL CONTROL'!I76</f>
        <v>El personal de Talento Humano verifica que las actuaciones relacionadas con traslados, permutas, nombramientos en vacancias temporales, ascensos y mejoramientos salariales del personal docente, directivo docente y administrativo, se encuentren debidamente soportadas de conformidad con la normatividad vigente</v>
      </c>
      <c r="R24" s="392" t="s">
        <v>493</v>
      </c>
      <c r="S24" s="392" t="s">
        <v>494</v>
      </c>
      <c r="T24" s="369" t="s">
        <v>522</v>
      </c>
      <c r="U24" s="370">
        <v>46054</v>
      </c>
      <c r="V24" s="371">
        <v>46374</v>
      </c>
      <c r="AA24" s="296"/>
      <c r="AB24" s="141"/>
      <c r="AI24" s="296"/>
      <c r="AJ24" s="296"/>
      <c r="AK24" s="294"/>
      <c r="AL24" s="294"/>
      <c r="AM24" s="294"/>
      <c r="AN24" s="67"/>
      <c r="AO24" s="67"/>
      <c r="AP24" s="67"/>
      <c r="AQ24" s="67"/>
      <c r="AR24" s="67"/>
      <c r="AS24" s="294"/>
      <c r="AT24" s="294"/>
    </row>
    <row r="25" spans="1:46" ht="38.25" x14ac:dyDescent="0.2">
      <c r="A25" s="437"/>
      <c r="B25" s="429"/>
      <c r="C25" s="433"/>
      <c r="D25" s="433"/>
      <c r="E25" s="419"/>
      <c r="F25" s="419"/>
      <c r="G25" s="429"/>
      <c r="H25" s="433"/>
      <c r="I25" s="419"/>
      <c r="J25" s="419"/>
      <c r="K25" s="419"/>
      <c r="L25" s="429"/>
      <c r="M25" s="429"/>
      <c r="N25" s="250"/>
      <c r="O25" s="426"/>
      <c r="P25" s="250"/>
      <c r="Q25" s="416"/>
      <c r="R25" s="301" t="s">
        <v>495</v>
      </c>
      <c r="S25" s="301" t="s">
        <v>496</v>
      </c>
      <c r="T25" s="251" t="s">
        <v>522</v>
      </c>
      <c r="U25" s="302">
        <v>46054</v>
      </c>
      <c r="V25" s="372">
        <v>46374</v>
      </c>
      <c r="AA25" s="296"/>
      <c r="AB25" s="141"/>
      <c r="AI25" s="296"/>
      <c r="AJ25" s="296"/>
      <c r="AK25" s="294"/>
      <c r="AL25" s="294"/>
      <c r="AM25" s="294"/>
      <c r="AN25" s="67"/>
      <c r="AO25" s="67"/>
      <c r="AP25" s="67"/>
      <c r="AQ25" s="67"/>
      <c r="AR25" s="67"/>
      <c r="AS25" s="294"/>
      <c r="AT25" s="294"/>
    </row>
    <row r="26" spans="1:46" ht="39" thickBot="1" x14ac:dyDescent="0.25">
      <c r="A26" s="461"/>
      <c r="B26" s="435"/>
      <c r="C26" s="434"/>
      <c r="D26" s="434"/>
      <c r="E26" s="431"/>
      <c r="F26" s="431"/>
      <c r="G26" s="435"/>
      <c r="H26" s="434"/>
      <c r="I26" s="431"/>
      <c r="J26" s="431"/>
      <c r="K26" s="431"/>
      <c r="L26" s="435"/>
      <c r="M26" s="435"/>
      <c r="N26" s="350" t="str">
        <f>+IF(L24="","",IF(OR(L24=$AB$20,L24=$AB$21,L24=$AB$22),$AC$20,IF(L24=$AB$23,$AC$23)))</f>
        <v>Reducir_mitigar_Transferir_Evitar</v>
      </c>
      <c r="O26" s="462"/>
      <c r="P26" s="350" t="str">
        <f>+IF($M24="","",IF($M24=$AD$23,$AC$23,$O24))</f>
        <v>Reducir_Mitigar</v>
      </c>
      <c r="Q26" s="463"/>
      <c r="R26" s="346" t="s">
        <v>497</v>
      </c>
      <c r="S26" s="346" t="s">
        <v>498</v>
      </c>
      <c r="T26" s="348" t="s">
        <v>522</v>
      </c>
      <c r="U26" s="396">
        <v>46054</v>
      </c>
      <c r="V26" s="397">
        <v>46374</v>
      </c>
      <c r="Y26" s="298"/>
      <c r="Z26" s="298"/>
      <c r="AA26" s="296"/>
      <c r="AB26" s="141"/>
      <c r="AI26" s="296"/>
      <c r="AJ26" s="296"/>
      <c r="AK26" s="294"/>
      <c r="AL26" s="294"/>
      <c r="AM26" s="294"/>
      <c r="AN26" s="67"/>
      <c r="AO26" s="67"/>
      <c r="AP26" s="67"/>
      <c r="AQ26" s="67"/>
      <c r="AR26" s="67"/>
      <c r="AS26" s="294"/>
      <c r="AT26" s="294"/>
    </row>
    <row r="27" spans="1:46" ht="63" customHeight="1" x14ac:dyDescent="0.2">
      <c r="A27" s="436" t="str">
        <f>'2 IDENTIFICACIÓN'!A22</f>
        <v>R13</v>
      </c>
      <c r="B27" s="428" t="str">
        <f>+'2 IDENTIFICACIÓN'!J22</f>
        <v>Posibilidad de pérdida reputacional por soborno entrante en la asignación de cupos a Instituciones Educativas, al recibir o solicitar ventajas indebidas para favorecer el acceso al servicio educativo, debido a incumplimiento de los criterios de priorización establecidos en la resolución expedida por el Área de Cobertura de la Secretaría de Educación de Bucaramanga.</v>
      </c>
      <c r="C27" s="432">
        <f>+'3 PROBABIL E IMPACTO INHERENTE'!E22</f>
        <v>1</v>
      </c>
      <c r="D27" s="432">
        <f>+'3 PROBABIL E IMPACTO INHERENTE'!M22</f>
        <v>0.8</v>
      </c>
      <c r="E27" s="418" t="str">
        <f>+'4 MAPA CALOR INHERENTE'!C22</f>
        <v>Muy Alta</v>
      </c>
      <c r="F27" s="418" t="str">
        <f>+'4 MAPA CALOR INHERENTE'!D22</f>
        <v>Mayor</v>
      </c>
      <c r="G27" s="428" t="str">
        <f>+'4 MAPA CALOR INHERENTE'!E22</f>
        <v>Alto</v>
      </c>
      <c r="H27" s="432">
        <f>+'5 VALORACIÓN DEL CONTROL'!T87</f>
        <v>0.8</v>
      </c>
      <c r="I27" s="418">
        <f>+'5 VALORACIÓN DEL CONTROL'!U87</f>
        <v>0.8</v>
      </c>
      <c r="J27" s="418" t="str">
        <f>+IF(H27=0,"",IF(H27&lt;=$Z$17,$AA$17,IF(H27&lt;=$Z$16,$AA$16,IF(H27&lt;=$Z$13,$AA$13,IF(H27&lt;=$Z$12,$AA$12,IF(H27&lt;=$Z$9,$AA$9,""))))))</f>
        <v>Alta</v>
      </c>
      <c r="K27" s="418" t="str">
        <f>+IF(I27=0,"",IF(I27&lt;=$AB$7,$AB$8,IF(I27&lt;=$AC$7,$AC$8,IF(I27&lt;=$AD$7,$AD$8,IF(I27&lt;=$AE$7,$AE$8,IF(I27&lt;=$AF$7,$AF$8,""))))))</f>
        <v>Mayor</v>
      </c>
      <c r="L27" s="428" t="str">
        <f>+IF(J27=$AA$9,IF(K27=$AB$8,$AB$9,IF(K27=$AC$8,$AC$9,IF(K27=$AD$8,$AD$9,IF(K27=$AE$8,$AE$9,IF(K27=$AF$8,$AF$9))))),IF(J27=$AA$12,IF(K27=$AB$8,$AB$12,IF(K27=$AC$8,$AC$12,IF(K27=$AD$8,$AD$12,IF(K27=$AE$8,$AE$12,IF(K27=$AF$8,$AF$12))))),IF(J27=$AA$13,IF(K27=$AB$8,$AB$13,IF(K27=$AC$8,$AC$13,IF(K27=$AD$8,$AD$13,IF(K27=$AE$8,$AE$13,IF(K27=$AF$8,$AF$13))))),IF(J27=$AA$16,IF(K27=$AB$8,$AB$16,IF(K27=$AC$8,$AC$16,IF(K27=$AD$8,$AD$16,IF(K27=$AE$8,$AE$16,IF(K27=$AF$8,$AF$16))))),IF(J27=$AA$17,IF(K27=$AB$8,$AB$17,IF(K27=$AC$8,$AC$17,IF(K27=$AD$8,$AD$17,IF(K27=$AE$8,$AE$17,IF(K27=$AF$8,$AF$17))))),"")))))</f>
        <v>Alto</v>
      </c>
      <c r="M27" s="428" t="str">
        <f>+IF($N29="","",IF($N29=$AC$20,$AD$20,IF($N29=$AC$23,$AD$23)))</f>
        <v>Requiere Plan de Acción</v>
      </c>
      <c r="N27" s="366"/>
      <c r="O27" s="425" t="s">
        <v>334</v>
      </c>
      <c r="P27" s="366"/>
      <c r="Q27" s="415" t="str">
        <f>'5 VALORACIÓN DEL CONTROL'!I82</f>
        <v>El profesional responsable del Área de Cobertura de la Secretaría de Educación de Bucaramanga  verifica la aplicación de los criterios de priorización establecidos en la resolución vigente y los lineamientos del Ministerio de Educación Nacional para la asignación de cupos escolares, con el fin de garantizar la transparencia y objetividad en el acceso al servicio educativo.</v>
      </c>
      <c r="R27" s="392" t="s">
        <v>499</v>
      </c>
      <c r="S27" s="392" t="s">
        <v>537</v>
      </c>
      <c r="T27" s="369" t="s">
        <v>524</v>
      </c>
      <c r="U27" s="370">
        <v>46054</v>
      </c>
      <c r="V27" s="371">
        <v>46374</v>
      </c>
      <c r="Y27" s="298"/>
      <c r="Z27" s="298"/>
      <c r="AA27" s="296"/>
      <c r="AB27" s="141"/>
      <c r="AI27" s="296"/>
      <c r="AJ27" s="296"/>
      <c r="AK27" s="294"/>
      <c r="AL27" s="294"/>
      <c r="AM27" s="294"/>
      <c r="AN27" s="67"/>
      <c r="AO27" s="67"/>
      <c r="AP27" s="67"/>
      <c r="AQ27" s="67"/>
      <c r="AR27" s="67"/>
      <c r="AS27" s="294"/>
      <c r="AT27" s="294"/>
    </row>
    <row r="28" spans="1:46" ht="51" x14ac:dyDescent="0.2">
      <c r="A28" s="437"/>
      <c r="B28" s="429"/>
      <c r="C28" s="433"/>
      <c r="D28" s="433"/>
      <c r="E28" s="419"/>
      <c r="F28" s="419"/>
      <c r="G28" s="429"/>
      <c r="H28" s="433"/>
      <c r="I28" s="419"/>
      <c r="J28" s="419"/>
      <c r="K28" s="419"/>
      <c r="L28" s="429"/>
      <c r="M28" s="429"/>
      <c r="N28" s="250"/>
      <c r="O28" s="426"/>
      <c r="P28" s="250"/>
      <c r="Q28" s="416"/>
      <c r="R28" s="301" t="s">
        <v>501</v>
      </c>
      <c r="S28" s="301" t="s">
        <v>502</v>
      </c>
      <c r="T28" s="251" t="s">
        <v>524</v>
      </c>
      <c r="U28" s="302">
        <v>46054</v>
      </c>
      <c r="V28" s="372">
        <v>46374</v>
      </c>
      <c r="Y28" s="298"/>
      <c r="Z28" s="298"/>
      <c r="AA28" s="296"/>
      <c r="AB28" s="141"/>
      <c r="AI28" s="296"/>
      <c r="AJ28" s="296"/>
      <c r="AK28" s="294"/>
      <c r="AL28" s="294"/>
      <c r="AM28" s="294"/>
      <c r="AN28" s="67"/>
      <c r="AO28" s="67"/>
      <c r="AP28" s="67"/>
      <c r="AQ28" s="67"/>
      <c r="AR28" s="67"/>
      <c r="AS28" s="294"/>
      <c r="AT28" s="294"/>
    </row>
    <row r="29" spans="1:46" ht="74.25" customHeight="1" thickBot="1" x14ac:dyDescent="0.25">
      <c r="A29" s="461"/>
      <c r="B29" s="435"/>
      <c r="C29" s="434"/>
      <c r="D29" s="434"/>
      <c r="E29" s="431"/>
      <c r="F29" s="431"/>
      <c r="G29" s="435"/>
      <c r="H29" s="434"/>
      <c r="I29" s="431"/>
      <c r="J29" s="431"/>
      <c r="K29" s="431"/>
      <c r="L29" s="435"/>
      <c r="M29" s="435"/>
      <c r="N29" s="350" t="str">
        <f>+IF(L27="","",IF(OR(L27=$AB$20,L27=$AB$21,L27=$AB$22),$AC$20,IF(L27=$AB$23,$AC$23)))</f>
        <v>Reducir_mitigar_Transferir_Evitar</v>
      </c>
      <c r="O29" s="462"/>
      <c r="P29" s="350" t="str">
        <f>+IF($M27="","",IF($M27=$AD$23,$AC$23,$O27))</f>
        <v>Reducir_Mitigar</v>
      </c>
      <c r="Q29" s="463"/>
      <c r="R29" s="346" t="s">
        <v>503</v>
      </c>
      <c r="S29" s="346" t="s">
        <v>500</v>
      </c>
      <c r="T29" s="346" t="s">
        <v>524</v>
      </c>
      <c r="U29" s="396">
        <v>46054</v>
      </c>
      <c r="V29" s="397">
        <v>46374</v>
      </c>
      <c r="Y29" s="298"/>
      <c r="Z29" s="298"/>
      <c r="AA29" s="299"/>
      <c r="AI29" s="296"/>
      <c r="AJ29" s="296"/>
      <c r="AK29" s="294"/>
      <c r="AL29" s="67"/>
      <c r="AM29" s="67"/>
      <c r="AN29" s="67"/>
      <c r="AO29" s="67"/>
      <c r="AP29" s="67"/>
      <c r="AQ29" s="67"/>
      <c r="AR29" s="67"/>
      <c r="AS29" s="294"/>
      <c r="AT29" s="294"/>
    </row>
    <row r="30" spans="1:46" ht="105.95" customHeight="1" x14ac:dyDescent="0.2">
      <c r="A30" s="436" t="str">
        <f>'2 IDENTIFICACIÓN'!A23</f>
        <v>R14</v>
      </c>
      <c r="B30" s="428" t="str">
        <f>+'2 IDENTIFICACIÓN'!J23</f>
        <v>Posibilidad de pérdida reputacional por soborno entrante en los procesos de liquidación y pago de nómina del personal docente, directivo docente y administrativo, al aceptar o solicitar ventajas indebidas para autorizar pagos de salarios u horas extras diferentes a las aprobadas, debido a deficiencias en la validación de requisitos, novedades y soportes establecidos.</v>
      </c>
      <c r="C30" s="432">
        <f>+'3 PROBABIL E IMPACTO INHERENTE'!E23</f>
        <v>0.8</v>
      </c>
      <c r="D30" s="432">
        <f>+'3 PROBABIL E IMPACTO INHERENTE'!M23</f>
        <v>0.6</v>
      </c>
      <c r="E30" s="418" t="str">
        <f>+'4 MAPA CALOR INHERENTE'!C23</f>
        <v>Alta</v>
      </c>
      <c r="F30" s="418" t="str">
        <f>+'4 MAPA CALOR INHERENTE'!D23</f>
        <v>Moderado</v>
      </c>
      <c r="G30" s="428" t="str">
        <f>+'4 MAPA CALOR INHERENTE'!E23</f>
        <v>Alto</v>
      </c>
      <c r="H30" s="432">
        <f>+'5 VALORACIÓN DEL CONTROL'!T93</f>
        <v>0.8</v>
      </c>
      <c r="I30" s="418">
        <f>+'5 VALORACIÓN DEL CONTROL'!U93</f>
        <v>0.6</v>
      </c>
      <c r="J30" s="418" t="str">
        <f>+IF(H30=0,"",IF(H30&lt;=$Z$17,$AA$17,IF(H30&lt;=$Z$16,$AA$16,IF(H30&lt;=$Z$13,$AA$13,IF(H30&lt;=$Z$12,$AA$12,IF(H30&lt;=$Z$9,$AA$9,""))))))</f>
        <v>Alta</v>
      </c>
      <c r="K30" s="418" t="str">
        <f>+IF(I30=0,"",IF(I30&lt;=$AB$7,$AB$8,IF(I30&lt;=$AC$7,$AC$8,IF(I30&lt;=$AD$7,$AD$8,IF(I30&lt;=$AE$7,$AE$8,IF(I30&lt;=$AF$7,$AF$8,""))))))</f>
        <v>Moderado</v>
      </c>
      <c r="L30" s="428" t="str">
        <f>+IF(J30=$AA$9,IF(K30=$AB$8,$AB$9,IF(K30=$AC$8,$AC$9,IF(K30=$AD$8,$AD$9,IF(K30=$AE$8,$AE$9,IF(K30=$AF$8,$AF$9))))),IF(J30=$AA$12,IF(K30=$AB$8,$AB$12,IF(K30=$AC$8,$AC$12,IF(K30=$AD$8,$AD$12,IF(K30=$AE$8,$AE$12,IF(K30=$AF$8,$AF$12))))),IF(J30=$AA$13,IF(K30=$AB$8,$AB$13,IF(K30=$AC$8,$AC$13,IF(K30=$AD$8,$AD$13,IF(K30=$AE$8,$AE$13,IF(K30=$AF$8,$AF$13))))),IF(J30=$AA$16,IF(K30=$AB$8,$AB$16,IF(K30=$AC$8,$AC$16,IF(K30=$AD$8,$AD$16,IF(K30=$AE$8,$AE$16,IF(K30=$AF$8,$AF$16))))),IF(J30=$AA$17,IF(K30=$AB$8,$AB$17,IF(K30=$AC$8,$AC$17,IF(K30=$AD$8,$AD$17,IF(K30=$AE$8,$AE$17,IF(K30=$AF$8,$AF$17))))),"")))))</f>
        <v>Alto</v>
      </c>
      <c r="M30" s="428" t="str">
        <f>+IF($N31="","",IF($N31=$AC$20,$AD$20,IF($N31=$AC$23,$AD$23)))</f>
        <v>Requiere Plan de Acción</v>
      </c>
      <c r="N30" s="366"/>
      <c r="O30" s="425" t="s">
        <v>334</v>
      </c>
      <c r="P30" s="366"/>
      <c r="Q30" s="415" t="str">
        <f>'5 VALORACIÓN DEL CONTROL'!I88</f>
        <v>El personal encargado de nómina verifica la prenómina y los soportes de horas extras del personal docente, directivo docente y administrativo,  con el fin de validar que los pagos y reconocimientos económicos correspondan a las novedades y requisitos debidamente aprobados.</v>
      </c>
      <c r="R30" s="392" t="s">
        <v>504</v>
      </c>
      <c r="S30" s="392" t="s">
        <v>505</v>
      </c>
      <c r="T30" s="369" t="s">
        <v>523</v>
      </c>
      <c r="U30" s="370">
        <v>46054</v>
      </c>
      <c r="V30" s="371">
        <v>46374</v>
      </c>
      <c r="Y30" s="298"/>
      <c r="Z30" s="298"/>
      <c r="AA30" s="299"/>
      <c r="AI30" s="296"/>
      <c r="AJ30" s="296"/>
      <c r="AK30" s="294"/>
      <c r="AL30" s="67"/>
      <c r="AM30" s="67"/>
      <c r="AN30" s="67"/>
      <c r="AO30" s="67"/>
      <c r="AP30" s="67"/>
      <c r="AQ30" s="67"/>
      <c r="AR30" s="67"/>
      <c r="AS30" s="294"/>
      <c r="AT30" s="294"/>
    </row>
    <row r="31" spans="1:46" ht="105.95" customHeight="1" thickBot="1" x14ac:dyDescent="0.25">
      <c r="A31" s="438"/>
      <c r="B31" s="430"/>
      <c r="C31" s="439"/>
      <c r="D31" s="439"/>
      <c r="E31" s="420"/>
      <c r="F31" s="420"/>
      <c r="G31" s="430"/>
      <c r="H31" s="439"/>
      <c r="I31" s="420"/>
      <c r="J31" s="420"/>
      <c r="K31" s="420"/>
      <c r="L31" s="430"/>
      <c r="M31" s="430"/>
      <c r="N31" s="376" t="str">
        <f>+IF(L30="","",IF(OR(L30=$AB$20,L30=$AB$21,L30=$AB$22),$AC$20,IF(L30=$AB$23,$AC$23)))</f>
        <v>Reducir_mitigar_Transferir_Evitar</v>
      </c>
      <c r="O31" s="427"/>
      <c r="P31" s="376" t="str">
        <f>+IF($M30="","",IF($M30=$AD$23,$AC$23,$O30))</f>
        <v>Reducir_Mitigar</v>
      </c>
      <c r="Q31" s="417"/>
      <c r="R31" s="393" t="s">
        <v>506</v>
      </c>
      <c r="S31" s="393" t="s">
        <v>507</v>
      </c>
      <c r="T31" s="379" t="s">
        <v>523</v>
      </c>
      <c r="U31" s="380">
        <v>46054</v>
      </c>
      <c r="V31" s="381">
        <v>46374</v>
      </c>
      <c r="Y31" s="298"/>
      <c r="Z31" s="298"/>
      <c r="AK31" s="294"/>
      <c r="AL31" s="300"/>
      <c r="AM31" s="300"/>
      <c r="AN31" s="300"/>
      <c r="AO31" s="300"/>
      <c r="AP31" s="300"/>
      <c r="AQ31" s="300"/>
      <c r="AR31" s="67"/>
      <c r="AS31" s="294"/>
      <c r="AT31" s="294"/>
    </row>
    <row r="32" spans="1:46" ht="145.5" customHeight="1" thickBot="1" x14ac:dyDescent="0.25">
      <c r="A32" s="373" t="str">
        <f>'2 IDENTIFICACIÓN'!A24</f>
        <v>R15</v>
      </c>
      <c r="B32" s="374" t="str">
        <f>+'2 IDENTIFICACIÓN'!J24</f>
        <v>Posibilidad de pérdida reputacional por corrupción en el trámite de licencias, registros y autorizaciones de funcionamiento de Instituciones Educativas y programas de Educación para el Trabajo y Desarrollo Humano (EDTH), debido a favorecimientos, priorización, agilización o aprobación indebida de solicitudes sin el cumplimiento de los requisitos, términos y criterios establecidos.</v>
      </c>
      <c r="C32" s="375">
        <f>+'3 PROBABIL E IMPACTO INHERENTE'!E24</f>
        <v>0.4</v>
      </c>
      <c r="D32" s="375">
        <f>+'3 PROBABIL E IMPACTO INHERENTE'!M24</f>
        <v>0.8</v>
      </c>
      <c r="E32" s="345" t="str">
        <f>+'4 MAPA CALOR INHERENTE'!C24</f>
        <v>Baja</v>
      </c>
      <c r="F32" s="345" t="str">
        <f>+'4 MAPA CALOR INHERENTE'!D24</f>
        <v>Mayor</v>
      </c>
      <c r="G32" s="374" t="str">
        <f>+'4 MAPA CALOR INHERENTE'!E24</f>
        <v>Alto</v>
      </c>
      <c r="H32" s="375">
        <f>+'5 VALORACIÓN DEL CONTROL'!T99</f>
        <v>0.4</v>
      </c>
      <c r="I32" s="345">
        <f>+'5 VALORACIÓN DEL CONTROL'!U99</f>
        <v>0.8</v>
      </c>
      <c r="J32" s="345" t="str">
        <f t="shared" ref="J32:J47" si="6">+IF(H32=0,"",IF(H32&lt;=$Z$17,$AA$17,IF(H32&lt;=$Z$16,$AA$16,IF(H32&lt;=$Z$13,$AA$13,IF(H32&lt;=$Z$12,$AA$12,IF(H32&lt;=$Z$9,$AA$9,""))))))</f>
        <v>Baja</v>
      </c>
      <c r="K32" s="345" t="str">
        <f t="shared" si="0"/>
        <v>Mayor</v>
      </c>
      <c r="L32" s="374" t="str">
        <f t="shared" ref="L32:L47" si="7">+IF(J32=$AA$9,IF(K32=$AB$8,$AB$9,IF(K32=$AC$8,$AC$9,IF(K32=$AD$8,$AD$9,IF(K32=$AE$8,$AE$9,IF(K32=$AF$8,$AF$9))))),IF(J32=$AA$12,IF(K32=$AB$8,$AB$12,IF(K32=$AC$8,$AC$12,IF(K32=$AD$8,$AD$12,IF(K32=$AE$8,$AE$12,IF(K32=$AF$8,$AF$12))))),IF(J32=$AA$13,IF(K32=$AB$8,$AB$13,IF(K32=$AC$8,$AC$13,IF(K32=$AD$8,$AD$13,IF(K32=$AE$8,$AE$13,IF(K32=$AF$8,$AF$13))))),IF(J32=$AA$16,IF(K32=$AB$8,$AB$16,IF(K32=$AC$8,$AC$16,IF(K32=$AD$8,$AD$16,IF(K32=$AE$8,$AE$16,IF(K32=$AF$8,$AF$16))))),IF(J32=$AA$17,IF(K32=$AB$8,$AB$17,IF(K32=$AC$8,$AC$17,IF(K32=$AD$8,$AD$17,IF(K32=$AE$8,$AE$17,IF(K32=$AF$8,$AF$17))))),"")))))</f>
        <v>Alto</v>
      </c>
      <c r="M32" s="374" t="str">
        <f t="shared" ref="M32:M47" si="8">+IF($N32="","",IF($N32=$AC$20,$AD$20,IF($N32=$AC$23,$AD$23)))</f>
        <v>Requiere Plan de Acción</v>
      </c>
      <c r="N32" s="374" t="str">
        <f>+IF(L32="","",IF(OR(L32=$AB$20,L32=$AB$21,L32=$AB$22),$AC$20,IF(L32=$AB$23,$AC$23)))</f>
        <v>Reducir_mitigar_Transferir_Evitar</v>
      </c>
      <c r="O32" s="377" t="s">
        <v>334</v>
      </c>
      <c r="P32" s="374" t="str">
        <f t="shared" ref="P32:P47" si="9">+IF($M32="","",IF($M32=$AD$23,$AC$23,$O32))</f>
        <v>Reducir_Mitigar</v>
      </c>
      <c r="Q32" s="378" t="str">
        <f>'5 VALORACIÓN DEL CONTROL'!I94</f>
        <v>El profesional responsable del proceso de Inspección y Vigilancia verifica el cumplimiento de los requisitos, términos y criterios establecidos en la circular vigente emitida por la Secretaría de Educación de Bucaramanga para el trámite de licencias, registros y funcionamiento de Instituciones Educativas y programas de Educación para el Trabajo y Desarrollo Humano (EDTH), con el fin de garantizar la transparencia, objetividad y legalidad del proceso.</v>
      </c>
      <c r="R32" s="393" t="s">
        <v>508</v>
      </c>
      <c r="S32" s="393" t="s">
        <v>509</v>
      </c>
      <c r="T32" s="377" t="s">
        <v>525</v>
      </c>
      <c r="U32" s="394">
        <v>46143</v>
      </c>
      <c r="V32" s="395">
        <v>46374</v>
      </c>
      <c r="Y32" s="298"/>
      <c r="Z32" s="298"/>
      <c r="AK32" s="294"/>
      <c r="AL32" s="67"/>
      <c r="AM32" s="67"/>
      <c r="AN32" s="67"/>
      <c r="AO32" s="67"/>
      <c r="AP32" s="67"/>
      <c r="AQ32" s="67"/>
      <c r="AR32" s="67"/>
      <c r="AS32" s="294"/>
      <c r="AT32" s="294"/>
    </row>
    <row r="33" spans="1:46" ht="123.75" customHeight="1" thickBot="1" x14ac:dyDescent="0.25">
      <c r="A33" s="382" t="str">
        <f>'2 IDENTIFICACIÓN'!A25</f>
        <v>R16</v>
      </c>
      <c r="B33" s="383" t="str">
        <f>+'2 IDENTIFICACIÓN'!J25</f>
        <v>Posibilidad de pérdida reputacional por soborno entrante en los procesos de contratación, al recibir o solicitar ventajas indebidas para favorecer la adjudicación de contratos, debido a incumplimiento de los principios y requisitos establecidos en la normatividad vigente.</v>
      </c>
      <c r="C33" s="384">
        <f>+'3 PROBABIL E IMPACTO INHERENTE'!E25</f>
        <v>0.6</v>
      </c>
      <c r="D33" s="384">
        <f>+'3 PROBABIL E IMPACTO INHERENTE'!M25</f>
        <v>0.6</v>
      </c>
      <c r="E33" s="385" t="str">
        <f>+'4 MAPA CALOR INHERENTE'!C25</f>
        <v>Media</v>
      </c>
      <c r="F33" s="385" t="str">
        <f>+'4 MAPA CALOR INHERENTE'!D25</f>
        <v>Moderado</v>
      </c>
      <c r="G33" s="383" t="str">
        <f>+'4 MAPA CALOR INHERENTE'!E25</f>
        <v>Moderado</v>
      </c>
      <c r="H33" s="384">
        <f>+'5 VALORACIÓN DEL CONTROL'!T105</f>
        <v>0.6</v>
      </c>
      <c r="I33" s="385">
        <f>+'5 VALORACIÓN DEL CONTROL'!U105</f>
        <v>0.6</v>
      </c>
      <c r="J33" s="385" t="str">
        <f t="shared" si="6"/>
        <v>Media</v>
      </c>
      <c r="K33" s="385" t="str">
        <f t="shared" si="0"/>
        <v>Moderado</v>
      </c>
      <c r="L33" s="383" t="str">
        <f t="shared" si="7"/>
        <v>Moderado</v>
      </c>
      <c r="M33" s="383" t="str">
        <f t="shared" si="8"/>
        <v>Requiere Plan de Acción</v>
      </c>
      <c r="N33" s="383" t="str">
        <f>+IF(L33="","",IF(OR(L33=$AB$20,L33=$AB$21,L33=$AB$22),$AC$20,IF(L33=$AB$23,$AC$23)))</f>
        <v>Reducir_mitigar_Transferir_Evitar</v>
      </c>
      <c r="O33" s="386" t="s">
        <v>334</v>
      </c>
      <c r="P33" s="383" t="str">
        <f t="shared" si="9"/>
        <v>Reducir_Mitigar</v>
      </c>
      <c r="Q33" s="387" t="str">
        <f>'5 VALORACIÓN DEL CONTROL'!I100</f>
        <v>Los profesionales encargados de la contratación verifican la aplicación de los lineamientos y requisitos establecidos en la normatividad vigente durante la etapa precontractual de los procesos adelantados por la Secretaría de Educación, diferentes a contratos de prestación de servicios, mediante la revisión de los documentos y soportes que hacen parte del proceso contractual, con el fin de evitar omisiones o actuaciones que favorezcan indebidamente la celebración de contratos.</v>
      </c>
      <c r="R33" s="393" t="s">
        <v>510</v>
      </c>
      <c r="S33" s="393" t="s">
        <v>482</v>
      </c>
      <c r="T33" s="386" t="s">
        <v>526</v>
      </c>
      <c r="U33" s="388">
        <v>46113</v>
      </c>
      <c r="V33" s="389">
        <v>46374</v>
      </c>
      <c r="AK33" s="294"/>
      <c r="AL33" s="67"/>
      <c r="AM33" s="67"/>
      <c r="AN33" s="67"/>
      <c r="AO33" s="67"/>
      <c r="AP33" s="67"/>
      <c r="AQ33" s="67"/>
      <c r="AR33" s="67"/>
      <c r="AS33" s="294"/>
      <c r="AT33" s="294"/>
    </row>
    <row r="34" spans="1:46" ht="123.75" customHeight="1" thickBot="1" x14ac:dyDescent="0.3">
      <c r="A34" s="398" t="str">
        <f>'2 IDENTIFICACIÓN'!A26</f>
        <v>R17</v>
      </c>
      <c r="B34" s="351" t="str">
        <f>+'2 IDENTIFICACIÓN'!J26</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4" s="87">
        <f>+'3 PROBABIL E IMPACTO INHERENTE'!E26</f>
        <v>0.4</v>
      </c>
      <c r="D34" s="87">
        <f>+'3 PROBABIL E IMPACTO INHERENTE'!M26</f>
        <v>0.6</v>
      </c>
      <c r="E34" s="62" t="str">
        <f>+'4 MAPA CALOR INHERENTE'!C26</f>
        <v>Baja</v>
      </c>
      <c r="F34" s="62" t="str">
        <f>+'4 MAPA CALOR INHERENTE'!D26</f>
        <v>Moderado</v>
      </c>
      <c r="G34" s="351" t="str">
        <f>+'4 MAPA CALOR INHERENTE'!E26</f>
        <v>Moderado</v>
      </c>
      <c r="H34" s="87">
        <f>+'5 VALORACIÓN DEL CONTROL'!T111</f>
        <v>0.6</v>
      </c>
      <c r="I34" s="62">
        <f>+'5 VALORACIÓN DEL CONTROL'!U111</f>
        <v>0</v>
      </c>
      <c r="J34" s="62" t="str">
        <f t="shared" si="6"/>
        <v>Media</v>
      </c>
      <c r="K34" s="385" t="s">
        <v>280</v>
      </c>
      <c r="L34" s="351" t="str">
        <f t="shared" si="7"/>
        <v>Moderado</v>
      </c>
      <c r="M34" s="383" t="str">
        <f t="shared" si="8"/>
        <v>Requiere Plan de Acción</v>
      </c>
      <c r="N34" s="351" t="str">
        <f>+IF(L34="","",IF(OR(L34=$AB$20,L34=$AB$21,L34=$AB$22),$AC$20,IF(L34=$AB$23,$AC$23)))</f>
        <v>Reducir_mitigar_Transferir_Evitar</v>
      </c>
      <c r="O34" s="349" t="s">
        <v>334</v>
      </c>
      <c r="P34" s="351" t="str">
        <f t="shared" si="9"/>
        <v>Reducir_Mitigar</v>
      </c>
      <c r="Q34" s="347" t="str">
        <f>'5 VALORACIÓN DEL CONTROL'!I106</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34" s="251" t="s">
        <v>534</v>
      </c>
      <c r="S34" s="251" t="s">
        <v>535</v>
      </c>
      <c r="T34" s="251" t="s">
        <v>536</v>
      </c>
      <c r="U34" s="302">
        <v>46264</v>
      </c>
      <c r="V34" s="302">
        <v>46387</v>
      </c>
    </row>
    <row r="35" spans="1:46" ht="123.75" hidden="1" customHeight="1" x14ac:dyDescent="0.25">
      <c r="A35" s="60" t="str">
        <f>'2 IDENTIFICACIÓN'!A27</f>
        <v>R18</v>
      </c>
      <c r="B35" s="250" t="str">
        <f>+'2 IDENTIFICACIÓN'!J27</f>
        <v xml:space="preserve"> por  debido a </v>
      </c>
      <c r="C35" s="87" t="str">
        <f>+'3 PROBABIL E IMPACTO INHERENTE'!E27</f>
        <v/>
      </c>
      <c r="D35" s="87" t="str">
        <f>+'3 PROBABIL E IMPACTO INHERENTE'!M27</f>
        <v/>
      </c>
      <c r="E35" s="62" t="str">
        <f>+'4 MAPA CALOR INHERENTE'!C27</f>
        <v/>
      </c>
      <c r="F35" s="62" t="str">
        <f>+'4 MAPA CALOR INHERENTE'!D27</f>
        <v/>
      </c>
      <c r="G35" s="250" t="str">
        <f>+'4 MAPA CALOR INHERENTE'!E27</f>
        <v/>
      </c>
      <c r="H35" s="87">
        <f>+'5 VALORACIÓN DEL CONTROL'!T117</f>
        <v>0.6</v>
      </c>
      <c r="I35" s="62">
        <f>+'5 VALORACIÓN DEL CONTROL'!U117</f>
        <v>0</v>
      </c>
      <c r="J35" s="62" t="str">
        <f t="shared" si="6"/>
        <v>Media</v>
      </c>
      <c r="K35" s="62" t="str">
        <f t="shared" si="0"/>
        <v/>
      </c>
      <c r="L35" s="250" t="b">
        <f t="shared" si="7"/>
        <v>0</v>
      </c>
      <c r="M35" s="250" t="b">
        <f t="shared" si="8"/>
        <v>0</v>
      </c>
      <c r="N35" s="250" t="b">
        <f>+IF(L35="","",IF(OR(L35=$AB$20,L35=$AB$21,L35=$AB$22),$AC$20,IF(L35=$AB$23,$AC$23)))</f>
        <v>0</v>
      </c>
      <c r="O35" s="251"/>
      <c r="P35" s="250">
        <f t="shared" si="9"/>
        <v>0</v>
      </c>
      <c r="Q35" s="301" t="str">
        <f>'5 VALORACIÓN DEL CONTROL'!I27</f>
        <v xml:space="preserve">  </v>
      </c>
      <c r="R35" s="251"/>
      <c r="S35" s="251"/>
      <c r="T35" s="251"/>
      <c r="U35" s="302"/>
      <c r="V35" s="302"/>
    </row>
    <row r="36" spans="1:46" ht="123.75" hidden="1" customHeight="1" x14ac:dyDescent="0.25">
      <c r="A36" s="60" t="str">
        <f>'2 IDENTIFICACIÓN'!A28</f>
        <v>R19</v>
      </c>
      <c r="B36" s="250" t="str">
        <f>+'2 IDENTIFICACIÓN'!J28</f>
        <v xml:space="preserve"> por  debido a </v>
      </c>
      <c r="C36" s="87" t="str">
        <f>+'3 PROBABIL E IMPACTO INHERENTE'!E28</f>
        <v/>
      </c>
      <c r="D36" s="87" t="str">
        <f>+'3 PROBABIL E IMPACTO INHERENTE'!M28</f>
        <v/>
      </c>
      <c r="E36" s="62" t="str">
        <f>+'4 MAPA CALOR INHERENTE'!C28</f>
        <v/>
      </c>
      <c r="F36" s="62" t="str">
        <f>+'4 MAPA CALOR INHERENTE'!D28</f>
        <v/>
      </c>
      <c r="G36" s="250" t="str">
        <f>+'4 MAPA CALOR INHERENTE'!E28</f>
        <v/>
      </c>
      <c r="H36" s="87">
        <f>+'5 VALORACIÓN DEL CONTROL'!T123</f>
        <v>0.6</v>
      </c>
      <c r="I36" s="62">
        <f>+'5 VALORACIÓN DEL CONTROL'!U123</f>
        <v>0</v>
      </c>
      <c r="J36" s="62" t="str">
        <f t="shared" si="6"/>
        <v>Media</v>
      </c>
      <c r="K36" s="62" t="str">
        <f t="shared" si="0"/>
        <v/>
      </c>
      <c r="L36" s="250" t="b">
        <f t="shared" si="7"/>
        <v>0</v>
      </c>
      <c r="M36" s="250" t="b">
        <f t="shared" si="8"/>
        <v>0</v>
      </c>
      <c r="N36" s="250" t="b">
        <f>+IF(L36="","",IF(OR(L36=$AB$20,L36=$AB$21,L36=$AB$22),$AC$20,IF(L36=$AB$23,$AC$23)))</f>
        <v>0</v>
      </c>
      <c r="O36" s="251"/>
      <c r="P36" s="250">
        <f t="shared" si="9"/>
        <v>0</v>
      </c>
      <c r="Q36" s="301"/>
      <c r="R36" s="251"/>
      <c r="S36" s="251"/>
      <c r="T36" s="251"/>
      <c r="U36" s="302"/>
      <c r="V36" s="302"/>
    </row>
    <row r="37" spans="1:46" ht="123.75" hidden="1" customHeight="1" x14ac:dyDescent="0.25">
      <c r="A37" s="60" t="str">
        <f>'2 IDENTIFICACIÓN'!A29</f>
        <v>R20</v>
      </c>
      <c r="B37" s="250" t="str">
        <f>+'2 IDENTIFICACIÓN'!J29</f>
        <v xml:space="preserve"> por  debido a </v>
      </c>
      <c r="C37" s="87" t="str">
        <f>+'3 PROBABIL E IMPACTO INHERENTE'!E29</f>
        <v/>
      </c>
      <c r="D37" s="87" t="str">
        <f>+'3 PROBABIL E IMPACTO INHERENTE'!M29</f>
        <v/>
      </c>
      <c r="E37" s="62" t="str">
        <f>+'4 MAPA CALOR INHERENTE'!C29</f>
        <v/>
      </c>
      <c r="F37" s="62" t="str">
        <f>+'4 MAPA CALOR INHERENTE'!D29</f>
        <v/>
      </c>
      <c r="G37" s="250" t="str">
        <f>+'4 MAPA CALOR INHERENTE'!E29</f>
        <v/>
      </c>
      <c r="H37" s="87">
        <f>+'5 VALORACIÓN DEL CONTROL'!T124</f>
        <v>0.6</v>
      </c>
      <c r="I37" s="62" t="str">
        <f>+'5 VALORACIÓN DEL CONTROL'!U124</f>
        <v/>
      </c>
      <c r="J37" s="62" t="str">
        <f t="shared" si="6"/>
        <v>Media</v>
      </c>
      <c r="K37" s="62" t="str">
        <f t="shared" ref="K37:K47" si="10">+IF(I37=0,"",IF(I37&lt;=$AB$7,$AB$8,IF(I37&lt;=$AC$7,$AC$8,IF(I37&lt;=$AD$7,$AD$8,IF(I37&lt;=$AE$7,$AE$8,IF(I37&lt;=$AF$7,$AF$8,""))))))</f>
        <v/>
      </c>
      <c r="L37" s="250" t="b">
        <f t="shared" si="7"/>
        <v>0</v>
      </c>
      <c r="M37" s="250" t="b">
        <f t="shared" si="8"/>
        <v>0</v>
      </c>
      <c r="N37" s="250" t="b">
        <f t="shared" ref="N37:N47" si="11">+IF(L37="","",IF(OR(L37=$AB$20,L37=$AB$21,L37=$AB$22),$AC$20,IF(L37=$AB$23,$AC$23)))</f>
        <v>0</v>
      </c>
      <c r="O37" s="251"/>
      <c r="P37" s="250">
        <f t="shared" si="9"/>
        <v>0</v>
      </c>
      <c r="Q37" s="301" t="str">
        <f>'5 VALORACIÓN DEL CONTROL'!I29</f>
        <v xml:space="preserve">  </v>
      </c>
      <c r="R37" s="251"/>
      <c r="S37" s="251"/>
      <c r="T37" s="251"/>
      <c r="U37" s="302"/>
      <c r="V37" s="302"/>
    </row>
    <row r="38" spans="1:46" ht="123.75" hidden="1" customHeight="1" x14ac:dyDescent="0.25">
      <c r="A38" s="60" t="str">
        <f>'2 IDENTIFICACIÓN'!A30</f>
        <v>R21</v>
      </c>
      <c r="B38" s="250" t="str">
        <f>+'2 IDENTIFICACIÓN'!J30</f>
        <v xml:space="preserve"> por  debido a </v>
      </c>
      <c r="C38" s="87" t="str">
        <f>+'3 PROBABIL E IMPACTO INHERENTE'!E30</f>
        <v/>
      </c>
      <c r="D38" s="87" t="str">
        <f>+'3 PROBABIL E IMPACTO INHERENTE'!M30</f>
        <v/>
      </c>
      <c r="E38" s="62" t="str">
        <f>+'4 MAPA CALOR INHERENTE'!C30</f>
        <v/>
      </c>
      <c r="F38" s="62" t="str">
        <f>+'4 MAPA CALOR INHERENTE'!D30</f>
        <v/>
      </c>
      <c r="G38" s="250" t="str">
        <f>+'4 MAPA CALOR INHERENTE'!E30</f>
        <v/>
      </c>
      <c r="H38" s="87">
        <f>+'5 VALORACIÓN DEL CONTROL'!T125</f>
        <v>0.6</v>
      </c>
      <c r="I38" s="62">
        <f>+'5 VALORACIÓN DEL CONTROL'!U125</f>
        <v>0</v>
      </c>
      <c r="J38" s="62" t="str">
        <f t="shared" si="6"/>
        <v>Media</v>
      </c>
      <c r="K38" s="62" t="str">
        <f t="shared" si="10"/>
        <v/>
      </c>
      <c r="L38" s="250" t="b">
        <f t="shared" si="7"/>
        <v>0</v>
      </c>
      <c r="M38" s="250" t="b">
        <f t="shared" si="8"/>
        <v>0</v>
      </c>
      <c r="N38" s="250" t="b">
        <f t="shared" si="11"/>
        <v>0</v>
      </c>
      <c r="O38" s="251"/>
      <c r="P38" s="250">
        <f t="shared" si="9"/>
        <v>0</v>
      </c>
      <c r="Q38" s="301" t="str">
        <f>'5 VALORACIÓN DEL CONTROL'!I30</f>
        <v xml:space="preserve">  </v>
      </c>
      <c r="R38" s="251"/>
      <c r="S38" s="251"/>
      <c r="T38" s="251"/>
      <c r="U38" s="302"/>
      <c r="V38" s="302"/>
    </row>
    <row r="39" spans="1:46" ht="123.75" hidden="1" customHeight="1" x14ac:dyDescent="0.25">
      <c r="A39" s="60" t="str">
        <f>'2 IDENTIFICACIÓN'!A31</f>
        <v>R22</v>
      </c>
      <c r="B39" s="250" t="str">
        <f>+'2 IDENTIFICACIÓN'!J31</f>
        <v xml:space="preserve"> por  debido a </v>
      </c>
      <c r="C39" s="87" t="str">
        <f>+'3 PROBABIL E IMPACTO INHERENTE'!E31</f>
        <v/>
      </c>
      <c r="D39" s="87" t="str">
        <f>+'3 PROBABIL E IMPACTO INHERENTE'!M31</f>
        <v/>
      </c>
      <c r="E39" s="62" t="str">
        <f>+'4 MAPA CALOR INHERENTE'!C31</f>
        <v/>
      </c>
      <c r="F39" s="62" t="str">
        <f>+'4 MAPA CALOR INHERENTE'!D31</f>
        <v/>
      </c>
      <c r="G39" s="250" t="str">
        <f>+'4 MAPA CALOR INHERENTE'!E31</f>
        <v/>
      </c>
      <c r="H39" s="87">
        <f>+'5 VALORACIÓN DEL CONTROL'!T126</f>
        <v>0.6</v>
      </c>
      <c r="I39" s="62">
        <f>+'5 VALORACIÓN DEL CONTROL'!U126</f>
        <v>0</v>
      </c>
      <c r="J39" s="62" t="str">
        <f t="shared" si="6"/>
        <v>Media</v>
      </c>
      <c r="K39" s="62" t="str">
        <f t="shared" si="10"/>
        <v/>
      </c>
      <c r="L39" s="250" t="b">
        <f t="shared" si="7"/>
        <v>0</v>
      </c>
      <c r="M39" s="250" t="b">
        <f t="shared" si="8"/>
        <v>0</v>
      </c>
      <c r="N39" s="250" t="b">
        <f t="shared" si="11"/>
        <v>0</v>
      </c>
      <c r="O39" s="251"/>
      <c r="P39" s="250">
        <f t="shared" si="9"/>
        <v>0</v>
      </c>
      <c r="Q39" s="301" t="str">
        <f>'5 VALORACIÓN DEL CONTROL'!I31</f>
        <v xml:space="preserve">  </v>
      </c>
      <c r="R39" s="251"/>
      <c r="S39" s="251"/>
      <c r="T39" s="251"/>
      <c r="U39" s="302"/>
      <c r="V39" s="302"/>
    </row>
    <row r="40" spans="1:46" ht="123.75" hidden="1" customHeight="1" x14ac:dyDescent="0.25">
      <c r="A40" s="60" t="str">
        <f>'2 IDENTIFICACIÓN'!A32</f>
        <v>R23</v>
      </c>
      <c r="B40" s="250" t="str">
        <f>+'2 IDENTIFICACIÓN'!J32</f>
        <v xml:space="preserve"> por  debido a </v>
      </c>
      <c r="C40" s="87" t="str">
        <f>+'3 PROBABIL E IMPACTO INHERENTE'!E32</f>
        <v/>
      </c>
      <c r="D40" s="87" t="str">
        <f>+'3 PROBABIL E IMPACTO INHERENTE'!M32</f>
        <v/>
      </c>
      <c r="E40" s="62" t="str">
        <f>+'4 MAPA CALOR INHERENTE'!C32</f>
        <v/>
      </c>
      <c r="F40" s="62" t="str">
        <f>+'4 MAPA CALOR INHERENTE'!D32</f>
        <v/>
      </c>
      <c r="G40" s="250" t="str">
        <f>+'4 MAPA CALOR INHERENTE'!E32</f>
        <v/>
      </c>
      <c r="H40" s="87">
        <f>+'5 VALORACIÓN DEL CONTROL'!T127</f>
        <v>0.6</v>
      </c>
      <c r="I40" s="62">
        <f>+'5 VALORACIÓN DEL CONTROL'!U127</f>
        <v>0</v>
      </c>
      <c r="J40" s="62" t="str">
        <f t="shared" si="6"/>
        <v>Media</v>
      </c>
      <c r="K40" s="62" t="str">
        <f t="shared" si="10"/>
        <v/>
      </c>
      <c r="L40" s="250" t="b">
        <f t="shared" si="7"/>
        <v>0</v>
      </c>
      <c r="M40" s="250" t="b">
        <f t="shared" si="8"/>
        <v>0</v>
      </c>
      <c r="N40" s="250" t="b">
        <f t="shared" si="11"/>
        <v>0</v>
      </c>
      <c r="O40" s="251"/>
      <c r="P40" s="250">
        <f t="shared" si="9"/>
        <v>0</v>
      </c>
      <c r="Q40" s="301" t="str">
        <f>'5 VALORACIÓN DEL CONTROL'!I32</f>
        <v xml:space="preserve">  </v>
      </c>
      <c r="R40" s="251"/>
      <c r="S40" s="251"/>
      <c r="T40" s="251"/>
      <c r="U40" s="302"/>
      <c r="V40" s="302"/>
    </row>
    <row r="41" spans="1:46" ht="123.75" hidden="1" customHeight="1" x14ac:dyDescent="0.25">
      <c r="A41" s="60" t="str">
        <f>'2 IDENTIFICACIÓN'!A33</f>
        <v>R24</v>
      </c>
      <c r="B41" s="250" t="str">
        <f>+'2 IDENTIFICACIÓN'!J33</f>
        <v xml:space="preserve"> por  debido a </v>
      </c>
      <c r="C41" s="87" t="str">
        <f>+'3 PROBABIL E IMPACTO INHERENTE'!E33</f>
        <v/>
      </c>
      <c r="D41" s="87" t="str">
        <f>+'3 PROBABIL E IMPACTO INHERENTE'!M33</f>
        <v/>
      </c>
      <c r="E41" s="62" t="str">
        <f>+'4 MAPA CALOR INHERENTE'!C33</f>
        <v/>
      </c>
      <c r="F41" s="62" t="str">
        <f>+'4 MAPA CALOR INHERENTE'!D33</f>
        <v/>
      </c>
      <c r="G41" s="250" t="str">
        <f>+'4 MAPA CALOR INHERENTE'!E33</f>
        <v/>
      </c>
      <c r="H41" s="87">
        <f>+'5 VALORACIÓN DEL CONTROL'!T128</f>
        <v>0.6</v>
      </c>
      <c r="I41" s="62">
        <f>+'5 VALORACIÓN DEL CONTROL'!U128</f>
        <v>0</v>
      </c>
      <c r="J41" s="62" t="str">
        <f t="shared" si="6"/>
        <v>Media</v>
      </c>
      <c r="K41" s="62" t="str">
        <f t="shared" si="10"/>
        <v/>
      </c>
      <c r="L41" s="250" t="b">
        <f t="shared" si="7"/>
        <v>0</v>
      </c>
      <c r="M41" s="250" t="b">
        <f t="shared" si="8"/>
        <v>0</v>
      </c>
      <c r="N41" s="250" t="b">
        <f t="shared" si="11"/>
        <v>0</v>
      </c>
      <c r="O41" s="251"/>
      <c r="P41" s="250">
        <f t="shared" si="9"/>
        <v>0</v>
      </c>
      <c r="Q41" s="301" t="str">
        <f>'5 VALORACIÓN DEL CONTROL'!I33</f>
        <v xml:space="preserve">  </v>
      </c>
      <c r="R41" s="251"/>
      <c r="S41" s="251"/>
      <c r="T41" s="251"/>
      <c r="U41" s="302"/>
      <c r="V41" s="302"/>
    </row>
    <row r="42" spans="1:46" ht="123.75" hidden="1" customHeight="1" x14ac:dyDescent="0.25">
      <c r="A42" s="60" t="str">
        <f>'2 IDENTIFICACIÓN'!A34</f>
        <v>R25</v>
      </c>
      <c r="B42" s="250" t="str">
        <f>+'2 IDENTIFICACIÓN'!J34</f>
        <v xml:space="preserve"> por  debido a </v>
      </c>
      <c r="C42" s="87" t="str">
        <f>+'3 PROBABIL E IMPACTO INHERENTE'!E34</f>
        <v/>
      </c>
      <c r="D42" s="87" t="str">
        <f>+'3 PROBABIL E IMPACTO INHERENTE'!M34</f>
        <v/>
      </c>
      <c r="E42" s="62" t="str">
        <f>+'4 MAPA CALOR INHERENTE'!C34</f>
        <v/>
      </c>
      <c r="F42" s="62" t="str">
        <f>+'4 MAPA CALOR INHERENTE'!D34</f>
        <v/>
      </c>
      <c r="G42" s="250" t="str">
        <f>+'4 MAPA CALOR INHERENTE'!E34</f>
        <v/>
      </c>
      <c r="H42" s="87">
        <f>+'5 VALORACIÓN DEL CONTROL'!T129</f>
        <v>0.6</v>
      </c>
      <c r="I42" s="62">
        <f>+'5 VALORACIÓN DEL CONTROL'!U129</f>
        <v>0</v>
      </c>
      <c r="J42" s="62" t="str">
        <f t="shared" si="6"/>
        <v>Media</v>
      </c>
      <c r="K42" s="62" t="str">
        <f t="shared" si="10"/>
        <v/>
      </c>
      <c r="L42" s="250" t="b">
        <f t="shared" si="7"/>
        <v>0</v>
      </c>
      <c r="M42" s="250" t="b">
        <f t="shared" si="8"/>
        <v>0</v>
      </c>
      <c r="N42" s="250" t="b">
        <f t="shared" si="11"/>
        <v>0</v>
      </c>
      <c r="O42" s="251"/>
      <c r="P42" s="250">
        <f t="shared" si="9"/>
        <v>0</v>
      </c>
      <c r="Q42" s="301"/>
      <c r="R42" s="251"/>
      <c r="S42" s="251"/>
      <c r="T42" s="251"/>
      <c r="U42" s="302"/>
      <c r="V42" s="302"/>
    </row>
    <row r="43" spans="1:46" ht="123.75" hidden="1" customHeight="1" x14ac:dyDescent="0.25">
      <c r="A43" s="60" t="str">
        <f>'2 IDENTIFICACIÓN'!A35</f>
        <v>R26</v>
      </c>
      <c r="B43" s="250" t="str">
        <f>+'2 IDENTIFICACIÓN'!J35</f>
        <v xml:space="preserve"> por  debido a </v>
      </c>
      <c r="C43" s="87" t="str">
        <f>+'3 PROBABIL E IMPACTO INHERENTE'!E35</f>
        <v/>
      </c>
      <c r="D43" s="87" t="str">
        <f>+'3 PROBABIL E IMPACTO INHERENTE'!M35</f>
        <v/>
      </c>
      <c r="E43" s="62" t="str">
        <f>+'4 MAPA CALOR INHERENTE'!C35</f>
        <v/>
      </c>
      <c r="F43" s="62" t="str">
        <f>+'4 MAPA CALOR INHERENTE'!D35</f>
        <v/>
      </c>
      <c r="G43" s="250" t="str">
        <f>+'4 MAPA CALOR INHERENTE'!E35</f>
        <v/>
      </c>
      <c r="H43" s="87">
        <f>+'5 VALORACIÓN DEL CONTROL'!T130</f>
        <v>0.6</v>
      </c>
      <c r="I43" s="62" t="str">
        <f>+'5 VALORACIÓN DEL CONTROL'!U130</f>
        <v/>
      </c>
      <c r="J43" s="62" t="str">
        <f t="shared" si="6"/>
        <v>Media</v>
      </c>
      <c r="K43" s="62" t="str">
        <f t="shared" si="10"/>
        <v/>
      </c>
      <c r="L43" s="250" t="b">
        <f t="shared" si="7"/>
        <v>0</v>
      </c>
      <c r="M43" s="250" t="b">
        <f t="shared" si="8"/>
        <v>0</v>
      </c>
      <c r="N43" s="250" t="b">
        <f t="shared" si="11"/>
        <v>0</v>
      </c>
      <c r="O43" s="251"/>
      <c r="P43" s="250">
        <f t="shared" si="9"/>
        <v>0</v>
      </c>
      <c r="Q43" s="301" t="str">
        <f>'5 VALORACIÓN DEL CONTROL'!I35</f>
        <v xml:space="preserve">  </v>
      </c>
      <c r="R43" s="251"/>
      <c r="S43" s="251"/>
      <c r="T43" s="251"/>
      <c r="U43" s="302"/>
      <c r="V43" s="302"/>
    </row>
    <row r="44" spans="1:46" ht="123.75" hidden="1" customHeight="1" x14ac:dyDescent="0.25">
      <c r="A44" s="60" t="str">
        <f>'2 IDENTIFICACIÓN'!A36</f>
        <v>R27</v>
      </c>
      <c r="B44" s="250" t="str">
        <f>+'2 IDENTIFICACIÓN'!J36</f>
        <v xml:space="preserve"> por  debido a </v>
      </c>
      <c r="C44" s="87" t="str">
        <f>+'3 PROBABIL E IMPACTO INHERENTE'!E36</f>
        <v/>
      </c>
      <c r="D44" s="87" t="str">
        <f>+'3 PROBABIL E IMPACTO INHERENTE'!M36</f>
        <v/>
      </c>
      <c r="E44" s="62" t="str">
        <f>+'4 MAPA CALOR INHERENTE'!C36</f>
        <v/>
      </c>
      <c r="F44" s="62" t="str">
        <f>+'4 MAPA CALOR INHERENTE'!D36</f>
        <v/>
      </c>
      <c r="G44" s="250" t="str">
        <f>+'4 MAPA CALOR INHERENTE'!E36</f>
        <v/>
      </c>
      <c r="H44" s="87">
        <f>+'5 VALORACIÓN DEL CONTROL'!T131</f>
        <v>0.6</v>
      </c>
      <c r="I44" s="62">
        <f>+'5 VALORACIÓN DEL CONTROL'!U131</f>
        <v>0</v>
      </c>
      <c r="J44" s="62" t="str">
        <f t="shared" si="6"/>
        <v>Media</v>
      </c>
      <c r="K44" s="62" t="str">
        <f t="shared" si="10"/>
        <v/>
      </c>
      <c r="L44" s="250" t="b">
        <f t="shared" si="7"/>
        <v>0</v>
      </c>
      <c r="M44" s="250" t="b">
        <f t="shared" si="8"/>
        <v>0</v>
      </c>
      <c r="N44" s="250" t="b">
        <f t="shared" si="11"/>
        <v>0</v>
      </c>
      <c r="O44" s="251"/>
      <c r="P44" s="250">
        <f t="shared" si="9"/>
        <v>0</v>
      </c>
      <c r="Q44" s="301" t="str">
        <f>'5 VALORACIÓN DEL CONTROL'!I36</f>
        <v xml:space="preserve">  </v>
      </c>
      <c r="R44" s="251"/>
      <c r="S44" s="251"/>
      <c r="T44" s="251"/>
      <c r="U44" s="302"/>
      <c r="V44" s="302"/>
    </row>
    <row r="45" spans="1:46" ht="123.75" hidden="1" customHeight="1" x14ac:dyDescent="0.25">
      <c r="A45" s="60" t="str">
        <f>'2 IDENTIFICACIÓN'!A37</f>
        <v>R28</v>
      </c>
      <c r="B45" s="250" t="str">
        <f>+'2 IDENTIFICACIÓN'!J37</f>
        <v xml:space="preserve"> por  debido a </v>
      </c>
      <c r="C45" s="87" t="str">
        <f>+'3 PROBABIL E IMPACTO INHERENTE'!E37</f>
        <v/>
      </c>
      <c r="D45" s="87" t="str">
        <f>+'3 PROBABIL E IMPACTO INHERENTE'!M37</f>
        <v/>
      </c>
      <c r="E45" s="62" t="str">
        <f>+'4 MAPA CALOR INHERENTE'!C37</f>
        <v/>
      </c>
      <c r="F45" s="62" t="str">
        <f>+'4 MAPA CALOR INHERENTE'!D37</f>
        <v/>
      </c>
      <c r="G45" s="250" t="str">
        <f>+'4 MAPA CALOR INHERENTE'!E37</f>
        <v/>
      </c>
      <c r="H45" s="87">
        <f>+'5 VALORACIÓN DEL CONTROL'!T132</f>
        <v>0.6</v>
      </c>
      <c r="I45" s="62">
        <f>+'5 VALORACIÓN DEL CONTROL'!U132</f>
        <v>0</v>
      </c>
      <c r="J45" s="62" t="str">
        <f t="shared" si="6"/>
        <v>Media</v>
      </c>
      <c r="K45" s="62" t="str">
        <f t="shared" si="10"/>
        <v/>
      </c>
      <c r="L45" s="250" t="b">
        <f t="shared" si="7"/>
        <v>0</v>
      </c>
      <c r="M45" s="250" t="b">
        <f t="shared" si="8"/>
        <v>0</v>
      </c>
      <c r="N45" s="250" t="b">
        <f t="shared" si="11"/>
        <v>0</v>
      </c>
      <c r="O45" s="251"/>
      <c r="P45" s="250">
        <f t="shared" si="9"/>
        <v>0</v>
      </c>
      <c r="Q45" s="301" t="str">
        <f>'5 VALORACIÓN DEL CONTROL'!I37</f>
        <v xml:space="preserve">  </v>
      </c>
      <c r="R45" s="251"/>
      <c r="S45" s="251"/>
      <c r="T45" s="251"/>
      <c r="U45" s="302"/>
      <c r="V45" s="302"/>
    </row>
    <row r="46" spans="1:46" ht="123.75" hidden="1" customHeight="1" x14ac:dyDescent="0.25">
      <c r="A46" s="60" t="str">
        <f>'2 IDENTIFICACIÓN'!A38</f>
        <v>R29</v>
      </c>
      <c r="B46" s="250" t="str">
        <f>+'2 IDENTIFICACIÓN'!J38</f>
        <v xml:space="preserve"> por  debido a </v>
      </c>
      <c r="C46" s="87" t="str">
        <f>+'3 PROBABIL E IMPACTO INHERENTE'!E38</f>
        <v/>
      </c>
      <c r="D46" s="87" t="str">
        <f>+'3 PROBABIL E IMPACTO INHERENTE'!M38</f>
        <v/>
      </c>
      <c r="E46" s="62" t="str">
        <f>+'4 MAPA CALOR INHERENTE'!C38</f>
        <v/>
      </c>
      <c r="F46" s="62" t="str">
        <f>+'4 MAPA CALOR INHERENTE'!D38</f>
        <v/>
      </c>
      <c r="G46" s="250" t="str">
        <f>+'4 MAPA CALOR INHERENTE'!E38</f>
        <v/>
      </c>
      <c r="H46" s="87">
        <f>+'5 VALORACIÓN DEL CONTROL'!T133</f>
        <v>0.6</v>
      </c>
      <c r="I46" s="62">
        <f>+'5 VALORACIÓN DEL CONTROL'!U133</f>
        <v>0</v>
      </c>
      <c r="J46" s="62" t="str">
        <f t="shared" si="6"/>
        <v>Media</v>
      </c>
      <c r="K46" s="62" t="str">
        <f t="shared" si="10"/>
        <v/>
      </c>
      <c r="L46" s="250" t="b">
        <f t="shared" si="7"/>
        <v>0</v>
      </c>
      <c r="M46" s="250" t="b">
        <f t="shared" si="8"/>
        <v>0</v>
      </c>
      <c r="N46" s="250" t="b">
        <f t="shared" si="11"/>
        <v>0</v>
      </c>
      <c r="O46" s="251"/>
      <c r="P46" s="250">
        <f t="shared" si="9"/>
        <v>0</v>
      </c>
      <c r="Q46" s="301" t="str">
        <f>'5 VALORACIÓN DEL CONTROL'!I38</f>
        <v xml:space="preserve">  </v>
      </c>
      <c r="R46" s="251"/>
      <c r="S46" s="251"/>
      <c r="T46" s="251"/>
      <c r="U46" s="302"/>
      <c r="V46" s="302"/>
    </row>
    <row r="47" spans="1:46" ht="123.75" hidden="1" customHeight="1" x14ac:dyDescent="0.25">
      <c r="A47" s="60" t="str">
        <f>'2 IDENTIFICACIÓN'!A39</f>
        <v>R30</v>
      </c>
      <c r="B47" s="250" t="str">
        <f>+'2 IDENTIFICACIÓN'!J39</f>
        <v xml:space="preserve"> por  debido a </v>
      </c>
      <c r="C47" s="87" t="str">
        <f>+'3 PROBABIL E IMPACTO INHERENTE'!E39</f>
        <v/>
      </c>
      <c r="D47" s="87" t="str">
        <f>+'3 PROBABIL E IMPACTO INHERENTE'!M39</f>
        <v/>
      </c>
      <c r="E47" s="62" t="str">
        <f>+'4 MAPA CALOR INHERENTE'!C39</f>
        <v/>
      </c>
      <c r="F47" s="62" t="str">
        <f>+'4 MAPA CALOR INHERENTE'!D39</f>
        <v/>
      </c>
      <c r="G47" s="250" t="str">
        <f>+'4 MAPA CALOR INHERENTE'!E39</f>
        <v/>
      </c>
      <c r="H47" s="87">
        <f>+'5 VALORACIÓN DEL CONTROL'!T134</f>
        <v>0.6</v>
      </c>
      <c r="I47" s="62">
        <f>+'5 VALORACIÓN DEL CONTROL'!U134</f>
        <v>0</v>
      </c>
      <c r="J47" s="62" t="str">
        <f t="shared" si="6"/>
        <v>Media</v>
      </c>
      <c r="K47" s="62" t="str">
        <f t="shared" si="10"/>
        <v/>
      </c>
      <c r="L47" s="250" t="b">
        <f t="shared" si="7"/>
        <v>0</v>
      </c>
      <c r="M47" s="250" t="b">
        <f t="shared" si="8"/>
        <v>0</v>
      </c>
      <c r="N47" s="250" t="b">
        <f t="shared" si="11"/>
        <v>0</v>
      </c>
      <c r="O47" s="251"/>
      <c r="P47" s="250">
        <f t="shared" si="9"/>
        <v>0</v>
      </c>
      <c r="Q47" s="301" t="str">
        <f>'5 VALORACIÓN DEL CONTROL'!I39</f>
        <v xml:space="preserve">  </v>
      </c>
      <c r="R47" s="251"/>
      <c r="S47" s="251"/>
      <c r="T47" s="251"/>
      <c r="U47" s="302"/>
      <c r="V47" s="302"/>
    </row>
    <row r="48" spans="1:46" ht="43.5" customHeight="1" thickBot="1" x14ac:dyDescent="0.3"/>
    <row r="49" spans="1:7" ht="14.25" thickTop="1" thickBot="1" x14ac:dyDescent="0.3">
      <c r="A49" s="424" t="s">
        <v>376</v>
      </c>
      <c r="B49" s="424"/>
      <c r="C49" s="424"/>
      <c r="D49" s="424"/>
      <c r="E49" s="424"/>
      <c r="F49" s="424"/>
      <c r="G49" s="424"/>
    </row>
    <row r="50" spans="1:7" ht="19.5" customHeight="1" thickTop="1" thickBot="1" x14ac:dyDescent="0.3">
      <c r="A50" s="312" t="s">
        <v>377</v>
      </c>
      <c r="B50" s="424" t="s">
        <v>378</v>
      </c>
      <c r="C50" s="424"/>
      <c r="D50" s="424" t="s">
        <v>379</v>
      </c>
      <c r="E50" s="424"/>
      <c r="F50" s="424" t="s">
        <v>380</v>
      </c>
      <c r="G50" s="424"/>
    </row>
    <row r="51" spans="1:7" ht="101.45" customHeight="1" thickTop="1" thickBot="1" x14ac:dyDescent="0.3">
      <c r="A51" s="313" t="s">
        <v>381</v>
      </c>
      <c r="B51" s="399">
        <v>46163</v>
      </c>
      <c r="C51" s="399"/>
      <c r="D51" s="400" t="s">
        <v>382</v>
      </c>
      <c r="E51" s="400"/>
      <c r="F51" s="401" t="s">
        <v>383</v>
      </c>
      <c r="G51" s="401"/>
    </row>
    <row r="52" spans="1:7" ht="19.5" customHeight="1" thickTop="1" x14ac:dyDescent="0.25"/>
    <row r="53" spans="1:7" ht="19.5" customHeight="1" x14ac:dyDescent="0.25"/>
    <row r="54" spans="1:7" ht="19.5" customHeight="1" x14ac:dyDescent="0.25"/>
  </sheetData>
  <sheetProtection formatCells="0" formatColumns="0" formatRows="0" sort="0" autoFilter="0" pivotTables="0"/>
  <dataConsolidate/>
  <mergeCells count="90">
    <mergeCell ref="A24:A26"/>
    <mergeCell ref="L27:L29"/>
    <mergeCell ref="M27:M29"/>
    <mergeCell ref="O27:O29"/>
    <mergeCell ref="Q27:Q29"/>
    <mergeCell ref="F24:F26"/>
    <mergeCell ref="F27:F29"/>
    <mergeCell ref="Q24:Q26"/>
    <mergeCell ref="O24:O26"/>
    <mergeCell ref="M24:M26"/>
    <mergeCell ref="L24:L26"/>
    <mergeCell ref="K24:K26"/>
    <mergeCell ref="J24:J26"/>
    <mergeCell ref="I24:I26"/>
    <mergeCell ref="H24:H26"/>
    <mergeCell ref="G24:G26"/>
    <mergeCell ref="A27:A29"/>
    <mergeCell ref="B27:B29"/>
    <mergeCell ref="C27:C29"/>
    <mergeCell ref="D27:D29"/>
    <mergeCell ref="E27:E29"/>
    <mergeCell ref="A30:A31"/>
    <mergeCell ref="Q30:Q31"/>
    <mergeCell ref="O30:O31"/>
    <mergeCell ref="M30:M31"/>
    <mergeCell ref="L30:L31"/>
    <mergeCell ref="K30:K31"/>
    <mergeCell ref="J30:J31"/>
    <mergeCell ref="I30:I31"/>
    <mergeCell ref="H30:H31"/>
    <mergeCell ref="G30:G31"/>
    <mergeCell ref="F30:F31"/>
    <mergeCell ref="E30:E31"/>
    <mergeCell ref="D30:D31"/>
    <mergeCell ref="C30:C31"/>
    <mergeCell ref="B30:B31"/>
    <mergeCell ref="A1:A3"/>
    <mergeCell ref="B1:I2"/>
    <mergeCell ref="B3:I3"/>
    <mergeCell ref="A4:K4"/>
    <mergeCell ref="A9:A11"/>
    <mergeCell ref="B9:B11"/>
    <mergeCell ref="C9:C11"/>
    <mergeCell ref="D9:D11"/>
    <mergeCell ref="E9:E11"/>
    <mergeCell ref="F9:F11"/>
    <mergeCell ref="G9:G11"/>
    <mergeCell ref="H9:H11"/>
    <mergeCell ref="I9:I11"/>
    <mergeCell ref="A13:A15"/>
    <mergeCell ref="J13:J15"/>
    <mergeCell ref="I13:I15"/>
    <mergeCell ref="H13:H15"/>
    <mergeCell ref="G13:G15"/>
    <mergeCell ref="F13:F15"/>
    <mergeCell ref="D13:D15"/>
    <mergeCell ref="C13:C15"/>
    <mergeCell ref="B13:B15"/>
    <mergeCell ref="B50:C50"/>
    <mergeCell ref="D50:E50"/>
    <mergeCell ref="F50:G50"/>
    <mergeCell ref="O13:O15"/>
    <mergeCell ref="M13:M15"/>
    <mergeCell ref="L13:L15"/>
    <mergeCell ref="K13:K15"/>
    <mergeCell ref="E24:E26"/>
    <mergeCell ref="D24:D26"/>
    <mergeCell ref="C24:C26"/>
    <mergeCell ref="B24:B26"/>
    <mergeCell ref="G27:G29"/>
    <mergeCell ref="H27:H29"/>
    <mergeCell ref="I27:I29"/>
    <mergeCell ref="J27:J29"/>
    <mergeCell ref="K27:K29"/>
    <mergeCell ref="B51:C51"/>
    <mergeCell ref="D51:E51"/>
    <mergeCell ref="F51:G51"/>
    <mergeCell ref="Y9:Y17"/>
    <mergeCell ref="E7:G7"/>
    <mergeCell ref="J7:L7"/>
    <mergeCell ref="Q7:V7"/>
    <mergeCell ref="O9:O11"/>
    <mergeCell ref="Q9:Q11"/>
    <mergeCell ref="L9:L11"/>
    <mergeCell ref="M9:M11"/>
    <mergeCell ref="Q13:Q15"/>
    <mergeCell ref="E13:E15"/>
    <mergeCell ref="J9:J11"/>
    <mergeCell ref="K9:K11"/>
    <mergeCell ref="A49:G49"/>
  </mergeCells>
  <conditionalFormatting sqref="E9:E10 I9:J10 E12:E14 I12:J14 E16:E25 I16:J25 E27:E28 I27:J28 E30 I30:J30 E32:E47 I32:J47">
    <cfRule type="cellIs" dxfId="26" priority="6" operator="equal">
      <formula>$AA$17</formula>
    </cfRule>
    <cfRule type="cellIs" dxfId="25" priority="7" operator="equal">
      <formula>$AA$16</formula>
    </cfRule>
    <cfRule type="cellIs" dxfId="24" priority="8" operator="equal">
      <formula>$AA$13</formula>
    </cfRule>
    <cfRule type="cellIs" dxfId="23" priority="9" operator="equal">
      <formula>$AA$12</formula>
    </cfRule>
    <cfRule type="cellIs" dxfId="22" priority="10" operator="equal">
      <formula>$AA$9</formula>
    </cfRule>
  </conditionalFormatting>
  <conditionalFormatting sqref="F9:F10 F12:F14 F16:F25 K16:K25 F27:F28 K27:K28 F30 K30 F32:F47 K32:K47">
    <cfRule type="cellIs" dxfId="21" priority="1" operator="equal">
      <formula>$AB$8</formula>
    </cfRule>
    <cfRule type="cellIs" dxfId="20" priority="2" operator="equal">
      <formula>$AC$8</formula>
    </cfRule>
    <cfRule type="cellIs" dxfId="19" priority="3" operator="equal">
      <formula>$AD$8</formula>
    </cfRule>
    <cfRule type="cellIs" dxfId="18" priority="4" operator="equal">
      <formula>$AE$8</formula>
    </cfRule>
    <cfRule type="cellIs" dxfId="17" priority="5" operator="equal">
      <formula>$AF$8</formula>
    </cfRule>
  </conditionalFormatting>
  <conditionalFormatting sqref="G9:G10 G12:G14 L12:L14 G16:G25 L16:L25 G27:G28 L27:L28 G30 L30 G32:G47 L32:L47">
    <cfRule type="cellIs" dxfId="16" priority="11" operator="equal">
      <formula>$AB$20</formula>
    </cfRule>
    <cfRule type="cellIs" dxfId="15" priority="12" operator="equal">
      <formula>$AB$21</formula>
    </cfRule>
    <cfRule type="cellIs" dxfId="14" priority="13" operator="equal">
      <formula>$AB$22</formula>
    </cfRule>
    <cfRule type="cellIs" dxfId="13" priority="14" operator="equal">
      <formula>$AB$23</formula>
    </cfRule>
  </conditionalFormatting>
  <conditionalFormatting sqref="K9:K10 K12:K14">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L10">
    <cfRule type="cellIs" dxfId="7" priority="30" operator="equal">
      <formula>$AB$20</formula>
    </cfRule>
    <cfRule type="cellIs" dxfId="6" priority="31" operator="equal">
      <formula>$AB$21</formula>
    </cfRule>
    <cfRule type="cellIs" dxfId="5" priority="32" operator="equal">
      <formula>$AB$22</formula>
    </cfRule>
    <cfRule type="cellIs" dxfId="4" priority="33" operator="equal">
      <formula>$AB$23</formula>
    </cfRule>
  </conditionalFormatting>
  <dataValidations count="7">
    <dataValidation allowBlank="1" showInputMessage="1" showErrorMessage="1" prompt="La probabilidad se encuentra determinada por una escala de 1 a 3, siendo 1 la menor probabilidad de ocurrencia del riesgo y 3 la mayor probabilidad de  ocurrencia." sqref="JK8" xr:uid="{B8CE28A1-6075-40EC-8938-59543507B78E}"/>
    <dataValidation allowBlank="1" showInputMessage="1" showErrorMessage="1" prompt="Es la materialización del riesgo y las consecuencias de su aparición. Su escala es: 5 bajo impacto, 10 medio, 20 alto impacto._x000a_" sqref="JL8:JR8" xr:uid="{3EDC387F-A2BA-4431-AAFE-DB1FB7F46245}"/>
    <dataValidation type="list" allowBlank="1" showInputMessage="1" showErrorMessage="1" sqref="O9:O10 O12:O14 O32:O47 O16:O23" xr:uid="{CEF38265-7715-4E60-8778-38E30D159E9E}">
      <formula1>INDIRECT($N9)</formula1>
    </dataValidation>
    <dataValidation type="list" allowBlank="1" showInputMessage="1" showErrorMessage="1" sqref="O30" xr:uid="{59DE96BC-1A25-4CFE-A3DD-A01372601E3B}">
      <formula1>INDIRECT($N31)</formula1>
    </dataValidation>
    <dataValidation type="list" allowBlank="1" showInputMessage="1" showErrorMessage="1" sqref="JL9:JR20" xr:uid="{7BC3904A-DDB3-436E-80D9-924E6E39BB76}">
      <formula1>#REF!</formula1>
    </dataValidation>
    <dataValidation type="list" allowBlank="1" showInputMessage="1" showErrorMessage="1" sqref="O24 O27:O28" xr:uid="{2C94AF39-D0FB-4807-B720-84DFE0D2511E}">
      <formula1>INDIRECT($N26)</formula1>
    </dataValidation>
    <dataValidation type="list" allowBlank="1" showInputMessage="1" showErrorMessage="1" sqref="O25" xr:uid="{DEA457B2-D5FA-43AB-84FF-BE04F1D546D9}">
      <formula1>INDIRECT($N29)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ignoredErrors>
    <ignoredError sqref="J5"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A19" sqref="A19"/>
    </sheetView>
  </sheetViews>
  <sheetFormatPr baseColWidth="10" defaultColWidth="0" defaultRowHeight="15" zeroHeight="1" x14ac:dyDescent="0.25"/>
  <cols>
    <col min="1" max="1" width="28.85546875" customWidth="1"/>
    <col min="2" max="2" width="25.42578125" customWidth="1"/>
    <col min="3" max="3" width="10.85546875" customWidth="1"/>
    <col min="4" max="4" width="15.140625" customWidth="1"/>
    <col min="5" max="5" width="13.85546875" customWidth="1"/>
    <col min="6" max="6" width="14.42578125" customWidth="1"/>
    <col min="7" max="7" width="26" customWidth="1"/>
    <col min="8" max="8" width="10.85546875" customWidth="1"/>
    <col min="9" max="9" width="11.42578125" bestFit="1" customWidth="1"/>
    <col min="10" max="10" width="29" bestFit="1" customWidth="1"/>
    <col min="11" max="11" width="8" customWidth="1"/>
    <col min="12" max="12" width="10.85546875" customWidth="1"/>
    <col min="13" max="16384" width="10.85546875" hidden="1"/>
  </cols>
  <sheetData>
    <row r="1" spans="1:21" s="4" customFormat="1" ht="20.100000000000001" customHeight="1" thickTop="1" x14ac:dyDescent="0.25">
      <c r="A1" s="440"/>
      <c r="B1" s="443" t="s">
        <v>374</v>
      </c>
      <c r="C1" s="444"/>
      <c r="D1" s="444"/>
      <c r="E1" s="444"/>
      <c r="F1" s="444"/>
      <c r="G1" s="444"/>
      <c r="H1" s="444"/>
      <c r="I1" s="445"/>
      <c r="J1" s="304" t="s">
        <v>372</v>
      </c>
      <c r="K1" s="305"/>
      <c r="L1" s="252"/>
    </row>
    <row r="2" spans="1:21" s="4" customFormat="1" ht="20.100000000000001" customHeight="1" x14ac:dyDescent="0.25">
      <c r="A2" s="441"/>
      <c r="B2" s="446"/>
      <c r="C2" s="447"/>
      <c r="D2" s="447"/>
      <c r="E2" s="447"/>
      <c r="F2" s="447"/>
      <c r="G2" s="447"/>
      <c r="H2" s="447"/>
      <c r="I2" s="448"/>
      <c r="J2" s="306" t="s">
        <v>375</v>
      </c>
      <c r="K2" s="307"/>
      <c r="L2" s="252"/>
    </row>
    <row r="3" spans="1:21" s="3" customFormat="1" ht="16.5" thickBot="1" x14ac:dyDescent="0.25">
      <c r="A3" s="442"/>
      <c r="B3" s="449" t="s">
        <v>358</v>
      </c>
      <c r="C3" s="450"/>
      <c r="D3" s="450"/>
      <c r="E3" s="450"/>
      <c r="F3" s="450"/>
      <c r="G3" s="450"/>
      <c r="H3" s="450"/>
      <c r="I3" s="451"/>
      <c r="J3" s="308" t="s">
        <v>373</v>
      </c>
      <c r="K3" s="309"/>
      <c r="L3" s="253"/>
    </row>
    <row r="4" spans="1:21" s="3" customFormat="1" ht="17.100000000000001" customHeight="1" thickTop="1" x14ac:dyDescent="0.2">
      <c r="A4" s="452"/>
      <c r="B4" s="453"/>
      <c r="C4" s="453"/>
      <c r="D4" s="453"/>
      <c r="E4" s="453"/>
      <c r="F4" s="453"/>
      <c r="G4" s="453"/>
      <c r="H4" s="453"/>
      <c r="I4" s="453"/>
      <c r="J4" s="453"/>
      <c r="K4" s="454"/>
    </row>
    <row r="5" spans="1:21" s="4" customFormat="1" ht="27" customHeight="1" x14ac:dyDescent="0.25">
      <c r="A5" s="11" t="s">
        <v>80</v>
      </c>
      <c r="B5" s="264" t="str">
        <f>'2 IDENTIFICACIÓN'!B5</f>
        <v>ALCALDÍA DE BUCARAMANGA</v>
      </c>
      <c r="C5" s="259"/>
      <c r="D5" s="259"/>
      <c r="E5" s="260"/>
      <c r="F5" s="243" t="s">
        <v>81</v>
      </c>
      <c r="G5" s="264" t="str">
        <f>'2 IDENTIFICACIÓN'!G5</f>
        <v>GESTIÓN DE SERVICIOS DE LA EDUCACIÓN PÚBLICA</v>
      </c>
      <c r="H5" s="260"/>
      <c r="I5" s="243" t="s">
        <v>352</v>
      </c>
      <c r="J5" s="261">
        <f>'2 IDENTIFICACIÓN'!J5</f>
        <v>2026</v>
      </c>
      <c r="K5" s="262"/>
    </row>
    <row r="6" spans="1:21" s="4" customFormat="1" ht="15.75" thickBot="1" x14ac:dyDescent="0.25">
      <c r="A6" s="163"/>
      <c r="B6" s="254"/>
      <c r="C6" s="254"/>
      <c r="D6" s="254"/>
      <c r="E6" s="254"/>
      <c r="F6" s="255"/>
      <c r="G6" s="256"/>
      <c r="H6" s="256"/>
      <c r="I6" s="256"/>
      <c r="J6" s="256"/>
      <c r="K6" s="256"/>
      <c r="S6" s="36"/>
      <c r="T6" s="36"/>
      <c r="U6" s="36"/>
    </row>
    <row r="7" spans="1:21" ht="15.75" thickBot="1" x14ac:dyDescent="0.3">
      <c r="A7" s="626" t="s">
        <v>339</v>
      </c>
      <c r="B7" s="627"/>
      <c r="C7" s="627"/>
      <c r="D7" s="627"/>
      <c r="E7" s="627"/>
      <c r="F7" s="627"/>
      <c r="G7" s="627"/>
      <c r="H7" s="627"/>
      <c r="I7" s="627"/>
      <c r="J7" s="627"/>
      <c r="K7" s="628"/>
    </row>
    <row r="8" spans="1:21" ht="6" customHeight="1" thickBot="1" x14ac:dyDescent="0.3">
      <c r="A8" s="626"/>
      <c r="B8" s="627"/>
      <c r="C8" s="627"/>
      <c r="D8" s="627"/>
      <c r="E8" s="627"/>
      <c r="F8" s="627"/>
      <c r="G8" s="627"/>
      <c r="H8" s="627"/>
      <c r="I8" s="627"/>
      <c r="J8" s="627"/>
      <c r="K8" s="628"/>
    </row>
    <row r="9" spans="1:21" ht="34.5" customHeight="1" x14ac:dyDescent="0.25">
      <c r="A9" s="629" t="s">
        <v>340</v>
      </c>
      <c r="B9" s="630"/>
      <c r="C9" s="630"/>
      <c r="D9" s="630"/>
      <c r="E9" s="630"/>
      <c r="F9" s="630"/>
      <c r="G9" s="630"/>
      <c r="H9" s="630"/>
      <c r="I9" s="630"/>
      <c r="J9" s="630"/>
      <c r="K9" s="631"/>
    </row>
    <row r="10" spans="1:21" ht="18.75" customHeight="1" x14ac:dyDescent="0.25">
      <c r="A10" s="635" t="s">
        <v>341</v>
      </c>
      <c r="B10" s="636"/>
      <c r="C10" s="636"/>
      <c r="D10" s="636"/>
      <c r="E10" s="636"/>
      <c r="F10" s="636"/>
      <c r="G10" s="636"/>
      <c r="H10" s="636"/>
      <c r="I10" s="636"/>
      <c r="J10" s="636"/>
      <c r="K10" s="637"/>
    </row>
    <row r="11" spans="1:21" ht="34.5" customHeight="1" x14ac:dyDescent="0.25">
      <c r="A11" s="632" t="s">
        <v>342</v>
      </c>
      <c r="B11" s="633"/>
      <c r="C11" s="633"/>
      <c r="D11" s="633"/>
      <c r="E11" s="633"/>
      <c r="F11" s="633"/>
      <c r="G11" s="633"/>
      <c r="H11" s="633"/>
      <c r="I11" s="633"/>
      <c r="J11" s="633"/>
      <c r="K11" s="634"/>
    </row>
    <row r="12" spans="1:21" ht="50.25" customHeight="1" thickBot="1" x14ac:dyDescent="0.3">
      <c r="A12" s="623" t="s">
        <v>343</v>
      </c>
      <c r="B12" s="624"/>
      <c r="C12" s="624"/>
      <c r="D12" s="624"/>
      <c r="E12" s="624"/>
      <c r="F12" s="624"/>
      <c r="G12" s="624"/>
      <c r="H12" s="624"/>
      <c r="I12" s="624"/>
      <c r="J12" s="624"/>
      <c r="K12" s="625"/>
    </row>
    <row r="13" spans="1:21" x14ac:dyDescent="0.25">
      <c r="A13" s="90"/>
      <c r="B13" s="90"/>
      <c r="C13" s="90"/>
      <c r="D13" s="90"/>
      <c r="E13" s="90"/>
      <c r="F13" s="90"/>
      <c r="G13" s="90"/>
      <c r="H13" s="90"/>
      <c r="I13" s="90"/>
      <c r="J13" s="90"/>
      <c r="K13" s="90"/>
    </row>
    <row r="14" spans="1:21" s="92" customFormat="1" x14ac:dyDescent="0.25">
      <c r="A14" s="91"/>
      <c r="B14" s="620" t="s">
        <v>344</v>
      </c>
      <c r="C14" s="621"/>
      <c r="D14" s="622" t="s">
        <v>345</v>
      </c>
      <c r="E14" s="622"/>
      <c r="G14" s="52" t="s">
        <v>301</v>
      </c>
    </row>
    <row r="15" spans="1:21" x14ac:dyDescent="0.25">
      <c r="A15" s="93" t="s">
        <v>346</v>
      </c>
      <c r="B15" s="94">
        <f>+COUNTIF('8 MAPA RIESGOS'!$G$9:$G$47,G15)</f>
        <v>3</v>
      </c>
      <c r="C15" s="95">
        <f>+B15/$B$19</f>
        <v>0.17647058823529413</v>
      </c>
      <c r="D15" s="94">
        <f>+COUNTIF('8 MAPA RIESGOS'!$L$9:$L$47,G15)</f>
        <v>3</v>
      </c>
      <c r="E15" s="95">
        <f>+D15/$D$19</f>
        <v>0.17647058823529413</v>
      </c>
      <c r="G15" s="81" t="s">
        <v>299</v>
      </c>
    </row>
    <row r="16" spans="1:21" x14ac:dyDescent="0.25">
      <c r="A16" s="93" t="s">
        <v>347</v>
      </c>
      <c r="B16" s="94">
        <f>+COUNTIF('8 MAPA RIESGOS'!$G$9:$G$47,G16)</f>
        <v>4</v>
      </c>
      <c r="C16" s="95">
        <f t="shared" ref="C16:C18" si="0">+B16/$B$19</f>
        <v>0.23529411764705882</v>
      </c>
      <c r="D16" s="94">
        <f>+COUNTIF('8 MAPA RIESGOS'!$L$9:$L$47,G16)</f>
        <v>4</v>
      </c>
      <c r="E16" s="95">
        <f t="shared" ref="E16:E19" si="1">+D16/$D$19</f>
        <v>0.23529411764705882</v>
      </c>
      <c r="G16" s="64" t="s">
        <v>298</v>
      </c>
    </row>
    <row r="17" spans="1:7" x14ac:dyDescent="0.25">
      <c r="A17" s="93" t="s">
        <v>348</v>
      </c>
      <c r="B17" s="94">
        <f>+COUNTIF('8 MAPA RIESGOS'!$G$9:$G$47,G17)</f>
        <v>9</v>
      </c>
      <c r="C17" s="95">
        <f t="shared" si="0"/>
        <v>0.52941176470588236</v>
      </c>
      <c r="D17" s="94">
        <f>+COUNTIF('8 MAPA RIESGOS'!$L$9:$L$47,G17)</f>
        <v>9</v>
      </c>
      <c r="E17" s="95">
        <f t="shared" si="1"/>
        <v>0.52941176470588236</v>
      </c>
      <c r="G17" s="68" t="s">
        <v>280</v>
      </c>
    </row>
    <row r="18" spans="1:7" x14ac:dyDescent="0.25">
      <c r="A18" s="93" t="s">
        <v>349</v>
      </c>
      <c r="B18" s="94">
        <f>+COUNTIF('8 MAPA RIESGOS'!$G$9:$G$47,G18)</f>
        <v>1</v>
      </c>
      <c r="C18" s="95">
        <f t="shared" si="0"/>
        <v>5.8823529411764705E-2</v>
      </c>
      <c r="D18" s="94">
        <f>+COUNTIF('8 MAPA RIESGOS'!$L$9:$L$47,G18)</f>
        <v>1</v>
      </c>
      <c r="E18" s="95">
        <f t="shared" si="1"/>
        <v>5.8823529411764705E-2</v>
      </c>
      <c r="G18" s="72" t="s">
        <v>300</v>
      </c>
    </row>
    <row r="19" spans="1:7" x14ac:dyDescent="0.25">
      <c r="A19" s="93" t="s">
        <v>350</v>
      </c>
      <c r="B19" s="94">
        <f>+SUM(B15:B18)</f>
        <v>17</v>
      </c>
      <c r="C19" s="95">
        <f>+B19/$B$19</f>
        <v>1</v>
      </c>
      <c r="D19" s="94">
        <f>+SUM(D15:D18)</f>
        <v>17</v>
      </c>
      <c r="E19" s="95">
        <f t="shared" si="1"/>
        <v>1</v>
      </c>
    </row>
    <row r="20" spans="1:7" x14ac:dyDescent="0.25"/>
    <row r="21" spans="1:7" s="96" customFormat="1" x14ac:dyDescent="0.25">
      <c r="B21" s="97" t="s">
        <v>344</v>
      </c>
      <c r="D21" s="97" t="s">
        <v>345</v>
      </c>
    </row>
    <row r="22" spans="1:7" s="96" customFormat="1" ht="41.45" customHeight="1" x14ac:dyDescent="0.25">
      <c r="B22" s="98" t="str">
        <f>+IF((B15/B19)&gt;=0.2,G15,+IF(((B15/B19)+(B16/B19))&gt;=0.3,G16,+IF(((B15/B19)+(B16/B19)+(B17/B19))&gt;=0.4,G17,+IF((B15/B19)+(B16/B19)+(B17/B19)+(B18/B19)&gt;=0.5,G18,""))))</f>
        <v>Alto</v>
      </c>
      <c r="D22" s="98" t="str">
        <f>+IF((D15/D19)&gt;=0.2,G15,+IF(((D15/D19)+(D16/D19))&gt;=0.3,G16,+IF(((D15/D19)+(D16/D19)+(D17/D19))&gt;=0.4,G17,+IF((D15/D19)+(D16/D19)+(D17/D19)+(D18/D19)&gt;=0.5,G18,""))))</f>
        <v>Alto</v>
      </c>
    </row>
    <row r="23" spans="1:7" ht="15.75" thickBot="1" x14ac:dyDescent="0.3"/>
    <row r="24" spans="1:7" ht="16.5" thickTop="1" thickBot="1" x14ac:dyDescent="0.3">
      <c r="A24" s="424" t="s">
        <v>376</v>
      </c>
      <c r="B24" s="424"/>
      <c r="C24" s="424"/>
      <c r="D24" s="424"/>
      <c r="E24" s="424"/>
      <c r="F24" s="424"/>
      <c r="G24" s="424"/>
    </row>
    <row r="25" spans="1:7" ht="16.5" thickTop="1" thickBot="1" x14ac:dyDescent="0.3">
      <c r="A25" s="312" t="s">
        <v>377</v>
      </c>
      <c r="B25" s="424" t="s">
        <v>378</v>
      </c>
      <c r="C25" s="424"/>
      <c r="D25" s="424" t="s">
        <v>379</v>
      </c>
      <c r="E25" s="424"/>
      <c r="F25" s="424" t="s">
        <v>380</v>
      </c>
      <c r="G25" s="424"/>
    </row>
    <row r="26" spans="1:7" ht="16.5" thickTop="1" thickBot="1" x14ac:dyDescent="0.3">
      <c r="A26" s="313" t="s">
        <v>381</v>
      </c>
      <c r="B26" s="399">
        <v>46163</v>
      </c>
      <c r="C26" s="399"/>
      <c r="D26" s="400" t="s">
        <v>382</v>
      </c>
      <c r="E26" s="400"/>
      <c r="F26" s="401" t="s">
        <v>383</v>
      </c>
      <c r="G26" s="401"/>
    </row>
  </sheetData>
  <sheetProtection formatCells="0" formatColumns="0" formatRows="0"/>
  <mergeCells count="19">
    <mergeCell ref="A1:A3"/>
    <mergeCell ref="B1:I2"/>
    <mergeCell ref="B3:I3"/>
    <mergeCell ref="A4:K4"/>
    <mergeCell ref="B14:C14"/>
    <mergeCell ref="D14:E14"/>
    <mergeCell ref="A12:K12"/>
    <mergeCell ref="A7:K7"/>
    <mergeCell ref="A8:K8"/>
    <mergeCell ref="A9:K9"/>
    <mergeCell ref="A11:K11"/>
    <mergeCell ref="A10:K10"/>
    <mergeCell ref="A24:G24"/>
    <mergeCell ref="B25:C25"/>
    <mergeCell ref="D25:E25"/>
    <mergeCell ref="F25:G25"/>
    <mergeCell ref="B26:C26"/>
    <mergeCell ref="D26:E26"/>
    <mergeCell ref="F26:G26"/>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2026-09-09T20:52:48Z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