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6"/>
  <workbookPr showInkAnnotation="0" codeName="ThisWorkbook" defaultThemeVersion="124226"/>
  <mc:AlternateContent xmlns:mc="http://schemas.openxmlformats.org/markup-compatibility/2006">
    <mc:Choice Requires="x15">
      <x15ac:absPath xmlns:x15ac="http://schemas.microsoft.com/office/spreadsheetml/2010/11/ac" url="C:\Users\indar\Documents\Laura Marcela Gallo\ALCALDIA DE BUCARAMANGA\MAPAS RIESGOS DE INTEGRIDAD\INTERIOR\"/>
    </mc:Choice>
  </mc:AlternateContent>
  <xr:revisionPtr revIDLastSave="3" documentId="13_ncr:1_{6DBFFA02-3D43-478D-8A27-7405F80F8BE6}" xr6:coauthVersionLast="47" xr6:coauthVersionMax="47" xr10:uidLastSave="{53775914-A4B1-4E87-955F-D8E7DA31AAE4}"/>
  <bookViews>
    <workbookView xWindow="-108" yWindow="-108" windowWidth="23256" windowHeight="12456" firstSheet="1" activeTab="8"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RIESGOS'!$AF$20:$AF$22</definedName>
    <definedName name="Reputacional">'3 PROBABIL E IMPACTO INHERENTE'!$Y$10:$Y$15</definedName>
    <definedName name="Requiere_Plan_de_Acción">'8 MAPA RIESGOS'!$AF$20:$AF$22</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7" i="9" l="1"/>
  <c r="T108" i="9"/>
  <c r="T109" i="9"/>
  <c r="T110" i="9"/>
  <c r="T111" i="9"/>
  <c r="T106" i="9"/>
  <c r="T101" i="9"/>
  <c r="T102" i="9"/>
  <c r="T103" i="9"/>
  <c r="T104" i="9"/>
  <c r="T105" i="9"/>
  <c r="T100" i="9"/>
  <c r="T95" i="9"/>
  <c r="T96" i="9"/>
  <c r="T97" i="9"/>
  <c r="T98" i="9"/>
  <c r="T99" i="9"/>
  <c r="T94" i="9"/>
  <c r="T89" i="9"/>
  <c r="T90" i="9"/>
  <c r="T91" i="9"/>
  <c r="T92" i="9"/>
  <c r="T93" i="9"/>
  <c r="T88" i="9"/>
  <c r="T83" i="9"/>
  <c r="T84" i="9"/>
  <c r="T85" i="9"/>
  <c r="T86" i="9"/>
  <c r="T87" i="9"/>
  <c r="T82" i="9"/>
  <c r="T77" i="9"/>
  <c r="T78" i="9"/>
  <c r="T79" i="9"/>
  <c r="T80" i="9"/>
  <c r="T81" i="9"/>
  <c r="T76" i="9"/>
  <c r="T71" i="9"/>
  <c r="T72" i="9"/>
  <c r="T73" i="9"/>
  <c r="T74" i="9"/>
  <c r="T75" i="9"/>
  <c r="T70" i="9"/>
  <c r="T65" i="9"/>
  <c r="T66" i="9"/>
  <c r="T67" i="9"/>
  <c r="T68" i="9"/>
  <c r="T69" i="9"/>
  <c r="T64" i="9"/>
  <c r="T59" i="9"/>
  <c r="T60" i="9"/>
  <c r="T61" i="9"/>
  <c r="T62" i="9"/>
  <c r="T63" i="9"/>
  <c r="T58" i="9"/>
  <c r="T53" i="9"/>
  <c r="T54" i="9"/>
  <c r="T55" i="9"/>
  <c r="T56" i="9"/>
  <c r="T57" i="9"/>
  <c r="T52" i="9"/>
  <c r="T47" i="9"/>
  <c r="T48" i="9"/>
  <c r="T49" i="9"/>
  <c r="T50" i="9"/>
  <c r="T51" i="9"/>
  <c r="T46" i="9"/>
  <c r="T41" i="9"/>
  <c r="T42" i="9"/>
  <c r="T43" i="9"/>
  <c r="T44" i="9"/>
  <c r="T45" i="9"/>
  <c r="T40" i="9"/>
  <c r="T35" i="9"/>
  <c r="T36" i="9"/>
  <c r="T37" i="9"/>
  <c r="T38" i="9"/>
  <c r="T39" i="9"/>
  <c r="T34" i="9"/>
  <c r="T29" i="9"/>
  <c r="T30" i="9"/>
  <c r="T31" i="9"/>
  <c r="T32" i="9"/>
  <c r="T33" i="9"/>
  <c r="T28" i="9"/>
  <c r="T22" i="9"/>
  <c r="T23" i="9"/>
  <c r="T24" i="9"/>
  <c r="T25" i="9"/>
  <c r="T26" i="9"/>
  <c r="T27" i="9"/>
  <c r="T17" i="9"/>
  <c r="T18" i="9"/>
  <c r="T19" i="9"/>
  <c r="T20" i="9"/>
  <c r="T21" i="9"/>
  <c r="T16" i="9"/>
  <c r="U19" i="9"/>
  <c r="U18" i="9"/>
  <c r="U11" i="9"/>
  <c r="U12" i="9"/>
  <c r="U13" i="9"/>
  <c r="U14" i="9"/>
  <c r="U15" i="9"/>
  <c r="U10" i="9"/>
  <c r="U107" i="9"/>
  <c r="U108" i="9"/>
  <c r="U109" i="9"/>
  <c r="U110" i="9"/>
  <c r="U111" i="9"/>
  <c r="U106" i="9"/>
  <c r="U101" i="9"/>
  <c r="U102" i="9"/>
  <c r="U103" i="9"/>
  <c r="U104" i="9"/>
  <c r="U105" i="9"/>
  <c r="U100" i="9"/>
  <c r="U95" i="9"/>
  <c r="U96" i="9"/>
  <c r="U97" i="9"/>
  <c r="U98" i="9"/>
  <c r="U99" i="9"/>
  <c r="U94" i="9"/>
  <c r="U89" i="9"/>
  <c r="U90" i="9"/>
  <c r="U91" i="9"/>
  <c r="U92" i="9"/>
  <c r="U93" i="9"/>
  <c r="U88" i="9"/>
  <c r="U83" i="9"/>
  <c r="U84" i="9"/>
  <c r="U85" i="9"/>
  <c r="U86" i="9"/>
  <c r="U87" i="9"/>
  <c r="U82" i="9"/>
  <c r="U77" i="9"/>
  <c r="U78" i="9"/>
  <c r="U79" i="9"/>
  <c r="U80" i="9"/>
  <c r="U81" i="9"/>
  <c r="U76" i="9"/>
  <c r="U71" i="9"/>
  <c r="U72" i="9"/>
  <c r="U73" i="9"/>
  <c r="U74" i="9"/>
  <c r="U75" i="9"/>
  <c r="U70" i="9"/>
  <c r="U65" i="9"/>
  <c r="U66" i="9"/>
  <c r="U67" i="9"/>
  <c r="U68" i="9"/>
  <c r="U69" i="9"/>
  <c r="U64" i="9"/>
  <c r="U59" i="9"/>
  <c r="U60" i="9"/>
  <c r="U61" i="9"/>
  <c r="U62" i="9"/>
  <c r="U63" i="9"/>
  <c r="U58" i="9"/>
  <c r="U53" i="9"/>
  <c r="U54" i="9"/>
  <c r="U55" i="9"/>
  <c r="U56" i="9"/>
  <c r="U57" i="9"/>
  <c r="U52" i="9"/>
  <c r="U47" i="9"/>
  <c r="U48" i="9"/>
  <c r="U49" i="9"/>
  <c r="U50" i="9"/>
  <c r="U51" i="9"/>
  <c r="U46" i="9"/>
  <c r="U41" i="9"/>
  <c r="U42" i="9"/>
  <c r="U43" i="9"/>
  <c r="U44" i="9"/>
  <c r="U45" i="9"/>
  <c r="U40" i="9"/>
  <c r="U35" i="9"/>
  <c r="U36" i="9"/>
  <c r="U37" i="9"/>
  <c r="U38" i="9"/>
  <c r="U39" i="9"/>
  <c r="U34" i="9"/>
  <c r="U29" i="9"/>
  <c r="U30" i="9"/>
  <c r="U31" i="9"/>
  <c r="U32" i="9"/>
  <c r="U33" i="9"/>
  <c r="U28" i="9"/>
  <c r="U23" i="9"/>
  <c r="U24" i="9"/>
  <c r="U25" i="9"/>
  <c r="U26" i="9"/>
  <c r="U27" i="9"/>
  <c r="W22" i="9" s="1"/>
  <c r="U22" i="9"/>
  <c r="U17" i="9"/>
  <c r="U20" i="9"/>
  <c r="U21" i="9"/>
  <c r="U16" i="9"/>
  <c r="Q29" i="36"/>
  <c r="Q28" i="36"/>
  <c r="Q27" i="36"/>
  <c r="Q26" i="36"/>
  <c r="Q25" i="36"/>
  <c r="Q24" i="36"/>
  <c r="Q23" i="36"/>
  <c r="Q22" i="36"/>
  <c r="Q21" i="36"/>
  <c r="Q20" i="36"/>
  <c r="Q19" i="36"/>
  <c r="Q18" i="36"/>
  <c r="Q17" i="36"/>
  <c r="Q16" i="36"/>
  <c r="Q15" i="36"/>
  <c r="Q13" i="36"/>
  <c r="Q12" i="36"/>
  <c r="Q33" i="36"/>
  <c r="Q34" i="36"/>
  <c r="Q35" i="36"/>
  <c r="Q36" i="36"/>
  <c r="Q37" i="36"/>
  <c r="Q39" i="36"/>
  <c r="Q40" i="36"/>
  <c r="Q41" i="36"/>
  <c r="Q42" i="36"/>
  <c r="Q43" i="36"/>
  <c r="A33" i="36"/>
  <c r="A34" i="36"/>
  <c r="A35" i="36"/>
  <c r="A36" i="36"/>
  <c r="A37" i="36"/>
  <c r="A38" i="36"/>
  <c r="A39" i="36"/>
  <c r="A40" i="36"/>
  <c r="A41" i="36"/>
  <c r="A42" i="36"/>
  <c r="A43" i="36"/>
  <c r="A29" i="35"/>
  <c r="A30" i="35"/>
  <c r="A31" i="35"/>
  <c r="A32" i="35"/>
  <c r="A33" i="35"/>
  <c r="A34" i="35"/>
  <c r="A35" i="35"/>
  <c r="A36" i="35"/>
  <c r="A37" i="35"/>
  <c r="A38" i="35"/>
  <c r="N183" i="9"/>
  <c r="L183" i="9"/>
  <c r="K183" i="9"/>
  <c r="I183" i="9"/>
  <c r="N182" i="9"/>
  <c r="L182" i="9"/>
  <c r="U182" i="9"/>
  <c r="K182" i="9"/>
  <c r="S182" i="9"/>
  <c r="I182" i="9"/>
  <c r="N181" i="9"/>
  <c r="L181" i="9"/>
  <c r="K181" i="9"/>
  <c r="S181" i="9"/>
  <c r="I181" i="9"/>
  <c r="N180" i="9"/>
  <c r="L180" i="9"/>
  <c r="U180" i="9"/>
  <c r="K180" i="9"/>
  <c r="I180" i="9"/>
  <c r="N179" i="9"/>
  <c r="L179" i="9"/>
  <c r="U179" i="9"/>
  <c r="K179" i="9"/>
  <c r="I179" i="9"/>
  <c r="N178" i="9"/>
  <c r="L178" i="9"/>
  <c r="K178" i="9"/>
  <c r="S178" i="9"/>
  <c r="I178" i="9"/>
  <c r="N177" i="9"/>
  <c r="L177" i="9"/>
  <c r="K177" i="9"/>
  <c r="S177" i="9"/>
  <c r="I177" i="9"/>
  <c r="N176" i="9"/>
  <c r="L176" i="9"/>
  <c r="U176" i="9"/>
  <c r="K176" i="9"/>
  <c r="S176" i="9"/>
  <c r="I176" i="9"/>
  <c r="N175" i="9"/>
  <c r="L175" i="9"/>
  <c r="U175" i="9"/>
  <c r="K175" i="9"/>
  <c r="I175" i="9"/>
  <c r="N174" i="9"/>
  <c r="L174" i="9"/>
  <c r="K174" i="9"/>
  <c r="S174" i="9"/>
  <c r="I174" i="9"/>
  <c r="N173" i="9"/>
  <c r="L173" i="9"/>
  <c r="K173" i="9"/>
  <c r="S173" i="9"/>
  <c r="I173" i="9"/>
  <c r="N172" i="9"/>
  <c r="L172" i="9"/>
  <c r="K172" i="9"/>
  <c r="S172" i="9"/>
  <c r="I172" i="9"/>
  <c r="N171" i="9"/>
  <c r="L171" i="9"/>
  <c r="K171" i="9"/>
  <c r="I171" i="9"/>
  <c r="N170" i="9"/>
  <c r="L170" i="9"/>
  <c r="U170" i="9"/>
  <c r="K170" i="9"/>
  <c r="S170" i="9"/>
  <c r="I170" i="9"/>
  <c r="N169" i="9"/>
  <c r="L169" i="9"/>
  <c r="U169" i="9"/>
  <c r="K169" i="9"/>
  <c r="S169" i="9"/>
  <c r="I169" i="9"/>
  <c r="N168" i="9"/>
  <c r="L168" i="9"/>
  <c r="K168" i="9"/>
  <c r="I168" i="9"/>
  <c r="N167" i="9"/>
  <c r="L167" i="9"/>
  <c r="U167" i="9"/>
  <c r="K167" i="9"/>
  <c r="I167" i="9"/>
  <c r="N166" i="9"/>
  <c r="L166" i="9"/>
  <c r="K166" i="9"/>
  <c r="S166" i="9"/>
  <c r="I166" i="9"/>
  <c r="N165" i="9"/>
  <c r="L165" i="9"/>
  <c r="K165" i="9"/>
  <c r="S165" i="9"/>
  <c r="I165" i="9"/>
  <c r="N164" i="9"/>
  <c r="L164" i="9"/>
  <c r="U164" i="9"/>
  <c r="K164" i="9"/>
  <c r="I164" i="9"/>
  <c r="N163" i="9"/>
  <c r="L163" i="9"/>
  <c r="K163" i="9"/>
  <c r="I163" i="9"/>
  <c r="N162" i="9"/>
  <c r="L162" i="9"/>
  <c r="U162" i="9"/>
  <c r="K162" i="9"/>
  <c r="S162" i="9"/>
  <c r="I162" i="9"/>
  <c r="N161" i="9"/>
  <c r="L161" i="9"/>
  <c r="U161" i="9"/>
  <c r="K161" i="9"/>
  <c r="S161" i="9"/>
  <c r="I161" i="9"/>
  <c r="N160" i="9"/>
  <c r="L160" i="9"/>
  <c r="K160" i="9"/>
  <c r="I160" i="9"/>
  <c r="N159" i="9"/>
  <c r="L159" i="9"/>
  <c r="U159" i="9"/>
  <c r="K159" i="9"/>
  <c r="I159" i="9"/>
  <c r="N158" i="9"/>
  <c r="L158" i="9"/>
  <c r="K158" i="9"/>
  <c r="I158" i="9"/>
  <c r="N157" i="9"/>
  <c r="L157" i="9"/>
  <c r="U157" i="9"/>
  <c r="K157" i="9"/>
  <c r="S157" i="9"/>
  <c r="I157" i="9"/>
  <c r="N156" i="9"/>
  <c r="L156" i="9"/>
  <c r="U156" i="9"/>
  <c r="K156" i="9"/>
  <c r="I156" i="9"/>
  <c r="N155" i="9"/>
  <c r="L155" i="9"/>
  <c r="U155" i="9"/>
  <c r="K155" i="9"/>
  <c r="I155" i="9"/>
  <c r="N154" i="9"/>
  <c r="L154" i="9"/>
  <c r="K154" i="9"/>
  <c r="I154" i="9"/>
  <c r="N153" i="9"/>
  <c r="L153" i="9"/>
  <c r="U153" i="9"/>
  <c r="K153" i="9"/>
  <c r="S153" i="9"/>
  <c r="I153" i="9"/>
  <c r="N152" i="9"/>
  <c r="L152" i="9"/>
  <c r="K152" i="9"/>
  <c r="I152" i="9"/>
  <c r="N151" i="9"/>
  <c r="L151" i="9"/>
  <c r="U151" i="9"/>
  <c r="K151" i="9"/>
  <c r="I151" i="9"/>
  <c r="N150" i="9"/>
  <c r="L150" i="9"/>
  <c r="U150" i="9"/>
  <c r="K150" i="9"/>
  <c r="S150" i="9"/>
  <c r="I150" i="9"/>
  <c r="N149" i="9"/>
  <c r="L149" i="9"/>
  <c r="K149" i="9"/>
  <c r="S149" i="9"/>
  <c r="I149" i="9"/>
  <c r="N148" i="9"/>
  <c r="L148" i="9"/>
  <c r="K148" i="9"/>
  <c r="I148" i="9"/>
  <c r="N147" i="9"/>
  <c r="L147" i="9"/>
  <c r="U147" i="9"/>
  <c r="K147" i="9"/>
  <c r="S147" i="9"/>
  <c r="I147" i="9"/>
  <c r="N146" i="9"/>
  <c r="L146" i="9"/>
  <c r="U146" i="9"/>
  <c r="K146" i="9"/>
  <c r="S146" i="9"/>
  <c r="I146" i="9"/>
  <c r="N145" i="9"/>
  <c r="L145" i="9"/>
  <c r="U145" i="9"/>
  <c r="K145" i="9"/>
  <c r="S145" i="9"/>
  <c r="I145" i="9"/>
  <c r="N144" i="9"/>
  <c r="L144" i="9"/>
  <c r="K144" i="9"/>
  <c r="I144" i="9"/>
  <c r="N143" i="9"/>
  <c r="L143" i="9"/>
  <c r="U143" i="9"/>
  <c r="K143" i="9"/>
  <c r="I143" i="9"/>
  <c r="N142" i="9"/>
  <c r="L142" i="9"/>
  <c r="K142" i="9"/>
  <c r="S142" i="9"/>
  <c r="I142" i="9"/>
  <c r="N141" i="9"/>
  <c r="L141" i="9"/>
  <c r="K141" i="9"/>
  <c r="I141" i="9"/>
  <c r="N140" i="9"/>
  <c r="L140" i="9"/>
  <c r="U140" i="9"/>
  <c r="K140" i="9"/>
  <c r="I140" i="9"/>
  <c r="N139" i="9"/>
  <c r="L139" i="9"/>
  <c r="U139" i="9"/>
  <c r="K139" i="9"/>
  <c r="I139" i="9"/>
  <c r="N138" i="9"/>
  <c r="L138" i="9"/>
  <c r="K138" i="9"/>
  <c r="S138" i="9"/>
  <c r="I138" i="9"/>
  <c r="N137" i="9"/>
  <c r="L137" i="9"/>
  <c r="U137" i="9"/>
  <c r="K137" i="9"/>
  <c r="I137" i="9"/>
  <c r="N136" i="9"/>
  <c r="L136" i="9"/>
  <c r="K136" i="9"/>
  <c r="I136" i="9"/>
  <c r="N135" i="9"/>
  <c r="L135" i="9"/>
  <c r="K135" i="9"/>
  <c r="I135" i="9"/>
  <c r="N134" i="9"/>
  <c r="L134" i="9"/>
  <c r="U134" i="9"/>
  <c r="I43" i="36"/>
  <c r="K43" i="36" s="1"/>
  <c r="K134" i="9"/>
  <c r="S134" i="9"/>
  <c r="I134" i="9"/>
  <c r="N133" i="9"/>
  <c r="L133" i="9"/>
  <c r="U133" i="9"/>
  <c r="I42" i="36"/>
  <c r="K42" i="36"/>
  <c r="K133" i="9"/>
  <c r="I133" i="9"/>
  <c r="N132" i="9"/>
  <c r="L132" i="9"/>
  <c r="K132" i="9"/>
  <c r="I132" i="9"/>
  <c r="N131" i="9"/>
  <c r="L131" i="9"/>
  <c r="U131" i="9"/>
  <c r="I40" i="36"/>
  <c r="K40" i="36"/>
  <c r="K131" i="9"/>
  <c r="I131" i="9"/>
  <c r="N130" i="9"/>
  <c r="L130" i="9"/>
  <c r="K130" i="9"/>
  <c r="S130" i="9"/>
  <c r="I130" i="9"/>
  <c r="N129" i="9"/>
  <c r="L129" i="9"/>
  <c r="U129" i="9"/>
  <c r="K129" i="9"/>
  <c r="I129" i="9"/>
  <c r="N128" i="9"/>
  <c r="L128" i="9"/>
  <c r="U128" i="9"/>
  <c r="I37" i="36"/>
  <c r="K37" i="36"/>
  <c r="K128" i="9"/>
  <c r="I128" i="9"/>
  <c r="N127" i="9"/>
  <c r="L127" i="9"/>
  <c r="U127" i="9"/>
  <c r="I36" i="36"/>
  <c r="K36" i="36" s="1"/>
  <c r="K127" i="9"/>
  <c r="I127" i="9"/>
  <c r="N126" i="9"/>
  <c r="L126" i="9"/>
  <c r="K126" i="9"/>
  <c r="S126" i="9"/>
  <c r="I126" i="9"/>
  <c r="N125" i="9"/>
  <c r="L125" i="9"/>
  <c r="U125" i="9"/>
  <c r="I34" i="36"/>
  <c r="K34" i="36"/>
  <c r="K125" i="9"/>
  <c r="I125" i="9"/>
  <c r="N124" i="9"/>
  <c r="L124" i="9"/>
  <c r="K124" i="9"/>
  <c r="I124" i="9"/>
  <c r="A178" i="9"/>
  <c r="A172" i="9"/>
  <c r="A166" i="9"/>
  <c r="A160" i="9"/>
  <c r="A154" i="9"/>
  <c r="A148" i="9"/>
  <c r="A142" i="9"/>
  <c r="A136" i="9"/>
  <c r="A130" i="9"/>
  <c r="A124" i="9"/>
  <c r="W154" i="9"/>
  <c r="D34" i="35"/>
  <c r="F34" i="35"/>
  <c r="W148" i="9"/>
  <c r="D33" i="35"/>
  <c r="F33" i="35"/>
  <c r="W142" i="9"/>
  <c r="D32" i="35"/>
  <c r="F32" i="35"/>
  <c r="W124" i="9"/>
  <c r="I38" i="36"/>
  <c r="K38" i="36" s="1"/>
  <c r="D29" i="35"/>
  <c r="F29" i="35"/>
  <c r="S127" i="9"/>
  <c r="S131" i="9"/>
  <c r="S135" i="9"/>
  <c r="U135" i="9"/>
  <c r="S139" i="9"/>
  <c r="S143" i="9"/>
  <c r="S155" i="9"/>
  <c r="S159" i="9"/>
  <c r="S163" i="9"/>
  <c r="S124" i="9"/>
  <c r="S128" i="9"/>
  <c r="S132" i="9"/>
  <c r="S136" i="9"/>
  <c r="S140" i="9"/>
  <c r="S144" i="9"/>
  <c r="S148" i="9"/>
  <c r="S171" i="9"/>
  <c r="S175" i="9"/>
  <c r="S179" i="9"/>
  <c r="S183" i="9"/>
  <c r="U183" i="9"/>
  <c r="S129" i="9"/>
  <c r="S152" i="9"/>
  <c r="S156" i="9"/>
  <c r="S160" i="9"/>
  <c r="S164" i="9"/>
  <c r="S168" i="9"/>
  <c r="U163" i="9"/>
  <c r="U181" i="9"/>
  <c r="U174" i="9"/>
  <c r="S154" i="9"/>
  <c r="S158" i="9"/>
  <c r="U152" i="9"/>
  <c r="U132" i="9"/>
  <c r="I41" i="36"/>
  <c r="K41" i="36"/>
  <c r="U165" i="9"/>
  <c r="S141" i="9"/>
  <c r="S180" i="9"/>
  <c r="S133" i="9"/>
  <c r="S151" i="9"/>
  <c r="S167" i="9"/>
  <c r="U177" i="9"/>
  <c r="U144" i="9"/>
  <c r="U173" i="9"/>
  <c r="S137" i="9"/>
  <c r="U149" i="9"/>
  <c r="U158" i="9"/>
  <c r="S125" i="9"/>
  <c r="U171" i="9"/>
  <c r="U168" i="9"/>
  <c r="U141" i="9"/>
  <c r="U138" i="9"/>
  <c r="U126" i="9"/>
  <c r="I35" i="36"/>
  <c r="K35" i="36"/>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c r="H31" i="15"/>
  <c r="M31" i="15"/>
  <c r="H32" i="15"/>
  <c r="M32" i="15" s="1"/>
  <c r="H33" i="15"/>
  <c r="M33" i="15" s="1"/>
  <c r="H34" i="15"/>
  <c r="M34" i="15" s="1"/>
  <c r="H35" i="15"/>
  <c r="M35" i="15" s="1"/>
  <c r="H36" i="15"/>
  <c r="M36" i="15" s="1"/>
  <c r="H37" i="15"/>
  <c r="M37" i="15" s="1"/>
  <c r="H38" i="15"/>
  <c r="M38" i="15" s="1"/>
  <c r="H39" i="15"/>
  <c r="M39" i="15" s="1"/>
  <c r="D29" i="15"/>
  <c r="D30" i="15"/>
  <c r="D31" i="15"/>
  <c r="D32" i="15"/>
  <c r="D33" i="15"/>
  <c r="D34" i="15"/>
  <c r="D35" i="15"/>
  <c r="D36" i="15"/>
  <c r="D37" i="15"/>
  <c r="D38" i="15"/>
  <c r="D39"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S49" i="9" s="1"/>
  <c r="N50" i="9"/>
  <c r="N51" i="9"/>
  <c r="N52" i="9"/>
  <c r="N53" i="9"/>
  <c r="N54" i="9"/>
  <c r="N55" i="9"/>
  <c r="N56" i="9"/>
  <c r="N57" i="9"/>
  <c r="N58" i="9"/>
  <c r="N59" i="9"/>
  <c r="S59" i="9" s="1"/>
  <c r="N60" i="9"/>
  <c r="N61" i="9"/>
  <c r="N62" i="9"/>
  <c r="N63" i="9"/>
  <c r="N64" i="9"/>
  <c r="N65" i="9"/>
  <c r="N66" i="9"/>
  <c r="N67" i="9"/>
  <c r="N68" i="9"/>
  <c r="N69" i="9"/>
  <c r="N70" i="9"/>
  <c r="N71" i="9"/>
  <c r="S71" i="9" s="1"/>
  <c r="N72" i="9"/>
  <c r="S72" i="9" s="1"/>
  <c r="N73" i="9"/>
  <c r="S73" i="9" s="1"/>
  <c r="N74" i="9"/>
  <c r="S74" i="9" s="1"/>
  <c r="N75" i="9"/>
  <c r="S75" i="9" s="1"/>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U113" i="9"/>
  <c r="L114" i="9"/>
  <c r="U114" i="9"/>
  <c r="L115" i="9"/>
  <c r="U115" i="9"/>
  <c r="L116" i="9"/>
  <c r="U116" i="9"/>
  <c r="L117" i="9"/>
  <c r="L118" i="9"/>
  <c r="L119" i="9"/>
  <c r="L120" i="9"/>
  <c r="L121" i="9"/>
  <c r="U121" i="9"/>
  <c r="L122" i="9"/>
  <c r="U122" i="9"/>
  <c r="L123" i="9"/>
  <c r="L184" i="9"/>
  <c r="L185" i="9"/>
  <c r="L186" i="9"/>
  <c r="L187" i="9"/>
  <c r="L188" i="9"/>
  <c r="L189" i="9"/>
  <c r="U189" i="9"/>
  <c r="L10" i="9"/>
  <c r="K11" i="9"/>
  <c r="S11" i="9"/>
  <c r="K12" i="9"/>
  <c r="S12" i="9"/>
  <c r="K13" i="9"/>
  <c r="S13" i="9"/>
  <c r="K14" i="9"/>
  <c r="S14" i="9"/>
  <c r="K15" i="9"/>
  <c r="S15" i="9"/>
  <c r="K16" i="9"/>
  <c r="K17" i="9"/>
  <c r="K18" i="9"/>
  <c r="S18" i="9"/>
  <c r="K19" i="9"/>
  <c r="S19" i="9"/>
  <c r="K20" i="9"/>
  <c r="S20" i="9"/>
  <c r="K21" i="9"/>
  <c r="S21" i="9"/>
  <c r="K22" i="9"/>
  <c r="K23" i="9"/>
  <c r="S23" i="9"/>
  <c r="K24" i="9"/>
  <c r="S24" i="9"/>
  <c r="K25" i="9"/>
  <c r="S25" i="9"/>
  <c r="K26" i="9"/>
  <c r="S26" i="9"/>
  <c r="K27" i="9"/>
  <c r="S27" i="9"/>
  <c r="K28" i="9"/>
  <c r="K29" i="9"/>
  <c r="S29" i="9"/>
  <c r="K30" i="9"/>
  <c r="S30" i="9"/>
  <c r="K31" i="9"/>
  <c r="S31" i="9"/>
  <c r="K32" i="9"/>
  <c r="S32" i="9"/>
  <c r="K33" i="9"/>
  <c r="S33" i="9"/>
  <c r="K34" i="9"/>
  <c r="K35" i="9"/>
  <c r="K36" i="9"/>
  <c r="S36" i="9"/>
  <c r="K37" i="9"/>
  <c r="S37" i="9"/>
  <c r="K38" i="9"/>
  <c r="S38" i="9"/>
  <c r="K39" i="9"/>
  <c r="S39" i="9"/>
  <c r="K40" i="9"/>
  <c r="K41" i="9"/>
  <c r="S41" i="9"/>
  <c r="K42" i="9"/>
  <c r="K43" i="9"/>
  <c r="S43" i="9"/>
  <c r="K44" i="9"/>
  <c r="S44" i="9"/>
  <c r="K45" i="9"/>
  <c r="S45" i="9"/>
  <c r="K46" i="9"/>
  <c r="S46" i="9"/>
  <c r="K47" i="9"/>
  <c r="S47" i="9"/>
  <c r="K48" i="9"/>
  <c r="S48" i="9"/>
  <c r="K49" i="9"/>
  <c r="K50" i="9"/>
  <c r="S50" i="9"/>
  <c r="K51" i="9"/>
  <c r="S51" i="9"/>
  <c r="K52" i="9"/>
  <c r="K53" i="9"/>
  <c r="S53" i="9"/>
  <c r="K54" i="9"/>
  <c r="S54" i="9"/>
  <c r="K55" i="9"/>
  <c r="S55" i="9"/>
  <c r="K56" i="9"/>
  <c r="S56" i="9"/>
  <c r="K57" i="9"/>
  <c r="S57" i="9"/>
  <c r="K58" i="9"/>
  <c r="S58" i="9"/>
  <c r="K59" i="9"/>
  <c r="K60" i="9"/>
  <c r="S60" i="9"/>
  <c r="K61" i="9"/>
  <c r="S61" i="9"/>
  <c r="K62" i="9"/>
  <c r="S62" i="9"/>
  <c r="K63" i="9"/>
  <c r="S63" i="9"/>
  <c r="K64" i="9"/>
  <c r="K65" i="9"/>
  <c r="S65" i="9"/>
  <c r="K66" i="9"/>
  <c r="S66" i="9"/>
  <c r="K67" i="9"/>
  <c r="S67" i="9"/>
  <c r="K68" i="9"/>
  <c r="S68" i="9"/>
  <c r="K69" i="9"/>
  <c r="S69" i="9"/>
  <c r="K70" i="9"/>
  <c r="K71" i="9"/>
  <c r="K72" i="9"/>
  <c r="K73" i="9"/>
  <c r="K74" i="9"/>
  <c r="K75" i="9"/>
  <c r="K76" i="9"/>
  <c r="K77" i="9"/>
  <c r="S77" i="9"/>
  <c r="K78" i="9"/>
  <c r="S78" i="9"/>
  <c r="K79" i="9"/>
  <c r="S79" i="9"/>
  <c r="K80" i="9"/>
  <c r="K81" i="9"/>
  <c r="S81" i="9"/>
  <c r="K82" i="9"/>
  <c r="S82" i="9"/>
  <c r="K83" i="9"/>
  <c r="S83" i="9"/>
  <c r="K84" i="9"/>
  <c r="S84" i="9"/>
  <c r="K85" i="9"/>
  <c r="S85" i="9"/>
  <c r="K86" i="9"/>
  <c r="S86" i="9"/>
  <c r="K87" i="9"/>
  <c r="S87" i="9"/>
  <c r="K88" i="9"/>
  <c r="K89" i="9"/>
  <c r="S89" i="9"/>
  <c r="K90" i="9"/>
  <c r="K91" i="9"/>
  <c r="S91" i="9"/>
  <c r="K92" i="9"/>
  <c r="S92" i="9"/>
  <c r="K93" i="9"/>
  <c r="S93" i="9"/>
  <c r="K94" i="9"/>
  <c r="S94" i="9"/>
  <c r="K95" i="9"/>
  <c r="S95" i="9"/>
  <c r="K96" i="9"/>
  <c r="S96" i="9"/>
  <c r="K97" i="9"/>
  <c r="S97" i="9"/>
  <c r="K98" i="9"/>
  <c r="S98" i="9"/>
  <c r="K99" i="9"/>
  <c r="K100" i="9"/>
  <c r="K101" i="9"/>
  <c r="S101" i="9"/>
  <c r="K102" i="9"/>
  <c r="S102" i="9"/>
  <c r="K103" i="9"/>
  <c r="S103" i="9"/>
  <c r="K104" i="9"/>
  <c r="S104" i="9"/>
  <c r="K105" i="9"/>
  <c r="S105" i="9"/>
  <c r="K106" i="9"/>
  <c r="K107" i="9"/>
  <c r="S107" i="9"/>
  <c r="K108" i="9"/>
  <c r="S108" i="9"/>
  <c r="K109" i="9"/>
  <c r="S109" i="9"/>
  <c r="K110" i="9"/>
  <c r="S110" i="9"/>
  <c r="K111" i="9"/>
  <c r="S111" i="9"/>
  <c r="K112" i="9"/>
  <c r="S112" i="9"/>
  <c r="K113" i="9"/>
  <c r="S113" i="9"/>
  <c r="K114" i="9"/>
  <c r="S114" i="9"/>
  <c r="K115" i="9"/>
  <c r="S115" i="9"/>
  <c r="K116" i="9"/>
  <c r="S116" i="9"/>
  <c r="K117" i="9"/>
  <c r="S117" i="9"/>
  <c r="K118" i="9"/>
  <c r="S118" i="9"/>
  <c r="K119" i="9"/>
  <c r="S119" i="9"/>
  <c r="K120" i="9"/>
  <c r="S120" i="9"/>
  <c r="K121" i="9"/>
  <c r="S121" i="9"/>
  <c r="K122" i="9"/>
  <c r="S122" i="9"/>
  <c r="K123" i="9"/>
  <c r="S123" i="9"/>
  <c r="K184" i="9"/>
  <c r="S184" i="9"/>
  <c r="K185" i="9"/>
  <c r="S185" i="9"/>
  <c r="K186" i="9"/>
  <c r="S186" i="9"/>
  <c r="K187" i="9"/>
  <c r="S187" i="9"/>
  <c r="K188" i="9"/>
  <c r="S188" i="9"/>
  <c r="K189" i="9"/>
  <c r="S189" i="9"/>
  <c r="I11" i="9"/>
  <c r="I12" i="9"/>
  <c r="I13" i="9"/>
  <c r="I14" i="9"/>
  <c r="I15" i="9"/>
  <c r="I16" i="9"/>
  <c r="I17" i="9"/>
  <c r="I18" i="9"/>
  <c r="I19" i="9"/>
  <c r="I20" i="9"/>
  <c r="I21" i="9"/>
  <c r="I22" i="9"/>
  <c r="I23" i="9"/>
  <c r="I24" i="9"/>
  <c r="I25" i="9"/>
  <c r="I26" i="9"/>
  <c r="I27" i="9"/>
  <c r="Q31" i="36"/>
  <c r="I28" i="9"/>
  <c r="Q32" i="36"/>
  <c r="I29" i="9"/>
  <c r="I30" i="9"/>
  <c r="I31" i="9"/>
  <c r="I32" i="9"/>
  <c r="I33" i="9"/>
  <c r="I34" i="9"/>
  <c r="Q38" i="36"/>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S106" i="9"/>
  <c r="S100" i="9"/>
  <c r="S88" i="9"/>
  <c r="S76" i="9"/>
  <c r="S70" i="9"/>
  <c r="S64" i="9"/>
  <c r="W130" i="9"/>
  <c r="D30" i="35"/>
  <c r="F30" i="35"/>
  <c r="W178" i="9"/>
  <c r="D38" i="35"/>
  <c r="F38" i="35"/>
  <c r="W160" i="9"/>
  <c r="D35" i="35"/>
  <c r="F35" i="35"/>
  <c r="W172" i="9"/>
  <c r="D37" i="35"/>
  <c r="F37" i="35"/>
  <c r="W166" i="9"/>
  <c r="D36" i="35"/>
  <c r="F36" i="35"/>
  <c r="W136" i="9"/>
  <c r="D31" i="35"/>
  <c r="F31" i="35"/>
  <c r="S52" i="9"/>
  <c r="S40" i="9"/>
  <c r="S34" i="9"/>
  <c r="S28" i="9"/>
  <c r="S22" i="9"/>
  <c r="S17" i="9"/>
  <c r="D34" i="36"/>
  <c r="D130" i="9"/>
  <c r="U130" i="9"/>
  <c r="I39" i="36" s="1"/>
  <c r="K39" i="36" s="1"/>
  <c r="L39" i="36" s="1"/>
  <c r="N39" i="36" s="1"/>
  <c r="M39" i="36" s="1"/>
  <c r="P39" i="36" s="1"/>
  <c r="N30" i="15"/>
  <c r="D30" i="31"/>
  <c r="F34" i="36"/>
  <c r="N31" i="15"/>
  <c r="D31" i="31"/>
  <c r="F35" i="36"/>
  <c r="D35" i="36"/>
  <c r="D136" i="9"/>
  <c r="U136" i="9"/>
  <c r="E29" i="15"/>
  <c r="F29" i="15"/>
  <c r="C29" i="31" s="1"/>
  <c r="F30" i="15"/>
  <c r="C30" i="31" s="1"/>
  <c r="E30" i="15"/>
  <c r="F31" i="15"/>
  <c r="C31" i="31"/>
  <c r="E31" i="15"/>
  <c r="E32" i="15"/>
  <c r="F32" i="15"/>
  <c r="C32" i="31"/>
  <c r="F33" i="15"/>
  <c r="C33" i="31" s="1"/>
  <c r="E33" i="15"/>
  <c r="F34" i="15"/>
  <c r="C34" i="31" s="1"/>
  <c r="E34" i="15"/>
  <c r="E35" i="15"/>
  <c r="F35" i="15"/>
  <c r="C35" i="31"/>
  <c r="E36" i="15"/>
  <c r="F36" i="15"/>
  <c r="C36" i="31" s="1"/>
  <c r="F37" i="15"/>
  <c r="C37" i="31" s="1"/>
  <c r="E37" i="15"/>
  <c r="E38" i="15"/>
  <c r="F38" i="15"/>
  <c r="C38" i="31" s="1"/>
  <c r="F39" i="15"/>
  <c r="C39" i="31" s="1"/>
  <c r="E39" i="15"/>
  <c r="C43" i="36" s="1"/>
  <c r="B124" i="9"/>
  <c r="B33" i="36"/>
  <c r="B29" i="15"/>
  <c r="B29" i="35"/>
  <c r="B29" i="31"/>
  <c r="B30" i="31"/>
  <c r="B30" i="35"/>
  <c r="B34" i="36"/>
  <c r="B130" i="9"/>
  <c r="B30" i="15"/>
  <c r="B31" i="31"/>
  <c r="B31" i="15"/>
  <c r="B31" i="35"/>
  <c r="B136" i="9"/>
  <c r="B35" i="36"/>
  <c r="B32" i="35"/>
  <c r="B32" i="15"/>
  <c r="B36" i="36"/>
  <c r="B142" i="9"/>
  <c r="B32" i="31"/>
  <c r="B33" i="31"/>
  <c r="B37" i="36"/>
  <c r="B33" i="15"/>
  <c r="B148" i="9"/>
  <c r="B33" i="35"/>
  <c r="B34" i="31"/>
  <c r="B38" i="36"/>
  <c r="B34" i="15"/>
  <c r="B34" i="35"/>
  <c r="B154" i="9"/>
  <c r="B35" i="15"/>
  <c r="B35" i="31"/>
  <c r="B35" i="35"/>
  <c r="B160" i="9"/>
  <c r="B39" i="36"/>
  <c r="B40" i="36"/>
  <c r="B166" i="9"/>
  <c r="B36" i="15"/>
  <c r="B36" i="31"/>
  <c r="B36" i="35"/>
  <c r="B41" i="36"/>
  <c r="B37" i="15"/>
  <c r="B37" i="35"/>
  <c r="B37" i="31"/>
  <c r="B172" i="9"/>
  <c r="B38" i="15"/>
  <c r="B38" i="31"/>
  <c r="B42" i="36"/>
  <c r="B38" i="35"/>
  <c r="B178" i="9"/>
  <c r="S35" i="9"/>
  <c r="S42" i="9"/>
  <c r="S99" i="9"/>
  <c r="S80" i="9"/>
  <c r="S16" i="9"/>
  <c r="S10" i="9"/>
  <c r="U123" i="9"/>
  <c r="U188" i="9"/>
  <c r="U120" i="9"/>
  <c r="U187" i="9"/>
  <c r="U119" i="9"/>
  <c r="U186" i="9"/>
  <c r="U185" i="9"/>
  <c r="U117" i="9"/>
  <c r="S90" i="9"/>
  <c r="C33" i="36"/>
  <c r="C124" i="9"/>
  <c r="C34" i="36"/>
  <c r="C130" i="9"/>
  <c r="E31" i="31"/>
  <c r="G35" i="36" s="1"/>
  <c r="E35" i="36"/>
  <c r="C35" i="36"/>
  <c r="C136" i="9"/>
  <c r="C36" i="36"/>
  <c r="C142" i="9"/>
  <c r="E32" i="31"/>
  <c r="G36" i="36" s="1"/>
  <c r="E36" i="36"/>
  <c r="C37" i="36"/>
  <c r="C148" i="9"/>
  <c r="C38" i="36"/>
  <c r="C154" i="9"/>
  <c r="C39" i="36"/>
  <c r="C160" i="9"/>
  <c r="E35" i="31"/>
  <c r="G39" i="36" s="1"/>
  <c r="E39" i="36"/>
  <c r="C40" i="36"/>
  <c r="C166" i="9"/>
  <c r="C41" i="36"/>
  <c r="C172" i="9"/>
  <c r="C42" i="36"/>
  <c r="C178" i="9"/>
  <c r="D10" i="15"/>
  <c r="F10" i="15"/>
  <c r="C10" i="31"/>
  <c r="D10" i="30"/>
  <c r="A184" i="9"/>
  <c r="A118" i="9"/>
  <c r="A112" i="9"/>
  <c r="A106" i="9"/>
  <c r="A100" i="9"/>
  <c r="A94" i="9"/>
  <c r="A88" i="9"/>
  <c r="A82" i="9"/>
  <c r="A76" i="9"/>
  <c r="A70" i="9"/>
  <c r="A64" i="9"/>
  <c r="A58" i="9"/>
  <c r="A52" i="9"/>
  <c r="A46" i="9"/>
  <c r="A40" i="9"/>
  <c r="A34" i="9"/>
  <c r="A28" i="9"/>
  <c r="A22" i="9"/>
  <c r="A16" i="9"/>
  <c r="I10" i="9"/>
  <c r="Q9" i="36"/>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c r="C14" i="31"/>
  <c r="D15" i="15"/>
  <c r="F15" i="15"/>
  <c r="C15" i="31"/>
  <c r="D16" i="15"/>
  <c r="F16" i="15"/>
  <c r="C16" i="31"/>
  <c r="D17" i="15"/>
  <c r="F17" i="15"/>
  <c r="C17" i="31"/>
  <c r="D18" i="15"/>
  <c r="F18" i="15"/>
  <c r="C18" i="31"/>
  <c r="D19" i="15"/>
  <c r="F19" i="15"/>
  <c r="C19" i="31"/>
  <c r="D20" i="15"/>
  <c r="D21" i="15"/>
  <c r="D22" i="15"/>
  <c r="F22" i="15"/>
  <c r="C22" i="31"/>
  <c r="D23" i="15"/>
  <c r="F23" i="15"/>
  <c r="C23" i="31"/>
  <c r="D24" i="15"/>
  <c r="E24" i="15"/>
  <c r="D25" i="15"/>
  <c r="D26" i="15"/>
  <c r="F26" i="15"/>
  <c r="C26" i="31"/>
  <c r="D27" i="15"/>
  <c r="F27" i="15" s="1"/>
  <c r="C27" i="31" s="1"/>
  <c r="D28" i="15"/>
  <c r="E22" i="15"/>
  <c r="E14" i="15"/>
  <c r="C17" i="36"/>
  <c r="E17" i="15"/>
  <c r="C20" i="36"/>
  <c r="B11" i="15"/>
  <c r="B22" i="9"/>
  <c r="B28" i="9"/>
  <c r="B34" i="9"/>
  <c r="B15" i="31"/>
  <c r="B16" i="35"/>
  <c r="B52" i="9"/>
  <c r="B58" i="9"/>
  <c r="B64" i="9"/>
  <c r="B20" i="35"/>
  <c r="B76" i="9"/>
  <c r="B82" i="9"/>
  <c r="B88" i="9"/>
  <c r="B94" i="9"/>
  <c r="B100" i="9"/>
  <c r="B26" i="31"/>
  <c r="B27" i="35"/>
  <c r="B118" i="9"/>
  <c r="B39" i="15"/>
  <c r="B10" i="15"/>
  <c r="A32" i="36"/>
  <c r="A31" i="36"/>
  <c r="A29" i="36"/>
  <c r="A28" i="36"/>
  <c r="B27" i="36"/>
  <c r="A27" i="36"/>
  <c r="A26" i="36"/>
  <c r="A25" i="36"/>
  <c r="A24" i="36"/>
  <c r="A23" i="36"/>
  <c r="A22" i="36"/>
  <c r="A21" i="36"/>
  <c r="A20" i="36"/>
  <c r="A19" i="36"/>
  <c r="A18" i="36"/>
  <c r="B17" i="36"/>
  <c r="A17" i="36"/>
  <c r="A16" i="36"/>
  <c r="A15" i="36"/>
  <c r="A12"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E18" i="15"/>
  <c r="E23" i="15"/>
  <c r="C88" i="9"/>
  <c r="E27" i="15"/>
  <c r="E15" i="15"/>
  <c r="C40" i="9"/>
  <c r="E26" i="15"/>
  <c r="C106" i="9"/>
  <c r="M20" i="15"/>
  <c r="M11" i="15"/>
  <c r="N11" i="15"/>
  <c r="D11" i="31"/>
  <c r="F12" i="36"/>
  <c r="M13" i="15"/>
  <c r="D28" i="9"/>
  <c r="M15" i="15"/>
  <c r="D18" i="36"/>
  <c r="M16" i="15"/>
  <c r="N16" i="15"/>
  <c r="D16" i="31"/>
  <c r="M18" i="15"/>
  <c r="N18" i="15"/>
  <c r="D18" i="31"/>
  <c r="M21" i="15"/>
  <c r="N21" i="15"/>
  <c r="D21" i="31"/>
  <c r="F24" i="36"/>
  <c r="M19" i="15"/>
  <c r="D22" i="36"/>
  <c r="M23" i="15"/>
  <c r="D26" i="36"/>
  <c r="M24" i="15"/>
  <c r="N24" i="15"/>
  <c r="D24" i="31"/>
  <c r="F27" i="36"/>
  <c r="M27" i="15"/>
  <c r="D31" i="36" s="1"/>
  <c r="E11" i="15"/>
  <c r="F11" i="15"/>
  <c r="C11" i="31"/>
  <c r="E12" i="15"/>
  <c r="F12" i="15"/>
  <c r="C12" i="31"/>
  <c r="E13" i="15"/>
  <c r="C16" i="36"/>
  <c r="F13" i="15"/>
  <c r="C13" i="31"/>
  <c r="E18" i="36"/>
  <c r="E20" i="15"/>
  <c r="F20" i="15"/>
  <c r="C20" i="31"/>
  <c r="E21" i="15"/>
  <c r="C76" i="9"/>
  <c r="F21" i="15"/>
  <c r="C21" i="31"/>
  <c r="E24" i="36"/>
  <c r="E25" i="15"/>
  <c r="C100" i="9"/>
  <c r="F25" i="15"/>
  <c r="C25" i="31"/>
  <c r="E28" i="15"/>
  <c r="F28" i="15"/>
  <c r="C28" i="31"/>
  <c r="E28" i="31" s="1"/>
  <c r="G32" i="36" s="1"/>
  <c r="C25" i="36"/>
  <c r="C82" i="9"/>
  <c r="C58" i="9"/>
  <c r="C21" i="36"/>
  <c r="C184" i="9"/>
  <c r="C112" i="9"/>
  <c r="C31" i="36"/>
  <c r="C26" i="36"/>
  <c r="M28" i="15"/>
  <c r="M26" i="15"/>
  <c r="M25" i="15"/>
  <c r="M22" i="15"/>
  <c r="M17" i="15"/>
  <c r="M14" i="15"/>
  <c r="M12" i="15"/>
  <c r="B112" i="9"/>
  <c r="B14" i="15"/>
  <c r="B14" i="35"/>
  <c r="B13" i="31"/>
  <c r="B22" i="36"/>
  <c r="B23" i="36"/>
  <c r="B27" i="15"/>
  <c r="B13" i="15"/>
  <c r="B17" i="31"/>
  <c r="B19" i="15"/>
  <c r="B29" i="36"/>
  <c r="B18" i="35"/>
  <c r="B26" i="35"/>
  <c r="B106" i="9"/>
  <c r="B20" i="31"/>
  <c r="B14" i="31"/>
  <c r="B26" i="15"/>
  <c r="B20" i="15"/>
  <c r="B40" i="9"/>
  <c r="B22" i="15"/>
  <c r="B15" i="15"/>
  <c r="B21" i="31"/>
  <c r="B15" i="35"/>
  <c r="B18" i="36"/>
  <c r="B16" i="9"/>
  <c r="B70" i="9"/>
  <c r="B16" i="31"/>
  <c r="B12" i="31"/>
  <c r="B12" i="36"/>
  <c r="B28" i="15"/>
  <c r="B24" i="35"/>
  <c r="B24" i="31"/>
  <c r="B21" i="35"/>
  <c r="B21" i="15"/>
  <c r="B19" i="31"/>
  <c r="B12" i="35"/>
  <c r="B15" i="36"/>
  <c r="B31" i="36"/>
  <c r="B28" i="31"/>
  <c r="B17" i="35"/>
  <c r="B22" i="35"/>
  <c r="B21" i="36"/>
  <c r="B26" i="36"/>
  <c r="B18" i="15"/>
  <c r="B12" i="15"/>
  <c r="B17" i="15"/>
  <c r="B22" i="31"/>
  <c r="B18" i="31"/>
  <c r="B13" i="35"/>
  <c r="B28" i="35"/>
  <c r="B32" i="36"/>
  <c r="B46" i="9"/>
  <c r="B23" i="15"/>
  <c r="B27" i="31"/>
  <c r="B23" i="31"/>
  <c r="B11" i="35"/>
  <c r="B19" i="35"/>
  <c r="B23" i="35"/>
  <c r="B19" i="36"/>
  <c r="B11" i="31"/>
  <c r="B16" i="15"/>
  <c r="B25" i="36"/>
  <c r="B25" i="15"/>
  <c r="B25" i="31"/>
  <c r="B25" i="35"/>
  <c r="B39" i="35"/>
  <c r="E25" i="36"/>
  <c r="E22" i="36"/>
  <c r="C94" i="9"/>
  <c r="C27" i="36"/>
  <c r="E20" i="36"/>
  <c r="E26" i="36"/>
  <c r="E19" i="36"/>
  <c r="N27" i="15"/>
  <c r="D27" i="31" s="1"/>
  <c r="F31" i="36" s="1"/>
  <c r="D112" i="9"/>
  <c r="U112" i="9"/>
  <c r="E17" i="36"/>
  <c r="E29" i="36"/>
  <c r="B16" i="36"/>
  <c r="B20" i="36"/>
  <c r="B24" i="36"/>
  <c r="B28" i="36"/>
  <c r="B43" i="36"/>
  <c r="C52" i="9"/>
  <c r="C34" i="9"/>
  <c r="B184" i="9"/>
  <c r="E16" i="15"/>
  <c r="E19" i="15"/>
  <c r="E21" i="36"/>
  <c r="F24" i="15"/>
  <c r="C24" i="31"/>
  <c r="E10" i="15"/>
  <c r="C10" i="9"/>
  <c r="E9" i="36"/>
  <c r="M10" i="15"/>
  <c r="D10" i="9"/>
  <c r="B10" i="35"/>
  <c r="B9" i="36"/>
  <c r="B10" i="9"/>
  <c r="B10" i="31"/>
  <c r="F19" i="36"/>
  <c r="E16" i="31"/>
  <c r="G19" i="36"/>
  <c r="F21" i="36"/>
  <c r="E18" i="31"/>
  <c r="G21" i="36"/>
  <c r="T10" i="9"/>
  <c r="T132" i="9"/>
  <c r="H41" i="36"/>
  <c r="J41" i="36"/>
  <c r="T168" i="9"/>
  <c r="T127" i="9"/>
  <c r="H36" i="36"/>
  <c r="J36" i="36"/>
  <c r="T156" i="9"/>
  <c r="T137" i="9"/>
  <c r="T172" i="9"/>
  <c r="T170" i="9"/>
  <c r="T164" i="9"/>
  <c r="T158" i="9"/>
  <c r="T153" i="9"/>
  <c r="T162" i="9"/>
  <c r="T182" i="9"/>
  <c r="T124" i="9"/>
  <c r="H33" i="36"/>
  <c r="J33" i="36"/>
  <c r="T144" i="9"/>
  <c r="T177" i="9"/>
  <c r="T159" i="9"/>
  <c r="T142" i="9"/>
  <c r="T129" i="9"/>
  <c r="T138" i="9"/>
  <c r="T175" i="9"/>
  <c r="T181" i="9"/>
  <c r="T133" i="9"/>
  <c r="H42" i="36"/>
  <c r="J42" i="36"/>
  <c r="T130" i="9"/>
  <c r="H39" i="36"/>
  <c r="J39" i="36" s="1"/>
  <c r="T176" i="9"/>
  <c r="T166" i="9"/>
  <c r="T146" i="9"/>
  <c r="T160" i="9"/>
  <c r="T161" i="9"/>
  <c r="T157" i="9"/>
  <c r="T147" i="9"/>
  <c r="T128" i="9"/>
  <c r="H37" i="36"/>
  <c r="J37" i="36" s="1"/>
  <c r="T178" i="9"/>
  <c r="T165" i="9"/>
  <c r="T135" i="9"/>
  <c r="T150" i="9"/>
  <c r="T179" i="9"/>
  <c r="T134" i="9"/>
  <c r="H43" i="36"/>
  <c r="J43" i="36" s="1"/>
  <c r="T167" i="9"/>
  <c r="T163" i="9"/>
  <c r="T145" i="9"/>
  <c r="T171" i="9"/>
  <c r="T183" i="9"/>
  <c r="T141" i="9"/>
  <c r="T154" i="9"/>
  <c r="T149" i="9"/>
  <c r="T169" i="9"/>
  <c r="T155" i="9"/>
  <c r="T126" i="9"/>
  <c r="H35" i="36"/>
  <c r="J35" i="36" s="1"/>
  <c r="T143" i="9"/>
  <c r="T151" i="9"/>
  <c r="T139" i="9"/>
  <c r="T140" i="9"/>
  <c r="T174" i="9"/>
  <c r="T125" i="9"/>
  <c r="H34" i="36"/>
  <c r="J34" i="36" s="1"/>
  <c r="T136" i="9"/>
  <c r="T152" i="9"/>
  <c r="T148" i="9"/>
  <c r="T180" i="9"/>
  <c r="T131" i="9"/>
  <c r="H40" i="36"/>
  <c r="J40" i="36" s="1"/>
  <c r="T173" i="9"/>
  <c r="E21" i="31"/>
  <c r="G24" i="36"/>
  <c r="C29" i="36"/>
  <c r="D21" i="36"/>
  <c r="D58" i="9"/>
  <c r="C18" i="36"/>
  <c r="D46" i="9"/>
  <c r="D19" i="36"/>
  <c r="N15" i="15"/>
  <c r="D15" i="31"/>
  <c r="N19" i="15"/>
  <c r="D19" i="31"/>
  <c r="D64" i="9"/>
  <c r="C28" i="9"/>
  <c r="C28" i="36"/>
  <c r="D40" i="9"/>
  <c r="D94" i="9"/>
  <c r="D16" i="36"/>
  <c r="D27" i="36"/>
  <c r="D12" i="36"/>
  <c r="E16" i="36"/>
  <c r="D24" i="36"/>
  <c r="D16" i="9"/>
  <c r="C24" i="36"/>
  <c r="N13" i="15"/>
  <c r="D13" i="31"/>
  <c r="E32" i="36"/>
  <c r="D76" i="9"/>
  <c r="D23" i="36"/>
  <c r="N20" i="15"/>
  <c r="D20" i="31"/>
  <c r="F23" i="36"/>
  <c r="D70" i="9"/>
  <c r="C16" i="9"/>
  <c r="C12" i="36"/>
  <c r="D88" i="9"/>
  <c r="N23" i="15"/>
  <c r="D23" i="31"/>
  <c r="N17" i="15"/>
  <c r="D17" i="31"/>
  <c r="D20" i="36"/>
  <c r="D52" i="9"/>
  <c r="C70" i="9"/>
  <c r="C23" i="36"/>
  <c r="E23" i="36"/>
  <c r="E20" i="31"/>
  <c r="G23" i="36"/>
  <c r="E28" i="36"/>
  <c r="C32" i="36"/>
  <c r="C118" i="9"/>
  <c r="E11" i="31"/>
  <c r="G12" i="36"/>
  <c r="E12" i="36"/>
  <c r="C15" i="36"/>
  <c r="C22" i="9"/>
  <c r="E15" i="36"/>
  <c r="N28" i="15"/>
  <c r="D28" i="31" s="1"/>
  <c r="F32" i="36" s="1"/>
  <c r="D32" i="36"/>
  <c r="D118" i="9"/>
  <c r="U118" i="9"/>
  <c r="D29" i="36"/>
  <c r="D106" i="9"/>
  <c r="N26" i="15"/>
  <c r="D26" i="31"/>
  <c r="D28" i="36"/>
  <c r="D100" i="9"/>
  <c r="N25" i="15"/>
  <c r="D25" i="31"/>
  <c r="N22" i="15"/>
  <c r="D22" i="31"/>
  <c r="D25" i="36"/>
  <c r="D82" i="9"/>
  <c r="D17" i="36"/>
  <c r="D34" i="9"/>
  <c r="N14" i="15"/>
  <c r="D14" i="31"/>
  <c r="D15" i="36"/>
  <c r="D22" i="9"/>
  <c r="N12" i="15"/>
  <c r="D12" i="31"/>
  <c r="N10" i="15"/>
  <c r="D10" i="31"/>
  <c r="D9" i="36"/>
  <c r="E24" i="31"/>
  <c r="G27" i="36"/>
  <c r="E27" i="36"/>
  <c r="C9" i="36"/>
  <c r="C19" i="36"/>
  <c r="C46" i="9"/>
  <c r="T188" i="9"/>
  <c r="T117" i="9"/>
  <c r="T12" i="9"/>
  <c r="T15" i="9"/>
  <c r="V10" i="9"/>
  <c r="T120" i="9"/>
  <c r="T184" i="9"/>
  <c r="T118" i="9"/>
  <c r="T119" i="9"/>
  <c r="T186" i="9"/>
  <c r="T11" i="9"/>
  <c r="T116" i="9"/>
  <c r="T123" i="9"/>
  <c r="V118" i="9"/>
  <c r="T13" i="9"/>
  <c r="T115" i="9"/>
  <c r="H19" i="36"/>
  <c r="J19" i="36" s="1"/>
  <c r="T122" i="9"/>
  <c r="T14" i="9"/>
  <c r="T187" i="9"/>
  <c r="T114" i="9"/>
  <c r="T189" i="9"/>
  <c r="T112" i="9"/>
  <c r="T121" i="9"/>
  <c r="T185" i="9"/>
  <c r="T113" i="9"/>
  <c r="C64" i="9"/>
  <c r="C22" i="36"/>
  <c r="D28" i="35"/>
  <c r="F28" i="35"/>
  <c r="W118" i="9"/>
  <c r="I32" i="36"/>
  <c r="K32" i="36"/>
  <c r="D39" i="35"/>
  <c r="F39" i="35"/>
  <c r="W184" i="9"/>
  <c r="I31" i="36"/>
  <c r="K31" i="36"/>
  <c r="D27" i="35"/>
  <c r="F27" i="35"/>
  <c r="W112" i="9"/>
  <c r="F18" i="36"/>
  <c r="E15" i="31"/>
  <c r="G18" i="36"/>
  <c r="F22" i="36"/>
  <c r="E19" i="31"/>
  <c r="G22" i="36"/>
  <c r="F16" i="36"/>
  <c r="E13" i="31"/>
  <c r="G16" i="36"/>
  <c r="F26" i="36"/>
  <c r="E23" i="31"/>
  <c r="G26" i="36"/>
  <c r="F20" i="36"/>
  <c r="E17" i="31"/>
  <c r="G20" i="36"/>
  <c r="F29" i="36"/>
  <c r="E26" i="31"/>
  <c r="G29" i="36"/>
  <c r="F28" i="36"/>
  <c r="E25" i="31"/>
  <c r="G28" i="36"/>
  <c r="F25" i="36"/>
  <c r="E22" i="31"/>
  <c r="G25" i="36"/>
  <c r="F17" i="36"/>
  <c r="E14" i="31"/>
  <c r="G17" i="36"/>
  <c r="F15" i="36"/>
  <c r="E12" i="31"/>
  <c r="G15" i="36"/>
  <c r="V148" i="9"/>
  <c r="C33" i="35"/>
  <c r="E33" i="35"/>
  <c r="G33" i="35"/>
  <c r="V172" i="9"/>
  <c r="C37" i="35"/>
  <c r="E37" i="35"/>
  <c r="G37" i="35"/>
  <c r="V154" i="9"/>
  <c r="C34" i="35"/>
  <c r="E34" i="35"/>
  <c r="G34" i="35"/>
  <c r="V124" i="9"/>
  <c r="H38" i="36"/>
  <c r="J38" i="36"/>
  <c r="C29" i="35"/>
  <c r="E29" i="35"/>
  <c r="G29" i="35"/>
  <c r="V142" i="9"/>
  <c r="C32" i="35"/>
  <c r="E32" i="35"/>
  <c r="G32" i="35"/>
  <c r="V160" i="9"/>
  <c r="C35" i="35"/>
  <c r="E35" i="35"/>
  <c r="G35" i="35"/>
  <c r="V130" i="9"/>
  <c r="C30" i="35"/>
  <c r="E30" i="35"/>
  <c r="G30" i="35"/>
  <c r="V166" i="9"/>
  <c r="C36" i="35"/>
  <c r="E36" i="35"/>
  <c r="G36" i="35"/>
  <c r="V178" i="9"/>
  <c r="C38" i="35"/>
  <c r="E38" i="35"/>
  <c r="G38" i="35"/>
  <c r="V136" i="9"/>
  <c r="C31" i="35"/>
  <c r="E31" i="35"/>
  <c r="G31" i="35"/>
  <c r="I20" i="36"/>
  <c r="K20" i="36" s="1"/>
  <c r="E10" i="31"/>
  <c r="G9" i="36"/>
  <c r="H31" i="36"/>
  <c r="J31" i="36" s="1"/>
  <c r="V112" i="9"/>
  <c r="I15" i="36"/>
  <c r="K15" i="36"/>
  <c r="D12" i="35"/>
  <c r="F12" i="35"/>
  <c r="F9" i="36"/>
  <c r="C28" i="35"/>
  <c r="E28" i="35"/>
  <c r="G28" i="35"/>
  <c r="C16" i="35"/>
  <c r="E16" i="35"/>
  <c r="C10" i="35"/>
  <c r="V46" i="9"/>
  <c r="H32" i="36"/>
  <c r="J32" i="36"/>
  <c r="L32" i="36" s="1"/>
  <c r="N32" i="36" s="1"/>
  <c r="M32" i="36" s="1"/>
  <c r="P32" i="36" s="1"/>
  <c r="C27" i="35"/>
  <c r="E27" i="35"/>
  <c r="G27" i="35"/>
  <c r="V184" i="9"/>
  <c r="C39" i="35"/>
  <c r="E39" i="35"/>
  <c r="G39" i="35"/>
  <c r="D17" i="35"/>
  <c r="F17" i="35"/>
  <c r="W52" i="9"/>
  <c r="H9" i="36"/>
  <c r="E10" i="35"/>
  <c r="J9" i="36"/>
  <c r="C26" i="35" l="1"/>
  <c r="E26" i="35" s="1"/>
  <c r="V106" i="9"/>
  <c r="H29" i="36"/>
  <c r="J29" i="36" s="1"/>
  <c r="V100" i="9"/>
  <c r="H28" i="36"/>
  <c r="J28" i="36" s="1"/>
  <c r="C25" i="35"/>
  <c r="E25" i="35" s="1"/>
  <c r="C24" i="35"/>
  <c r="E24" i="35" s="1"/>
  <c r="V94" i="9"/>
  <c r="H27" i="36"/>
  <c r="J27" i="36" s="1"/>
  <c r="V88" i="9"/>
  <c r="C23" i="35"/>
  <c r="E23" i="35" s="1"/>
  <c r="H26" i="36"/>
  <c r="J26" i="36" s="1"/>
  <c r="V82" i="9"/>
  <c r="C22" i="35"/>
  <c r="E22" i="35" s="1"/>
  <c r="H25" i="36"/>
  <c r="J25" i="36" s="1"/>
  <c r="C21" i="35"/>
  <c r="E21" i="35" s="1"/>
  <c r="H24" i="36"/>
  <c r="J24" i="36" s="1"/>
  <c r="V76" i="9"/>
  <c r="C20" i="35"/>
  <c r="E20" i="35" s="1"/>
  <c r="H23" i="36"/>
  <c r="J23" i="36" s="1"/>
  <c r="V70" i="9"/>
  <c r="V64" i="9"/>
  <c r="C19" i="35"/>
  <c r="E19" i="35" s="1"/>
  <c r="H22" i="36"/>
  <c r="J22" i="36" s="1"/>
  <c r="V58" i="9"/>
  <c r="C18" i="35"/>
  <c r="E18" i="35" s="1"/>
  <c r="H21" i="36"/>
  <c r="J21" i="36" s="1"/>
  <c r="H20" i="36"/>
  <c r="J20" i="36" s="1"/>
  <c r="C17" i="35"/>
  <c r="E17" i="35" s="1"/>
  <c r="G17" i="35" s="1"/>
  <c r="V52" i="9"/>
  <c r="V40" i="9"/>
  <c r="C15" i="35"/>
  <c r="E15" i="35" s="1"/>
  <c r="H18" i="36"/>
  <c r="J18" i="36" s="1"/>
  <c r="C14" i="35"/>
  <c r="E14" i="35" s="1"/>
  <c r="V34" i="9"/>
  <c r="H17" i="36"/>
  <c r="J17" i="36" s="1"/>
  <c r="C13" i="35"/>
  <c r="E13" i="35" s="1"/>
  <c r="V28" i="9"/>
  <c r="H16" i="36"/>
  <c r="J16" i="36" s="1"/>
  <c r="C12" i="35"/>
  <c r="E12" i="35" s="1"/>
  <c r="G12" i="35" s="1"/>
  <c r="V22" i="9"/>
  <c r="H15" i="36"/>
  <c r="J15" i="36" s="1"/>
  <c r="L15" i="36" s="1"/>
  <c r="N15" i="36" s="1"/>
  <c r="M15" i="36" s="1"/>
  <c r="P15" i="36" s="1"/>
  <c r="V16" i="9"/>
  <c r="H12" i="36"/>
  <c r="J12" i="36" s="1"/>
  <c r="C11" i="35"/>
  <c r="E11" i="35" s="1"/>
  <c r="N29" i="15"/>
  <c r="D29" i="31" s="1"/>
  <c r="F33" i="36" s="1"/>
  <c r="D124" i="9"/>
  <c r="U124" i="9" s="1"/>
  <c r="I33" i="36" s="1"/>
  <c r="K33" i="36" s="1"/>
  <c r="D33" i="36"/>
  <c r="D36" i="36"/>
  <c r="D142" i="9"/>
  <c r="U142" i="9" s="1"/>
  <c r="N32" i="15"/>
  <c r="D32" i="31" s="1"/>
  <c r="F36" i="36" s="1"/>
  <c r="D148" i="9"/>
  <c r="U148" i="9" s="1"/>
  <c r="D37" i="36"/>
  <c r="N33" i="15"/>
  <c r="D33" i="31" s="1"/>
  <c r="F37" i="36" s="1"/>
  <c r="D38" i="36"/>
  <c r="D154" i="9"/>
  <c r="U154" i="9" s="1"/>
  <c r="N34" i="15"/>
  <c r="D34" i="31" s="1"/>
  <c r="F38" i="36" s="1"/>
  <c r="D160" i="9"/>
  <c r="U160" i="9" s="1"/>
  <c r="N35" i="15"/>
  <c r="D35" i="31" s="1"/>
  <c r="F39" i="36" s="1"/>
  <c r="D39" i="36"/>
  <c r="N36" i="15"/>
  <c r="D36" i="31" s="1"/>
  <c r="F40" i="36" s="1"/>
  <c r="D40" i="36"/>
  <c r="D166" i="9"/>
  <c r="U166" i="9" s="1"/>
  <c r="D172" i="9"/>
  <c r="U172" i="9" s="1"/>
  <c r="D41" i="36"/>
  <c r="N37" i="15"/>
  <c r="D37" i="31" s="1"/>
  <c r="F41" i="36" s="1"/>
  <c r="D178" i="9"/>
  <c r="U178" i="9" s="1"/>
  <c r="N38" i="15"/>
  <c r="D38" i="31" s="1"/>
  <c r="F42" i="36" s="1"/>
  <c r="D42" i="36"/>
  <c r="D184" i="9"/>
  <c r="U184" i="9" s="1"/>
  <c r="N39" i="15"/>
  <c r="D39" i="31" s="1"/>
  <c r="F43" i="36" s="1"/>
  <c r="D43" i="36"/>
  <c r="E33" i="36"/>
  <c r="E29" i="31"/>
  <c r="G33" i="36" s="1"/>
  <c r="E34" i="36"/>
  <c r="E30" i="31"/>
  <c r="G34" i="36" s="1"/>
  <c r="E33" i="31"/>
  <c r="G37" i="36" s="1"/>
  <c r="E37" i="36"/>
  <c r="E34" i="31"/>
  <c r="G38" i="36" s="1"/>
  <c r="E38" i="36"/>
  <c r="E40" i="36"/>
  <c r="E36" i="31"/>
  <c r="G40" i="36" s="1"/>
  <c r="E37" i="31"/>
  <c r="G41" i="36" s="1"/>
  <c r="E41" i="36"/>
  <c r="E38" i="31"/>
  <c r="G42" i="36" s="1"/>
  <c r="E42" i="36"/>
  <c r="E43" i="36"/>
  <c r="E39" i="31"/>
  <c r="G43" i="36" s="1"/>
  <c r="I12" i="31"/>
  <c r="C12" i="37" s="1"/>
  <c r="J14" i="31"/>
  <c r="D14" i="37" s="1"/>
  <c r="L13" i="31"/>
  <c r="F13" i="37" s="1"/>
  <c r="L14" i="31"/>
  <c r="F14" i="37" s="1"/>
  <c r="J13" i="31"/>
  <c r="D13" i="37" s="1"/>
  <c r="I11" i="31"/>
  <c r="C11" i="37" s="1"/>
  <c r="L11" i="31"/>
  <c r="F11" i="37" s="1"/>
  <c r="J10" i="31"/>
  <c r="D10" i="37" s="1"/>
  <c r="K10" i="31"/>
  <c r="E10" i="37" s="1"/>
  <c r="I13" i="31"/>
  <c r="C13" i="37" s="1"/>
  <c r="M12" i="31"/>
  <c r="G12" i="37" s="1"/>
  <c r="K14" i="31"/>
  <c r="E14" i="37" s="1"/>
  <c r="J11" i="31"/>
  <c r="D11" i="37" s="1"/>
  <c r="L12" i="31"/>
  <c r="F12" i="37" s="1"/>
  <c r="K13" i="31"/>
  <c r="E13" i="37" s="1"/>
  <c r="L10" i="31"/>
  <c r="F10" i="37" s="1"/>
  <c r="J12" i="31"/>
  <c r="D12" i="37" s="1"/>
  <c r="I10" i="31"/>
  <c r="C10" i="37" s="1"/>
  <c r="K12" i="31"/>
  <c r="E12" i="37" s="1"/>
  <c r="M11" i="31"/>
  <c r="G11" i="37" s="1"/>
  <c r="E31" i="36"/>
  <c r="M14" i="31"/>
  <c r="G14" i="37" s="1"/>
  <c r="I14" i="31"/>
  <c r="C14" i="37" s="1"/>
  <c r="K11" i="31"/>
  <c r="E11" i="37" s="1"/>
  <c r="M13" i="31"/>
  <c r="G13" i="37" s="1"/>
  <c r="M10" i="31"/>
  <c r="G10" i="37" s="1"/>
  <c r="E27" i="31"/>
  <c r="G31" i="36" s="1"/>
  <c r="L36" i="36"/>
  <c r="N36" i="36" s="1"/>
  <c r="M36" i="36" s="1"/>
  <c r="P36" i="36" s="1"/>
  <c r="L42" i="36"/>
  <c r="N42" i="36" s="1"/>
  <c r="M42" i="36" s="1"/>
  <c r="P42" i="36" s="1"/>
  <c r="L37" i="36"/>
  <c r="N37" i="36" s="1"/>
  <c r="M37" i="36" s="1"/>
  <c r="P37" i="36" s="1"/>
  <c r="L35" i="36"/>
  <c r="N35" i="36" s="1"/>
  <c r="M35" i="36" s="1"/>
  <c r="P35" i="36" s="1"/>
  <c r="L34" i="36"/>
  <c r="N34" i="36" s="1"/>
  <c r="M34" i="36" s="1"/>
  <c r="P34" i="36" s="1"/>
  <c r="L40" i="36"/>
  <c r="N40" i="36" s="1"/>
  <c r="M40" i="36" s="1"/>
  <c r="P40" i="36" s="1"/>
  <c r="L20" i="36"/>
  <c r="N20" i="36" s="1"/>
  <c r="M20" i="36" s="1"/>
  <c r="P20" i="36" s="1"/>
  <c r="L41" i="36"/>
  <c r="N41" i="36" s="1"/>
  <c r="M41" i="36" s="1"/>
  <c r="P41" i="36" s="1"/>
  <c r="L43" i="36"/>
  <c r="N43" i="36" s="1"/>
  <c r="M43" i="36" s="1"/>
  <c r="P43" i="36" s="1"/>
  <c r="L31" i="36"/>
  <c r="N31" i="36" s="1"/>
  <c r="M31" i="36" s="1"/>
  <c r="P31" i="36" s="1"/>
  <c r="L38" i="36"/>
  <c r="N38" i="36" s="1"/>
  <c r="M38" i="36" s="1"/>
  <c r="P38" i="36" s="1"/>
  <c r="L33" i="36"/>
  <c r="N33" i="36" s="1"/>
  <c r="M33" i="36" s="1"/>
  <c r="P33" i="36" s="1"/>
  <c r="W106" i="9"/>
  <c r="I29" i="36"/>
  <c r="K29" i="36" s="1"/>
  <c r="D26" i="35"/>
  <c r="F26" i="35" s="1"/>
  <c r="G26" i="35" s="1"/>
  <c r="I28" i="36"/>
  <c r="K28" i="36" s="1"/>
  <c r="L28" i="36" s="1"/>
  <c r="N28" i="36" s="1"/>
  <c r="M28" i="36" s="1"/>
  <c r="P28" i="36" s="1"/>
  <c r="W100" i="9"/>
  <c r="D25" i="35"/>
  <c r="F25" i="35" s="1"/>
  <c r="G25" i="35" s="1"/>
  <c r="D24" i="35"/>
  <c r="F24" i="35" s="1"/>
  <c r="I27" i="36"/>
  <c r="K27" i="36" s="1"/>
  <c r="W94" i="9"/>
  <c r="D23" i="35"/>
  <c r="F23" i="35" s="1"/>
  <c r="G23" i="35" s="1"/>
  <c r="I26" i="36"/>
  <c r="K26" i="36" s="1"/>
  <c r="W88" i="9"/>
  <c r="W82" i="9"/>
  <c r="D22" i="35"/>
  <c r="F22" i="35" s="1"/>
  <c r="G22" i="35" s="1"/>
  <c r="I25" i="36"/>
  <c r="K25" i="36" s="1"/>
  <c r="L25" i="36" s="1"/>
  <c r="N25" i="36" s="1"/>
  <c r="M25" i="36" s="1"/>
  <c r="P25" i="36" s="1"/>
  <c r="D21" i="35"/>
  <c r="F21" i="35" s="1"/>
  <c r="G21" i="35" s="1"/>
  <c r="W76" i="9"/>
  <c r="I24" i="36"/>
  <c r="K24" i="36" s="1"/>
  <c r="L24" i="36" s="1"/>
  <c r="N24" i="36" s="1"/>
  <c r="M24" i="36" s="1"/>
  <c r="P24" i="36" s="1"/>
  <c r="D20" i="35"/>
  <c r="F20" i="35" s="1"/>
  <c r="G20" i="35" s="1"/>
  <c r="W70" i="9"/>
  <c r="I23" i="36"/>
  <c r="K23" i="36" s="1"/>
  <c r="L23" i="36" s="1"/>
  <c r="N23" i="36" s="1"/>
  <c r="M23" i="36" s="1"/>
  <c r="P23" i="36" s="1"/>
  <c r="I22" i="36"/>
  <c r="K22" i="36" s="1"/>
  <c r="W64" i="9"/>
  <c r="D19" i="35"/>
  <c r="F19" i="35" s="1"/>
  <c r="G19" i="35" s="1"/>
  <c r="D18" i="35"/>
  <c r="F18" i="35" s="1"/>
  <c r="G18" i="35" s="1"/>
  <c r="I21" i="36"/>
  <c r="K21" i="36" s="1"/>
  <c r="L21" i="36" s="1"/>
  <c r="N21" i="36" s="1"/>
  <c r="M21" i="36" s="1"/>
  <c r="P21" i="36" s="1"/>
  <c r="W58" i="9"/>
  <c r="W46" i="9"/>
  <c r="I19" i="36"/>
  <c r="K19" i="36" s="1"/>
  <c r="L19" i="36" s="1"/>
  <c r="N19" i="36" s="1"/>
  <c r="M19" i="36" s="1"/>
  <c r="P19" i="36" s="1"/>
  <c r="D16" i="35"/>
  <c r="F16" i="35" s="1"/>
  <c r="G16" i="35" s="1"/>
  <c r="I18" i="36"/>
  <c r="K18" i="36" s="1"/>
  <c r="L18" i="36" s="1"/>
  <c r="N18" i="36" s="1"/>
  <c r="M18" i="36" s="1"/>
  <c r="P18" i="36" s="1"/>
  <c r="D15" i="35"/>
  <c r="F15" i="35" s="1"/>
  <c r="G15" i="35" s="1"/>
  <c r="W40" i="9"/>
  <c r="D14" i="35"/>
  <c r="F14" i="35" s="1"/>
  <c r="W34" i="9"/>
  <c r="I17" i="36"/>
  <c r="K17" i="36" s="1"/>
  <c r="D13" i="35"/>
  <c r="F13" i="35" s="1"/>
  <c r="G13" i="35" s="1"/>
  <c r="W28" i="9"/>
  <c r="I16" i="36"/>
  <c r="K16" i="36" s="1"/>
  <c r="L16" i="36" s="1"/>
  <c r="N16" i="36" s="1"/>
  <c r="M16" i="36" s="1"/>
  <c r="P16" i="36" s="1"/>
  <c r="D11" i="35"/>
  <c r="F11" i="35" s="1"/>
  <c r="W16" i="9"/>
  <c r="I12" i="36"/>
  <c r="K12" i="36" s="1"/>
  <c r="W10" i="9"/>
  <c r="D10" i="35"/>
  <c r="F10" i="35" s="1"/>
  <c r="L29" i="36" l="1"/>
  <c r="N29" i="36" s="1"/>
  <c r="M29" i="36" s="1"/>
  <c r="P29" i="36" s="1"/>
  <c r="G24" i="35"/>
  <c r="L27" i="36"/>
  <c r="N27" i="36" s="1"/>
  <c r="M27" i="36" s="1"/>
  <c r="P27" i="36" s="1"/>
  <c r="L26" i="36"/>
  <c r="N26" i="36" s="1"/>
  <c r="M26" i="36" s="1"/>
  <c r="P26" i="36" s="1"/>
  <c r="L22" i="36"/>
  <c r="N22" i="36" s="1"/>
  <c r="M22" i="36" s="1"/>
  <c r="P22" i="36" s="1"/>
  <c r="G14" i="35"/>
  <c r="L17" i="36"/>
  <c r="N17" i="36" s="1"/>
  <c r="M17" i="36" s="1"/>
  <c r="P17" i="36" s="1"/>
  <c r="G11" i="35"/>
  <c r="L12" i="36"/>
  <c r="N12" i="36" s="1"/>
  <c r="M12" i="36" s="1"/>
  <c r="P12" i="36" s="1"/>
  <c r="B18" i="33"/>
  <c r="B15" i="33"/>
  <c r="B16" i="33"/>
  <c r="C16" i="33" s="1"/>
  <c r="B17" i="33"/>
  <c r="C17" i="33" s="1"/>
  <c r="I9" i="36"/>
  <c r="B19" i="33" l="1"/>
  <c r="C15" i="33"/>
  <c r="B22" i="33"/>
  <c r="M14" i="35"/>
  <c r="M14" i="37" s="1"/>
  <c r="O14" i="35"/>
  <c r="O14" i="37" s="1"/>
  <c r="L10" i="35"/>
  <c r="L10" i="37" s="1"/>
  <c r="O11" i="35"/>
  <c r="O11" i="37" s="1"/>
  <c r="M12" i="35"/>
  <c r="M12" i="37" s="1"/>
  <c r="K12" i="35"/>
  <c r="K12" i="37" s="1"/>
  <c r="K10" i="35"/>
  <c r="K10" i="37" s="1"/>
  <c r="M10" i="35"/>
  <c r="M10" i="37" s="1"/>
  <c r="K13" i="35"/>
  <c r="K13" i="37" s="1"/>
  <c r="N12" i="35"/>
  <c r="N12" i="37" s="1"/>
  <c r="G10" i="35"/>
  <c r="L9" i="36" s="1"/>
  <c r="L14" i="35"/>
  <c r="L14" i="37" s="1"/>
  <c r="L13" i="35"/>
  <c r="L13" i="37" s="1"/>
  <c r="M13" i="35"/>
  <c r="M13" i="37" s="1"/>
  <c r="O10" i="35"/>
  <c r="O10" i="37" s="1"/>
  <c r="K11" i="35"/>
  <c r="K11" i="37" s="1"/>
  <c r="L12" i="35"/>
  <c r="L12" i="37" s="1"/>
  <c r="O13" i="35"/>
  <c r="O13" i="37" s="1"/>
  <c r="M11" i="35"/>
  <c r="M11" i="37" s="1"/>
  <c r="N10" i="35"/>
  <c r="N10" i="37" s="1"/>
  <c r="L11" i="35"/>
  <c r="L11" i="37" s="1"/>
  <c r="K14" i="35"/>
  <c r="K14" i="37" s="1"/>
  <c r="N14" i="35"/>
  <c r="N14" i="37" s="1"/>
  <c r="O12" i="35"/>
  <c r="O12" i="37" s="1"/>
  <c r="N11" i="35"/>
  <c r="N11" i="37" s="1"/>
  <c r="N13" i="35"/>
  <c r="N13" i="37" s="1"/>
  <c r="K9" i="36"/>
  <c r="C19" i="33" l="1"/>
  <c r="C18" i="33"/>
  <c r="D16" i="33"/>
  <c r="D18" i="33"/>
  <c r="D15" i="33"/>
  <c r="D17" i="33"/>
  <c r="N9" i="36"/>
  <c r="M9" i="36" s="1"/>
  <c r="P9" i="36" s="1"/>
  <c r="D19" i="33" l="1"/>
  <c r="E17" i="33" l="1"/>
  <c r="E16" i="33"/>
  <c r="E18" i="33"/>
  <c r="E19" i="33"/>
  <c r="E15" i="33"/>
  <c r="D22" i="33"/>
</calcChain>
</file>

<file path=xl/sharedStrings.xml><?xml version="1.0" encoding="utf-8"?>
<sst xmlns="http://schemas.openxmlformats.org/spreadsheetml/2006/main" count="1699" uniqueCount="531">
  <si>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</si>
  <si>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</si>
  <si>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</si>
  <si>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</si>
  <si>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</si>
  <si>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</si>
  <si>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</si>
  <si>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</si>
  <si>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</si>
  <si>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</si>
  <si>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</si>
  <si>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</si>
  <si>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</si>
  <si>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</si>
  <si>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</si>
  <si>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</si>
  <si>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</si>
  <si>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</si>
  <si>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</si>
  <si>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</si>
  <si>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</si>
  <si>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</si>
  <si>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</si>
  <si>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</si>
  <si>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</si>
  <si>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</si>
  <si>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</si>
  <si>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</si>
  <si>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</si>
  <si>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</si>
  <si>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</si>
  <si>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</si>
  <si>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</si>
  <si>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</si>
  <si>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</si>
  <si>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</si>
  <si>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</si>
  <si>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</si>
  <si>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</si>
  <si>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</si>
  <si>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</si>
  <si>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</si>
  <si>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</si>
  <si>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</si>
  <si>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</si>
  <si>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</si>
  <si>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</si>
  <si>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</si>
  <si>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</si>
  <si>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</si>
  <si>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</si>
  <si>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</si>
  <si>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</si>
  <si>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</si>
  <si>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</si>
  <si>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</si>
  <si>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</si>
  <si>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</si>
  <si>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</si>
  <si>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</si>
  <si>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</si>
  <si>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</si>
  <si>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</si>
  <si>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</si>
  <si>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</si>
  <si>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</si>
  <si>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</si>
  <si>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</si>
  <si>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</si>
  <si>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</si>
  <si>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</si>
  <si>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</si>
  <si>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</si>
  <si>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</si>
  <si>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</si>
  <si>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</si>
  <si>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</si>
  <si>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</si>
  <si>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</si>
  <si>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</si>
  <si>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</si>
  <si>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</si>
  <si>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</si>
  <si>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</si>
  <si>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</si>
  <si>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</si>
  <si>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</si>
  <si>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</si>
  <si>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</si>
  <si>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</si>
  <si>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</si>
  <si>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</si>
  <si>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</si>
  <si>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</si>
  <si>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</si>
  <si>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</si>
  <si>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</si>
  <si>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</si>
  <si>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</si>
  <si>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</si>
  <si>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SEGURIDAD, PROTECCIÓN Y CONVIVENCIA CIUDADANA</t>
  </si>
  <si>
    <t>VIGENCIA:</t>
  </si>
  <si>
    <t>OBJETIVO DEL PROCESO:</t>
  </si>
  <si>
    <t>Velar por la preservación y restablecimiento del orden público, la administración de justicia y la reducción de los hechos delictivos, contribuyendo a la seguridad, protección y convivencia ciudadana en el Municipio de Bucaramanga, mediante la implementación de estrategias y acciones enfocadas en la seguridad integral, la prevención de riesgos, y el mejoramiento continuo de los procesos de gestión pública en materia de seguridad.</t>
  </si>
  <si>
    <t>ALCANCE</t>
  </si>
  <si>
    <t>Este proceso inicia con los requerimientos territoriales en seguridad y convivencia ciudadana del Municipio Bucaramanga, para articular y operacionalizar el portafolio de servicio interno y externo de las instituciones públicas privadas y descentralizadas para garantizar el goce de derechos, libertades y cumplimiento de deberes y responsabilidades enmarcadas en la norma a través del desarrollo de planes, programas, estrategias y actividades, finalizando con la coadyuva en corresponsabilidad ciudadana para lograr la calidad de vida de los habitantes del Municipio de Bucaramanga.</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</si>
  <si>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</si>
  <si>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</si>
  <si>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</si>
  <si>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</si>
  <si>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</si>
  <si>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</si>
  <si>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</si>
  <si>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</si>
  <si>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</si>
  <si>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</si>
  <si>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</si>
  <si>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Ejecución_administración_de_procesos</t>
  </si>
  <si>
    <t>Falta de aplicación de los procedimientos</t>
  </si>
  <si>
    <t>Gestión</t>
  </si>
  <si>
    <t>Posibilidad de afectación reputacional</t>
  </si>
  <si>
    <t xml:space="preserve"> posibles investigaciones y sanciones disciplinarias por entes de control,</t>
  </si>
  <si>
    <t xml:space="preserve"> incumplimiento de la Ley 594 del 2000 en los documentos generados por la Secretaría del Interior</t>
  </si>
  <si>
    <t>R2</t>
  </si>
  <si>
    <t>Posibilidad de afectación económica y reputacional</t>
  </si>
  <si>
    <t xml:space="preserve"> investigaciones y sanciones por entes de control, </t>
  </si>
  <si>
    <t xml:space="preserve">  la demora en los procesos de contratación y presupuestal  relacionados con la atención de niños, niñas y adolescentes en período de restablecimiento de derechos (hogar de paso), incumpliendo la Ley 1098 de 2006.</t>
  </si>
  <si>
    <t>R3</t>
  </si>
  <si>
    <t xml:space="preserve"> debilidades en la planeación, gestión y ejecución de las obligaciones contractuales por parte de las unidades gestoras, </t>
  </si>
  <si>
    <t xml:space="preserve"> deficiencias en la supervisión y ejecución oportuna de los procesos contractuales producto de la constitución de reservas presupuestales.</t>
  </si>
  <si>
    <t>R4</t>
  </si>
  <si>
    <t>Posibilidad de afectación económica</t>
  </si>
  <si>
    <t xml:space="preserve"> sanciones e investigaciones disciplinarias de entes de control,</t>
  </si>
  <si>
    <t xml:space="preserve"> la inadecuada aplicabilidad de la normatividad utilizada en lo referente a las depuraciones de pasivos exigibles y/o vigencias expiradas de acuerdo con la resolución 193 de 2016 de la Contaduría General de la Nación</t>
  </si>
  <si>
    <t>R5</t>
  </si>
  <si>
    <t xml:space="preserve">  incumplimiento de las acciones establecidas en los planes de mejoramiento derivados de auditorías internas y externas, </t>
  </si>
  <si>
    <t>debilidades en el seguimiento y cumplimiento de los tiempos definidos para su ejecución.</t>
  </si>
  <si>
    <t>R6</t>
  </si>
  <si>
    <t xml:space="preserve">investigaciones y sanciones disciplinarias por entes de control, </t>
  </si>
  <si>
    <t>la falta de seguimiento al cumplimiento de metas del Plan de Desarrollo Municipal programadas para la vigencia.</t>
  </si>
  <si>
    <t>R7</t>
  </si>
  <si>
    <t>debilidades en la publicación y actualización de la información obligatoria en la página web institucional,</t>
  </si>
  <si>
    <t>incumplimiento de los lineamientos establecidos en la Ley 1712 de 2014 y la Resolución 1519 de 2020 del MINTIC.</t>
  </si>
  <si>
    <t>R8</t>
  </si>
  <si>
    <t>Fiscal</t>
  </si>
  <si>
    <t>Posibilidad  de efecto dañoso sobre bienes de uso público</t>
  </si>
  <si>
    <t xml:space="preserve">  pérdida, extravío, hurto, robo o declaratoria de bienes muebles faltantes  de la entidad,</t>
  </si>
  <si>
    <t xml:space="preserve"> la deficiencias en la aplicación de los procedimientos de actualización, custodia y control de inventarios institucionales.</t>
  </si>
  <si>
    <t>R9</t>
  </si>
  <si>
    <t>Posibilidad  de efecto dañoso sobre el recurso público</t>
  </si>
  <si>
    <t xml:space="preserve">pago de sanción e intereses moratorios, </t>
  </si>
  <si>
    <t>trámite inoportuno a los requerimientos de los entes de control y vigilancia, de acuerdo con sus lineamientos y términos de ley.</t>
  </si>
  <si>
    <t>R10</t>
  </si>
  <si>
    <t xml:space="preserve"> incumplimiento en las obligaciones del contratado,</t>
  </si>
  <si>
    <t>a la deficiencias en la elaboración de especificaciones técnicas y seguimiento de los contratos e interventoría de la Entidad.</t>
  </si>
  <si>
    <t>R11</t>
  </si>
  <si>
    <t>el pago de costas procesales derivadas de fallos judiciales dentro de las acciones populares a cargo de la Secretaría de Interior  en contra del ente territorial,</t>
  </si>
  <si>
    <t>al incumplimiento de disposiciones normativas y obligaciones legales aplicables.</t>
  </si>
  <si>
    <t>R12</t>
  </si>
  <si>
    <t>Acciones contrarias a las leyes o acuerdos contractuales</t>
  </si>
  <si>
    <t xml:space="preserve"> incumplimientos en la gestión contractual durante las etapas precontractual, contractual y postcontractual, </t>
  </si>
  <si>
    <t>a debilidades en la aplicación y verificación de los requisitos y lineamientos establecidos en la normatividad vigente.</t>
  </si>
  <si>
    <t>R13</t>
  </si>
  <si>
    <t xml:space="preserve">  investigaciones, sanciones y/o condenas promovidas por entes de control, </t>
  </si>
  <si>
    <t>al Incumplimiento en la cobertura de las garantías que amparan los riesgos definidos en la etapa precontractual de acuerdo al Manual de Contratación M-GJ-1140-170-001</t>
  </si>
  <si>
    <t>R14</t>
  </si>
  <si>
    <t>Talento_Humano</t>
  </si>
  <si>
    <t>Corrupción</t>
  </si>
  <si>
    <t>Integridad_Pública_Corrupción</t>
  </si>
  <si>
    <t>Posibilidad de pérdida reputacional</t>
  </si>
  <si>
    <t xml:space="preserve"> corrupción mediante la solicitud, ofrecimiento, recepción o aceptación de dádivas, beneficios o incentivos indebidos, a nombre propio o de terceros, </t>
  </si>
  <si>
    <t xml:space="preserve"> la  alterar, influir o favorecer alguna de las partes dentro de los procesos policivos adelantados por la Secretaría del Interior</t>
  </si>
  <si>
    <t>R15</t>
  </si>
  <si>
    <t>Soborno</t>
  </si>
  <si>
    <t xml:space="preserve"> soborno entrante en los procesos administrativos de la Comisaría de Familia, al recibir o solicitar dádivas o beneficios a nombre propio o de terceros, </t>
  </si>
  <si>
    <t xml:space="preserve"> favorecimiento indebido a alguna de las partes en los procesos de la Comisaría de familia adscrita a la Secretaría del Interior.</t>
  </si>
  <si>
    <t>R16</t>
  </si>
  <si>
    <t xml:space="preserve"> Corrupcion  entrante en el proceso de contratación de la Secretaría del Interior, al recibir o solicitar dádivas o beneficios a nombre propio o de terceros,</t>
  </si>
  <si>
    <t xml:space="preserve">  favorecimiento indebido a alguna de las partes en los procesos de adjudicación de contratos.</t>
  </si>
  <si>
    <t>R17</t>
  </si>
  <si>
    <t xml:space="preserve"> ocupación o desarrollo urbanístico no controlado en zonas intervenidas con obras de mitigación del riesgo,</t>
  </si>
  <si>
    <t xml:space="preserve"> deficiencias en el seguimiento de las actuaciones policivas y en la articulación interinstitucional para la atención de denuncias, reportes o alertas relacionadas con presuntas infracciones urbanísticas.</t>
  </si>
  <si>
    <t>R18</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</si>
  <si>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</si>
  <si>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</si>
  <si>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</si>
  <si>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</si>
  <si>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</si>
  <si>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</si>
  <si>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</si>
  <si>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</si>
  <si>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</si>
  <si>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</si>
  <si>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</si>
  <si>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</si>
  <si>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</si>
  <si>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</si>
  <si>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</si>
  <si>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</si>
  <si>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</si>
  <si>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</si>
  <si>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</si>
  <si>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</si>
  <si>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</si>
  <si>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</si>
  <si>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</si>
  <si>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</si>
  <si>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</si>
  <si>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</si>
  <si>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</si>
  <si>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</si>
  <si>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</si>
  <si>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</si>
  <si>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</si>
  <si>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N/A</t>
  </si>
  <si>
    <t>El riesgo afecta la imagen de la entidad con algunos usuarios de relevancia frente al logro de los objetivos.</t>
  </si>
  <si>
    <t>Muy Baja</t>
  </si>
  <si>
    <t>La actividad que conlleva el riesgo se ejecuta como máximos 2 veces por año</t>
  </si>
  <si>
    <t>Leve</t>
  </si>
  <si>
    <t>Menor a 10 SMLMV</t>
  </si>
  <si>
    <t>El riesgo afecta la imagen de algún área de la organización.</t>
  </si>
  <si>
    <t>Entre 100 y 500 SMLMV</t>
  </si>
  <si>
    <t>El riesgo afecta la imagen de la entidad con efecto publicitario sostenido a nivel de sector administrativo, nivel departamental o municipal.</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</si>
  <si>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</si>
  <si>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</si>
  <si>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</si>
  <si>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</si>
  <si>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</si>
  <si>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Mayor a 500 SMLMV</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</si>
  <si>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</si>
  <si>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</si>
  <si>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</si>
  <si>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</si>
  <si>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</si>
  <si>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</si>
  <si>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</si>
  <si>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Muy Alta</t>
  </si>
  <si>
    <t>La actividad que conlleva el riesgo se ejecuta más de 5.000 veces por año</t>
  </si>
  <si>
    <t>Catastrófico</t>
  </si>
  <si>
    <t>El riesgo afecta la imagen de la entidad a nivel nacional, con efecto publicitario sostenido a nivel país</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</si>
  <si>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</si>
  <si>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</si>
  <si>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</si>
  <si>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</si>
  <si>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</si>
  <si>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</si>
  <si>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</si>
  <si>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</si>
  <si>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</si>
  <si>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</si>
  <si>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</si>
  <si>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</si>
  <si>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</si>
  <si>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</si>
  <si>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</si>
  <si>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</si>
  <si>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</si>
  <si>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</si>
  <si>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</si>
  <si>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</si>
  <si>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</si>
  <si>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</si>
  <si>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</si>
  <si>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</si>
  <si>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</si>
  <si>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</si>
  <si>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</si>
  <si>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</si>
  <si>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</si>
  <si>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</si>
  <si>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 xml:space="preserve">El Área de Archivo de la Secretaría de Interior </t>
  </si>
  <si>
    <t>aplica los lineamientos y procedimientos establecidos para la organización, inventario, conservación y transferencias documentales,</t>
  </si>
  <si>
    <t>de conformidad con las Tablas de Retención Documental, Tablas de Valoración Documental y las directrices emitidas por el Archivo General de la Nación.</t>
  </si>
  <si>
    <t>Preventivo</t>
  </si>
  <si>
    <t>Manual</t>
  </si>
  <si>
    <t>Procedimientos</t>
  </si>
  <si>
    <t>Semestral</t>
  </si>
  <si>
    <t>Con registro manual</t>
  </si>
  <si>
    <t>Interna</t>
  </si>
  <si>
    <t>El supervisor designado,</t>
  </si>
  <si>
    <t>verifica la atención integral en el hogar de paso a los niños, niñas y adolescentes,</t>
  </si>
  <si>
    <t>remitidos por las comisarías de familia ajustado a la normatividad vigente.</t>
  </si>
  <si>
    <t>Mensual</t>
  </si>
  <si>
    <t>El secretario del Interior y su equipo de trabajo del área de proyectos y contratación,</t>
  </si>
  <si>
    <t>verifica los procesos prioritarios que continúan para la próxima vigencia,</t>
  </si>
  <si>
    <t>por medio de un seguimiento.</t>
  </si>
  <si>
    <t>El Secretario del Interior, el equipo de contratación y el profesional de presupuesto de la Secretaría del Interior,</t>
  </si>
  <si>
    <t xml:space="preserve">realizan seguimiento trimestral a la ejecución física, contractual y presupuestal de las obligaciones de la dependencia, </t>
  </si>
  <si>
    <t xml:space="preserve"> con el fin de controlar saldos pendientes de pago y prevenir la constitución de reservas presupuestales.</t>
  </si>
  <si>
    <t>La persona encargada</t>
  </si>
  <si>
    <t>identifica los pasivos exigibles y/o vigencias expiradas de la Secretaría del Interior, y verifica el cumplimentó de la Resolución 193 de 2016 de la Contaduría General de la Nación,</t>
  </si>
  <si>
    <t xml:space="preserve">para realizar la acción de depuración </t>
  </si>
  <si>
    <t>Trimestral</t>
  </si>
  <si>
    <t xml:space="preserve">El líder del proceso y el profesional encargado </t>
  </si>
  <si>
    <t xml:space="preserve">revisa las acciones correctivas establecidas y plasmadas en los Planes de Mejoramiento de auditorías internas y externas suscritos, </t>
  </si>
  <si>
    <t>a través de seguimientos con los responsables de su cumplimiento</t>
  </si>
  <si>
    <t>La Secretaría del Interior</t>
  </si>
  <si>
    <t xml:space="preserve">verifica el avance en el cumplimiento físico de las metas y la ejecución de los recursos financieros del Plan de Desarrollo Municipal 2026-2027, </t>
  </si>
  <si>
    <t>mediante seguimiento periódico, con el fin de gestionar oportunamente la apropiación de recursos y la solicitud de vigencias futuras que garanticen el cumplimiento de las metas programadas para la vigencia</t>
  </si>
  <si>
    <t>El profesional asignado por el líder del proceso</t>
  </si>
  <si>
    <t xml:space="preserve">revisa la información sujeta a publicación, de acuerdo con lo establecido en la Resolución 1519 de 2020 y sus anexos, </t>
  </si>
  <si>
    <t>y verifica su publicación y actualización en la página web institucional.</t>
  </si>
  <si>
    <t>El servidor público</t>
  </si>
  <si>
    <t>verifica el inventario de bienes muebles asignados a su cargo,</t>
  </si>
  <si>
    <t>de acuerdo con el formato ESTADO ACTUAL DEL INVENTARIO RESUMIDO DEL SERVIDOR PÚBLICO F-INV-8500-238,37-015 reportado por el área de Inventarios</t>
  </si>
  <si>
    <t>verifica el cumplimiento de los términos establecidos para la atención de los requerimientos de los entes de control y vigilancia asignados a la Secretaría del Interior,</t>
  </si>
  <si>
    <t>a través del seguimiento y validación de las fechas de vencimiento y respuesta registradas en los mecanismos institucionales de control y seguimiento, identificando alertas frente a posibles incumplimientos.</t>
  </si>
  <si>
    <t>Los profesionales encargados de la formulación de proyectos y el equipo de contratación</t>
  </si>
  <si>
    <t xml:space="preserve">verifican las especificaciones técnicas y obligaciones contractuales de los procesos de contratación de la Secretaría del Interior, </t>
  </si>
  <si>
    <t>conforme a la normatividad vigente, con el fin de prevenir incumplimientos y afectaciones a los recursos públicos.</t>
  </si>
  <si>
    <t xml:space="preserve">El apoderado judicial </t>
  </si>
  <si>
    <t>verifica el cumplimiento de las obligaciones relacionadas con el pago de costas procesales derivadas de las acciones populares a cargo de la Secretaría del Interior,</t>
  </si>
  <si>
    <t>a través de la revisión y seguimiento de los trámites y requisitos establecidos en la normatividad vigente y el procedimiento institucional aplicable.</t>
  </si>
  <si>
    <t>Cuatrimestral</t>
  </si>
  <si>
    <t>Los profesionales encargados de la contratación y/o supervisores designados</t>
  </si>
  <si>
    <t xml:space="preserve"> revisa el cumplimiento de las normas vigentes en las diferentes etapas de contratación (precontractual, contractual y postcontractual),</t>
  </si>
  <si>
    <t>de los procesos celebrados por la Secretaría del Interior diferentes a contratos de prestación de servicios</t>
  </si>
  <si>
    <t>La persona encargada por el ordenador del gasto</t>
  </si>
  <si>
    <t>realizará la verificación de los amparos exigidos en los contratos suscritos en la Secretaría del Interior,</t>
  </si>
  <si>
    <t>dando aplicación al Manual de Contratación M-GJ-1140-170-001.</t>
  </si>
  <si>
    <t>Automático</t>
  </si>
  <si>
    <t>Sistemas de información</t>
  </si>
  <si>
    <t xml:space="preserve">Externa </t>
  </si>
  <si>
    <t>El Profesional Articulador del Área de Inspecciones de Convivencia y Paz de la Secretaría del Interior</t>
  </si>
  <si>
    <t>verifica y consolida las quejas recepcionadas por presuntos actos de corrupción relacionados con los procesos policivos adelantados por la dependencia,</t>
  </si>
  <si>
    <t>mediante la revisión del cumplimiento de los procedimientos establecidos, con el fin de garantizar la transparencia e imparcialidad en las actuaciones administrativas, de manera trimestral o cuando se presenten novedades.</t>
  </si>
  <si>
    <t>El Profesional Articulador del Área de Comisaría de Familia de la Secretaría del Interior</t>
  </si>
  <si>
    <t>verifica y consolida las quejas recepcionadas por presuntos actos de corrupción relacionados con los procesos adelantados por las Comisarías de Familia,</t>
  </si>
  <si>
    <t xml:space="preserve">El profesional articulador del Area de contratación de la Secretaría del Interior, </t>
  </si>
  <si>
    <t xml:space="preserve">Verifica que todos los procesos en la etapa precontractual tengan la viabilidad jurídica y técnica que   emite la Secretaría Jurídica, </t>
  </si>
  <si>
    <t>para continuar con la correspondiente publicación en la plataforma SECOP.</t>
  </si>
  <si>
    <t>El profesional responsable del proceso y las Inspecciones de Convivencia y Paz adscritas a la Secretaría del Interior,</t>
  </si>
  <si>
    <t>realizan seguimiento y articulación interinstitucional a las actuaciones relacionadas con presuntas infracciones urbanísticas en zonas intervenidas con obras de mitigación del riesgo,</t>
  </si>
  <si>
    <t>de manera trimestral o cuando se presenten novedades.</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</si>
  <si>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</si>
  <si>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</si>
  <si>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</si>
  <si>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</si>
  <si>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</si>
  <si>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</si>
  <si>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</si>
  <si>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</si>
  <si>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</si>
  <si>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</si>
  <si>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</si>
  <si>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</si>
  <si>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</si>
  <si>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</si>
  <si>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</si>
  <si>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</si>
  <si>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</si>
  <si>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</si>
  <si>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</si>
  <si>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Detectivo</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</si>
  <si>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</si>
  <si>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</si>
  <si>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</si>
  <si>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</si>
  <si>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</si>
  <si>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</si>
  <si>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</si>
  <si>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</si>
  <si>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</si>
  <si>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</si>
  <si>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</si>
  <si>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Aceptar</t>
  </si>
  <si>
    <t>Posibilidad de pérdida Reputacional y Económica</t>
  </si>
  <si>
    <t>D_Fallas_Tecnológicas</t>
  </si>
  <si>
    <t>Evitar</t>
  </si>
  <si>
    <t>E_Relaciones_Laborales</t>
  </si>
  <si>
    <t>F_Usuarios_Productos_y_Prácticas_Organizacionales</t>
  </si>
  <si>
    <t>G_Daños_Activos_Físicos</t>
  </si>
  <si>
    <t>Tecnologías</t>
  </si>
  <si>
    <t>Seg. de la Información</t>
  </si>
  <si>
    <t>Infraestructura</t>
  </si>
  <si>
    <t>Integridad Pùblica - Corrupción</t>
  </si>
  <si>
    <t>Integridad Pùblica - LA/FT/FP</t>
  </si>
  <si>
    <t>Seguridad_Información</t>
  </si>
  <si>
    <t>Integridad_Pública_LA_FT_FP</t>
  </si>
  <si>
    <t>Posibilidad de perdida de integridad</t>
  </si>
  <si>
    <t>Posibilidad de pérdida económica</t>
  </si>
  <si>
    <t>Posibilidad de perdida de confidencialidad</t>
  </si>
  <si>
    <t>Posibilidad  de efecto dañoso sobre bienes de uso fiscal</t>
  </si>
  <si>
    <t>Posibilidad de perdida de disponibilidad</t>
  </si>
  <si>
    <t>Posibilidad de pérdida económica y reputacional</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</si>
  <si>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</si>
  <si>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</si>
  <si>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</si>
  <si>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</si>
  <si>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</si>
  <si>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</si>
  <si>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</si>
  <si>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</si>
  <si>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</si>
  <si>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</si>
  <si>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</si>
  <si>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</si>
  <si>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</si>
  <si>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</si>
  <si>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</si>
  <si>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</si>
  <si>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</si>
  <si>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</si>
  <si>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</si>
  <si>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</si>
  <si>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</si>
  <si>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</si>
  <si>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</si>
  <si>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</si>
  <si>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</si>
  <si>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</si>
  <si>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</si>
  <si>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</si>
  <si>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</si>
  <si>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</si>
  <si>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</si>
  <si>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</si>
  <si>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</si>
  <si>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</si>
  <si>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</si>
  <si>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</si>
  <si>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</si>
  <si>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</si>
  <si>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</si>
  <si>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</si>
  <si>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</si>
  <si>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</si>
  <si>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</si>
  <si>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</si>
  <si>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</si>
  <si>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</si>
  <si>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</si>
  <si>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</si>
  <si>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</si>
  <si>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Bimestral</t>
  </si>
  <si>
    <t>Anual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</si>
  <si>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</si>
  <si>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</si>
  <si>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</si>
  <si>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</si>
  <si>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</si>
  <si>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</si>
  <si>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</si>
  <si>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</si>
  <si>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</si>
  <si>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</si>
  <si>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</si>
  <si>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</si>
  <si>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</si>
  <si>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</si>
  <si>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</si>
  <si>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</si>
  <si>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</si>
  <si>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</si>
  <si>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</si>
  <si>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</si>
  <si>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</si>
  <si>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</si>
  <si>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</si>
  <si>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las Transferencias documentales  primarias  corresponientes al  80%  de las oficinas adscritas a la Secretaría del Interior, según el cronograma y  los tiempos establecidos en las tablas de retención documental T.R.D.</t>
  </si>
  <si>
    <t>Acta de transferencia documental F-GDO-8600-238,37-022</t>
  </si>
  <si>
    <t>Secretario del Interior
Auxiliar Administrativo de archivo
Profesional Contratista</t>
  </si>
  <si>
    <t>Organizar el 80% de los archivos de gestión   de los documentos generados por la Secretaría del Interior</t>
  </si>
  <si>
    <t xml:space="preserve">Informe de seguimiento a la organización documental F-GDO-8600-238,37-033 </t>
  </si>
  <si>
    <t>Elaborar el 80% de los inventarios documentales de los archivos producidos  por la Secretaría del Interior</t>
  </si>
  <si>
    <t>Inventarios documentales F-GDO-8600-238,37-003</t>
  </si>
  <si>
    <t>Atender el 100% de los niños, niñas y adolescentes  remitidos por las comisarías de familia.</t>
  </si>
  <si>
    <t>Informe de seguimiento
(7)</t>
  </si>
  <si>
    <t>El supervisor designado</t>
  </si>
  <si>
    <t>Realizar una mesa de trabajo para priorizar los contratos que requieren continuidad para garantizar la prestación de servicios y presentar la solicitud de vigencias futuras</t>
  </si>
  <si>
    <t>Acta de reunión
(1)</t>
  </si>
  <si>
    <t>Secretario del Interior</t>
  </si>
  <si>
    <t>Realizar el trámite de solicitud a la Secretaría de Hacienda  de las vigencias futuras de los  contratos  priorizados.</t>
  </si>
  <si>
    <t>Oficio 
(1)</t>
  </si>
  <si>
    <t>Realizar reuniones trimestrales de seguimiento lideradas por el Secretario del Interior, para revisar el avance físico, contractual y presupuestal de las obligaciones adquiridas, así como los reportes emitidos por la Secretaría de Hacienda relacionados con saldos pendientes y posibles riesgos de constitución de reservas presupuestales.</t>
  </si>
  <si>
    <t>Acta de Reunion
(2)</t>
  </si>
  <si>
    <t xml:space="preserve">Realizar un informe trimestal de seguimiento a los pasivos exigibles y/o vigencias expiradas para su respectiva depuración acorde a la normatividad vigente </t>
  </si>
  <si>
    <t>Informe de seguimiento
(2)</t>
  </si>
  <si>
    <t xml:space="preserve">Secretario de Interior
Area de presupuesto </t>
  </si>
  <si>
    <t>Realizar seguimiento trimestral a las acciones correctivas establecidas en los Planes de Mejoramiento derivados de auditorías internas, en articulación con los responsables de su cumplimiento, con el fin de verificar el avance y las evidencias de las actividades dentro de los términos establecidos.</t>
  </si>
  <si>
    <t>Actas de seguimiento
 (4)</t>
  </si>
  <si>
    <t>Lider de proceso y
Profesional encargada</t>
  </si>
  <si>
    <t>Realizar monitoreo trimestral al Plan de Desarrollo Municipal para verificar el avance en el cumplimiento físico de las metas y la ejecución de los recursos financieros, gestionando oportunamente la apropiación de recursos y la solicitud de vigencias futuras requeridas para garantizar el cumplimiento de las metas programadas.</t>
  </si>
  <si>
    <t>Acta de reunión
 (3)</t>
  </si>
  <si>
    <t>Secretario de Interior</t>
  </si>
  <si>
    <t>Solicitar al área TIC la publicación del 100% de documentos a cargo de la Secretaría del Interior, de acuerdo con los estándares establecidos en la Resolución 1519 de 2020</t>
  </si>
  <si>
    <t>Solicitudes de publicación enviados al área TIC
(Correo Electronico)</t>
  </si>
  <si>
    <t>Líder de proceso y profesional asignado</t>
  </si>
  <si>
    <t>Reducir_mitigar_Transferir_Evitar</t>
  </si>
  <si>
    <t>Realizar semestralmente la verificación de la totalidad de los bienes a cargo de cada servidor público de la Secretaría del Interior, reportado en el formato ESTADO ACTUAL DEL INVENTARIO RESUMIDO DEL SERVIDOR PÚBLICO F-INV-8500-238,37-015 y dar respuesta a través de correo al área de inventarios informando la conformidad o novedad que presenta del mismo.</t>
  </si>
  <si>
    <t>Correo de reporte de conformidad o novedad al proceso de inventarios</t>
  </si>
  <si>
    <t xml:space="preserve">Servidores públicos Secretaría del Interior </t>
  </si>
  <si>
    <t>Requiere Plan de Acción</t>
  </si>
  <si>
    <t>Dar respuesta oportuna al 100% de las PQRS enviadas por los entes de control y vigilancia asignadas a la Secretaría del Interior a través del Sistema Gestión de Solicitudes del Ciudadano - GSC</t>
  </si>
  <si>
    <t>Indicador semestral de respuesta a tiempo / total de PQRSD de entes de control asignadas mediante el GSC</t>
  </si>
  <si>
    <t>Profesional encargado</t>
  </si>
  <si>
    <t>Reducir_Transferir</t>
  </si>
  <si>
    <t>Solicitar soporte técnico   necesario para la formulación de los proyectos y que cuenten con las especificaciones técnicas requeridas.</t>
  </si>
  <si>
    <t>Oficio
(según necesidad)</t>
  </si>
  <si>
    <t>Realizar seguimiento semestral al estado y cumplimiento oportuno del pago de costas procesales derivadas de las acciones populares vinculadas a la Secretaría de Planeación.</t>
  </si>
  <si>
    <t>Informe de seguimiento (1)</t>
  </si>
  <si>
    <t>El apoderado Judicial</t>
  </si>
  <si>
    <t>No requiere Plan de Acción</t>
  </si>
  <si>
    <t>Realizar un informe de seguimiento semestral al 100% de los contratos celebrados por la Secretaría del Interior, diferentes a contratos de prestación de servicios donde se verifique el cumplimiento de las normas vigentes en las diferentes etapas de contratación (precontractual, contractual y postcontractual).</t>
  </si>
  <si>
    <t>Informe de seguimiento (2)</t>
  </si>
  <si>
    <t>Supervisores designados
Grupo de Contratación</t>
  </si>
  <si>
    <t xml:space="preserve">Realizar seguimiento semestral a los amparos exigidos al 100% a los contratos suscritos en la Secretaría del Interior diferentes a los contratos de prestación de servicios, dando aplicación al  Manual de Contratación M-GJ-1140-170-001 </t>
  </si>
  <si>
    <t xml:space="preserve">Profesional encargado </t>
  </si>
  <si>
    <t xml:space="preserve">Realizar trimestralmente un informe consolidado sobre las quejas recepcionadas por presuntos actos de corrupción, con el fin de mitigar o reducir los efectos de indoles reputacional de la Secretaría del Interior. </t>
  </si>
  <si>
    <t xml:space="preserve">Informe de seguimiento
(2)
</t>
  </si>
  <si>
    <t>El Profesional Articulador del Area de Inspecciones de Convivencia y Paz</t>
  </si>
  <si>
    <t xml:space="preserve">El profesional Articulador del Area de Comisaria de Familia </t>
  </si>
  <si>
    <t xml:space="preserve">Remitir a la Secretaría Jurídica todos los procesos de selección, para viabilidad </t>
  </si>
  <si>
    <t xml:space="preserve">Oficio y/o correo remisorio a la Secretaría Jurídica. </t>
  </si>
  <si>
    <t>El profesional articulador del Area de contratación</t>
  </si>
  <si>
    <t>Informes trimestrales remitidos por las Inspecciones de Convivencia y Paz, adscritas a la Secretaría del Interior, sobre el estado de las actuaciones policivas iniciadas por presuntas infracciones urbanísticas en el sector intervenido</t>
  </si>
  <si>
    <t>Acta de reunion 
(01)</t>
  </si>
  <si>
    <t>El profesional responsable del proceso y las Inspecciones de Convivencia y Paz</t>
  </si>
  <si>
    <t xml:space="preserve">Realizar una (01) reunión de articulación interinstitucional durante la vigencia 2026, con participación de la Secretaría de Planeación, Secretaría del Interior (Inspecciones de Policía) y Secretaría de Infraestructura, orientada a coordinar las acciones de control urbanístico y seguimiento a las obras de mitigación ejecutadas     </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</si>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</sst>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b/>
      <sz val="12"/>
      <name val="Arial"/>
      <family val="2"/>
    </font>
    <font>
      <sz val="11"/>
      <color rgb="FFFF0000"/>
      <name val="Arial"/>
      <family val="2"/>
    </font>
    <font>
      <sz val="11"/>
      <color rgb="FF7030A0"/>
      <name val="Arial"/>
      <family val="2"/>
    </font>
    <font>
      <sz val="11"/>
      <color theme="1"/>
      <name val="Arial"/>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49">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48" fillId="15" borderId="74" xfId="0" applyFont="1" applyFill="1" applyBorder="1" applyAlignment="1">
      <alignment horizontal="center" vertical="center" wrapText="1"/>
    </xf>
    <xf numFmtId="0" fontId="4" fillId="3" borderId="63"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7"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7" xfId="2" applyFont="1" applyFill="1" applyBorder="1" applyAlignment="1" applyProtection="1">
      <alignment horizontal="left" vertical="center" wrapText="1"/>
      <protection locked="0"/>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6" fillId="3" borderId="76" xfId="2" applyFont="1" applyFill="1" applyBorder="1" applyAlignment="1" applyProtection="1">
      <alignment horizontal="center" vertical="center" wrapText="1"/>
      <protection locked="0"/>
    </xf>
    <xf numFmtId="9" fontId="0" fillId="3" borderId="76"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6" xfId="0" applyFont="1" applyFill="1" applyBorder="1" applyAlignment="1">
      <alignment vertical="center" wrapText="1"/>
    </xf>
    <xf numFmtId="0" fontId="2" fillId="4" borderId="48" xfId="0" applyFont="1" applyFill="1" applyBorder="1" applyAlignment="1">
      <alignment vertical="center" wrapText="1"/>
    </xf>
    <xf numFmtId="0" fontId="2" fillId="4" borderId="79" xfId="0" applyFont="1" applyFill="1" applyBorder="1" applyAlignment="1">
      <alignment vertical="center" wrapText="1"/>
    </xf>
    <xf numFmtId="0" fontId="2" fillId="4" borderId="82" xfId="0" applyFont="1" applyFill="1" applyBorder="1" applyAlignment="1">
      <alignment vertical="center" wrapText="1"/>
    </xf>
    <xf numFmtId="14" fontId="2" fillId="4" borderId="92" xfId="0" applyNumberFormat="1" applyFont="1" applyFill="1" applyBorder="1" applyAlignment="1">
      <alignment vertical="center" wrapText="1"/>
    </xf>
    <xf numFmtId="14" fontId="2" fillId="4" borderId="93"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4" xfId="0" applyFont="1" applyBorder="1" applyAlignment="1" applyProtection="1">
      <alignment horizontal="center" vertical="center"/>
      <protection locked="0"/>
    </xf>
    <xf numFmtId="0" fontId="20" fillId="0" borderId="94"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8" xfId="0" applyNumberFormat="1" applyBorder="1" applyAlignment="1">
      <alignment horizontal="center" vertical="center" wrapText="1"/>
    </xf>
    <xf numFmtId="9" fontId="0" fillId="0" borderId="99"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55" fillId="0" borderId="1"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3" fontId="6" fillId="3" borderId="3" xfId="2" applyNumberFormat="1" applyFont="1" applyFill="1" applyBorder="1" applyAlignment="1" applyProtection="1">
      <alignment horizontal="center" vertical="center" wrapText="1"/>
      <protection locked="0"/>
    </xf>
    <xf numFmtId="0" fontId="53" fillId="3" borderId="3" xfId="2" applyFont="1" applyFill="1" applyBorder="1" applyAlignment="1" applyProtection="1">
      <alignment horizontal="center" vertical="center" wrapText="1"/>
      <protection locked="0"/>
    </xf>
    <xf numFmtId="0" fontId="20" fillId="3" borderId="1" xfId="2" applyFont="1" applyFill="1" applyBorder="1" applyAlignment="1" applyProtection="1">
      <alignment horizontal="justify" vertical="center" wrapText="1"/>
      <protection locked="0"/>
    </xf>
    <xf numFmtId="0" fontId="2" fillId="3" borderId="1" xfId="2" applyFill="1" applyBorder="1" applyAlignment="1" applyProtection="1">
      <alignment horizontal="justify" vertical="center" wrapText="1"/>
      <protection locked="0"/>
    </xf>
    <xf numFmtId="14" fontId="2" fillId="3" borderId="1" xfId="2" applyNumberFormat="1" applyFill="1" applyBorder="1" applyAlignment="1" applyProtection="1">
      <alignment horizontal="justify" vertical="center" wrapText="1"/>
      <protection locked="0"/>
    </xf>
    <xf numFmtId="14" fontId="20" fillId="3" borderId="1" xfId="2" applyNumberFormat="1" applyFont="1" applyFill="1" applyBorder="1" applyAlignment="1" applyProtection="1">
      <alignment horizontal="justify" vertical="center" wrapText="1"/>
      <protection locked="0"/>
    </xf>
    <xf numFmtId="0" fontId="55" fillId="3" borderId="3" xfId="2" applyFont="1" applyFill="1" applyBorder="1" applyAlignment="1" applyProtection="1">
      <alignment horizontal="center" vertical="center" wrapText="1"/>
      <protection locked="0"/>
    </xf>
    <xf numFmtId="0" fontId="22" fillId="0" borderId="94" xfId="0" applyFont="1" applyBorder="1" applyAlignment="1" applyProtection="1">
      <alignment horizontal="center" vertical="center"/>
      <protection locked="0"/>
    </xf>
    <xf numFmtId="14" fontId="20" fillId="0" borderId="94" xfId="0" applyNumberFormat="1" applyFont="1" applyBorder="1" applyAlignment="1" applyProtection="1">
      <alignment horizontal="center" vertical="center"/>
      <protection locked="0"/>
    </xf>
    <xf numFmtId="0" fontId="2" fillId="4" borderId="94" xfId="4" applyFill="1" applyBorder="1" applyAlignment="1">
      <alignment horizontal="justify" vertical="center" wrapText="1"/>
    </xf>
    <xf numFmtId="0" fontId="20" fillId="0" borderId="94" xfId="0" applyFont="1" applyBorder="1" applyAlignment="1" applyProtection="1">
      <alignment horizontal="center" vertical="center" wrapText="1"/>
      <protection locked="0"/>
    </xf>
    <xf numFmtId="0" fontId="52" fillId="0" borderId="83" xfId="2" applyFont="1" applyBorder="1" applyAlignment="1" applyProtection="1">
      <alignment horizontal="center" vertical="center"/>
      <protection locked="0"/>
    </xf>
    <xf numFmtId="0" fontId="52" fillId="0" borderId="84" xfId="2" applyFont="1" applyBorder="1" applyAlignment="1" applyProtection="1">
      <alignment horizontal="center" vertical="center"/>
      <protection locked="0"/>
    </xf>
    <xf numFmtId="0" fontId="52" fillId="0" borderId="85" xfId="2" applyFont="1" applyBorder="1" applyAlignment="1" applyProtection="1">
      <alignment horizontal="center" vertical="center"/>
      <protection locked="0"/>
    </xf>
    <xf numFmtId="0" fontId="52" fillId="0" borderId="87" xfId="2" applyFont="1" applyBorder="1" applyAlignment="1" applyProtection="1">
      <alignment horizontal="center" vertical="center"/>
      <protection locked="0"/>
    </xf>
    <xf numFmtId="0" fontId="52" fillId="0" borderId="1" xfId="2" applyFont="1" applyBorder="1" applyAlignment="1" applyProtection="1">
      <alignment horizontal="center" vertical="center"/>
      <protection locked="0"/>
    </xf>
    <xf numFmtId="0" fontId="52" fillId="0" borderId="88" xfId="2" applyFont="1" applyBorder="1" applyAlignment="1" applyProtection="1">
      <alignment horizontal="center" vertical="center"/>
      <protection locked="0"/>
    </xf>
    <xf numFmtId="0" fontId="52" fillId="0" borderId="89" xfId="2" applyFont="1" applyBorder="1" applyAlignment="1" applyProtection="1">
      <alignment horizontal="center" vertical="center"/>
      <protection locked="0"/>
    </xf>
    <xf numFmtId="0" fontId="52" fillId="0" borderId="90" xfId="2" applyFont="1" applyBorder="1" applyAlignment="1" applyProtection="1">
      <alignment horizontal="center" vertical="center"/>
      <protection locked="0"/>
    </xf>
    <xf numFmtId="0" fontId="52" fillId="0" borderId="91" xfId="2" applyFont="1" applyBorder="1" applyAlignment="1" applyProtection="1">
      <alignment horizontal="center" vertical="center"/>
      <protection locked="0"/>
    </xf>
    <xf numFmtId="0" fontId="12" fillId="0" borderId="1"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4" fillId="0" borderId="95" xfId="2" applyFont="1" applyBorder="1" applyAlignment="1">
      <alignment horizontal="center" vertical="center" wrapText="1"/>
    </xf>
    <xf numFmtId="0" fontId="4" fillId="0" borderId="96" xfId="2" applyFont="1" applyBorder="1" applyAlignment="1">
      <alignment horizontal="center" vertical="center" wrapText="1"/>
    </xf>
    <xf numFmtId="0" fontId="4" fillId="0" borderId="97" xfId="2" applyFont="1" applyBorder="1" applyAlignment="1">
      <alignment horizontal="center" vertical="center" wrapText="1"/>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7"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4" borderId="68"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14" fontId="8" fillId="4" borderId="0" xfId="0" applyNumberFormat="1" applyFont="1" applyFill="1" applyAlignment="1">
      <alignment horizontal="left" wrapText="1"/>
    </xf>
    <xf numFmtId="0" fontId="41" fillId="4" borderId="69"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41" fillId="4" borderId="54"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53" xfId="0" applyFont="1" applyFill="1" applyBorder="1" applyAlignment="1">
      <alignment horizontal="left"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49" xfId="5" applyFont="1" applyFill="1" applyBorder="1" applyAlignment="1">
      <alignment horizontal="left" vertical="top" wrapText="1" readingOrder="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79" xfId="5" applyFont="1" applyFill="1" applyBorder="1" applyAlignment="1">
      <alignment horizontal="left" vertical="top" wrapText="1" readingOrder="1"/>
    </xf>
    <xf numFmtId="0" fontId="41" fillId="4" borderId="80" xfId="5" applyFont="1" applyFill="1" applyBorder="1" applyAlignment="1">
      <alignment horizontal="left" vertical="top" wrapText="1" readingOrder="1"/>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42" fillId="4" borderId="81" xfId="4" applyFont="1" applyFill="1" applyBorder="1" applyAlignment="1">
      <alignment horizontal="justify" vertical="center" wrapText="1"/>
    </xf>
    <xf numFmtId="0" fontId="42" fillId="4" borderId="82" xfId="4" applyFont="1" applyFill="1" applyBorder="1" applyAlignment="1">
      <alignment horizontal="justify"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9" fontId="20" fillId="0" borderId="35" xfId="0" applyNumberFormat="1" applyFont="1" applyBorder="1" applyAlignment="1">
      <alignment horizontal="center" vertical="center" wrapText="1"/>
    </xf>
    <xf numFmtId="9" fontId="20" fillId="0" borderId="8" xfId="0" applyNumberFormat="1" applyFont="1" applyBorder="1" applyAlignment="1">
      <alignment horizontal="center" vertical="center" wrapText="1"/>
    </xf>
    <xf numFmtId="9" fontId="20" fillId="0" borderId="36"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4"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20" fillId="0" borderId="4"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0" fontId="6" fillId="0" borderId="76" xfId="2" applyFont="1" applyBorder="1" applyAlignment="1">
      <alignment horizontal="center" vertical="center" wrapText="1"/>
    </xf>
    <xf numFmtId="0" fontId="6" fillId="0" borderId="5" xfId="2" applyFont="1" applyBorder="1" applyAlignment="1">
      <alignment horizontal="left" vertical="center" wrapText="1"/>
    </xf>
    <xf numFmtId="9" fontId="20" fillId="0" borderId="75" xfId="0" applyNumberFormat="1"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78" xfId="0" applyNumberFormat="1" applyFont="1" applyBorder="1" applyAlignment="1">
      <alignment horizontal="center" vertical="center" wrapText="1"/>
    </xf>
    <xf numFmtId="9" fontId="20" fillId="0" borderId="70" xfId="0" applyNumberFormat="1"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2" fillId="0" borderId="5" xfId="0" applyNumberFormat="1" applyFont="1" applyBorder="1" applyAlignment="1">
      <alignment horizontal="center" vertical="center" wrapText="1"/>
    </xf>
    <xf numFmtId="9" fontId="22" fillId="0" borderId="38"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9" fontId="22" fillId="0" borderId="33" xfId="0" applyNumberFormat="1"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2" fillId="0" borderId="5" xfId="2" applyBorder="1" applyAlignment="1">
      <alignment horizontal="center" vertical="center" wrapText="1"/>
    </xf>
    <xf numFmtId="0" fontId="2" fillId="0" borderId="4" xfId="2" applyBorder="1" applyAlignment="1">
      <alignment horizontal="center" vertical="center" wrapText="1"/>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9" fontId="20" fillId="0" borderId="5" xfId="0" applyNumberFormat="1" applyFont="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9" fontId="2" fillId="0" borderId="5"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76" xfId="2" applyBorder="1" applyAlignment="1">
      <alignment horizontal="center" vertical="center" wrapText="1"/>
    </xf>
    <xf numFmtId="0" fontId="2" fillId="0" borderId="24" xfId="2" applyBorder="1" applyAlignment="1">
      <alignment horizontal="center" vertical="center" wrapText="1"/>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2" fillId="0" borderId="7" xfId="2" applyBorder="1" applyAlignment="1">
      <alignment horizontal="center" vertical="center" wrapText="1"/>
    </xf>
    <xf numFmtId="0" fontId="2" fillId="3" borderId="7" xfId="2" applyFill="1" applyBorder="1" applyAlignment="1" applyProtection="1">
      <alignment horizontal="center" vertical="center" wrapText="1"/>
      <protection locked="0"/>
    </xf>
    <xf numFmtId="0" fontId="2" fillId="3" borderId="7" xfId="2" applyFill="1" applyBorder="1" applyAlignment="1">
      <alignment horizontal="center" vertical="center" wrapText="1"/>
    </xf>
    <xf numFmtId="0" fontId="2" fillId="0" borderId="100" xfId="2" applyBorder="1" applyAlignment="1">
      <alignment horizontal="center" vertical="center" wrapText="1"/>
    </xf>
    <xf numFmtId="9" fontId="2" fillId="0" borderId="7" xfId="2" applyNumberFormat="1" applyBorder="1" applyAlignment="1">
      <alignment horizontal="center" vertical="center"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29</xdr:row>
      <xdr:rowOff>186765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1</xdr:col>
      <xdr:colOff>3565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defaultColWidth="0" defaultRowHeight="14.45" zeroHeight="1"/>
  <cols>
    <col min="1" max="1" width="2.7109375" style="189" customWidth="1"/>
    <col min="2" max="3" width="24.42578125" style="189" customWidth="1"/>
    <col min="4" max="4" width="16" style="189" customWidth="1"/>
    <col min="5" max="5" width="24.42578125" style="189" customWidth="1"/>
    <col min="6" max="6" width="27.42578125" style="189" customWidth="1"/>
    <col min="7" max="8" width="24.42578125" style="189" customWidth="1"/>
    <col min="9" max="9" width="4.28515625" style="189" customWidth="1"/>
    <col min="10" max="16384" width="11.42578125" style="189" hidden="1"/>
  </cols>
  <sheetData>
    <row r="1" spans="2:8" ht="15" thickBot="1"/>
    <row r="2" spans="2:8" ht="18">
      <c r="B2" s="402" t="s">
        <v>0</v>
      </c>
      <c r="C2" s="403"/>
      <c r="D2" s="403"/>
      <c r="E2" s="403"/>
      <c r="F2" s="403"/>
      <c r="G2" s="403"/>
      <c r="H2" s="404"/>
    </row>
    <row r="3" spans="2:8">
      <c r="B3" s="190"/>
      <c r="C3" s="191"/>
      <c r="D3" s="191"/>
      <c r="E3" s="191"/>
      <c r="F3" s="191"/>
      <c r="G3" s="191"/>
      <c r="H3" s="192"/>
    </row>
    <row r="4" spans="2:8" ht="63" customHeight="1">
      <c r="B4" s="405" t="s">
        <v>1</v>
      </c>
      <c r="C4" s="406"/>
      <c r="D4" s="406"/>
      <c r="E4" s="406"/>
      <c r="F4" s="406"/>
      <c r="G4" s="406"/>
      <c r="H4" s="407"/>
    </row>
    <row r="5" spans="2:8" ht="63" customHeight="1">
      <c r="B5" s="408"/>
      <c r="C5" s="409"/>
      <c r="D5" s="409"/>
      <c r="E5" s="409"/>
      <c r="F5" s="409"/>
      <c r="G5" s="409"/>
      <c r="H5" s="410"/>
    </row>
    <row r="6" spans="2:8">
      <c r="B6" s="397" t="s">
        <v>2</v>
      </c>
      <c r="C6" s="411"/>
      <c r="D6" s="411"/>
      <c r="E6" s="411"/>
      <c r="F6" s="411"/>
      <c r="G6" s="411"/>
      <c r="H6" s="412"/>
    </row>
    <row r="7" spans="2:8" ht="95.25" customHeight="1">
      <c r="B7" s="413" t="s">
        <v>3</v>
      </c>
      <c r="C7" s="414"/>
      <c r="D7" s="414"/>
      <c r="E7" s="414"/>
      <c r="F7" s="414"/>
      <c r="G7" s="414"/>
      <c r="H7" s="415"/>
    </row>
    <row r="8" spans="2:8">
      <c r="B8" s="169"/>
      <c r="C8" s="170"/>
      <c r="D8" s="170"/>
      <c r="E8" s="170"/>
      <c r="F8" s="170"/>
      <c r="G8" s="170"/>
      <c r="H8" s="171"/>
    </row>
    <row r="9" spans="2:8" ht="20.65" customHeight="1">
      <c r="B9" s="417" t="s">
        <v>4</v>
      </c>
      <c r="C9" s="418"/>
      <c r="D9" s="418"/>
      <c r="E9" s="418"/>
      <c r="F9" s="418"/>
      <c r="G9" s="418"/>
      <c r="H9" s="419"/>
    </row>
    <row r="10" spans="2:8">
      <c r="B10" s="175"/>
      <c r="C10" s="176"/>
      <c r="D10" s="176"/>
      <c r="E10" s="176"/>
      <c r="F10" s="176"/>
      <c r="G10" s="176"/>
      <c r="H10" s="177"/>
    </row>
    <row r="11" spans="2:8" ht="20.65" customHeight="1">
      <c r="B11" s="420" t="s">
        <v>5</v>
      </c>
      <c r="C11" s="421"/>
      <c r="D11" s="421"/>
      <c r="E11" s="421"/>
      <c r="F11" s="421"/>
      <c r="G11" s="421"/>
      <c r="H11" s="422"/>
    </row>
    <row r="12" spans="2:8" s="210" customFormat="1" ht="20.65" customHeight="1">
      <c r="B12" s="363"/>
      <c r="C12" s="364"/>
      <c r="D12" s="364"/>
      <c r="E12" s="364"/>
      <c r="F12" s="364"/>
      <c r="G12" s="364"/>
      <c r="H12" s="365"/>
    </row>
    <row r="13" spans="2:8" ht="20.65" customHeight="1">
      <c r="B13" s="397" t="s">
        <v>6</v>
      </c>
      <c r="C13" s="398"/>
      <c r="D13" s="398"/>
      <c r="E13" s="398"/>
      <c r="F13" s="398"/>
      <c r="G13" s="398"/>
      <c r="H13" s="399"/>
    </row>
    <row r="14" spans="2:8" ht="9" customHeight="1">
      <c r="B14" s="397"/>
      <c r="C14" s="398"/>
      <c r="D14" s="398"/>
      <c r="E14" s="398"/>
      <c r="F14" s="398"/>
      <c r="G14" s="398"/>
      <c r="H14" s="399"/>
    </row>
    <row r="15" spans="2:8">
      <c r="B15" s="397" t="s">
        <v>7</v>
      </c>
      <c r="C15" s="398"/>
      <c r="D15" s="398"/>
      <c r="E15" s="398"/>
      <c r="F15" s="398"/>
      <c r="G15" s="398"/>
      <c r="H15" s="399"/>
    </row>
    <row r="16" spans="2:8">
      <c r="B16" s="172"/>
      <c r="C16" s="173"/>
      <c r="D16" s="173"/>
      <c r="E16" s="173"/>
      <c r="F16" s="173"/>
      <c r="G16" s="173"/>
      <c r="H16" s="174"/>
    </row>
    <row r="17" spans="2:8" ht="18.75" customHeight="1">
      <c r="B17" s="397" t="s">
        <v>8</v>
      </c>
      <c r="C17" s="398"/>
      <c r="D17" s="398"/>
      <c r="E17" s="398"/>
      <c r="F17" s="398"/>
      <c r="G17" s="398"/>
      <c r="H17" s="399"/>
    </row>
    <row r="18" spans="2:8" ht="18.75" customHeight="1">
      <c r="B18" s="172"/>
      <c r="C18" s="173"/>
      <c r="D18" s="173"/>
      <c r="E18" s="173"/>
      <c r="F18" s="173"/>
      <c r="G18" s="173"/>
      <c r="H18" s="174"/>
    </row>
    <row r="19" spans="2:8" ht="18.75" customHeight="1">
      <c r="B19" s="397" t="s">
        <v>9</v>
      </c>
      <c r="C19" s="398"/>
      <c r="D19" s="398"/>
      <c r="E19" s="398"/>
      <c r="F19" s="398"/>
      <c r="G19" s="398"/>
      <c r="H19" s="399"/>
    </row>
    <row r="20" spans="2:8" ht="18.75" customHeight="1" thickBot="1">
      <c r="B20" s="149"/>
      <c r="C20" s="178"/>
      <c r="D20" s="178"/>
      <c r="E20" s="178"/>
      <c r="F20" s="178"/>
      <c r="G20" s="178"/>
      <c r="H20" s="179"/>
    </row>
    <row r="21" spans="2:8" ht="15" thickTop="1">
      <c r="B21" s="193"/>
      <c r="C21" s="380" t="s">
        <v>10</v>
      </c>
      <c r="D21" s="381"/>
      <c r="E21" s="382" t="s">
        <v>11</v>
      </c>
      <c r="F21" s="383"/>
      <c r="G21" s="198"/>
      <c r="H21" s="194"/>
    </row>
    <row r="22" spans="2:8" ht="35.25" customHeight="1">
      <c r="B22" s="193"/>
      <c r="C22" s="393" t="s">
        <v>12</v>
      </c>
      <c r="D22" s="372"/>
      <c r="E22" s="373" t="s">
        <v>13</v>
      </c>
      <c r="F22" s="374"/>
      <c r="G22" s="198"/>
      <c r="H22" s="194"/>
    </row>
    <row r="23" spans="2:8" ht="17.25" customHeight="1">
      <c r="B23" s="193"/>
      <c r="C23" s="393" t="s">
        <v>14</v>
      </c>
      <c r="D23" s="372"/>
      <c r="E23" s="373" t="s">
        <v>15</v>
      </c>
      <c r="F23" s="374"/>
      <c r="G23" s="198"/>
      <c r="H23" s="194"/>
    </row>
    <row r="24" spans="2:8" ht="17.25" customHeight="1">
      <c r="B24" s="193"/>
      <c r="C24" s="400" t="s">
        <v>16</v>
      </c>
      <c r="D24" s="401"/>
      <c r="E24" s="373" t="s">
        <v>17</v>
      </c>
      <c r="F24" s="374"/>
      <c r="G24" s="198"/>
      <c r="H24" s="194"/>
    </row>
    <row r="25" spans="2:8" ht="46.5" customHeight="1">
      <c r="B25" s="193"/>
      <c r="C25" s="393" t="s">
        <v>18</v>
      </c>
      <c r="D25" s="372"/>
      <c r="E25" s="423" t="s">
        <v>19</v>
      </c>
      <c r="F25" s="424"/>
      <c r="G25" s="198"/>
      <c r="H25" s="194"/>
    </row>
    <row r="26" spans="2:8" ht="69.75" customHeight="1">
      <c r="B26" s="193"/>
      <c r="C26" s="393" t="s">
        <v>20</v>
      </c>
      <c r="D26" s="372"/>
      <c r="E26" s="373" t="s">
        <v>21</v>
      </c>
      <c r="F26" s="374"/>
      <c r="G26" s="198"/>
      <c r="H26" s="194"/>
    </row>
    <row r="27" spans="2:8" ht="69.75" customHeight="1">
      <c r="B27" s="193"/>
      <c r="C27" s="388" t="s">
        <v>22</v>
      </c>
      <c r="D27" s="384"/>
      <c r="E27" s="367" t="s">
        <v>23</v>
      </c>
      <c r="F27" s="368"/>
      <c r="G27" s="198"/>
      <c r="H27" s="194"/>
    </row>
    <row r="28" spans="2:8" ht="69.75" customHeight="1">
      <c r="B28" s="193"/>
      <c r="C28" s="388" t="s">
        <v>24</v>
      </c>
      <c r="D28" s="384"/>
      <c r="E28" s="367" t="s">
        <v>25</v>
      </c>
      <c r="F28" s="368"/>
      <c r="G28" s="198"/>
      <c r="H28" s="194"/>
    </row>
    <row r="29" spans="2:8" ht="69.75" customHeight="1">
      <c r="B29" s="193"/>
      <c r="C29" s="388" t="s">
        <v>26</v>
      </c>
      <c r="D29" s="384"/>
      <c r="E29" s="367" t="s">
        <v>27</v>
      </c>
      <c r="F29" s="368"/>
      <c r="G29" s="198"/>
      <c r="H29" s="194"/>
    </row>
    <row r="30" spans="2:8" ht="111.75" customHeight="1">
      <c r="B30" s="193"/>
      <c r="C30" s="388" t="s">
        <v>28</v>
      </c>
      <c r="D30" s="384"/>
      <c r="E30" s="367" t="s">
        <v>29</v>
      </c>
      <c r="F30" s="368"/>
      <c r="G30" s="198"/>
      <c r="H30" s="194"/>
    </row>
    <row r="31" spans="2:8" ht="121.5" customHeight="1">
      <c r="B31" s="193"/>
      <c r="C31" s="388" t="s">
        <v>30</v>
      </c>
      <c r="D31" s="384"/>
      <c r="E31" s="367" t="s">
        <v>31</v>
      </c>
      <c r="F31" s="368"/>
      <c r="G31" s="198"/>
      <c r="H31" s="194"/>
    </row>
    <row r="32" spans="2:8" ht="86.25" customHeight="1">
      <c r="B32" s="193"/>
      <c r="C32" s="388" t="s">
        <v>32</v>
      </c>
      <c r="D32" s="384"/>
      <c r="E32" s="367" t="s">
        <v>33</v>
      </c>
      <c r="F32" s="368"/>
      <c r="G32" s="198"/>
      <c r="H32" s="194"/>
    </row>
    <row r="33" spans="2:8" ht="69.75" customHeight="1">
      <c r="B33" s="193"/>
      <c r="C33" s="388" t="s">
        <v>34</v>
      </c>
      <c r="D33" s="384"/>
      <c r="E33" s="367" t="s">
        <v>35</v>
      </c>
      <c r="F33" s="368"/>
      <c r="G33" s="198"/>
      <c r="H33" s="194"/>
    </row>
    <row r="34" spans="2:8">
      <c r="B34" s="193"/>
      <c r="C34" s="183"/>
      <c r="D34" s="183"/>
      <c r="E34" s="184"/>
      <c r="F34" s="184"/>
      <c r="G34" s="198"/>
      <c r="H34" s="194"/>
    </row>
    <row r="35" spans="2:8">
      <c r="B35" s="397" t="s">
        <v>36</v>
      </c>
      <c r="C35" s="398"/>
      <c r="D35" s="398"/>
      <c r="E35" s="398"/>
      <c r="F35" s="398"/>
      <c r="G35" s="398"/>
      <c r="H35" s="399"/>
    </row>
    <row r="36" spans="2:8" ht="14.65" customHeight="1" thickBot="1">
      <c r="B36" s="199"/>
      <c r="C36" s="188"/>
      <c r="D36" s="188"/>
      <c r="E36" s="188"/>
      <c r="F36" s="188"/>
      <c r="G36" s="188"/>
      <c r="H36" s="200"/>
    </row>
    <row r="37" spans="2:8" ht="14.65" customHeight="1" thickTop="1">
      <c r="B37" s="199"/>
      <c r="C37" s="380" t="s">
        <v>10</v>
      </c>
      <c r="D37" s="381"/>
      <c r="E37" s="382" t="s">
        <v>11</v>
      </c>
      <c r="F37" s="383"/>
      <c r="G37" s="188"/>
      <c r="H37" s="200"/>
    </row>
    <row r="38" spans="2:8" ht="90" customHeight="1">
      <c r="B38" s="199"/>
      <c r="C38" s="388" t="s">
        <v>37</v>
      </c>
      <c r="D38" s="384"/>
      <c r="E38" s="367" t="s">
        <v>38</v>
      </c>
      <c r="F38" s="368"/>
      <c r="G38" s="188"/>
      <c r="H38" s="200"/>
    </row>
    <row r="39" spans="2:8" ht="53.65" customHeight="1">
      <c r="B39" s="199"/>
      <c r="C39" s="388" t="s">
        <v>39</v>
      </c>
      <c r="D39" s="384"/>
      <c r="E39" s="367" t="s">
        <v>40</v>
      </c>
      <c r="F39" s="368"/>
      <c r="G39" s="188"/>
      <c r="H39" s="200"/>
    </row>
    <row r="40" spans="2:8" ht="54" customHeight="1">
      <c r="B40" s="199"/>
      <c r="C40" s="388" t="s">
        <v>41</v>
      </c>
      <c r="D40" s="384"/>
      <c r="E40" s="367" t="s">
        <v>42</v>
      </c>
      <c r="F40" s="368"/>
      <c r="G40" s="188"/>
      <c r="H40" s="200"/>
    </row>
    <row r="41" spans="2:8" ht="32.65" customHeight="1">
      <c r="B41" s="199"/>
      <c r="C41" s="388" t="s">
        <v>43</v>
      </c>
      <c r="D41" s="384"/>
      <c r="E41" s="367" t="s">
        <v>44</v>
      </c>
      <c r="F41" s="368"/>
      <c r="G41" s="188"/>
      <c r="H41" s="200"/>
    </row>
    <row r="42" spans="2:8">
      <c r="B42" s="199"/>
      <c r="C42" s="188"/>
      <c r="D42" s="188"/>
      <c r="E42" s="188"/>
      <c r="F42" s="188"/>
      <c r="G42" s="188"/>
      <c r="H42" s="200"/>
    </row>
    <row r="43" spans="2:8" ht="18.75" customHeight="1">
      <c r="B43" s="385" t="s">
        <v>45</v>
      </c>
      <c r="C43" s="386"/>
      <c r="D43" s="386"/>
      <c r="E43" s="386"/>
      <c r="F43" s="386"/>
      <c r="G43" s="386"/>
      <c r="H43" s="387"/>
    </row>
    <row r="44" spans="2:8" ht="18.75" customHeight="1">
      <c r="B44" s="185"/>
      <c r="C44" s="186"/>
      <c r="D44" s="186"/>
      <c r="E44" s="186"/>
      <c r="F44" s="186"/>
      <c r="G44" s="186"/>
      <c r="H44" s="187"/>
    </row>
    <row r="45" spans="2:8" ht="18.75" customHeight="1">
      <c r="B45" s="397" t="s">
        <v>46</v>
      </c>
      <c r="C45" s="398"/>
      <c r="D45" s="398"/>
      <c r="E45" s="398"/>
      <c r="F45" s="398"/>
      <c r="G45" s="398"/>
      <c r="H45" s="399"/>
    </row>
    <row r="46" spans="2:8" ht="18.75" customHeight="1" thickBot="1">
      <c r="B46" s="149"/>
      <c r="C46" s="178"/>
      <c r="D46" s="178"/>
      <c r="E46" s="178"/>
      <c r="F46" s="178"/>
      <c r="G46" s="178"/>
      <c r="H46" s="179"/>
    </row>
    <row r="47" spans="2:8" ht="18.75" customHeight="1" thickTop="1">
      <c r="B47" s="149"/>
      <c r="C47" s="380" t="s">
        <v>10</v>
      </c>
      <c r="D47" s="381"/>
      <c r="E47" s="382" t="s">
        <v>11</v>
      </c>
      <c r="F47" s="383"/>
      <c r="G47" s="178"/>
      <c r="H47" s="179"/>
    </row>
    <row r="48" spans="2:8" ht="53.25" customHeight="1">
      <c r="B48" s="149"/>
      <c r="C48" s="369" t="s">
        <v>47</v>
      </c>
      <c r="D48" s="370"/>
      <c r="E48" s="367" t="s">
        <v>48</v>
      </c>
      <c r="F48" s="368"/>
      <c r="G48" s="178"/>
      <c r="H48" s="179"/>
    </row>
    <row r="49" spans="2:8" ht="54" customHeight="1">
      <c r="B49" s="149"/>
      <c r="C49" s="369" t="s">
        <v>49</v>
      </c>
      <c r="D49" s="370"/>
      <c r="E49" s="367" t="s">
        <v>50</v>
      </c>
      <c r="F49" s="368"/>
      <c r="G49" s="178"/>
      <c r="H49" s="179"/>
    </row>
    <row r="50" spans="2:8" ht="52.15" customHeight="1">
      <c r="B50" s="149"/>
      <c r="C50" s="369" t="s">
        <v>51</v>
      </c>
      <c r="D50" s="370"/>
      <c r="E50" s="367" t="s">
        <v>52</v>
      </c>
      <c r="F50" s="368"/>
      <c r="G50" s="178"/>
      <c r="H50" s="179"/>
    </row>
    <row r="51" spans="2:8" ht="53.65" customHeight="1">
      <c r="B51" s="149"/>
      <c r="C51" s="369" t="s">
        <v>53</v>
      </c>
      <c r="D51" s="370"/>
      <c r="E51" s="367" t="s">
        <v>52</v>
      </c>
      <c r="F51" s="368"/>
      <c r="G51" s="178"/>
      <c r="H51" s="179"/>
    </row>
    <row r="52" spans="2:8" ht="48.75" customHeight="1">
      <c r="B52" s="149"/>
      <c r="C52" s="369" t="s">
        <v>54</v>
      </c>
      <c r="D52" s="370"/>
      <c r="E52" s="367" t="s">
        <v>55</v>
      </c>
      <c r="F52" s="368"/>
      <c r="G52" s="178"/>
      <c r="H52" s="179"/>
    </row>
    <row r="53" spans="2:8" ht="49.5" customHeight="1">
      <c r="B53" s="149"/>
      <c r="C53" s="369" t="s">
        <v>56</v>
      </c>
      <c r="D53" s="370"/>
      <c r="E53" s="367" t="s">
        <v>57</v>
      </c>
      <c r="F53" s="368"/>
      <c r="G53" s="178"/>
      <c r="H53" s="179"/>
    </row>
    <row r="54" spans="2:8" ht="50.25" customHeight="1">
      <c r="B54" s="149"/>
      <c r="C54" s="369" t="s">
        <v>58</v>
      </c>
      <c r="D54" s="370"/>
      <c r="E54" s="367" t="s">
        <v>59</v>
      </c>
      <c r="F54" s="368"/>
      <c r="G54" s="178"/>
      <c r="H54" s="179"/>
    </row>
    <row r="55" spans="2:8" ht="29.65" customHeight="1">
      <c r="B55" s="149"/>
      <c r="C55" s="369" t="s">
        <v>60</v>
      </c>
      <c r="D55" s="370"/>
      <c r="E55" s="367" t="s">
        <v>61</v>
      </c>
      <c r="F55" s="368"/>
      <c r="G55" s="178"/>
      <c r="H55" s="179"/>
    </row>
    <row r="56" spans="2:8" ht="40.15" customHeight="1">
      <c r="B56" s="149"/>
      <c r="C56" s="369" t="s">
        <v>62</v>
      </c>
      <c r="D56" s="370"/>
      <c r="E56" s="367" t="s">
        <v>63</v>
      </c>
      <c r="F56" s="368"/>
      <c r="G56" s="178"/>
      <c r="H56" s="179"/>
    </row>
    <row r="57" spans="2:8" ht="29.65" customHeight="1">
      <c r="B57" s="149"/>
      <c r="C57" s="369" t="s">
        <v>64</v>
      </c>
      <c r="D57" s="370"/>
      <c r="E57" s="367" t="s">
        <v>65</v>
      </c>
      <c r="F57" s="368"/>
      <c r="G57" s="178"/>
      <c r="H57" s="179"/>
    </row>
    <row r="58" spans="2:8" ht="18.75" customHeight="1">
      <c r="B58" s="149"/>
      <c r="C58" s="178"/>
      <c r="D58" s="178"/>
      <c r="E58" s="178"/>
      <c r="F58" s="178"/>
      <c r="G58" s="178"/>
      <c r="H58" s="179"/>
    </row>
    <row r="59" spans="2:8" ht="18.75" customHeight="1">
      <c r="B59" s="394" t="s">
        <v>66</v>
      </c>
      <c r="C59" s="395"/>
      <c r="D59" s="395"/>
      <c r="E59" s="395"/>
      <c r="F59" s="395"/>
      <c r="G59" s="395"/>
      <c r="H59" s="396"/>
    </row>
    <row r="60" spans="2:8" ht="18.75" customHeight="1">
      <c r="B60" s="149"/>
      <c r="C60" s="178"/>
      <c r="D60" s="178"/>
      <c r="E60" s="178"/>
      <c r="F60" s="178"/>
      <c r="G60" s="178"/>
      <c r="H60" s="179"/>
    </row>
    <row r="61" spans="2:8" ht="18.75" customHeight="1">
      <c r="B61" s="375" t="s">
        <v>67</v>
      </c>
      <c r="C61" s="376"/>
      <c r="D61" s="376"/>
      <c r="E61" s="376"/>
      <c r="F61" s="376"/>
      <c r="G61" s="376"/>
      <c r="H61" s="377"/>
    </row>
    <row r="62" spans="2:8" ht="18.75" customHeight="1">
      <c r="B62" s="172"/>
      <c r="C62" s="173"/>
      <c r="D62" s="173"/>
      <c r="E62" s="173"/>
      <c r="F62" s="173"/>
      <c r="G62" s="173"/>
      <c r="H62" s="174"/>
    </row>
    <row r="63" spans="2:8" ht="30" customHeight="1">
      <c r="B63" s="397" t="s">
        <v>68</v>
      </c>
      <c r="C63" s="398"/>
      <c r="D63" s="398"/>
      <c r="E63" s="398"/>
      <c r="F63" s="398"/>
      <c r="G63" s="398"/>
      <c r="H63" s="399"/>
    </row>
    <row r="64" spans="2:8" ht="15" thickBot="1">
      <c r="B64" s="149"/>
      <c r="C64" s="178"/>
      <c r="D64" s="178"/>
      <c r="E64" s="178"/>
      <c r="F64" s="178"/>
      <c r="G64" s="178"/>
      <c r="H64" s="179"/>
    </row>
    <row r="65" spans="2:8" ht="30" customHeight="1" thickTop="1">
      <c r="B65" s="149"/>
      <c r="C65" s="380" t="s">
        <v>10</v>
      </c>
      <c r="D65" s="381"/>
      <c r="E65" s="382" t="s">
        <v>11</v>
      </c>
      <c r="F65" s="383"/>
      <c r="G65" s="178"/>
      <c r="H65" s="179"/>
    </row>
    <row r="66" spans="2:8" ht="30" customHeight="1">
      <c r="B66" s="149"/>
      <c r="C66" s="369" t="s">
        <v>69</v>
      </c>
      <c r="D66" s="370"/>
      <c r="E66" s="367" t="s">
        <v>70</v>
      </c>
      <c r="F66" s="368"/>
      <c r="G66" s="178"/>
      <c r="H66" s="179"/>
    </row>
    <row r="67" spans="2:8" ht="44.65" customHeight="1">
      <c r="B67" s="149"/>
      <c r="C67" s="369" t="s">
        <v>71</v>
      </c>
      <c r="D67" s="370"/>
      <c r="E67" s="367" t="s">
        <v>72</v>
      </c>
      <c r="F67" s="368"/>
      <c r="G67" s="178"/>
      <c r="H67" s="179"/>
    </row>
    <row r="68" spans="2:8" ht="51" customHeight="1">
      <c r="B68" s="149"/>
      <c r="C68" s="369" t="s">
        <v>73</v>
      </c>
      <c r="D68" s="370"/>
      <c r="E68" s="367" t="s">
        <v>74</v>
      </c>
      <c r="F68" s="368"/>
      <c r="G68" s="178"/>
      <c r="H68" s="179"/>
    </row>
    <row r="69" spans="2:8" ht="104.25" customHeight="1">
      <c r="B69" s="149"/>
      <c r="C69" s="369" t="s">
        <v>75</v>
      </c>
      <c r="D69" s="370"/>
      <c r="E69" s="367" t="s">
        <v>76</v>
      </c>
      <c r="F69" s="368"/>
      <c r="G69" s="178"/>
      <c r="H69" s="179"/>
    </row>
    <row r="70" spans="2:8" ht="30" customHeight="1">
      <c r="B70" s="149"/>
      <c r="C70" s="178"/>
      <c r="D70" s="178"/>
      <c r="E70" s="178"/>
      <c r="F70" s="178"/>
      <c r="G70" s="178"/>
      <c r="H70" s="179"/>
    </row>
    <row r="71" spans="2:8" ht="18.75" customHeight="1">
      <c r="B71" s="375" t="s">
        <v>77</v>
      </c>
      <c r="C71" s="376"/>
      <c r="D71" s="376"/>
      <c r="E71" s="376"/>
      <c r="F71" s="376"/>
      <c r="G71" s="376"/>
      <c r="H71" s="377"/>
    </row>
    <row r="72" spans="2:8" ht="18.75" customHeight="1">
      <c r="B72" s="180"/>
      <c r="C72" s="181"/>
      <c r="D72" s="181"/>
      <c r="E72" s="181"/>
      <c r="F72" s="181"/>
      <c r="G72" s="181"/>
      <c r="H72" s="182"/>
    </row>
    <row r="73" spans="2:8" ht="18.75" customHeight="1">
      <c r="B73" s="375" t="s">
        <v>78</v>
      </c>
      <c r="C73" s="376"/>
      <c r="D73" s="376"/>
      <c r="E73" s="376"/>
      <c r="F73" s="376"/>
      <c r="G73" s="376"/>
      <c r="H73" s="377"/>
    </row>
    <row r="74" spans="2:8" ht="18.75" customHeight="1">
      <c r="B74" s="180"/>
      <c r="C74" s="181"/>
      <c r="D74" s="181"/>
      <c r="E74" s="181"/>
      <c r="F74" s="181"/>
      <c r="G74" s="181"/>
      <c r="H74" s="182"/>
    </row>
    <row r="75" spans="2:8" ht="18.75" customHeight="1">
      <c r="B75" s="375" t="s">
        <v>79</v>
      </c>
      <c r="C75" s="376"/>
      <c r="D75" s="376"/>
      <c r="E75" s="376"/>
      <c r="F75" s="376"/>
      <c r="G75" s="376"/>
      <c r="H75" s="377"/>
    </row>
    <row r="76" spans="2:8">
      <c r="B76" s="149"/>
      <c r="C76" s="201"/>
      <c r="D76" s="201"/>
      <c r="E76" s="201"/>
      <c r="F76" s="201"/>
      <c r="G76" s="201"/>
      <c r="H76" s="150"/>
    </row>
    <row r="77" spans="2:8">
      <c r="B77" s="149"/>
      <c r="C77" s="201"/>
      <c r="D77" s="201"/>
      <c r="E77" s="201"/>
      <c r="F77" s="201"/>
      <c r="G77" s="201"/>
      <c r="H77" s="150"/>
    </row>
    <row r="78" spans="2:8" hidden="1">
      <c r="B78" s="149" t="s">
        <v>80</v>
      </c>
      <c r="C78" s="201"/>
      <c r="D78" s="201"/>
      <c r="E78" s="201"/>
      <c r="F78" s="201"/>
      <c r="G78" s="201"/>
      <c r="H78" s="150"/>
    </row>
    <row r="79" spans="2:8">
      <c r="B79" s="149"/>
      <c r="C79" s="201"/>
      <c r="D79" s="201"/>
      <c r="E79" s="201"/>
      <c r="F79" s="201"/>
      <c r="G79" s="201"/>
      <c r="H79" s="150"/>
    </row>
    <row r="80" spans="2:8" ht="15" thickBot="1">
      <c r="B80" s="193"/>
      <c r="C80" s="198"/>
      <c r="D80" s="202"/>
      <c r="E80" s="203"/>
      <c r="F80" s="203"/>
      <c r="G80" s="204"/>
      <c r="H80" s="194"/>
    </row>
    <row r="81" spans="2:8" ht="15" thickTop="1">
      <c r="B81" s="271" t="s">
        <v>81</v>
      </c>
      <c r="C81" s="416" t="s">
        <v>10</v>
      </c>
      <c r="D81" s="381"/>
      <c r="E81" s="382" t="s">
        <v>11</v>
      </c>
      <c r="F81" s="383"/>
      <c r="G81" s="198"/>
      <c r="H81" s="194"/>
    </row>
    <row r="82" spans="2:8" s="148" customFormat="1" ht="24.75" customHeight="1">
      <c r="B82" s="208">
        <v>2</v>
      </c>
      <c r="C82" s="371" t="s">
        <v>12</v>
      </c>
      <c r="D82" s="372"/>
      <c r="E82" s="373" t="s">
        <v>13</v>
      </c>
      <c r="F82" s="374"/>
      <c r="G82" s="205"/>
      <c r="H82" s="151"/>
    </row>
    <row r="83" spans="2:8" s="148" customFormat="1" ht="17.25" customHeight="1">
      <c r="B83" s="208">
        <v>2</v>
      </c>
      <c r="C83" s="371" t="s">
        <v>14</v>
      </c>
      <c r="D83" s="372"/>
      <c r="E83" s="373" t="s">
        <v>15</v>
      </c>
      <c r="F83" s="374"/>
      <c r="G83" s="205"/>
      <c r="H83" s="151"/>
    </row>
    <row r="84" spans="2:8" s="148" customFormat="1" ht="25.5" customHeight="1">
      <c r="B84" s="208">
        <v>2</v>
      </c>
      <c r="C84" s="371" t="s">
        <v>16</v>
      </c>
      <c r="D84" s="372"/>
      <c r="E84" s="373" t="s">
        <v>17</v>
      </c>
      <c r="F84" s="374"/>
      <c r="G84" s="205"/>
      <c r="H84" s="151"/>
    </row>
    <row r="85" spans="2:8" s="148" customFormat="1" ht="25.5" customHeight="1">
      <c r="B85" s="208">
        <v>2</v>
      </c>
      <c r="C85" s="371" t="s">
        <v>18</v>
      </c>
      <c r="D85" s="372"/>
      <c r="E85" s="373" t="s">
        <v>19</v>
      </c>
      <c r="F85" s="374"/>
      <c r="G85" s="205"/>
      <c r="H85" s="151"/>
    </row>
    <row r="86" spans="2:8" s="148" customFormat="1" ht="67.150000000000006" customHeight="1">
      <c r="B86" s="208">
        <v>2</v>
      </c>
      <c r="C86" s="371" t="s">
        <v>20</v>
      </c>
      <c r="D86" s="372"/>
      <c r="E86" s="373" t="s">
        <v>21</v>
      </c>
      <c r="F86" s="374"/>
      <c r="G86" s="205"/>
      <c r="H86" s="151"/>
    </row>
    <row r="87" spans="2:8" s="148" customFormat="1" ht="67.5" customHeight="1">
      <c r="B87" s="208">
        <v>2</v>
      </c>
      <c r="C87" s="370" t="s">
        <v>22</v>
      </c>
      <c r="D87" s="384"/>
      <c r="E87" s="367" t="s">
        <v>23</v>
      </c>
      <c r="F87" s="368"/>
      <c r="G87" s="205"/>
      <c r="H87" s="151"/>
    </row>
    <row r="88" spans="2:8" s="148" customFormat="1" ht="43.5" customHeight="1">
      <c r="B88" s="208">
        <v>2</v>
      </c>
      <c r="C88" s="370" t="s">
        <v>24</v>
      </c>
      <c r="D88" s="384"/>
      <c r="E88" s="367" t="s">
        <v>25</v>
      </c>
      <c r="F88" s="368"/>
      <c r="G88" s="205"/>
      <c r="H88" s="151"/>
    </row>
    <row r="89" spans="2:8" s="148" customFormat="1" ht="35.25" customHeight="1">
      <c r="B89" s="208">
        <v>2</v>
      </c>
      <c r="C89" s="370" t="s">
        <v>26</v>
      </c>
      <c r="D89" s="384"/>
      <c r="E89" s="367" t="s">
        <v>27</v>
      </c>
      <c r="F89" s="368"/>
      <c r="G89" s="205"/>
      <c r="H89" s="151"/>
    </row>
    <row r="90" spans="2:8" s="148" customFormat="1" ht="72.75" customHeight="1">
      <c r="B90" s="208">
        <v>2</v>
      </c>
      <c r="C90" s="370" t="s">
        <v>28</v>
      </c>
      <c r="D90" s="384"/>
      <c r="E90" s="367" t="s">
        <v>82</v>
      </c>
      <c r="F90" s="368"/>
      <c r="G90" s="205"/>
      <c r="H90" s="151"/>
    </row>
    <row r="91" spans="2:8" s="148" customFormat="1" ht="94.15" customHeight="1">
      <c r="B91" s="208">
        <v>2</v>
      </c>
      <c r="C91" s="370" t="s">
        <v>30</v>
      </c>
      <c r="D91" s="384"/>
      <c r="E91" s="367" t="s">
        <v>31</v>
      </c>
      <c r="F91" s="368"/>
      <c r="G91" s="205"/>
      <c r="H91" s="151"/>
    </row>
    <row r="92" spans="2:8" s="148" customFormat="1" ht="94.15" customHeight="1">
      <c r="B92" s="208">
        <v>2</v>
      </c>
      <c r="C92" s="370" t="s">
        <v>32</v>
      </c>
      <c r="D92" s="384"/>
      <c r="E92" s="367" t="s">
        <v>33</v>
      </c>
      <c r="F92" s="368"/>
      <c r="G92" s="205"/>
      <c r="H92" s="151"/>
    </row>
    <row r="93" spans="2:8" s="148" customFormat="1">
      <c r="B93" s="208">
        <v>2</v>
      </c>
      <c r="C93" s="370" t="s">
        <v>34</v>
      </c>
      <c r="D93" s="384"/>
      <c r="E93" s="367" t="s">
        <v>35</v>
      </c>
      <c r="F93" s="368"/>
      <c r="G93" s="205"/>
      <c r="H93" s="151"/>
    </row>
    <row r="94" spans="2:8" s="148" customFormat="1" ht="66.75" customHeight="1">
      <c r="B94" s="208">
        <v>3</v>
      </c>
      <c r="C94" s="370" t="s">
        <v>37</v>
      </c>
      <c r="D94" s="384"/>
      <c r="E94" s="367" t="s">
        <v>38</v>
      </c>
      <c r="F94" s="368"/>
      <c r="G94" s="205"/>
      <c r="H94" s="151"/>
    </row>
    <row r="95" spans="2:8" s="148" customFormat="1" ht="66.75" customHeight="1">
      <c r="B95" s="208">
        <v>3</v>
      </c>
      <c r="C95" s="370" t="s">
        <v>39</v>
      </c>
      <c r="D95" s="384"/>
      <c r="E95" s="367" t="s">
        <v>40</v>
      </c>
      <c r="F95" s="368"/>
      <c r="G95" s="205"/>
      <c r="H95" s="151"/>
    </row>
    <row r="96" spans="2:8" s="148" customFormat="1" ht="62.65" customHeight="1">
      <c r="B96" s="208">
        <v>3</v>
      </c>
      <c r="C96" s="370" t="s">
        <v>41</v>
      </c>
      <c r="D96" s="384"/>
      <c r="E96" s="367" t="s">
        <v>42</v>
      </c>
      <c r="F96" s="368"/>
      <c r="G96" s="205"/>
      <c r="H96" s="151"/>
    </row>
    <row r="97" spans="2:8" s="148" customFormat="1" ht="38.65" customHeight="1">
      <c r="B97" s="208">
        <v>3</v>
      </c>
      <c r="C97" s="370" t="s">
        <v>43</v>
      </c>
      <c r="D97" s="384"/>
      <c r="E97" s="367" t="s">
        <v>44</v>
      </c>
      <c r="F97" s="368"/>
      <c r="G97" s="205"/>
      <c r="H97" s="151"/>
    </row>
    <row r="98" spans="2:8" ht="59.25" customHeight="1">
      <c r="B98" s="209">
        <v>5</v>
      </c>
      <c r="C98" s="379" t="s">
        <v>47</v>
      </c>
      <c r="D98" s="370"/>
      <c r="E98" s="367" t="s">
        <v>83</v>
      </c>
      <c r="F98" s="368"/>
      <c r="G98" s="198"/>
      <c r="H98" s="194"/>
    </row>
    <row r="99" spans="2:8" ht="59.25" customHeight="1">
      <c r="B99" s="209">
        <v>5</v>
      </c>
      <c r="C99" s="379" t="s">
        <v>49</v>
      </c>
      <c r="D99" s="370"/>
      <c r="E99" s="367" t="s">
        <v>50</v>
      </c>
      <c r="F99" s="368"/>
      <c r="G99" s="198"/>
      <c r="H99" s="194"/>
    </row>
    <row r="100" spans="2:8" ht="59.25" customHeight="1">
      <c r="B100" s="209">
        <v>5</v>
      </c>
      <c r="C100" s="379" t="s">
        <v>51</v>
      </c>
      <c r="D100" s="370"/>
      <c r="E100" s="367" t="s">
        <v>52</v>
      </c>
      <c r="F100" s="368"/>
      <c r="G100" s="198"/>
      <c r="H100" s="194"/>
    </row>
    <row r="101" spans="2:8" ht="59.25" customHeight="1">
      <c r="B101" s="209">
        <v>5</v>
      </c>
      <c r="C101" s="379" t="s">
        <v>53</v>
      </c>
      <c r="D101" s="370"/>
      <c r="E101" s="367" t="s">
        <v>52</v>
      </c>
      <c r="F101" s="368"/>
      <c r="G101" s="198"/>
      <c r="H101" s="194"/>
    </row>
    <row r="102" spans="2:8" ht="47.65" customHeight="1">
      <c r="B102" s="209">
        <v>5</v>
      </c>
      <c r="C102" s="379" t="s">
        <v>54</v>
      </c>
      <c r="D102" s="370"/>
      <c r="E102" s="367" t="s">
        <v>55</v>
      </c>
      <c r="F102" s="368"/>
      <c r="G102" s="198"/>
      <c r="H102" s="194"/>
    </row>
    <row r="103" spans="2:8" ht="45.75" customHeight="1">
      <c r="B103" s="209">
        <v>5</v>
      </c>
      <c r="C103" s="379" t="s">
        <v>56</v>
      </c>
      <c r="D103" s="370"/>
      <c r="E103" s="367" t="s">
        <v>57</v>
      </c>
      <c r="F103" s="368"/>
      <c r="G103" s="198"/>
      <c r="H103" s="194"/>
    </row>
    <row r="104" spans="2:8" ht="32.65" customHeight="1">
      <c r="B104" s="209">
        <v>5</v>
      </c>
      <c r="C104" s="379" t="s">
        <v>58</v>
      </c>
      <c r="D104" s="370"/>
      <c r="E104" s="367" t="s">
        <v>59</v>
      </c>
      <c r="F104" s="368"/>
      <c r="G104" s="198"/>
      <c r="H104" s="194"/>
    </row>
    <row r="105" spans="2:8" ht="33.75" customHeight="1">
      <c r="B105" s="209">
        <v>5</v>
      </c>
      <c r="C105" s="379" t="s">
        <v>60</v>
      </c>
      <c r="D105" s="370"/>
      <c r="E105" s="367" t="s">
        <v>61</v>
      </c>
      <c r="F105" s="368"/>
      <c r="G105" s="198"/>
      <c r="H105" s="194"/>
    </row>
    <row r="106" spans="2:8" ht="33.75" customHeight="1">
      <c r="B106" s="209">
        <v>5</v>
      </c>
      <c r="C106" s="379" t="s">
        <v>62</v>
      </c>
      <c r="D106" s="370"/>
      <c r="E106" s="367" t="s">
        <v>63</v>
      </c>
      <c r="F106" s="368"/>
      <c r="G106" s="198"/>
      <c r="H106" s="194"/>
    </row>
    <row r="107" spans="2:8">
      <c r="B107" s="209">
        <v>5</v>
      </c>
      <c r="C107" s="379" t="s">
        <v>64</v>
      </c>
      <c r="D107" s="370"/>
      <c r="E107" s="367" t="s">
        <v>65</v>
      </c>
      <c r="F107" s="368"/>
      <c r="G107" s="198"/>
      <c r="H107" s="194"/>
    </row>
    <row r="108" spans="2:8" ht="25.15" customHeight="1">
      <c r="B108" s="209">
        <v>8</v>
      </c>
      <c r="C108" s="379" t="s">
        <v>69</v>
      </c>
      <c r="D108" s="370"/>
      <c r="E108" s="367" t="s">
        <v>70</v>
      </c>
      <c r="F108" s="368"/>
      <c r="G108" s="198"/>
      <c r="H108" s="194"/>
    </row>
    <row r="109" spans="2:8" ht="46.5" customHeight="1">
      <c r="B109" s="209">
        <v>8</v>
      </c>
      <c r="C109" s="379" t="s">
        <v>71</v>
      </c>
      <c r="D109" s="370"/>
      <c r="E109" s="367" t="s">
        <v>72</v>
      </c>
      <c r="F109" s="368"/>
      <c r="G109" s="198"/>
      <c r="H109" s="194"/>
    </row>
    <row r="110" spans="2:8" ht="46.5" customHeight="1">
      <c r="B110" s="209">
        <v>8</v>
      </c>
      <c r="C110" s="379" t="s">
        <v>73</v>
      </c>
      <c r="D110" s="370"/>
      <c r="E110" s="367" t="s">
        <v>74</v>
      </c>
      <c r="F110" s="368"/>
      <c r="G110" s="198"/>
      <c r="H110" s="194"/>
    </row>
    <row r="111" spans="2:8" s="148" customFormat="1" ht="103.5" customHeight="1">
      <c r="B111" s="208">
        <v>8</v>
      </c>
      <c r="C111" s="379" t="s">
        <v>75</v>
      </c>
      <c r="D111" s="370"/>
      <c r="E111" s="367" t="s">
        <v>76</v>
      </c>
      <c r="F111" s="368"/>
      <c r="G111" s="205"/>
      <c r="H111" s="151"/>
    </row>
    <row r="112" spans="2:8" ht="6.75" customHeight="1" thickBot="1">
      <c r="B112" s="193"/>
      <c r="C112" s="389"/>
      <c r="D112" s="390"/>
      <c r="E112" s="391"/>
      <c r="F112" s="392"/>
      <c r="G112" s="198"/>
      <c r="H112" s="194"/>
    </row>
    <row r="113" spans="2:9" ht="15" thickTop="1">
      <c r="B113" s="193"/>
      <c r="C113" s="206"/>
      <c r="D113" s="206"/>
      <c r="E113" s="207"/>
      <c r="F113" s="207"/>
      <c r="G113" s="198"/>
      <c r="H113" s="194"/>
    </row>
    <row r="114" spans="2:9" ht="15" thickBot="1">
      <c r="B114" s="195"/>
      <c r="C114" s="196"/>
      <c r="D114" s="196"/>
      <c r="E114" s="196"/>
      <c r="F114" s="196"/>
      <c r="G114" s="196"/>
      <c r="H114" s="197"/>
    </row>
    <row r="115" spans="2:9" ht="15" thickBot="1"/>
    <row r="116" spans="2:9" ht="15.6" thickTop="1" thickBot="1">
      <c r="B116" s="337" t="s">
        <v>84</v>
      </c>
      <c r="C116" s="337"/>
      <c r="D116" s="337"/>
      <c r="E116" s="337"/>
      <c r="F116" s="337"/>
      <c r="G116" s="337"/>
      <c r="H116" s="337"/>
      <c r="I116" s="316"/>
    </row>
    <row r="117" spans="2:9" ht="15.6" thickTop="1" thickBot="1">
      <c r="B117" s="318" t="s">
        <v>85</v>
      </c>
      <c r="C117" s="337" t="s">
        <v>86</v>
      </c>
      <c r="D117" s="337"/>
      <c r="E117" s="337" t="s">
        <v>87</v>
      </c>
      <c r="F117" s="337"/>
      <c r="G117" s="337" t="s">
        <v>88</v>
      </c>
      <c r="H117" s="337"/>
      <c r="I117" s="316"/>
    </row>
    <row r="118" spans="2:9" ht="84.4" customHeight="1" thickTop="1" thickBot="1">
      <c r="B118" s="319" t="s">
        <v>89</v>
      </c>
      <c r="C118" s="338">
        <v>46163</v>
      </c>
      <c r="D118" s="338"/>
      <c r="E118" s="339" t="s">
        <v>90</v>
      </c>
      <c r="F118" s="339"/>
      <c r="G118" s="340" t="s">
        <v>91</v>
      </c>
      <c r="H118" s="340"/>
      <c r="I118" s="317"/>
    </row>
    <row r="119" spans="2:9" ht="48" customHeight="1" thickTop="1">
      <c r="B119" s="366"/>
      <c r="C119" s="366"/>
    </row>
    <row r="120" spans="2:9">
      <c r="B120" s="378"/>
      <c r="C120" s="378"/>
    </row>
    <row r="121" spans="2:9"/>
    <row r="122" spans="2:9"/>
    <row r="123" spans="2:9"/>
    <row r="124" spans="2:9"/>
    <row r="125" spans="2:9"/>
    <row r="126" spans="2:9"/>
    <row r="127" spans="2:9"/>
    <row r="128" spans="2:9"/>
    <row r="129"/>
    <row r="130"/>
    <row r="131"/>
  </sheetData>
  <sheetProtection formatCells="0" formatColumns="0" formatRows="0"/>
  <autoFilter ref="B81:H111" xr:uid="{00000000-0009-0000-0000-000000000000}">
    <filterColumn colId="1" showButton="0"/>
    <filterColumn colId="3" showButton="0"/>
  </autoFilter>
  <mergeCells count="162">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1" sqref="B1:I2"/>
    </sheetView>
  </sheetViews>
  <sheetFormatPr defaultColWidth="0" defaultRowHeight="14.45" zeroHeight="1"/>
  <cols>
    <col min="1" max="1" width="28.7109375" customWidth="1"/>
    <col min="2" max="2" width="25.42578125" customWidth="1"/>
    <col min="3" max="3" width="10.7109375" customWidth="1"/>
    <col min="4" max="4" width="15.140625" customWidth="1"/>
    <col min="5" max="5" width="13.85546875" customWidth="1"/>
    <col min="6" max="6" width="14.42578125" customWidth="1"/>
    <col min="7" max="7" width="26" customWidth="1"/>
    <col min="8" max="8" width="10.7109375" customWidth="1"/>
    <col min="9" max="9" width="11.42578125" bestFit="1" customWidth="1"/>
    <col min="10" max="10" width="29" bestFit="1" customWidth="1"/>
    <col min="11" max="11" width="8" customWidth="1"/>
    <col min="12" max="12" width="10.7109375" customWidth="1"/>
    <col min="13" max="16384" width="10.7109375" hidden="1"/>
  </cols>
  <sheetData>
    <row r="1" spans="1:21" s="4" customFormat="1" ht="19.899999999999999" customHeight="1" thickTop="1">
      <c r="A1" s="360"/>
      <c r="B1" s="341" t="s">
        <v>92</v>
      </c>
      <c r="C1" s="342"/>
      <c r="D1" s="342"/>
      <c r="E1" s="342"/>
      <c r="F1" s="342"/>
      <c r="G1" s="342"/>
      <c r="H1" s="342"/>
      <c r="I1" s="343"/>
      <c r="J1" s="310" t="s">
        <v>93</v>
      </c>
      <c r="K1" s="311"/>
      <c r="L1" s="260"/>
    </row>
    <row r="2" spans="1:21" s="4" customFormat="1" ht="19.899999999999999" customHeight="1">
      <c r="A2" s="361"/>
      <c r="B2" s="344"/>
      <c r="C2" s="345"/>
      <c r="D2" s="345"/>
      <c r="E2" s="345"/>
      <c r="F2" s="345"/>
      <c r="G2" s="345"/>
      <c r="H2" s="345"/>
      <c r="I2" s="346"/>
      <c r="J2" s="312" t="s">
        <v>94</v>
      </c>
      <c r="K2" s="313"/>
      <c r="L2" s="260"/>
    </row>
    <row r="3" spans="1:21" s="3" customFormat="1" ht="16.149999999999999" thickBot="1">
      <c r="A3" s="362"/>
      <c r="B3" s="347" t="s">
        <v>95</v>
      </c>
      <c r="C3" s="348"/>
      <c r="D3" s="348"/>
      <c r="E3" s="348"/>
      <c r="F3" s="348"/>
      <c r="G3" s="348"/>
      <c r="H3" s="348"/>
      <c r="I3" s="349"/>
      <c r="J3" s="314" t="s">
        <v>96</v>
      </c>
      <c r="K3" s="315"/>
      <c r="L3" s="261"/>
    </row>
    <row r="4" spans="1:21" s="3" customFormat="1" ht="16.899999999999999" customHeight="1" thickTop="1">
      <c r="A4" s="351"/>
      <c r="B4" s="352"/>
      <c r="C4" s="352"/>
      <c r="D4" s="352"/>
      <c r="E4" s="352"/>
      <c r="F4" s="352"/>
      <c r="G4" s="352"/>
      <c r="H4" s="352"/>
      <c r="I4" s="352"/>
      <c r="J4" s="352"/>
      <c r="K4" s="353"/>
    </row>
    <row r="5" spans="1:21" s="4" customFormat="1" ht="27" customHeight="1">
      <c r="A5" s="12" t="s">
        <v>97</v>
      </c>
      <c r="B5" s="272" t="str">
        <f>'2 IDENTIFICACIÓN'!B5</f>
        <v>ALCALDIA DE BUCARAMANGA</v>
      </c>
      <c r="C5" s="267"/>
      <c r="D5" s="267"/>
      <c r="E5" s="268"/>
      <c r="F5" s="251" t="s">
        <v>99</v>
      </c>
      <c r="G5" s="272" t="str">
        <f>'2 IDENTIFICACIÓN'!G5</f>
        <v>SEGURIDAD, PROTECCIÓN Y CONVIVENCIA CIUDADANA</v>
      </c>
      <c r="H5" s="268"/>
      <c r="I5" s="251" t="s">
        <v>101</v>
      </c>
      <c r="J5" s="269">
        <f>'2 IDENTIFICACIÓN'!J5</f>
        <v>2026</v>
      </c>
      <c r="K5" s="270"/>
    </row>
    <row r="6" spans="1:21" s="4" customFormat="1" thickBot="1">
      <c r="A6" s="165"/>
      <c r="B6" s="262"/>
      <c r="C6" s="262"/>
      <c r="D6" s="262"/>
      <c r="E6" s="262"/>
      <c r="F6" s="263"/>
      <c r="G6" s="264"/>
      <c r="H6" s="264"/>
      <c r="I6" s="264"/>
      <c r="J6" s="264"/>
      <c r="K6" s="264"/>
      <c r="S6" s="37"/>
      <c r="T6" s="37"/>
      <c r="U6" s="37"/>
    </row>
    <row r="7" spans="1:21" ht="15" thickBot="1">
      <c r="A7" s="537" t="s">
        <v>519</v>
      </c>
      <c r="B7" s="538"/>
      <c r="C7" s="538"/>
      <c r="D7" s="538"/>
      <c r="E7" s="538"/>
      <c r="F7" s="538"/>
      <c r="G7" s="538"/>
      <c r="H7" s="538"/>
      <c r="I7" s="538"/>
      <c r="J7" s="538"/>
      <c r="K7" s="539"/>
    </row>
    <row r="8" spans="1:21" ht="6" customHeight="1" thickBot="1">
      <c r="A8" s="537"/>
      <c r="B8" s="538"/>
      <c r="C8" s="538"/>
      <c r="D8" s="538"/>
      <c r="E8" s="538"/>
      <c r="F8" s="538"/>
      <c r="G8" s="538"/>
      <c r="H8" s="538"/>
      <c r="I8" s="538"/>
      <c r="J8" s="538"/>
      <c r="K8" s="539"/>
    </row>
    <row r="9" spans="1:21" ht="34.5" customHeight="1">
      <c r="A9" s="540" t="s">
        <v>520</v>
      </c>
      <c r="B9" s="541"/>
      <c r="C9" s="541"/>
      <c r="D9" s="541"/>
      <c r="E9" s="541"/>
      <c r="F9" s="541"/>
      <c r="G9" s="541"/>
      <c r="H9" s="541"/>
      <c r="I9" s="541"/>
      <c r="J9" s="541"/>
      <c r="K9" s="542"/>
    </row>
    <row r="10" spans="1:21" ht="18.75" customHeight="1">
      <c r="A10" s="546" t="s">
        <v>521</v>
      </c>
      <c r="B10" s="547"/>
      <c r="C10" s="547"/>
      <c r="D10" s="547"/>
      <c r="E10" s="547"/>
      <c r="F10" s="547"/>
      <c r="G10" s="547"/>
      <c r="H10" s="547"/>
      <c r="I10" s="547"/>
      <c r="J10" s="547"/>
      <c r="K10" s="548"/>
    </row>
    <row r="11" spans="1:21" ht="34.5" customHeight="1">
      <c r="A11" s="543" t="s">
        <v>522</v>
      </c>
      <c r="B11" s="544"/>
      <c r="C11" s="544"/>
      <c r="D11" s="544"/>
      <c r="E11" s="544"/>
      <c r="F11" s="544"/>
      <c r="G11" s="544"/>
      <c r="H11" s="544"/>
      <c r="I11" s="544"/>
      <c r="J11" s="544"/>
      <c r="K11" s="545"/>
    </row>
    <row r="12" spans="1:21" ht="50.25" customHeight="1" thickBot="1">
      <c r="A12" s="534" t="s">
        <v>523</v>
      </c>
      <c r="B12" s="535"/>
      <c r="C12" s="535"/>
      <c r="D12" s="535"/>
      <c r="E12" s="535"/>
      <c r="F12" s="535"/>
      <c r="G12" s="535"/>
      <c r="H12" s="535"/>
      <c r="I12" s="535"/>
      <c r="J12" s="535"/>
      <c r="K12" s="536"/>
    </row>
    <row r="13" spans="1:21">
      <c r="A13" s="93"/>
      <c r="B13" s="93"/>
      <c r="C13" s="93"/>
      <c r="D13" s="93"/>
      <c r="E13" s="93"/>
      <c r="F13" s="93"/>
      <c r="G13" s="93"/>
      <c r="H13" s="93"/>
      <c r="I13" s="93"/>
      <c r="J13" s="93"/>
      <c r="K13" s="93"/>
    </row>
    <row r="14" spans="1:21" s="95" customFormat="1">
      <c r="A14" s="94"/>
      <c r="B14" s="531" t="s">
        <v>524</v>
      </c>
      <c r="C14" s="532"/>
      <c r="D14" s="533" t="s">
        <v>525</v>
      </c>
      <c r="E14" s="533"/>
      <c r="G14" s="53" t="s">
        <v>248</v>
      </c>
    </row>
    <row r="15" spans="1:21">
      <c r="A15" s="96" t="s">
        <v>526</v>
      </c>
      <c r="B15" s="97">
        <f>+COUNTIF('8 MAPA RIESGOS'!$G$9:$G$43,G15)</f>
        <v>3</v>
      </c>
      <c r="C15" s="98">
        <f>+B15/$B$19</f>
        <v>0.17647058823529413</v>
      </c>
      <c r="D15" s="97">
        <f>+COUNTIF('8 MAPA RIESGOS'!$L$9:$L$43,G15)</f>
        <v>3</v>
      </c>
      <c r="E15" s="98">
        <f>+D15/$D$19</f>
        <v>0.17647058823529413</v>
      </c>
      <c r="G15" s="83" t="s">
        <v>246</v>
      </c>
    </row>
    <row r="16" spans="1:21">
      <c r="A16" s="96" t="s">
        <v>527</v>
      </c>
      <c r="B16" s="97">
        <f>+COUNTIF('8 MAPA RIESGOS'!$G$9:$G$43,G16)</f>
        <v>7</v>
      </c>
      <c r="C16" s="98">
        <f t="shared" ref="C16:C19" si="0">+B16/$B$19</f>
        <v>0.41176470588235292</v>
      </c>
      <c r="D16" s="97">
        <f>+COUNTIF('8 MAPA RIESGOS'!$L$9:$L$43,G16)</f>
        <v>7</v>
      </c>
      <c r="E16" s="98">
        <f t="shared" ref="E16:E19" si="1">+D16/$D$19</f>
        <v>0.41176470588235292</v>
      </c>
      <c r="G16" s="66" t="s">
        <v>245</v>
      </c>
    </row>
    <row r="17" spans="1:7">
      <c r="A17" s="96" t="s">
        <v>528</v>
      </c>
      <c r="B17" s="97">
        <f>+COUNTIF('8 MAPA RIESGOS'!$G$9:$G$43,G17)</f>
        <v>7</v>
      </c>
      <c r="C17" s="98">
        <f t="shared" si="0"/>
        <v>0.41176470588235292</v>
      </c>
      <c r="D17" s="97">
        <f>+COUNTIF('8 MAPA RIESGOS'!$L$9:$L$43,G17)</f>
        <v>7</v>
      </c>
      <c r="E17" s="98">
        <f t="shared" si="1"/>
        <v>0.41176470588235292</v>
      </c>
      <c r="G17" s="70" t="s">
        <v>231</v>
      </c>
    </row>
    <row r="18" spans="1:7">
      <c r="A18" s="96" t="s">
        <v>529</v>
      </c>
      <c r="B18" s="97">
        <f>+COUNTIF('8 MAPA RIESGOS'!$G$9:$G$43,G18)</f>
        <v>0</v>
      </c>
      <c r="C18" s="98">
        <f t="shared" si="0"/>
        <v>0</v>
      </c>
      <c r="D18" s="97">
        <f>+COUNTIF('8 MAPA RIESGOS'!$L$9:$L$43,G18)</f>
        <v>0</v>
      </c>
      <c r="E18" s="98">
        <f t="shared" si="1"/>
        <v>0</v>
      </c>
      <c r="G18" s="74" t="s">
        <v>247</v>
      </c>
    </row>
    <row r="19" spans="1:7">
      <c r="A19" s="96" t="s">
        <v>530</v>
      </c>
      <c r="B19" s="97">
        <f>+SUM(B15:B18)</f>
        <v>17</v>
      </c>
      <c r="C19" s="98">
        <f t="shared" si="0"/>
        <v>1</v>
      </c>
      <c r="D19" s="97">
        <f>+SUM(D15:D18)</f>
        <v>17</v>
      </c>
      <c r="E19" s="98">
        <f t="shared" si="1"/>
        <v>1</v>
      </c>
    </row>
    <row r="20" spans="1:7"/>
    <row r="21" spans="1:7" s="99" customFormat="1">
      <c r="B21" s="100" t="s">
        <v>524</v>
      </c>
      <c r="D21" s="100" t="s">
        <v>525</v>
      </c>
    </row>
    <row r="22" spans="1:7" s="99" customFormat="1" ht="41.65" customHeight="1">
      <c r="B22" s="101" t="str">
        <f>+IF((B15/B19)&gt;=0.2,G15,+IF(((B15/B19)+(B16/B19))&gt;=0.3,G16,+IF(((B15/B19)+(B16/B19)+(B17/B19))&gt;=0.4,G17,+IF((B15/B19)+(B16/B19)+(B17/B19)+(B18/B19)&gt;=0.5,G18,""))))</f>
        <v>Alto</v>
      </c>
      <c r="D22" s="101" t="str">
        <f>+IF((D15/D19)&gt;=0.2,G15,+IF(((D15/D19)+(D16/D19))&gt;=0.3,G16,+IF(((D15/D19)+(D16/D19)+(D17/D19))&gt;=0.4,G17,+IF((D15/D19)+(D16/D19)+(D17/D19)+(D18/D19)&gt;=0.5,G18,""))))</f>
        <v>Alto</v>
      </c>
    </row>
    <row r="23" spans="1:7" ht="15" thickBot="1"/>
    <row r="24" spans="1:7" ht="15.6" thickTop="1" thickBot="1">
      <c r="A24" s="337" t="s">
        <v>84</v>
      </c>
      <c r="B24" s="337"/>
      <c r="C24" s="337"/>
      <c r="D24" s="337"/>
      <c r="E24" s="337"/>
      <c r="F24" s="337"/>
      <c r="G24" s="337"/>
    </row>
    <row r="25" spans="1:7" ht="15.6" thickTop="1" thickBot="1">
      <c r="A25" s="318" t="s">
        <v>85</v>
      </c>
      <c r="B25" s="337" t="s">
        <v>86</v>
      </c>
      <c r="C25" s="337"/>
      <c r="D25" s="337" t="s">
        <v>87</v>
      </c>
      <c r="E25" s="337"/>
      <c r="F25" s="337" t="s">
        <v>88</v>
      </c>
      <c r="G25" s="337"/>
    </row>
    <row r="26" spans="1:7" ht="15.6" thickTop="1" thickBot="1">
      <c r="A26" s="319" t="s">
        <v>89</v>
      </c>
      <c r="B26" s="338">
        <v>46163</v>
      </c>
      <c r="C26" s="338"/>
      <c r="D26" s="339" t="s">
        <v>90</v>
      </c>
      <c r="E26" s="339"/>
      <c r="F26" s="340" t="s">
        <v>91</v>
      </c>
      <c r="G26" s="340"/>
    </row>
  </sheetData>
  <sheetProtection formatCells="0" formatColumns="0" formatRows="0"/>
  <mergeCells count="19">
    <mergeCell ref="A1:A3"/>
    <mergeCell ref="B1:I2"/>
    <mergeCell ref="B3:I3"/>
    <mergeCell ref="A4:K4"/>
    <mergeCell ref="B14:C14"/>
    <mergeCell ref="D14:E14"/>
    <mergeCell ref="A12:K12"/>
    <mergeCell ref="A7:K7"/>
    <mergeCell ref="A8:K8"/>
    <mergeCell ref="A9:K9"/>
    <mergeCell ref="A11:K11"/>
    <mergeCell ref="A10:K10"/>
    <mergeCell ref="A24:G24"/>
    <mergeCell ref="B25:C25"/>
    <mergeCell ref="D25:E25"/>
    <mergeCell ref="F25:G25"/>
    <mergeCell ref="B26:C26"/>
    <mergeCell ref="D26:E26"/>
    <mergeCell ref="F26:G26"/>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topLeftCell="B2" zoomScale="80" zoomScaleNormal="80" workbookViewId="0">
      <selection activeCell="G10" sqref="G10"/>
    </sheetView>
  </sheetViews>
  <sheetFormatPr defaultColWidth="0" defaultRowHeight="13.9"/>
  <cols>
    <col min="1" max="1" width="27.28515625" style="4" customWidth="1"/>
    <col min="2" max="2" width="32.5703125" style="4" customWidth="1"/>
    <col min="3" max="3" width="22.7109375" style="4" customWidth="1"/>
    <col min="4" max="4" width="21.28515625" style="4" hidden="1" customWidth="1"/>
    <col min="5" max="5" width="36.7109375" style="4" customWidth="1"/>
    <col min="6" max="6" width="21.42578125" style="4" customWidth="1"/>
    <col min="7" max="7" width="34" style="4" customWidth="1"/>
    <col min="8" max="8" width="26" style="4" customWidth="1"/>
    <col min="9" max="9" width="28.42578125" style="4" customWidth="1"/>
    <col min="10" max="10" width="60.7109375" style="4" customWidth="1"/>
    <col min="11" max="11" width="39.42578125" style="4" customWidth="1"/>
    <col min="12" max="12" width="11.42578125" style="4" customWidth="1"/>
    <col min="13" max="24" width="11.42578125" style="4" hidden="1"/>
    <col min="25" max="25" width="8.28515625" style="4" hidden="1"/>
    <col min="26" max="30" width="32.42578125" style="4" hidden="1"/>
    <col min="31" max="16372" width="11.42578125" style="4" hidden="1"/>
    <col min="16373" max="16384" width="25.42578125" style="4" hidden="1"/>
  </cols>
  <sheetData>
    <row r="1" spans="1:12" ht="19.899999999999999" customHeight="1" thickTop="1">
      <c r="A1" s="360"/>
      <c r="B1" s="341" t="s">
        <v>92</v>
      </c>
      <c r="C1" s="342"/>
      <c r="D1" s="342"/>
      <c r="E1" s="342"/>
      <c r="F1" s="342"/>
      <c r="G1" s="342"/>
      <c r="H1" s="342"/>
      <c r="I1" s="343"/>
      <c r="J1" s="310" t="s">
        <v>93</v>
      </c>
      <c r="K1" s="311"/>
      <c r="L1" s="260"/>
    </row>
    <row r="2" spans="1:12" ht="19.899999999999999" customHeight="1">
      <c r="A2" s="361"/>
      <c r="B2" s="344"/>
      <c r="C2" s="345"/>
      <c r="D2" s="345"/>
      <c r="E2" s="345"/>
      <c r="F2" s="345"/>
      <c r="G2" s="345"/>
      <c r="H2" s="345"/>
      <c r="I2" s="346"/>
      <c r="J2" s="312" t="s">
        <v>94</v>
      </c>
      <c r="K2" s="313"/>
      <c r="L2" s="260"/>
    </row>
    <row r="3" spans="1:12" s="3" customFormat="1" ht="16.149999999999999" thickBot="1">
      <c r="A3" s="362"/>
      <c r="B3" s="347" t="s">
        <v>95</v>
      </c>
      <c r="C3" s="348"/>
      <c r="D3" s="348"/>
      <c r="E3" s="348"/>
      <c r="F3" s="348"/>
      <c r="G3" s="348"/>
      <c r="H3" s="348"/>
      <c r="I3" s="349"/>
      <c r="J3" s="314" t="s">
        <v>96</v>
      </c>
      <c r="K3" s="315"/>
      <c r="L3" s="261"/>
    </row>
    <row r="4" spans="1:12" s="3" customFormat="1" ht="16.899999999999999" customHeight="1" thickTop="1">
      <c r="A4" s="351"/>
      <c r="B4" s="352"/>
      <c r="C4" s="352"/>
      <c r="D4" s="352"/>
      <c r="E4" s="352"/>
      <c r="F4" s="352"/>
      <c r="G4" s="352"/>
      <c r="H4" s="352"/>
      <c r="I4" s="352"/>
      <c r="J4" s="352"/>
      <c r="K4" s="353"/>
    </row>
    <row r="5" spans="1:12" ht="27" customHeight="1">
      <c r="A5" s="12" t="s">
        <v>97</v>
      </c>
      <c r="B5" s="266" t="s">
        <v>98</v>
      </c>
      <c r="C5" s="267"/>
      <c r="D5" s="267"/>
      <c r="E5" s="268"/>
      <c r="F5" s="251" t="s">
        <v>99</v>
      </c>
      <c r="G5" s="266" t="s">
        <v>100</v>
      </c>
      <c r="H5" s="268"/>
      <c r="I5" s="251" t="s">
        <v>101</v>
      </c>
      <c r="J5" s="269">
        <v>2026</v>
      </c>
      <c r="K5" s="270"/>
    </row>
    <row r="6" spans="1:12" ht="113.25" customHeight="1">
      <c r="A6" s="224" t="s">
        <v>102</v>
      </c>
      <c r="B6" s="354" t="s">
        <v>103</v>
      </c>
      <c r="C6" s="355"/>
      <c r="D6" s="355"/>
      <c r="E6" s="356"/>
      <c r="F6" s="251" t="s">
        <v>104</v>
      </c>
      <c r="G6" s="357" t="s">
        <v>105</v>
      </c>
      <c r="H6" s="358"/>
      <c r="I6" s="358"/>
      <c r="J6" s="358"/>
      <c r="K6" s="359"/>
    </row>
    <row r="7" spans="1:12">
      <c r="F7" s="165"/>
      <c r="G7" s="166"/>
      <c r="H7" s="166"/>
      <c r="I7" s="167"/>
      <c r="J7" s="168"/>
    </row>
    <row r="8" spans="1:12" ht="21" customHeight="1">
      <c r="A8" s="350" t="s">
        <v>106</v>
      </c>
      <c r="B8" s="350" t="s">
        <v>107</v>
      </c>
      <c r="C8" s="350"/>
      <c r="D8" s="350"/>
      <c r="E8" s="350"/>
    </row>
    <row r="9" spans="1:12" s="28" customFormat="1" ht="77.650000000000006" customHeight="1">
      <c r="A9" s="350"/>
      <c r="B9" s="108" t="s">
        <v>108</v>
      </c>
      <c r="C9" s="108" t="s">
        <v>109</v>
      </c>
      <c r="D9" s="108" t="s">
        <v>110</v>
      </c>
      <c r="E9" s="108" t="s">
        <v>111</v>
      </c>
      <c r="F9" s="244" t="s">
        <v>112</v>
      </c>
      <c r="G9" s="251" t="s">
        <v>22</v>
      </c>
      <c r="H9" s="251" t="s">
        <v>113</v>
      </c>
      <c r="I9" s="251" t="s">
        <v>114</v>
      </c>
      <c r="J9" s="251" t="s">
        <v>28</v>
      </c>
      <c r="K9" s="244" t="s">
        <v>115</v>
      </c>
    </row>
    <row r="10" spans="1:12" s="5" customFormat="1" ht="93" customHeight="1">
      <c r="A10" s="1" t="s">
        <v>116</v>
      </c>
      <c r="B10" s="2" t="s">
        <v>117</v>
      </c>
      <c r="C10" s="2" t="s">
        <v>118</v>
      </c>
      <c r="D10" s="125" t="str">
        <f>+IF(B10='11 FORMULAS'!$B$4,'11 FORMULAS'!$C$4,IF(B10='11 FORMULAS'!$B$6,'11 FORMULAS'!$C$6,IF(B10='11 FORMULAS'!$B$8,'11 FORMULAS'!$C$8,IF(B10='11 FORMULAS'!$B$10,'11 FORMULAS'!$C$10,""))))</f>
        <v/>
      </c>
      <c r="E10" s="225"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119</v>
      </c>
      <c r="G10" s="1" t="s">
        <v>120</v>
      </c>
      <c r="H10" s="328" t="s">
        <v>121</v>
      </c>
      <c r="I10" s="328" t="s">
        <v>122</v>
      </c>
      <c r="J10" s="250" t="str">
        <f>(CONCATENATE(Tabla1[[#This Row],[¿QUÉ? 
IMPACTO]]," ","por ",Tabla1[[#This Row],[¿CÓMO?
CAUSA INMEDIATA 
(Iniciar con la palabra 
por)]]," ","debido a"," ",Tabla1[[#This Row],[¿PORQUÉ?
CAUSA RAÍZ
(Iniciar con 
debido a/a causa de)]]))</f>
        <v>Posibilidad de afectación reputacional por  posibles investigaciones y sanciones disciplinarias por entes de control, debido a  incumplimiento de la Ley 594 del 2000 en los documentos generados por la Secretaría del Interior</v>
      </c>
      <c r="K10" s="247"/>
    </row>
    <row r="11" spans="1:12" s="5" customFormat="1" ht="93" customHeight="1">
      <c r="A11" s="1" t="s">
        <v>123</v>
      </c>
      <c r="B11" s="2" t="s">
        <v>117</v>
      </c>
      <c r="C11" s="2" t="s">
        <v>118</v>
      </c>
      <c r="D11" s="125" t="str">
        <f>+IF(B11='11 FORMULAS'!$B$4,'11 FORMULAS'!$C$4,IF(B11='11 FORMULAS'!$B$6,'11 FORMULAS'!$C$6,IF(B11='11 FORMULAS'!$B$8,'11 FORMULAS'!$C$8,IF(B11='11 FORMULAS'!$B$10,'11 FORMULAS'!$C$10,""))))</f>
        <v/>
      </c>
      <c r="E11" s="225"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119</v>
      </c>
      <c r="G11" s="1" t="s">
        <v>124</v>
      </c>
      <c r="H11" s="328" t="s">
        <v>125</v>
      </c>
      <c r="I11" s="328" t="s">
        <v>126</v>
      </c>
      <c r="J11" s="250" t="str">
        <f>(CONCATENATE(Tabla1[[#This Row],[¿QUÉ? 
IMPACTO]]," ","por ",Tabla1[[#This Row],[¿CÓMO?
CAUSA INMEDIATA 
(Iniciar con la palabra 
por)]]," ","debido a"," ",Tabla1[[#This Row],[¿PORQUÉ?
CAUSA RAÍZ
(Iniciar con 
debido a/a causa de)]]))</f>
        <v>Posibilidad de afectación económica y reputacional por  investigaciones y sanciones por entes de control,  debido a   la demora en los procesos de contratación y presupuestal  relacionados con la atención de niños, niñas y adolescentes en período de restablecimiento de derechos (hogar de paso), incumpliendo la Ley 1098 de 2006.</v>
      </c>
      <c r="K11" s="247"/>
    </row>
    <row r="12" spans="1:12" ht="93" customHeight="1">
      <c r="A12" s="1" t="s">
        <v>127</v>
      </c>
      <c r="B12" s="2" t="s">
        <v>117</v>
      </c>
      <c r="C12" s="2" t="s">
        <v>118</v>
      </c>
      <c r="D12" s="125" t="str">
        <f>+IF(B12='11 FORMULAS'!$B$4,'11 FORMULAS'!$C$4,IF(B12='11 FORMULAS'!$B$6,'11 FORMULAS'!$C$6,IF(B12='11 FORMULAS'!$B$8,'11 FORMULAS'!$C$8,IF(B12='11 FORMULAS'!$B$10,'11 FORMULAS'!$C$10,""))))</f>
        <v/>
      </c>
      <c r="E12" s="225"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119</v>
      </c>
      <c r="G12" s="1" t="s">
        <v>120</v>
      </c>
      <c r="H12" s="328" t="s">
        <v>128</v>
      </c>
      <c r="I12" s="328" t="s">
        <v>129</v>
      </c>
      <c r="J12" s="250" t="str">
        <f>(CONCATENATE(Tabla1[[#This Row],[¿QUÉ? 
IMPACTO]]," ","por ",Tabla1[[#This Row],[¿CÓMO?
CAUSA INMEDIATA 
(Iniciar con la palabra 
por)]]," ","debido a"," ",Tabla1[[#This Row],[¿PORQUÉ?
CAUSA RAÍZ
(Iniciar con 
debido a/a causa de)]]))</f>
        <v>Posibilidad de afectación reputacional por  debilidades en la planeación, gestión y ejecución de las obligaciones contractuales por parte de las unidades gestoras,  debido a  deficiencias en la supervisión y ejecución oportuna de los procesos contractuales producto de la constitución de reservas presupuestales.</v>
      </c>
      <c r="K12" s="248"/>
    </row>
    <row r="13" spans="1:12" ht="93" customHeight="1">
      <c r="A13" s="1" t="s">
        <v>130</v>
      </c>
      <c r="B13" s="2" t="s">
        <v>117</v>
      </c>
      <c r="C13" s="2" t="s">
        <v>118</v>
      </c>
      <c r="D13" s="125" t="str">
        <f>+IF(B13='11 FORMULAS'!$B$4,'11 FORMULAS'!$C$4,IF(B13='11 FORMULAS'!$B$6,'11 FORMULAS'!$C$6,IF(B13='11 FORMULAS'!$B$8,'11 FORMULAS'!$C$8,IF(B13='11 FORMULAS'!$B$10,'11 FORMULAS'!$C$10,""))))</f>
        <v/>
      </c>
      <c r="E13" s="225" t="str">
        <f>+IFERROR(VLOOKUP(B13,Tabla3[],2,0),"")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3" s="1" t="s">
        <v>119</v>
      </c>
      <c r="G13" s="1" t="s">
        <v>131</v>
      </c>
      <c r="H13" s="328" t="s">
        <v>132</v>
      </c>
      <c r="I13" s="328" t="s">
        <v>133</v>
      </c>
      <c r="J13" s="250" t="str">
        <f>(CONCATENATE(Tabla1[[#This Row],[¿QUÉ? 
IMPACTO]]," ","por ",Tabla1[[#This Row],[¿CÓMO?
CAUSA INMEDIATA 
(Iniciar con la palabra 
por)]]," ","debido a"," ",Tabla1[[#This Row],[¿PORQUÉ?
CAUSA RAÍZ
(Iniciar con 
debido a/a causa de)]]))</f>
        <v>Posibilidad de afectación económica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v>
      </c>
      <c r="K13" s="248"/>
    </row>
    <row r="14" spans="1:12" ht="93" customHeight="1">
      <c r="A14" s="1" t="s">
        <v>134</v>
      </c>
      <c r="B14" s="2" t="s">
        <v>117</v>
      </c>
      <c r="C14" s="2" t="s">
        <v>118</v>
      </c>
      <c r="D14" s="125" t="str">
        <f>+IF(B14='11 FORMULAS'!$B$4,'11 FORMULAS'!$C$4,IF(B14='11 FORMULAS'!$B$6,'11 FORMULAS'!$C$6,IF(B14='11 FORMULAS'!$B$8,'11 FORMULAS'!$C$8,IF(B14='11 FORMULAS'!$B$10,'11 FORMULAS'!$C$10,""))))</f>
        <v/>
      </c>
      <c r="E14" s="225" t="str">
        <f>+IFERROR(VLOOKUP(B14,Tabla3[],2,0),"")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4" s="1" t="s">
        <v>119</v>
      </c>
      <c r="G14" s="1" t="s">
        <v>124</v>
      </c>
      <c r="H14" s="328" t="s">
        <v>135</v>
      </c>
      <c r="I14" s="328" t="s">
        <v>136</v>
      </c>
      <c r="J14" s="250" t="str">
        <f>(CONCATENATE(Tabla1[[#This Row],[¿QUÉ? 
IMPACTO]]," ","por ",Tabla1[[#This Row],[¿CÓMO?
CAUSA INMEDIATA 
(Iniciar con la palabra 
por)]]," ","debido a"," ",Tabla1[[#This Row],[¿PORQUÉ?
CAUSA RAÍZ
(Iniciar con 
debido a/a causa de)]]))</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K14" s="248"/>
    </row>
    <row r="15" spans="1:12" ht="93" customHeight="1">
      <c r="A15" s="1" t="s">
        <v>137</v>
      </c>
      <c r="B15" s="2" t="s">
        <v>117</v>
      </c>
      <c r="C15" s="2" t="s">
        <v>118</v>
      </c>
      <c r="D15" s="125" t="str">
        <f>+IF(B15='11 FORMULAS'!$B$4,'11 FORMULAS'!$C$4,IF(B15='11 FORMULAS'!$B$6,'11 FORMULAS'!$C$6,IF(B15='11 FORMULAS'!$B$8,'11 FORMULAS'!$C$8,IF(B15='11 FORMULAS'!$B$10,'11 FORMULAS'!$C$10,""))))</f>
        <v/>
      </c>
      <c r="E15" s="225" t="str">
        <f>+IFERROR(VLOOKUP(B15,Tabla3[],2,0),"")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5" s="1" t="s">
        <v>119</v>
      </c>
      <c r="G15" s="1" t="s">
        <v>124</v>
      </c>
      <c r="H15" s="328" t="s">
        <v>138</v>
      </c>
      <c r="I15" s="328" t="s">
        <v>139</v>
      </c>
      <c r="J15" s="250" t="str">
        <f>(CONCATENATE(Tabla1[[#This Row],[¿QUÉ? 
IMPACTO]]," ","por ",Tabla1[[#This Row],[¿CÓMO?
CAUSA INMEDIATA 
(Iniciar con la palabra 
por)]]," ","debido a"," ",Tabla1[[#This Row],[¿PORQUÉ?
CAUSA RAÍZ
(Iniciar con 
debido a/a causa de)]]))</f>
        <v>Posibilidad de afectación económica y reputacional por investigaciones y sanciones disciplinarias por entes de control,  debido a la falta de seguimiento al cumplimiento de metas del Plan de Desarrollo Municipal programadas para la vigencia.</v>
      </c>
      <c r="K15" s="248"/>
    </row>
    <row r="16" spans="1:12" ht="93" customHeight="1">
      <c r="A16" s="1" t="s">
        <v>140</v>
      </c>
      <c r="B16" s="2" t="s">
        <v>117</v>
      </c>
      <c r="C16" s="2" t="s">
        <v>118</v>
      </c>
      <c r="D16" s="125" t="str">
        <f>+IF(B16='11 FORMULAS'!$B$4,'11 FORMULAS'!$C$4,IF(B16='11 FORMULAS'!$B$6,'11 FORMULAS'!$C$6,IF(B16='11 FORMULAS'!$B$8,'11 FORMULAS'!$C$8,IF(B16='11 FORMULAS'!$B$10,'11 FORMULAS'!$C$10,""))))</f>
        <v/>
      </c>
      <c r="E16" s="225" t="str">
        <f>+IFERROR(VLOOKUP(B16,Tabla3[],2,0),"")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1" t="s">
        <v>119</v>
      </c>
      <c r="G16" s="1" t="s">
        <v>120</v>
      </c>
      <c r="H16" s="328" t="s">
        <v>141</v>
      </c>
      <c r="I16" s="328" t="s">
        <v>142</v>
      </c>
      <c r="J16" s="250" t="str">
        <f>(CONCATENATE(Tabla1[[#This Row],[¿QUÉ? 
IMPACTO]]," ","por ",Tabla1[[#This Row],[¿CÓMO?
CAUSA INMEDIATA 
(Iniciar con la palabra 
por)]]," ","debido a"," ",Tabla1[[#This Row],[¿PORQUÉ?
CAUSA RAÍZ
(Iniciar con 
debido a/a causa de)]]))</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K16" s="248"/>
    </row>
    <row r="17" spans="1:11" ht="93" customHeight="1">
      <c r="A17" s="1" t="s">
        <v>143</v>
      </c>
      <c r="B17" s="2" t="s">
        <v>117</v>
      </c>
      <c r="C17" s="2" t="s">
        <v>118</v>
      </c>
      <c r="D17" s="125" t="str">
        <f>+IF(B17='11 FORMULAS'!$B$4,'11 FORMULAS'!$C$4,IF(B17='11 FORMULAS'!$B$6,'11 FORMULAS'!$C$6,IF(B17='11 FORMULAS'!$B$8,'11 FORMULAS'!$C$8,IF(B17='11 FORMULAS'!$B$10,'11 FORMULAS'!$C$10,""))))</f>
        <v/>
      </c>
      <c r="E17" s="225" t="str">
        <f>+IFERROR(VLOOKUP(B17,Tabla3[],2,0),"")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7" s="1" t="s">
        <v>144</v>
      </c>
      <c r="G17" s="1" t="s">
        <v>145</v>
      </c>
      <c r="H17" s="328" t="s">
        <v>146</v>
      </c>
      <c r="I17" s="328" t="s">
        <v>147</v>
      </c>
      <c r="J17" s="250" t="str">
        <f>(CONCATENATE(Tabla1[[#This Row],[¿QUÉ? 
IMPACTO]]," ","por ",Tabla1[[#This Row],[¿CÓMO?
CAUSA INMEDIATA 
(Iniciar con la palabra 
por)]]," ","debido a"," ",Tabla1[[#This Row],[¿PORQUÉ?
CAUSA RAÍZ
(Iniciar con 
debido a/a causa de)]]))</f>
        <v>Posibilidad  de efecto dañoso sobre bienes de uso público por   pérdida, extravío, hurto, robo o declaratoria de bienes muebles faltantes  de la entidad, debido a  la deficiencias en la aplicación de los procedimientos de actualización, custodia y control de inventarios institucionales.</v>
      </c>
      <c r="K17" s="248"/>
    </row>
    <row r="18" spans="1:11" s="6" customFormat="1" ht="93" customHeight="1">
      <c r="A18" s="1" t="s">
        <v>148</v>
      </c>
      <c r="B18" s="2" t="s">
        <v>117</v>
      </c>
      <c r="C18" s="2" t="s">
        <v>118</v>
      </c>
      <c r="D18" s="125" t="str">
        <f>+IF(B18='11 FORMULAS'!$B$4,'11 FORMULAS'!$C$4,IF(B18='11 FORMULAS'!$B$6,'11 FORMULAS'!$C$6,IF(B18='11 FORMULAS'!$B$8,'11 FORMULAS'!$C$8,IF(B18='11 FORMULAS'!$B$10,'11 FORMULAS'!$C$10,""))))</f>
        <v/>
      </c>
      <c r="E18" s="225" t="str">
        <f>+IFERROR(VLOOKUP(B18,Tabla3[],2,0),"")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8" s="1" t="s">
        <v>144</v>
      </c>
      <c r="G18" s="1" t="s">
        <v>149</v>
      </c>
      <c r="H18" s="328" t="s">
        <v>150</v>
      </c>
      <c r="I18" s="328" t="s">
        <v>151</v>
      </c>
      <c r="J18" s="250" t="str">
        <f>(CONCATENATE(Tabla1[[#This Row],[¿QUÉ? 
IMPACTO]]," ","por ",Tabla1[[#This Row],[¿CÓMO?
CAUSA INMEDIATA 
(Iniciar con la palabra 
por)]]," ","debido a"," ",Tabla1[[#This Row],[¿PORQUÉ?
CAUSA RAÍZ
(Iniciar con 
debido a/a causa de)]]))</f>
        <v>Posibilidad  de efecto dañoso sobre el recurso público por pago de sanción e intereses moratorios,  debido a trámite inoportuno a los requerimientos de los entes de control y vigilancia, de acuerdo con sus lineamientos y términos de ley.</v>
      </c>
      <c r="K18" s="249"/>
    </row>
    <row r="19" spans="1:11" s="6" customFormat="1" ht="93" customHeight="1">
      <c r="A19" s="1" t="s">
        <v>152</v>
      </c>
      <c r="B19" s="2" t="s">
        <v>117</v>
      </c>
      <c r="C19" s="2" t="s">
        <v>118</v>
      </c>
      <c r="D19" s="125" t="str">
        <f>+IF(B19='11 FORMULAS'!$B$4,'11 FORMULAS'!$C$4,IF(B19='11 FORMULAS'!$B$6,'11 FORMULAS'!$C$6,IF(B19='11 FORMULAS'!$B$8,'11 FORMULAS'!$C$8,IF(B19='11 FORMULAS'!$B$10,'11 FORMULAS'!$C$10,""))))</f>
        <v/>
      </c>
      <c r="E19" s="225" t="str">
        <f>+IFERROR(VLOOKUP(B19,Tabla3[],2,0),"")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9" s="1" t="s">
        <v>144</v>
      </c>
      <c r="G19" s="1" t="s">
        <v>149</v>
      </c>
      <c r="H19" s="328" t="s">
        <v>153</v>
      </c>
      <c r="I19" s="328" t="s">
        <v>154</v>
      </c>
      <c r="J19" s="250" t="str">
        <f>(CONCATENATE(Tabla1[[#This Row],[¿QUÉ? 
IMPACTO]]," ","por ",Tabla1[[#This Row],[¿CÓMO?
CAUSA INMEDIATA 
(Iniciar con la palabra 
por)]]," ","debido a"," ",Tabla1[[#This Row],[¿PORQUÉ?
CAUSA RAÍZ
(Iniciar con 
debido a/a causa de)]]))</f>
        <v>Posibilidad  de efecto dañoso sobre el recurso público por  incumplimiento en las obligaciones del contratado, debido a a la deficiencias en la elaboración de especificaciones técnicas y seguimiento de los contratos e interventoría de la Entidad.</v>
      </c>
      <c r="K19" s="249"/>
    </row>
    <row r="20" spans="1:11" s="6" customFormat="1" ht="93" customHeight="1">
      <c r="A20" s="1" t="s">
        <v>155</v>
      </c>
      <c r="B20" s="2" t="s">
        <v>117</v>
      </c>
      <c r="C20" s="2" t="s">
        <v>118</v>
      </c>
      <c r="D20" s="125" t="str">
        <f>+IF(B20='11 FORMULAS'!$B$4,'11 FORMULAS'!$C$4,IF(B20='11 FORMULAS'!$B$6,'11 FORMULAS'!$C$6,IF(B20='11 FORMULAS'!$B$8,'11 FORMULAS'!$C$8,IF(B20='11 FORMULAS'!$B$10,'11 FORMULAS'!$C$10,""))))</f>
        <v/>
      </c>
      <c r="E20" s="225" t="str">
        <f>+IFERROR(VLOOKUP(B20,Tabla3[],2,0),"")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0" s="1" t="s">
        <v>144</v>
      </c>
      <c r="G20" s="1" t="s">
        <v>149</v>
      </c>
      <c r="H20" s="328" t="s">
        <v>156</v>
      </c>
      <c r="I20" s="328" t="s">
        <v>157</v>
      </c>
      <c r="J20" s="250" t="str">
        <f>(CONCATENATE(Tabla1[[#This Row],[¿QUÉ? 
IMPACTO]]," ","por ",Tabla1[[#This Row],[¿CÓMO?
CAUSA INMEDIATA 
(Iniciar con la palabra 
por)]]," ","debido a"," ",Tabla1[[#This Row],[¿PORQUÉ?
CAUSA RAÍZ
(Iniciar con 
debido a/a causa de)]]))</f>
        <v>Posibilidad  de efecto dañoso sobre el recurso público por el pago de costas procesales derivadas de fallos judiciales dentro de las acciones populares a cargo de la Secretaría de Interior  en contra del ente territorial, debido a al incumplimiento de disposiciones normativas y obligaciones legales aplicables.</v>
      </c>
      <c r="K20" s="249"/>
    </row>
    <row r="21" spans="1:11" s="6" customFormat="1" ht="93" customHeight="1">
      <c r="A21" s="1" t="s">
        <v>158</v>
      </c>
      <c r="B21" s="2" t="s">
        <v>117</v>
      </c>
      <c r="C21" s="2" t="s">
        <v>159</v>
      </c>
      <c r="D21" s="125" t="str">
        <f>+IF(B21='11 FORMULAS'!$B$4,'11 FORMULAS'!$C$4,IF(B21='11 FORMULAS'!$B$6,'11 FORMULAS'!$C$6,IF(B21='11 FORMULAS'!$B$8,'11 FORMULAS'!$C$8,IF(B21='11 FORMULAS'!$B$10,'11 FORMULAS'!$C$10,""))))</f>
        <v/>
      </c>
      <c r="E21" s="225" t="str">
        <f>+IFERROR(VLOOKUP(B21,Tabla3[],2,0),"")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1" s="1" t="s">
        <v>144</v>
      </c>
      <c r="G21" s="1" t="s">
        <v>149</v>
      </c>
      <c r="H21" s="328" t="s">
        <v>160</v>
      </c>
      <c r="I21" s="328" t="s">
        <v>161</v>
      </c>
      <c r="J21" s="250" t="str">
        <f>(CONCATENATE(Tabla1[[#This Row],[¿QUÉ? 
IMPACTO]]," ","por ",Tabla1[[#This Row],[¿CÓMO?
CAUSA INMEDIATA 
(Iniciar con la palabra 
por)]]," ","debido a"," ",Tabla1[[#This Row],[¿PORQUÉ?
CAUSA RAÍZ
(Iniciar con 
debido a/a causa de)]]))</f>
        <v>Posibilidad  de efecto dañoso sobre el recurso público por  incumplimientos en la gestión contractual durante las etapas precontractual, contractual y postcontractual,  debido a a debilidades en la aplicación y verificación de los requisitos y lineamientos establecidos en la normatividad vigente.</v>
      </c>
      <c r="K21" s="249"/>
    </row>
    <row r="22" spans="1:11" s="6" customFormat="1" ht="93" customHeight="1">
      <c r="A22" s="1" t="s">
        <v>162</v>
      </c>
      <c r="B22" s="2" t="s">
        <v>117</v>
      </c>
      <c r="C22" s="2" t="s">
        <v>159</v>
      </c>
      <c r="D22" s="125" t="str">
        <f>+IF(B22='11 FORMULAS'!$B$4,'11 FORMULAS'!$C$4,IF(B22='11 FORMULAS'!$B$6,'11 FORMULAS'!$C$6,IF(B22='11 FORMULAS'!$B$8,'11 FORMULAS'!$C$8,IF(B22='11 FORMULAS'!$B$10,'11 FORMULAS'!$C$10,""))))</f>
        <v/>
      </c>
      <c r="E22" s="225" t="str">
        <f>+IFERROR(VLOOKUP(B22,Tabla3[],2,0),"")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2" s="1" t="s">
        <v>119</v>
      </c>
      <c r="G22" s="1" t="s">
        <v>131</v>
      </c>
      <c r="H22" s="328" t="s">
        <v>163</v>
      </c>
      <c r="I22" s="328" t="s">
        <v>164</v>
      </c>
      <c r="J22" s="250" t="str">
        <f>(CONCATENATE(Tabla1[[#This Row],[¿QUÉ? 
IMPACTO]]," ","por ",Tabla1[[#This Row],[¿CÓMO?
CAUSA INMEDIATA 
(Iniciar con la palabra 
por)]]," ","debido a"," ",Tabla1[[#This Row],[¿PORQUÉ?
CAUSA RAÍZ
(Iniciar con 
debido a/a causa de)]]))</f>
        <v>Posibilidad de afectación económica por   investigaciones, sanciones y/o condenas promovidas por entes de control,  debido a al Incumplimiento en la cobertura de las garantías que amparan los riesgos definidos en la etapa precontractual de acuerdo al Manual de Contratación M-GJ-1140-170-001</v>
      </c>
      <c r="K22" s="249"/>
    </row>
    <row r="23" spans="1:11" s="6" customFormat="1" ht="93" customHeight="1">
      <c r="A23" s="1" t="s">
        <v>165</v>
      </c>
      <c r="B23" s="2" t="s">
        <v>166</v>
      </c>
      <c r="C23" s="2" t="s">
        <v>167</v>
      </c>
      <c r="D23" s="125" t="str">
        <f>+IF(B23='11 FORMULAS'!$B$4,'11 FORMULAS'!$C$4,IF(B23='11 FORMULAS'!$B$6,'11 FORMULAS'!$C$6,IF(B23='11 FORMULAS'!$B$8,'11 FORMULAS'!$C$8,IF(B23='11 FORMULAS'!$B$10,'11 FORMULAS'!$C$10,""))))</f>
        <v/>
      </c>
      <c r="E23" s="225" t="str">
        <f>+IFERROR(VLOOKUP(B23,Tabla3[],2,0),"")</f>
        <v>Eventos relacionados con las conductas o comportamientos de los empleados que afectan la Integridad Pública</v>
      </c>
      <c r="F23" s="1" t="s">
        <v>168</v>
      </c>
      <c r="G23" s="1" t="s">
        <v>169</v>
      </c>
      <c r="H23" s="328" t="s">
        <v>170</v>
      </c>
      <c r="I23" s="328" t="s">
        <v>171</v>
      </c>
      <c r="J23" s="250" t="str">
        <f>(CONCATENATE(Tabla1[[#This Row],[¿QUÉ? 
IMPACTO]]," ","por ",Tabla1[[#This Row],[¿CÓMO?
CAUSA INMEDIATA 
(Iniciar con la palabra 
por)]]," ","debido a"," ",Tabla1[[#This Row],[¿PORQUÉ?
CAUSA RAÍZ
(Iniciar con 
debido a/a causa de)]]))</f>
        <v>Posibilidad de pérdida reputacional por  corrupción mediante la solicitud, ofrecimiento, recepción o aceptación de dádivas, beneficios o incentivos indebidos, a nombre propio o de terceros,  debido a  la  alterar, influir o favorecer alguna de las partes dentro de los procesos policivos adelantados por la Secretaría del Interior</v>
      </c>
      <c r="K23" s="249"/>
    </row>
    <row r="24" spans="1:11" s="6" customFormat="1" ht="93" customHeight="1">
      <c r="A24" s="1" t="s">
        <v>172</v>
      </c>
      <c r="B24" s="2" t="s">
        <v>166</v>
      </c>
      <c r="C24" s="2" t="s">
        <v>173</v>
      </c>
      <c r="D24" s="125" t="str">
        <f>+IF(B24='11 FORMULAS'!$B$4,'11 FORMULAS'!$C$4,IF(B24='11 FORMULAS'!$B$6,'11 FORMULAS'!$C$6,IF(B24='11 FORMULAS'!$B$8,'11 FORMULAS'!$C$8,IF(B24='11 FORMULAS'!$B$10,'11 FORMULAS'!$C$10,""))))</f>
        <v/>
      </c>
      <c r="E24" s="225" t="str">
        <f>+IFERROR(VLOOKUP(B24,Tabla3[],2,0),"")</f>
        <v>Eventos relacionados con las conductas o comportamientos de los empleados que afectan la Integridad Pública</v>
      </c>
      <c r="F24" s="1" t="s">
        <v>168</v>
      </c>
      <c r="G24" s="1" t="s">
        <v>169</v>
      </c>
      <c r="H24" s="328" t="s">
        <v>174</v>
      </c>
      <c r="I24" s="328" t="s">
        <v>175</v>
      </c>
      <c r="J24" s="250" t="str">
        <f>(CONCATENATE(Tabla1[[#This Row],[¿QUÉ? 
IMPACTO]]," ","por ",Tabla1[[#This Row],[¿CÓMO?
CAUSA INMEDIATA 
(Iniciar con la palabra 
por)]]," ","debido a"," ",Tabla1[[#This Row],[¿PORQUÉ?
CAUSA RAÍZ
(Iniciar con 
debido a/a causa de)]]))</f>
        <v>Posibilidad de pérdida reputacional por  soborno entrante en los procesos administrativos de la Comisaría de Familia, al recibir o solicitar dádivas o beneficios a nombre propio o de terceros,  debido a  favorecimiento indebido a alguna de las partes en los procesos de la Comisaría de familia adscrita a la Secretaría del Interior.</v>
      </c>
      <c r="K24" s="249"/>
    </row>
    <row r="25" spans="1:11" s="6" customFormat="1" ht="93" customHeight="1">
      <c r="A25" s="1" t="s">
        <v>176</v>
      </c>
      <c r="B25" s="2" t="s">
        <v>166</v>
      </c>
      <c r="C25" s="2" t="s">
        <v>173</v>
      </c>
      <c r="D25" s="125" t="str">
        <f>+IF(B25='11 FORMULAS'!$B$4,'11 FORMULAS'!$C$4,IF(B25='11 FORMULAS'!$B$6,'11 FORMULAS'!$C$6,IF(B25='11 FORMULAS'!$B$8,'11 FORMULAS'!$C$8,IF(B25='11 FORMULAS'!$B$10,'11 FORMULAS'!$C$10,""))))</f>
        <v/>
      </c>
      <c r="E25" s="225" t="str">
        <f>+IFERROR(VLOOKUP(B25,Tabla3[],2,0),"")</f>
        <v>Eventos relacionados con las conductas o comportamientos de los empleados que afectan la Integridad Pública</v>
      </c>
      <c r="F25" s="1" t="s">
        <v>168</v>
      </c>
      <c r="G25" s="1" t="s">
        <v>169</v>
      </c>
      <c r="H25" s="328" t="s">
        <v>177</v>
      </c>
      <c r="I25" s="328" t="s">
        <v>178</v>
      </c>
      <c r="J25" s="250" t="str">
        <f>(CONCATENATE(Tabla1[[#This Row],[¿QUÉ? 
IMPACTO]]," ","por ",Tabla1[[#This Row],[¿CÓMO?
CAUSA INMEDIATA 
(Iniciar con la palabra 
por)]]," ","debido a"," ",Tabla1[[#This Row],[¿PORQUÉ?
CAUSA RAÍZ
(Iniciar con 
debido a/a causa de)]]))</f>
        <v>Posibilidad de pérdida reputacional por  Corrupcion  entrante en el proceso de contratación de la Secretaría del Interior, al recibir o solicitar dádivas o beneficios a nombre propio o de terceros, debido a   favorecimiento indebido a alguna de las partes en los procesos de adjudicación de contratos.</v>
      </c>
      <c r="K25" s="249"/>
    </row>
    <row r="26" spans="1:11" s="6" customFormat="1" ht="93" customHeight="1">
      <c r="A26" s="1" t="s">
        <v>179</v>
      </c>
      <c r="B26" s="2" t="s">
        <v>166</v>
      </c>
      <c r="C26" s="2" t="s">
        <v>167</v>
      </c>
      <c r="D26" s="125" t="str">
        <f>+IF(B26='11 FORMULAS'!$B$4,'11 FORMULAS'!$C$4,IF(B26='11 FORMULAS'!$B$6,'11 FORMULAS'!$C$6,IF(B26='11 FORMULAS'!$B$8,'11 FORMULAS'!$C$8,IF(B26='11 FORMULAS'!$B$10,'11 FORMULAS'!$C$10,""))))</f>
        <v/>
      </c>
      <c r="E26" s="225" t="str">
        <f>+IFERROR(VLOOKUP(B26,Tabla3[],2,0),"")</f>
        <v>Eventos relacionados con las conductas o comportamientos de los empleados que afectan la Integridad Pública</v>
      </c>
      <c r="F26" s="1" t="s">
        <v>168</v>
      </c>
      <c r="G26" s="1" t="s">
        <v>169</v>
      </c>
      <c r="H26" s="328" t="s">
        <v>180</v>
      </c>
      <c r="I26" s="328" t="s">
        <v>181</v>
      </c>
      <c r="J26" s="250" t="str">
        <f>(CONCATENATE(Tabla1[[#This Row],[¿QUÉ? 
IMPACTO]]," ","por ",Tabla1[[#This Row],[¿CÓMO?
CAUSA INMEDIATA 
(Iniciar con la palabra 
por)]]," ","debido a"," ",Tabla1[[#This Row],[¿PORQUÉ?
CAUSA RAÍZ
(Iniciar con 
debido a/a causa de)]]))</f>
        <v>Posibilidad de pérdida reputacional por  ocupación o desarrollo urbanístico no controlado en zonas intervenidas con obras de mitigación del riesgo, debido a  deficiencias en el seguimiento de las actuaciones policivas y en la articulación interinstitucional para la atención de denuncias, reportes o alertas relacionadas con presuntas infracciones urbanísticas.</v>
      </c>
      <c r="K26" s="249"/>
    </row>
    <row r="27" spans="1:11" s="6" customFormat="1" ht="93" hidden="1" customHeight="1">
      <c r="A27" s="1" t="s">
        <v>182</v>
      </c>
      <c r="B27" s="2"/>
      <c r="C27" s="2"/>
      <c r="D27" s="125" t="str">
        <f>+IF(B27='11 FORMULAS'!$B$4,'11 FORMULAS'!$C$4,IF(B27='11 FORMULAS'!$B$6,'11 FORMULAS'!$C$6,IF(B27='11 FORMULAS'!$B$8,'11 FORMULAS'!$C$8,IF(B27='11 FORMULAS'!$B$10,'11 FORMULAS'!$C$10,""))))</f>
        <v/>
      </c>
      <c r="E27" s="225" t="str">
        <f>+IFERROR(VLOOKUP(B27,Tabla3[],2,0),"")</f>
        <v/>
      </c>
      <c r="F27" s="1"/>
      <c r="G27" s="1"/>
      <c r="H27" s="329"/>
      <c r="I27" s="329"/>
      <c r="J27" s="250" t="str">
        <f>(CONCATENATE(Tabla1[[#This Row],[¿QUÉ? 
IMPACTO]]," ","por ",Tabla1[[#This Row],[¿CÓMO?
CAUSA INMEDIATA 
(Iniciar con la palabra 
por)]]," ","debido a"," ",Tabla1[[#This Row],[¿PORQUÉ?
CAUSA RAÍZ
(Iniciar con 
debido a/a causa de)]]))</f>
        <v xml:space="preserve"> por  debido a </v>
      </c>
      <c r="K27" s="249"/>
    </row>
    <row r="28" spans="1:11" s="6" customFormat="1" ht="93" hidden="1" customHeight="1">
      <c r="A28" s="1" t="s">
        <v>183</v>
      </c>
      <c r="B28" s="2"/>
      <c r="C28" s="2"/>
      <c r="D28" s="125" t="str">
        <f>+IF(B28='11 FORMULAS'!$B$4,'11 FORMULAS'!$C$4,IF(B28='11 FORMULAS'!$B$6,'11 FORMULAS'!$C$6,IF(B28='11 FORMULAS'!$B$8,'11 FORMULAS'!$C$8,IF(B28='11 FORMULAS'!$B$10,'11 FORMULAS'!$C$10,""))))</f>
        <v/>
      </c>
      <c r="E28" s="225" t="str">
        <f>+IFERROR(VLOOKUP(B28,Tabla3[],2,0),"")</f>
        <v/>
      </c>
      <c r="F28" s="1"/>
      <c r="G28" s="1"/>
      <c r="H28" s="245"/>
      <c r="I28" s="245"/>
      <c r="J28" s="250" t="str">
        <f>(CONCATENATE(Tabla1[[#This Row],[¿QUÉ? 
IMPACTO]]," ","por ",Tabla1[[#This Row],[¿CÓMO?
CAUSA INMEDIATA 
(Iniciar con la palabra 
por)]]," ","debido a"," ",Tabla1[[#This Row],[¿PORQUÉ?
CAUSA RAÍZ
(Iniciar con 
debido a/a causa de)]]))</f>
        <v xml:space="preserve"> por  debido a </v>
      </c>
      <c r="K28" s="249"/>
    </row>
    <row r="29" spans="1:11" s="6" customFormat="1" ht="93" hidden="1" customHeight="1">
      <c r="A29" s="1" t="s">
        <v>184</v>
      </c>
      <c r="B29" s="2"/>
      <c r="C29" s="2"/>
      <c r="D29" s="125"/>
      <c r="E29" s="225" t="str">
        <f>+IFERROR(VLOOKUP(B29,Tabla3[],2,0),"")</f>
        <v/>
      </c>
      <c r="F29" s="1"/>
      <c r="G29" s="1"/>
      <c r="H29" s="245"/>
      <c r="I29" s="245"/>
      <c r="J29" s="250" t="str">
        <f>(CONCATENATE(Tabla1[[#This Row],[¿QUÉ? 
IMPACTO]]," ","por ",Tabla1[[#This Row],[¿CÓMO?
CAUSA INMEDIATA 
(Iniciar con la palabra 
por)]]," ","debido a"," ",Tabla1[[#This Row],[¿PORQUÉ?
CAUSA RAÍZ
(Iniciar con 
debido a/a causa de)]]))</f>
        <v xml:space="preserve"> por  debido a </v>
      </c>
      <c r="K29" s="249"/>
    </row>
    <row r="30" spans="1:11" s="6" customFormat="1" ht="93" hidden="1" customHeight="1">
      <c r="A30" s="1" t="s">
        <v>185</v>
      </c>
      <c r="B30" s="2"/>
      <c r="C30" s="2"/>
      <c r="D30" s="125"/>
      <c r="E30" s="225" t="str">
        <f>+IFERROR(VLOOKUP(B30,Tabla3[],2,0),"")</f>
        <v/>
      </c>
      <c r="F30" s="1"/>
      <c r="G30" s="1"/>
      <c r="H30" s="245"/>
      <c r="I30" s="245"/>
      <c r="J30" s="250" t="str">
        <f>(CONCATENATE(Tabla1[[#This Row],[¿QUÉ? 
IMPACTO]]," ","por ",Tabla1[[#This Row],[¿CÓMO?
CAUSA INMEDIATA 
(Iniciar con la palabra 
por)]]," ","debido a"," ",Tabla1[[#This Row],[¿PORQUÉ?
CAUSA RAÍZ
(Iniciar con 
debido a/a causa de)]]))</f>
        <v xml:space="preserve"> por  debido a </v>
      </c>
      <c r="K30" s="249"/>
    </row>
    <row r="31" spans="1:11" s="6" customFormat="1" ht="93" hidden="1" customHeight="1">
      <c r="A31" s="1" t="s">
        <v>186</v>
      </c>
      <c r="B31" s="2"/>
      <c r="C31" s="2"/>
      <c r="D31" s="125"/>
      <c r="E31" s="225" t="str">
        <f>+IFERROR(VLOOKUP(B31,Tabla3[],2,0),"")</f>
        <v/>
      </c>
      <c r="F31" s="1"/>
      <c r="G31" s="1"/>
      <c r="H31" s="245"/>
      <c r="I31" s="245"/>
      <c r="J31" s="250" t="str">
        <f>(CONCATENATE(Tabla1[[#This Row],[¿QUÉ? 
IMPACTO]]," ","por ",Tabla1[[#This Row],[¿CÓMO?
CAUSA INMEDIATA 
(Iniciar con la palabra 
por)]]," ","debido a"," ",Tabla1[[#This Row],[¿PORQUÉ?
CAUSA RAÍZ
(Iniciar con 
debido a/a causa de)]]))</f>
        <v xml:space="preserve"> por  debido a </v>
      </c>
      <c r="K31" s="249"/>
    </row>
    <row r="32" spans="1:11" s="6" customFormat="1" ht="93" hidden="1" customHeight="1">
      <c r="A32" s="1" t="s">
        <v>187</v>
      </c>
      <c r="B32" s="2"/>
      <c r="C32" s="2"/>
      <c r="D32" s="125"/>
      <c r="E32" s="225" t="str">
        <f>+IFERROR(VLOOKUP(B32,Tabla3[],2,0),"")</f>
        <v/>
      </c>
      <c r="F32" s="1"/>
      <c r="G32" s="1"/>
      <c r="H32" s="245"/>
      <c r="I32" s="245"/>
      <c r="J32" s="250" t="str">
        <f>(CONCATENATE(Tabla1[[#This Row],[¿QUÉ? 
IMPACTO]]," ","por ",Tabla1[[#This Row],[¿CÓMO?
CAUSA INMEDIATA 
(Iniciar con la palabra 
por)]]," ","debido a"," ",Tabla1[[#This Row],[¿PORQUÉ?
CAUSA RAÍZ
(Iniciar con 
debido a/a causa de)]]))</f>
        <v xml:space="preserve"> por  debido a </v>
      </c>
      <c r="K32" s="249"/>
    </row>
    <row r="33" spans="1:11" s="6" customFormat="1" ht="93" hidden="1" customHeight="1">
      <c r="A33" s="1" t="s">
        <v>188</v>
      </c>
      <c r="B33" s="2"/>
      <c r="C33" s="2"/>
      <c r="D33" s="125"/>
      <c r="E33" s="225" t="str">
        <f>+IFERROR(VLOOKUP(B33,Tabla3[],2,0),"")</f>
        <v/>
      </c>
      <c r="F33" s="1"/>
      <c r="G33" s="1"/>
      <c r="H33" s="245"/>
      <c r="I33" s="245"/>
      <c r="J33" s="250" t="str">
        <f>(CONCATENATE(Tabla1[[#This Row],[¿QUÉ? 
IMPACTO]]," ","por ",Tabla1[[#This Row],[¿CÓMO?
CAUSA INMEDIATA 
(Iniciar con la palabra 
por)]]," ","debido a"," ",Tabla1[[#This Row],[¿PORQUÉ?
CAUSA RAÍZ
(Iniciar con 
debido a/a causa de)]]))</f>
        <v xml:space="preserve"> por  debido a </v>
      </c>
      <c r="K33" s="249"/>
    </row>
    <row r="34" spans="1:11" s="6" customFormat="1" ht="93" hidden="1" customHeight="1">
      <c r="A34" s="1" t="s">
        <v>189</v>
      </c>
      <c r="B34" s="2"/>
      <c r="C34" s="2"/>
      <c r="D34" s="125"/>
      <c r="E34" s="225" t="str">
        <f>+IFERROR(VLOOKUP(B34,Tabla3[],2,0),"")</f>
        <v/>
      </c>
      <c r="F34" s="1"/>
      <c r="G34" s="1"/>
      <c r="H34" s="245"/>
      <c r="I34" s="245"/>
      <c r="J34" s="250" t="str">
        <f>(CONCATENATE(Tabla1[[#This Row],[¿QUÉ? 
IMPACTO]]," ","por ",Tabla1[[#This Row],[¿CÓMO?
CAUSA INMEDIATA 
(Iniciar con la palabra 
por)]]," ","debido a"," ",Tabla1[[#This Row],[¿PORQUÉ?
CAUSA RAÍZ
(Iniciar con 
debido a/a causa de)]]))</f>
        <v xml:space="preserve"> por  debido a </v>
      </c>
      <c r="K34" s="249"/>
    </row>
    <row r="35" spans="1:11" s="6" customFormat="1" ht="93" hidden="1" customHeight="1">
      <c r="A35" s="1" t="s">
        <v>190</v>
      </c>
      <c r="B35" s="2"/>
      <c r="C35" s="2"/>
      <c r="D35" s="125"/>
      <c r="E35" s="225" t="str">
        <f>+IFERROR(VLOOKUP(B35,Tabla3[],2,0),"")</f>
        <v/>
      </c>
      <c r="F35" s="1"/>
      <c r="G35" s="1"/>
      <c r="H35" s="245"/>
      <c r="I35" s="245"/>
      <c r="J35" s="250" t="str">
        <f>(CONCATENATE(Tabla1[[#This Row],[¿QUÉ? 
IMPACTO]]," ","por ",Tabla1[[#This Row],[¿CÓMO?
CAUSA INMEDIATA 
(Iniciar con la palabra 
por)]]," ","debido a"," ",Tabla1[[#This Row],[¿PORQUÉ?
CAUSA RAÍZ
(Iniciar con 
debido a/a causa de)]]))</f>
        <v xml:space="preserve"> por  debido a </v>
      </c>
      <c r="K35" s="249"/>
    </row>
    <row r="36" spans="1:11" s="6" customFormat="1" ht="93" hidden="1" customHeight="1">
      <c r="A36" s="1" t="s">
        <v>191</v>
      </c>
      <c r="B36" s="2"/>
      <c r="C36" s="2"/>
      <c r="D36" s="125"/>
      <c r="E36" s="225" t="str">
        <f>+IFERROR(VLOOKUP(B36,Tabla3[],2,0),"")</f>
        <v/>
      </c>
      <c r="F36" s="1"/>
      <c r="G36" s="1"/>
      <c r="H36" s="245"/>
      <c r="I36" s="245"/>
      <c r="J36" s="250" t="str">
        <f>(CONCATENATE(Tabla1[[#This Row],[¿QUÉ? 
IMPACTO]]," ","por ",Tabla1[[#This Row],[¿CÓMO?
CAUSA INMEDIATA 
(Iniciar con la palabra 
por)]]," ","debido a"," ",Tabla1[[#This Row],[¿PORQUÉ?
CAUSA RAÍZ
(Iniciar con 
debido a/a causa de)]]))</f>
        <v xml:space="preserve"> por  debido a </v>
      </c>
      <c r="K36" s="249"/>
    </row>
    <row r="37" spans="1:11" s="6" customFormat="1" ht="93" hidden="1" customHeight="1">
      <c r="A37" s="1" t="s">
        <v>192</v>
      </c>
      <c r="B37" s="2"/>
      <c r="C37" s="2"/>
      <c r="D37" s="125"/>
      <c r="E37" s="225" t="str">
        <f>+IFERROR(VLOOKUP(B37,Tabla3[],2,0),"")</f>
        <v/>
      </c>
      <c r="F37" s="1"/>
      <c r="G37" s="1"/>
      <c r="H37" s="245"/>
      <c r="I37" s="245"/>
      <c r="J37" s="250" t="str">
        <f>(CONCATENATE(Tabla1[[#This Row],[¿QUÉ? 
IMPACTO]]," ","por ",Tabla1[[#This Row],[¿CÓMO?
CAUSA INMEDIATA 
(Iniciar con la palabra 
por)]]," ","debido a"," ",Tabla1[[#This Row],[¿PORQUÉ?
CAUSA RAÍZ
(Iniciar con 
debido a/a causa de)]]))</f>
        <v xml:space="preserve"> por  debido a </v>
      </c>
      <c r="K37" s="249"/>
    </row>
    <row r="38" spans="1:11" s="6" customFormat="1" ht="93" hidden="1" customHeight="1">
      <c r="A38" s="1" t="s">
        <v>193</v>
      </c>
      <c r="B38" s="2"/>
      <c r="C38" s="2"/>
      <c r="D38" s="125"/>
      <c r="E38" s="225" t="str">
        <f>+IFERROR(VLOOKUP(B38,Tabla3[],2,0),"")</f>
        <v/>
      </c>
      <c r="F38" s="1"/>
      <c r="G38" s="1"/>
      <c r="H38" s="245"/>
      <c r="I38" s="245"/>
      <c r="J38" s="250" t="str">
        <f>(CONCATENATE(Tabla1[[#This Row],[¿QUÉ? 
IMPACTO]]," ","por ",Tabla1[[#This Row],[¿CÓMO?
CAUSA INMEDIATA 
(Iniciar con la palabra 
por)]]," ","debido a"," ",Tabla1[[#This Row],[¿PORQUÉ?
CAUSA RAÍZ
(Iniciar con 
debido a/a causa de)]]))</f>
        <v xml:space="preserve"> por  debido a </v>
      </c>
      <c r="K38" s="249"/>
    </row>
    <row r="39" spans="1:11" s="6" customFormat="1" ht="93" hidden="1" customHeight="1">
      <c r="A39" s="1" t="s">
        <v>194</v>
      </c>
      <c r="B39" s="2"/>
      <c r="C39" s="2"/>
      <c r="D39" s="125" t="str">
        <f>+IF(B39='11 FORMULAS'!$B$4,'11 FORMULAS'!$C$4,IF(B39='11 FORMULAS'!$B$6,'11 FORMULAS'!$C$6,IF(B39='11 FORMULAS'!$B$8,'11 FORMULAS'!$C$8,IF(B39='11 FORMULAS'!$B$10,'11 FORMULAS'!$C$10,""))))</f>
        <v/>
      </c>
      <c r="E39" s="225" t="str">
        <f>+IFERROR(VLOOKUP(B39,Tabla3[],2,0),"")</f>
        <v/>
      </c>
      <c r="F39" s="1"/>
      <c r="G39" s="1"/>
      <c r="H39" s="246"/>
      <c r="I39" s="246"/>
      <c r="J39" s="250" t="str">
        <f>(CONCATENATE(Tabla1[[#This Row],[¿QUÉ? 
IMPACTO]]," ","por ",Tabla1[[#This Row],[¿CÓMO?
CAUSA INMEDIATA 
(Iniciar con la palabra 
por)]]," ","debido a"," ",Tabla1[[#This Row],[¿PORQUÉ?
CAUSA RAÍZ
(Iniciar con 
debido a/a causa de)]]))</f>
        <v xml:space="preserve"> por  debido a </v>
      </c>
      <c r="K39" s="249"/>
    </row>
    <row r="40" spans="1:11" s="6" customFormat="1" ht="18" thickBot="1">
      <c r="F40" s="7"/>
      <c r="G40" s="7"/>
      <c r="H40" s="7"/>
      <c r="I40" s="7"/>
      <c r="J40" s="8"/>
    </row>
    <row r="41" spans="1:11" ht="15" thickTop="1" thickBot="1">
      <c r="A41" s="337" t="s">
        <v>84</v>
      </c>
      <c r="B41" s="337"/>
      <c r="C41" s="337"/>
      <c r="D41" s="337"/>
      <c r="E41" s="337"/>
      <c r="F41" s="337"/>
      <c r="G41" s="337"/>
      <c r="H41" s="3"/>
      <c r="I41" s="3"/>
    </row>
    <row r="42" spans="1:11" ht="15" thickTop="1" thickBot="1">
      <c r="A42" s="318" t="s">
        <v>85</v>
      </c>
      <c r="B42" s="337" t="s">
        <v>86</v>
      </c>
      <c r="C42" s="337"/>
      <c r="D42" s="337" t="s">
        <v>87</v>
      </c>
      <c r="E42" s="337"/>
      <c r="F42" s="337" t="s">
        <v>88</v>
      </c>
      <c r="G42" s="337"/>
      <c r="H42" s="3"/>
      <c r="I42" s="3"/>
    </row>
    <row r="43" spans="1:11" ht="67.5" customHeight="1" thickTop="1" thickBot="1">
      <c r="A43" s="319" t="s">
        <v>89</v>
      </c>
      <c r="B43" s="338">
        <v>46163</v>
      </c>
      <c r="C43" s="338"/>
      <c r="D43" s="339" t="s">
        <v>90</v>
      </c>
      <c r="E43" s="339"/>
      <c r="F43" s="340" t="s">
        <v>91</v>
      </c>
      <c r="G43" s="340"/>
      <c r="H43" s="9"/>
      <c r="I43" s="9"/>
    </row>
    <row r="44" spans="1:11" ht="14.45" thickTop="1">
      <c r="F44" s="3"/>
      <c r="G44" s="3"/>
      <c r="H44" s="3"/>
      <c r="I44" s="3"/>
    </row>
    <row r="45" spans="1:11">
      <c r="F45" s="3"/>
      <c r="G45" s="3"/>
      <c r="H45" s="3"/>
      <c r="I45" s="3"/>
    </row>
    <row r="46" spans="1:11">
      <c r="F46" s="3"/>
      <c r="G46" s="3"/>
      <c r="H46" s="3"/>
      <c r="I46" s="3"/>
    </row>
    <row r="50" spans="24:26" ht="14.25" customHeight="1"/>
    <row r="54" spans="24:26" ht="14.25" customHeight="1">
      <c r="X54" s="10"/>
    </row>
    <row r="55" spans="24:26">
      <c r="Z55" s="10"/>
    </row>
    <row r="56" spans="24:26">
      <c r="Z56" s="10"/>
    </row>
    <row r="57" spans="24:26">
      <c r="Z57" s="10"/>
    </row>
    <row r="58" spans="24:26">
      <c r="Z58" s="10"/>
    </row>
    <row r="59" spans="24:26">
      <c r="Z59" s="10"/>
    </row>
    <row r="60" spans="24:26">
      <c r="Z60" s="10"/>
    </row>
    <row r="61" spans="24:26">
      <c r="Z61" s="10"/>
    </row>
    <row r="62" spans="24:26" ht="14.25" customHeight="1">
      <c r="Z62" s="10"/>
    </row>
    <row r="63" spans="24:26">
      <c r="Z63" s="10"/>
    </row>
  </sheetData>
  <sheetProtection formatCells="0" formatColumns="0" formatRows="0" sort="0" autoFilter="0" pivotTables="0"/>
  <mergeCells count="15">
    <mergeCell ref="B1:I2"/>
    <mergeCell ref="B3:I3"/>
    <mergeCell ref="B8:E8"/>
    <mergeCell ref="A8:A9"/>
    <mergeCell ref="A4:K4"/>
    <mergeCell ref="B6:E6"/>
    <mergeCell ref="G6:K6"/>
    <mergeCell ref="A1:A3"/>
    <mergeCell ref="A41:G41"/>
    <mergeCell ref="B42:C42"/>
    <mergeCell ref="D42:E42"/>
    <mergeCell ref="F42:G42"/>
    <mergeCell ref="B43:C43"/>
    <mergeCell ref="D43:E43"/>
    <mergeCell ref="F43:G4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topLeftCell="B15" zoomScale="94" zoomScaleNormal="94" zoomScaleSheetLayoutView="80" workbookViewId="0">
      <selection activeCell="C26" sqref="C23:C26"/>
    </sheetView>
  </sheetViews>
  <sheetFormatPr defaultColWidth="14.42578125" defaultRowHeight="13.9"/>
  <cols>
    <col min="1" max="1" width="18.28515625" style="4" customWidth="1"/>
    <col min="2" max="2" width="36.42578125" style="28" customWidth="1"/>
    <col min="3" max="3" width="28.42578125" style="28" customWidth="1"/>
    <col min="4" max="4" width="21.28515625" style="4" customWidth="1"/>
    <col min="5" max="5" width="14" style="13" customWidth="1"/>
    <col min="6" max="6" width="14.42578125"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0.28515625" style="13" customWidth="1"/>
    <col min="13" max="13" width="17.5703125" style="161" customWidth="1"/>
    <col min="14" max="14" width="15.7109375" style="161" customWidth="1"/>
    <col min="15" max="15" width="8" style="4" customWidth="1"/>
    <col min="16" max="16" width="21.42578125" style="4" customWidth="1"/>
    <col min="17" max="17" width="32.7109375" style="4" customWidth="1"/>
    <col min="18" max="18" width="12.42578125" style="28" customWidth="1"/>
    <col min="19" max="19" width="16.5703125" style="28" customWidth="1"/>
    <col min="20" max="20" width="17.7109375" style="4" customWidth="1"/>
    <col min="21" max="21" width="5.42578125" style="4" customWidth="1"/>
    <col min="22" max="22" width="14.28515625" style="4" bestFit="1" customWidth="1"/>
    <col min="23" max="23" width="14.7109375" style="4" bestFit="1" customWidth="1"/>
    <col min="24" max="24" width="27.42578125" style="4" customWidth="1"/>
    <col min="25" max="25" width="57.7109375" style="4" customWidth="1"/>
    <col min="26" max="29" width="24.28515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19.899999999999999" customHeight="1" thickTop="1">
      <c r="A1" s="360"/>
      <c r="B1" s="341" t="s">
        <v>92</v>
      </c>
      <c r="C1" s="342"/>
      <c r="D1" s="342"/>
      <c r="E1" s="342"/>
      <c r="F1" s="342"/>
      <c r="G1" s="342"/>
      <c r="H1" s="342"/>
      <c r="I1" s="343"/>
      <c r="J1" s="310" t="s">
        <v>93</v>
      </c>
      <c r="K1" s="311"/>
      <c r="L1" s="260"/>
      <c r="M1" s="4"/>
      <c r="N1" s="4"/>
      <c r="R1" s="4"/>
      <c r="S1" s="4"/>
    </row>
    <row r="2" spans="1:25" ht="19.899999999999999" customHeight="1">
      <c r="A2" s="361"/>
      <c r="B2" s="344"/>
      <c r="C2" s="345"/>
      <c r="D2" s="345"/>
      <c r="E2" s="345"/>
      <c r="F2" s="345"/>
      <c r="G2" s="345"/>
      <c r="H2" s="345"/>
      <c r="I2" s="346"/>
      <c r="J2" s="312" t="s">
        <v>94</v>
      </c>
      <c r="K2" s="313"/>
      <c r="L2" s="260"/>
      <c r="M2" s="4"/>
      <c r="N2" s="4"/>
      <c r="R2" s="4"/>
      <c r="S2" s="4"/>
    </row>
    <row r="3" spans="1:25" s="3" customFormat="1" ht="16.149999999999999" thickBot="1">
      <c r="A3" s="362"/>
      <c r="B3" s="347" t="s">
        <v>95</v>
      </c>
      <c r="C3" s="348"/>
      <c r="D3" s="348"/>
      <c r="E3" s="348"/>
      <c r="F3" s="348"/>
      <c r="G3" s="348"/>
      <c r="H3" s="348"/>
      <c r="I3" s="349"/>
      <c r="J3" s="314" t="s">
        <v>96</v>
      </c>
      <c r="K3" s="315"/>
      <c r="L3" s="261"/>
    </row>
    <row r="4" spans="1:25" s="3" customFormat="1" ht="16.899999999999999" customHeight="1" thickTop="1">
      <c r="A4" s="351"/>
      <c r="B4" s="352"/>
      <c r="C4" s="352"/>
      <c r="D4" s="352"/>
      <c r="E4" s="352"/>
      <c r="F4" s="352"/>
      <c r="G4" s="352"/>
      <c r="H4" s="352"/>
      <c r="I4" s="352"/>
      <c r="J4" s="352"/>
      <c r="K4" s="353"/>
    </row>
    <row r="5" spans="1:25" ht="27" customHeight="1">
      <c r="A5" s="12" t="s">
        <v>97</v>
      </c>
      <c r="B5" s="266" t="str">
        <f>'2 IDENTIFICACIÓN'!B5</f>
        <v>ALCALDIA DE BUCARAMANGA</v>
      </c>
      <c r="C5" s="267"/>
      <c r="D5" s="267"/>
      <c r="E5" s="268"/>
      <c r="F5" s="251" t="s">
        <v>99</v>
      </c>
      <c r="G5" s="266" t="str">
        <f>'2 IDENTIFICACIÓN'!G5</f>
        <v>SEGURIDAD, PROTECCIÓN Y CONVIVENCIA CIUDADANA</v>
      </c>
      <c r="H5" s="268"/>
      <c r="I5" s="251" t="s">
        <v>101</v>
      </c>
      <c r="J5" s="269">
        <f>'2 IDENTIFICACIÓN'!J5</f>
        <v>2026</v>
      </c>
      <c r="K5" s="270"/>
      <c r="L5" s="4"/>
      <c r="M5" s="4"/>
      <c r="N5" s="4"/>
      <c r="R5" s="4"/>
      <c r="S5" s="4"/>
    </row>
    <row r="6" spans="1:25" ht="14.45" thickBot="1">
      <c r="A6" s="165"/>
      <c r="B6" s="262"/>
      <c r="C6" s="262"/>
      <c r="D6" s="262"/>
      <c r="E6" s="262"/>
      <c r="F6" s="263"/>
      <c r="G6" s="264"/>
      <c r="H6" s="264"/>
      <c r="I6" s="264"/>
      <c r="J6" s="264"/>
      <c r="K6" s="264"/>
      <c r="L6" s="4"/>
      <c r="M6" s="4"/>
      <c r="N6" s="4"/>
      <c r="R6" s="4"/>
      <c r="S6" s="4"/>
    </row>
    <row r="7" spans="1:25" s="3" customFormat="1" ht="14.45" thickBot="1">
      <c r="A7" s="265"/>
      <c r="B7" s="164"/>
      <c r="C7" s="164"/>
      <c r="D7" s="164"/>
      <c r="E7" s="14"/>
      <c r="F7" s="14"/>
      <c r="G7" s="431" t="s">
        <v>195</v>
      </c>
      <c r="H7" s="432"/>
      <c r="I7" s="432"/>
      <c r="J7" s="432"/>
      <c r="K7" s="432"/>
      <c r="L7" s="432"/>
      <c r="M7" s="432"/>
      <c r="N7" s="433"/>
      <c r="R7" s="129"/>
      <c r="S7" s="129"/>
    </row>
    <row r="8" spans="1:25" s="16" customFormat="1" ht="14.25" customHeight="1" thickBot="1">
      <c r="A8" s="15"/>
      <c r="B8" s="15"/>
      <c r="C8" s="431" t="s">
        <v>196</v>
      </c>
      <c r="D8" s="432"/>
      <c r="E8" s="432"/>
      <c r="F8" s="433"/>
      <c r="G8" s="434" t="s">
        <v>39</v>
      </c>
      <c r="H8" s="435"/>
      <c r="I8" s="436"/>
      <c r="J8" s="434" t="s">
        <v>41</v>
      </c>
      <c r="K8" s="435"/>
      <c r="L8" s="436"/>
      <c r="M8" s="434" t="s">
        <v>197</v>
      </c>
      <c r="N8" s="436"/>
      <c r="P8" s="428" t="s">
        <v>198</v>
      </c>
      <c r="Q8" s="429"/>
      <c r="R8" s="429"/>
      <c r="S8" s="429"/>
      <c r="T8" s="430"/>
      <c r="V8" s="425" t="s">
        <v>199</v>
      </c>
      <c r="W8" s="426"/>
      <c r="X8" s="426"/>
      <c r="Y8" s="427"/>
    </row>
    <row r="9" spans="1:25" s="111" customFormat="1" ht="27.6">
      <c r="A9" s="141" t="s">
        <v>200</v>
      </c>
      <c r="B9" s="140" t="s">
        <v>201</v>
      </c>
      <c r="C9" s="155" t="s">
        <v>37</v>
      </c>
      <c r="D9" s="156" t="s">
        <v>202</v>
      </c>
      <c r="E9" s="157" t="s">
        <v>203</v>
      </c>
      <c r="F9" s="158" t="s">
        <v>204</v>
      </c>
      <c r="G9" s="133" t="s">
        <v>39</v>
      </c>
      <c r="H9" s="134" t="s">
        <v>205</v>
      </c>
      <c r="I9" s="136" t="s">
        <v>206</v>
      </c>
      <c r="J9" s="133" t="s">
        <v>41</v>
      </c>
      <c r="K9" s="134" t="s">
        <v>205</v>
      </c>
      <c r="L9" s="136" t="s">
        <v>206</v>
      </c>
      <c r="M9" s="133" t="s">
        <v>207</v>
      </c>
      <c r="N9" s="135" t="s">
        <v>208</v>
      </c>
      <c r="P9" s="17" t="s">
        <v>206</v>
      </c>
      <c r="Q9" s="18" t="s">
        <v>202</v>
      </c>
      <c r="R9" s="18" t="s">
        <v>209</v>
      </c>
      <c r="S9" s="18" t="s">
        <v>210</v>
      </c>
      <c r="T9" s="19" t="s">
        <v>211</v>
      </c>
      <c r="V9" s="17" t="s">
        <v>206</v>
      </c>
      <c r="W9" s="18" t="s">
        <v>212</v>
      </c>
      <c r="X9" s="18" t="s">
        <v>213</v>
      </c>
      <c r="Y9" s="19" t="s">
        <v>41</v>
      </c>
    </row>
    <row r="10" spans="1:25" ht="106.5" customHeight="1">
      <c r="A10" s="20" t="str">
        <f>'2 IDENTIFICACIÓN'!A10</f>
        <v>R1</v>
      </c>
      <c r="B10" s="152" t="str">
        <f>+'2 IDENTIFICACIÓN'!J10</f>
        <v>Posibilidad de afectación reputacional por  posibles investigaciones y sanciones disciplinarias por entes de control, debido a  incumplimiento de la Ley 594 del 2000 en los documentos generados por la Secretaría del Interior</v>
      </c>
      <c r="C10" s="330">
        <v>360</v>
      </c>
      <c r="D10" s="130" t="str">
        <f t="shared" ref="D10:D39" si="0">+IF(C10="","",IF(C10&lt;=$S$10,$Q$10,IF(C10&lt;=$S$11,$Q$11,IF(C10&lt;=$S$12,$Q$12,IF(C10&lt;=$S$13,$Q$13,IF(C10&gt;=$R$14,$Q$14,""))))))</f>
        <v>La actividad que conlleva el riesgo se ejecuta de 24 a 500 veces por año</v>
      </c>
      <c r="E10" s="131">
        <f t="shared" ref="E10:E39" si="1">+IF(D10="","",IF(D10=$Q$10,$T$10,IF(D10=$Q$11,$T$11,IF(D10=$Q$12,$T$12,IF(D10=$Q$13,$T$13,IF(D10=$Q$14,$T$14))))))</f>
        <v>0.6</v>
      </c>
      <c r="F10" s="21" t="str">
        <f t="shared" ref="F10:F39" si="2">+IF(D10="","",IF(D10=$Q$10,$P$10,IF(D10=$Q$11,$P$11,IF(D10=$Q$12,$P$12,IF(D10=$Q$13,$P$13,IF(D10=$Q$14,$P$14))))))</f>
        <v>Media</v>
      </c>
      <c r="G10" s="138" t="s">
        <v>214</v>
      </c>
      <c r="H10" s="132" t="str">
        <f>+IF(G10="","",IF(G10="N/A","",IF(OR(G10=$X$10,G10=$Y$10),$W$10,IF(OR(G10=$X$11,G10=$Y$11),$W$11,IF(OR(G10=$X$12,G10=$Y$12),$W$12,IF(OR(G10=$X$13,G10=$Y$13),$W$13,IF(OR(G10=$X$14,G10=$Y$14),$W$14)))))))</f>
        <v/>
      </c>
      <c r="I10" s="137" t="str">
        <f t="shared" ref="I10:I39" si="3">+IF(G10="","",IF(G10="N/A","",IF(OR(G10=$X$10,G10=$Y$10),$V$10,IF(OR(G10=$X$11,G10=$Y$11),$V$11,IF(OR(G10=$X$12,G10=$Y$12),$V$12,IF(OR(G10=$X$13,G10=$Y$13),$V$13,IF(OR(G10=$X$14,G10=$Y$14),$V$14)))))))</f>
        <v/>
      </c>
      <c r="J10" s="138" t="s">
        <v>215</v>
      </c>
      <c r="K10" s="132">
        <f t="shared" ref="K10:K39" si="4">+IF(J10="","",IF(J10="N/A","",IF(OR(J10=$X$10,J10=$Y$10),$W$10,IF(OR(J10=$X$11,J10=$Y$11),$W$11,IF(OR(J10=$X$12,J10=$Y$12),$W$12,IF(OR(J10=$X$13,J10=$Y$13),$W$13,IF(OR(J10=$X$14,J10=$Y$14),$W$14)))))))</f>
        <v>0.6</v>
      </c>
      <c r="L10" s="137" t="str">
        <f t="shared" ref="L10:L39" si="5">+IF(J10="","",IF(J10="N/A","",IF(OR(J10=$X$10,J10=$Y$10),$V$10,IF(OR(J10=$X$11,J10=$Y$11),$V$11,IF(OR(J10=$X$12,J10=$Y$12),$V$12,IF(OR(J10=$X$13,J10=$Y$13),$V$13,IF(OR(J10=$X$14,J10=$Y$14),$V$14)))))))</f>
        <v>Moderado</v>
      </c>
      <c r="M10" s="159">
        <f>+IF(H10="",K10,IF(K10="",H10,IF(H10&gt;K10,H10,K10)))</f>
        <v>0.6</v>
      </c>
      <c r="N10" s="160" t="str">
        <f>+IF(M10="","",IF(M10=$W$10,$V$10,IF(M10=$W$11,$V$11,IF(M10=$W$12,$V$12,IF(M10=$W$13,$V$13,IF(M10=$W$14,$V$14))))))</f>
        <v>Moderado</v>
      </c>
      <c r="P10" s="220" t="s">
        <v>216</v>
      </c>
      <c r="Q10" s="22" t="s">
        <v>217</v>
      </c>
      <c r="R10" s="278">
        <v>0</v>
      </c>
      <c r="S10" s="278">
        <v>2</v>
      </c>
      <c r="T10" s="23">
        <v>0.2</v>
      </c>
      <c r="V10" s="220" t="s">
        <v>218</v>
      </c>
      <c r="W10" s="24">
        <v>0.2</v>
      </c>
      <c r="X10" s="278" t="s">
        <v>219</v>
      </c>
      <c r="Y10" s="281" t="s">
        <v>220</v>
      </c>
    </row>
    <row r="11" spans="1:25" ht="93" customHeight="1">
      <c r="A11" s="20" t="str">
        <f>'2 IDENTIFICACIÓN'!A11</f>
        <v>R2</v>
      </c>
      <c r="B11" s="152" t="str">
        <f>+'2 IDENTIFICACIÓN'!J11</f>
        <v>Posibilidad de afectación económica y reputacional por  investigaciones y sanciones por entes de control,  debido a   la demora en los procesos de contratación y presupuestal  relacionados con la atención de niños, niñas y adolescentes en período de restablecimiento de derechos (hogar de paso), incumpliendo la Ley 1098 de 2006.</v>
      </c>
      <c r="C11" s="153">
        <v>360</v>
      </c>
      <c r="D11" s="130" t="str">
        <f t="shared" si="0"/>
        <v>La actividad que conlleva el riesgo se ejecuta de 24 a 500 veces por año</v>
      </c>
      <c r="E11" s="131">
        <f t="shared" si="1"/>
        <v>0.6</v>
      </c>
      <c r="F11" s="21" t="str">
        <f t="shared" si="2"/>
        <v>Media</v>
      </c>
      <c r="G11" s="138" t="s">
        <v>221</v>
      </c>
      <c r="H11" s="132">
        <f>+IF(G11="","",IF(G11="N/A","",IF(OR(G11=$X$10,G11=$Y$10),$W$10,IF(OR(G11=$X$11,G11=$Y$11),$W$11,IF(OR(G11=$X$12,G11=$Y$12),$W$12,IF(OR(G11=$X$13,G11=$Y$13),$W$13,IF(OR(G11=$X$14,G11=$Y$14),$W$14)))))))</f>
        <v>0.8</v>
      </c>
      <c r="I11" s="137" t="str">
        <f>+IF(G11="","",IF(G11="N/A","",IF(OR(G11=$X$10,G11=$Y$10),$V$10,IF(OR(G11=$X$11,G11=$Y$11),$V$11,IF(OR(G11=$X$12,G11=$Y$12),$V$12,IF(OR(G11=$X$13,G11=$Y$13),$V$13,IF(OR(G11=$X$14,G11=$Y$14),$V$14)))))))</f>
        <v>Mayor</v>
      </c>
      <c r="J11" s="138" t="s">
        <v>222</v>
      </c>
      <c r="K11" s="132">
        <f t="shared" si="4"/>
        <v>0.8</v>
      </c>
      <c r="L11" s="137" t="str">
        <f t="shared" si="5"/>
        <v>Mayor</v>
      </c>
      <c r="M11" s="159">
        <f>+IF(H11="",K11,IF(K11="",H11,IF(H11&gt;K11,H11,K11)))</f>
        <v>0.8</v>
      </c>
      <c r="N11" s="160" t="str">
        <f t="shared" ref="N11:N39" si="6">+IF(M11="","",IF(M11=$W$10,$V$10,IF(M11=$W$11,$V$11,IF(M11=$W$12,$V$12,IF(M11=$W$13,$V$13,IF(M11=$W$14,$V$14))))))</f>
        <v>Mayor</v>
      </c>
      <c r="P11" s="221" t="s">
        <v>223</v>
      </c>
      <c r="Q11" s="25" t="s">
        <v>224</v>
      </c>
      <c r="R11" s="278">
        <v>3</v>
      </c>
      <c r="S11" s="278">
        <v>24</v>
      </c>
      <c r="T11" s="23">
        <v>0.4</v>
      </c>
      <c r="V11" s="221" t="s">
        <v>225</v>
      </c>
      <c r="W11" s="24">
        <v>0.4</v>
      </c>
      <c r="X11" s="278" t="s">
        <v>226</v>
      </c>
      <c r="Y11" s="282" t="s">
        <v>227</v>
      </c>
    </row>
    <row r="12" spans="1:25" ht="93" customHeight="1">
      <c r="A12" s="20" t="str">
        <f>'2 IDENTIFICACIÓN'!A12</f>
        <v>R3</v>
      </c>
      <c r="B12" s="152" t="str">
        <f>+'2 IDENTIFICACIÓN'!J12</f>
        <v>Posibilidad de afectación reputacional por  debilidades en la planeación, gestión y ejecución de las obligaciones contractuales por parte de las unidades gestoras,  debido a  deficiencias en la supervisión y ejecución oportuna de los procesos contractuales producto de la constitución de reservas presupuestales.</v>
      </c>
      <c r="C12" s="331">
        <v>360</v>
      </c>
      <c r="D12" s="130" t="str">
        <f t="shared" si="0"/>
        <v>La actividad que conlleva el riesgo se ejecuta de 24 a 500 veces por año</v>
      </c>
      <c r="E12" s="131">
        <f t="shared" si="1"/>
        <v>0.6</v>
      </c>
      <c r="F12" s="21" t="str">
        <f t="shared" si="2"/>
        <v>Media</v>
      </c>
      <c r="G12" s="138" t="s">
        <v>228</v>
      </c>
      <c r="H12" s="132">
        <f>+IF(G12="","",IF(G12="N/A","",IF(OR(G12=$X$10,G12=$Y$10),$W$10,IF(OR(G12=$X$11,G12=$Y$11),$W$11,IF(OR(G12=$X$12,G12=$Y$12),$W$12,IF(OR(G12=$X$13,G12=$Y$13),$W$13,IF(OR(G12=$X$14,G12=$Y$14),$W$14)))))))</f>
        <v>1</v>
      </c>
      <c r="I12" s="137" t="str">
        <f>+IF(G12="","",IF(G12="N/A","",IF(OR(G12=$X$10,G12=$Y$10),$V$10,IF(OR(G12=$X$11,G12=$Y$11),$V$11,IF(OR(G12=$X$12,G12=$Y$12),$V$12,IF(OR(G12=$X$13,G12=$Y$13),$V$13,IF(OR(G12=$X$14,G12=$Y$14),$V$14)))))))</f>
        <v>Catastrófico</v>
      </c>
      <c r="J12" s="138" t="s">
        <v>214</v>
      </c>
      <c r="K12" s="132" t="str">
        <f t="shared" si="4"/>
        <v/>
      </c>
      <c r="L12" s="137" t="str">
        <f t="shared" si="5"/>
        <v/>
      </c>
      <c r="M12" s="159">
        <f t="shared" ref="M12:M39" si="7">+IF(H12="",K12,IF(K12="",H12,IF(H12&gt;K12,H12,K12)))</f>
        <v>1</v>
      </c>
      <c r="N12" s="160" t="str">
        <f t="shared" si="6"/>
        <v>Catastrófico</v>
      </c>
      <c r="P12" s="222" t="s">
        <v>229</v>
      </c>
      <c r="Q12" s="25" t="s">
        <v>230</v>
      </c>
      <c r="R12" s="278">
        <v>25</v>
      </c>
      <c r="S12" s="278">
        <v>500</v>
      </c>
      <c r="T12" s="23">
        <v>0.6</v>
      </c>
      <c r="V12" s="222" t="s">
        <v>231</v>
      </c>
      <c r="W12" s="24">
        <v>0.6</v>
      </c>
      <c r="X12" s="278" t="s">
        <v>232</v>
      </c>
      <c r="Y12" s="282" t="s">
        <v>215</v>
      </c>
    </row>
    <row r="13" spans="1:25" ht="93" customHeight="1">
      <c r="A13" s="20" t="str">
        <f>'2 IDENTIFICACIÓN'!A13</f>
        <v>R4</v>
      </c>
      <c r="B13" s="152" t="str">
        <f>+'2 IDENTIFICACIÓN'!J13</f>
        <v>Posibilidad de afectación económica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v>
      </c>
      <c r="C13" s="153">
        <v>4</v>
      </c>
      <c r="D13" s="130" t="str">
        <f t="shared" si="0"/>
        <v>La actividad que conlleva el riesgo se ejecuta de 3 a 24 veces por año</v>
      </c>
      <c r="E13" s="131">
        <f t="shared" si="1"/>
        <v>0.4</v>
      </c>
      <c r="F13" s="21" t="str">
        <f t="shared" si="2"/>
        <v>Baja</v>
      </c>
      <c r="G13" s="138" t="s">
        <v>221</v>
      </c>
      <c r="H13" s="132">
        <f t="shared" ref="H13:H39" si="8">+IF(G13="","",IF(G13="N/A","",IF(OR(G13=$X$10,G13=$Y$10),$W$10,IF(OR(G13=$X$11,G13=$Y$11),$W$11,IF(OR(G13=$X$12,G13=$Y$12),$W$12,IF(OR(G13=$X$13,G13=$Y$13),$W$13,IF(OR(G13=$X$14,G13=$Y$14),$W$14)))))))</f>
        <v>0.8</v>
      </c>
      <c r="I13" s="137" t="str">
        <f t="shared" si="3"/>
        <v>Mayor</v>
      </c>
      <c r="J13" s="138" t="s">
        <v>214</v>
      </c>
      <c r="K13" s="132" t="str">
        <f t="shared" si="4"/>
        <v/>
      </c>
      <c r="L13" s="137" t="str">
        <f t="shared" si="5"/>
        <v/>
      </c>
      <c r="M13" s="159">
        <f t="shared" si="7"/>
        <v>0.8</v>
      </c>
      <c r="N13" s="160" t="str">
        <f t="shared" si="6"/>
        <v>Mayor</v>
      </c>
      <c r="P13" s="26" t="s">
        <v>233</v>
      </c>
      <c r="Q13" s="25" t="s">
        <v>234</v>
      </c>
      <c r="R13" s="278">
        <v>501</v>
      </c>
      <c r="S13" s="278">
        <v>5000</v>
      </c>
      <c r="T13" s="23">
        <v>0.8</v>
      </c>
      <c r="V13" s="26" t="s">
        <v>235</v>
      </c>
      <c r="W13" s="24">
        <v>0.8</v>
      </c>
      <c r="X13" s="278" t="s">
        <v>221</v>
      </c>
      <c r="Y13" s="282" t="s">
        <v>222</v>
      </c>
    </row>
    <row r="14" spans="1:25" ht="93" customHeight="1" thickBot="1">
      <c r="A14" s="20" t="str">
        <f>'2 IDENTIFICACIÓN'!A14</f>
        <v>R5</v>
      </c>
      <c r="B14" s="152" t="str">
        <f>+'2 IDENTIFICACIÓN'!J14</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4" s="153">
        <v>360</v>
      </c>
      <c r="D14" s="130" t="str">
        <f t="shared" si="0"/>
        <v>La actividad que conlleva el riesgo se ejecuta de 24 a 500 veces por año</v>
      </c>
      <c r="E14" s="131">
        <f t="shared" si="1"/>
        <v>0.6</v>
      </c>
      <c r="F14" s="21" t="str">
        <f t="shared" si="2"/>
        <v>Media</v>
      </c>
      <c r="G14" s="138" t="s">
        <v>226</v>
      </c>
      <c r="H14" s="132">
        <f t="shared" si="8"/>
        <v>0.4</v>
      </c>
      <c r="I14" s="137" t="str">
        <f t="shared" si="3"/>
        <v>Menor</v>
      </c>
      <c r="J14" s="138" t="s">
        <v>215</v>
      </c>
      <c r="K14" s="132">
        <f t="shared" si="4"/>
        <v>0.6</v>
      </c>
      <c r="L14" s="137" t="str">
        <f t="shared" si="5"/>
        <v>Moderado</v>
      </c>
      <c r="M14" s="159">
        <f t="shared" si="7"/>
        <v>0.6</v>
      </c>
      <c r="N14" s="160" t="str">
        <f t="shared" si="6"/>
        <v>Moderado</v>
      </c>
      <c r="P14" s="275" t="s">
        <v>236</v>
      </c>
      <c r="Q14" s="276" t="s">
        <v>237</v>
      </c>
      <c r="R14" s="279">
        <v>5001</v>
      </c>
      <c r="S14" s="279"/>
      <c r="T14" s="277">
        <v>1</v>
      </c>
      <c r="V14" s="275" t="s">
        <v>238</v>
      </c>
      <c r="W14" s="280">
        <v>1</v>
      </c>
      <c r="X14" s="279" t="s">
        <v>228</v>
      </c>
      <c r="Y14" s="283" t="s">
        <v>239</v>
      </c>
    </row>
    <row r="15" spans="1:25" ht="93" customHeight="1">
      <c r="A15" s="20" t="str">
        <f>'2 IDENTIFICACIÓN'!A15</f>
        <v>R6</v>
      </c>
      <c r="B15" s="152" t="str">
        <f>+'2 IDENTIFICACIÓN'!J15</f>
        <v>Posibilidad de afectación económica y reputacional por investigaciones y sanciones disciplinarias por entes de control,  debido a la falta de seguimiento al cumplimiento de metas del Plan de Desarrollo Municipal programadas para la vigencia.</v>
      </c>
      <c r="C15" s="153">
        <v>360</v>
      </c>
      <c r="D15" s="130" t="str">
        <f t="shared" si="0"/>
        <v>La actividad que conlleva el riesgo se ejecuta de 24 a 500 veces por año</v>
      </c>
      <c r="E15" s="131">
        <f t="shared" si="1"/>
        <v>0.6</v>
      </c>
      <c r="F15" s="21" t="str">
        <f t="shared" si="2"/>
        <v>Media</v>
      </c>
      <c r="G15" s="138" t="s">
        <v>228</v>
      </c>
      <c r="H15" s="132">
        <f t="shared" si="8"/>
        <v>1</v>
      </c>
      <c r="I15" s="137" t="str">
        <f t="shared" si="3"/>
        <v>Catastrófico</v>
      </c>
      <c r="J15" s="138" t="s">
        <v>222</v>
      </c>
      <c r="K15" s="132">
        <f t="shared" si="4"/>
        <v>0.8</v>
      </c>
      <c r="L15" s="137" t="str">
        <f t="shared" si="5"/>
        <v>Mayor</v>
      </c>
      <c r="M15" s="159">
        <f t="shared" si="7"/>
        <v>1</v>
      </c>
      <c r="N15" s="160" t="str">
        <f t="shared" si="6"/>
        <v>Catastrófico</v>
      </c>
      <c r="P15" s="28"/>
      <c r="X15" s="28" t="s">
        <v>214</v>
      </c>
      <c r="Y15" s="28" t="s">
        <v>214</v>
      </c>
    </row>
    <row r="16" spans="1:25" ht="93" customHeight="1">
      <c r="A16" s="20" t="str">
        <f>'2 IDENTIFICACIÓN'!A16</f>
        <v>R7</v>
      </c>
      <c r="B16" s="152" t="str">
        <f>+'2 IDENTIFICACIÓN'!J16</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6" s="153">
        <v>360</v>
      </c>
      <c r="D16" s="130" t="str">
        <f t="shared" si="0"/>
        <v>La actividad que conlleva el riesgo se ejecuta de 24 a 500 veces por año</v>
      </c>
      <c r="E16" s="131">
        <f t="shared" si="1"/>
        <v>0.6</v>
      </c>
      <c r="F16" s="21" t="str">
        <f t="shared" si="2"/>
        <v>Media</v>
      </c>
      <c r="G16" s="138" t="s">
        <v>214</v>
      </c>
      <c r="H16" s="132" t="str">
        <f t="shared" si="8"/>
        <v/>
      </c>
      <c r="I16" s="137" t="str">
        <f t="shared" si="3"/>
        <v/>
      </c>
      <c r="J16" s="138" t="s">
        <v>215</v>
      </c>
      <c r="K16" s="132">
        <f t="shared" si="4"/>
        <v>0.6</v>
      </c>
      <c r="L16" s="137" t="str">
        <f t="shared" si="5"/>
        <v>Moderado</v>
      </c>
      <c r="M16" s="159">
        <f t="shared" si="7"/>
        <v>0.6</v>
      </c>
      <c r="N16" s="160" t="str">
        <f t="shared" si="6"/>
        <v>Moderado</v>
      </c>
    </row>
    <row r="17" spans="1:14" ht="93" customHeight="1">
      <c r="A17" s="20" t="str">
        <f>'2 IDENTIFICACIÓN'!A17</f>
        <v>R8</v>
      </c>
      <c r="B17" s="152" t="str">
        <f>+'2 IDENTIFICACIÓN'!J17</f>
        <v>Posibilidad  de efecto dañoso sobre bienes de uso público por   pérdida, extravío, hurto, robo o declaratoria de bienes muebles faltantes  de la entidad, debido a  la deficiencias en la aplicación de los procedimientos de actualización, custodia y control de inventarios institucionales.</v>
      </c>
      <c r="C17" s="153">
        <v>103</v>
      </c>
      <c r="D17" s="130" t="str">
        <f t="shared" si="0"/>
        <v>La actividad que conlleva el riesgo se ejecuta de 24 a 500 veces por año</v>
      </c>
      <c r="E17" s="131">
        <f t="shared" si="1"/>
        <v>0.6</v>
      </c>
      <c r="F17" s="21" t="str">
        <f t="shared" si="2"/>
        <v>Media</v>
      </c>
      <c r="G17" s="138" t="s">
        <v>221</v>
      </c>
      <c r="H17" s="132">
        <f t="shared" si="8"/>
        <v>0.8</v>
      </c>
      <c r="I17" s="137" t="str">
        <f t="shared" si="3"/>
        <v>Mayor</v>
      </c>
      <c r="J17" s="138" t="s">
        <v>214</v>
      </c>
      <c r="K17" s="132" t="str">
        <f t="shared" si="4"/>
        <v/>
      </c>
      <c r="L17" s="137" t="str">
        <f t="shared" si="5"/>
        <v/>
      </c>
      <c r="M17" s="159">
        <f t="shared" si="7"/>
        <v>0.8</v>
      </c>
      <c r="N17" s="160" t="str">
        <f t="shared" si="6"/>
        <v>Mayor</v>
      </c>
    </row>
    <row r="18" spans="1:14" ht="93" customHeight="1">
      <c r="A18" s="20" t="str">
        <f>'2 IDENTIFICACIÓN'!A18</f>
        <v>R9</v>
      </c>
      <c r="B18" s="152" t="str">
        <f>+'2 IDENTIFICACIÓN'!J18</f>
        <v>Posibilidad  de efecto dañoso sobre el recurso público por pago de sanción e intereses moratorios,  debido a trámite inoportuno a los requerimientos de los entes de control y vigilancia, de acuerdo con sus lineamientos y términos de ley.</v>
      </c>
      <c r="C18" s="153">
        <v>360</v>
      </c>
      <c r="D18" s="130" t="str">
        <f t="shared" si="0"/>
        <v>La actividad que conlleva el riesgo se ejecuta de 24 a 500 veces por año</v>
      </c>
      <c r="E18" s="131">
        <f t="shared" si="1"/>
        <v>0.6</v>
      </c>
      <c r="F18" s="21" t="str">
        <f t="shared" si="2"/>
        <v>Media</v>
      </c>
      <c r="G18" s="138" t="s">
        <v>226</v>
      </c>
      <c r="H18" s="132">
        <f t="shared" si="8"/>
        <v>0.4</v>
      </c>
      <c r="I18" s="137" t="str">
        <f t="shared" si="3"/>
        <v>Menor</v>
      </c>
      <c r="J18" s="138" t="s">
        <v>214</v>
      </c>
      <c r="K18" s="132" t="str">
        <f t="shared" si="4"/>
        <v/>
      </c>
      <c r="L18" s="137" t="str">
        <f t="shared" si="5"/>
        <v/>
      </c>
      <c r="M18" s="159">
        <f t="shared" si="7"/>
        <v>0.4</v>
      </c>
      <c r="N18" s="160" t="str">
        <f t="shared" si="6"/>
        <v>Menor</v>
      </c>
    </row>
    <row r="19" spans="1:14" ht="93" customHeight="1">
      <c r="A19" s="20" t="str">
        <f>'2 IDENTIFICACIÓN'!A19</f>
        <v>R10</v>
      </c>
      <c r="B19" s="152" t="str">
        <f>+'2 IDENTIFICACIÓN'!J19</f>
        <v>Posibilidad  de efecto dañoso sobre el recurso público por  incumplimiento en las obligaciones del contratado, debido a a la deficiencias en la elaboración de especificaciones técnicas y seguimiento de los contratos e interventoría de la Entidad.</v>
      </c>
      <c r="C19" s="331">
        <v>10</v>
      </c>
      <c r="D19" s="130" t="str">
        <f t="shared" si="0"/>
        <v>La actividad que conlleva el riesgo se ejecuta de 3 a 24 veces por año</v>
      </c>
      <c r="E19" s="131">
        <f t="shared" si="1"/>
        <v>0.4</v>
      </c>
      <c r="F19" s="21" t="str">
        <f t="shared" si="2"/>
        <v>Baja</v>
      </c>
      <c r="G19" s="138" t="s">
        <v>228</v>
      </c>
      <c r="H19" s="132">
        <f t="shared" si="8"/>
        <v>1</v>
      </c>
      <c r="I19" s="137" t="str">
        <f t="shared" si="3"/>
        <v>Catastrófico</v>
      </c>
      <c r="J19" s="138" t="s">
        <v>214</v>
      </c>
      <c r="K19" s="132" t="str">
        <f t="shared" si="4"/>
        <v/>
      </c>
      <c r="L19" s="137" t="str">
        <f t="shared" si="5"/>
        <v/>
      </c>
      <c r="M19" s="159">
        <f t="shared" si="7"/>
        <v>1</v>
      </c>
      <c r="N19" s="160" t="str">
        <f t="shared" si="6"/>
        <v>Catastrófico</v>
      </c>
    </row>
    <row r="20" spans="1:14" ht="93" customHeight="1">
      <c r="A20" s="20" t="str">
        <f>'2 IDENTIFICACIÓN'!A20</f>
        <v>R11</v>
      </c>
      <c r="B20" s="152" t="str">
        <f>+'2 IDENTIFICACIÓN'!J20</f>
        <v>Posibilidad  de efecto dañoso sobre el recurso público por el pago de costas procesales derivadas de fallos judiciales dentro de las acciones populares a cargo de la Secretaría de Interior  en contra del ente territorial, debido a al incumplimiento de disposiciones normativas y obligaciones legales aplicables.</v>
      </c>
      <c r="C20" s="331">
        <v>360</v>
      </c>
      <c r="D20" s="130" t="str">
        <f t="shared" si="0"/>
        <v>La actividad que conlleva el riesgo se ejecuta de 24 a 500 veces por año</v>
      </c>
      <c r="E20" s="131">
        <f t="shared" si="1"/>
        <v>0.6</v>
      </c>
      <c r="F20" s="21" t="str">
        <f t="shared" si="2"/>
        <v>Media</v>
      </c>
      <c r="G20" s="138" t="s">
        <v>219</v>
      </c>
      <c r="H20" s="132">
        <f t="shared" si="8"/>
        <v>0.2</v>
      </c>
      <c r="I20" s="137" t="str">
        <f t="shared" si="3"/>
        <v>Leve</v>
      </c>
      <c r="J20" s="138" t="s">
        <v>214</v>
      </c>
      <c r="K20" s="132" t="str">
        <f t="shared" si="4"/>
        <v/>
      </c>
      <c r="L20" s="137" t="str">
        <f t="shared" si="5"/>
        <v/>
      </c>
      <c r="M20" s="159">
        <f t="shared" si="7"/>
        <v>0.2</v>
      </c>
      <c r="N20" s="160" t="str">
        <f t="shared" si="6"/>
        <v>Leve</v>
      </c>
    </row>
    <row r="21" spans="1:14" ht="93" customHeight="1">
      <c r="A21" s="20" t="str">
        <f>'2 IDENTIFICACIÓN'!A21</f>
        <v>R12</v>
      </c>
      <c r="B21" s="152" t="str">
        <f>+'2 IDENTIFICACIÓN'!J21</f>
        <v>Posibilidad  de efecto dañoso sobre el recurso público por  incumplimientos en la gestión contractual durante las etapas precontractual, contractual y postcontractual,  debido a a debilidades en la aplicación y verificación de los requisitos y lineamientos establecidos en la normatividad vigente.</v>
      </c>
      <c r="C21" s="331">
        <v>360</v>
      </c>
      <c r="D21" s="130" t="str">
        <f t="shared" si="0"/>
        <v>La actividad que conlleva el riesgo se ejecuta de 24 a 500 veces por año</v>
      </c>
      <c r="E21" s="131">
        <f t="shared" si="1"/>
        <v>0.6</v>
      </c>
      <c r="F21" s="21" t="str">
        <f t="shared" si="2"/>
        <v>Media</v>
      </c>
      <c r="G21" s="138" t="s">
        <v>221</v>
      </c>
      <c r="H21" s="132">
        <f t="shared" si="8"/>
        <v>0.8</v>
      </c>
      <c r="I21" s="137" t="str">
        <f t="shared" si="3"/>
        <v>Mayor</v>
      </c>
      <c r="J21" s="138" t="s">
        <v>214</v>
      </c>
      <c r="K21" s="132" t="str">
        <f t="shared" si="4"/>
        <v/>
      </c>
      <c r="L21" s="137" t="str">
        <f t="shared" si="5"/>
        <v/>
      </c>
      <c r="M21" s="159">
        <f t="shared" si="7"/>
        <v>0.8</v>
      </c>
      <c r="N21" s="160" t="str">
        <f t="shared" si="6"/>
        <v>Mayor</v>
      </c>
    </row>
    <row r="22" spans="1:14" ht="93" customHeight="1">
      <c r="A22" s="20" t="str">
        <f>'2 IDENTIFICACIÓN'!A22</f>
        <v>R13</v>
      </c>
      <c r="B22" s="152" t="str">
        <f>+'2 IDENTIFICACIÓN'!J22</f>
        <v>Posibilidad de afectación económica por   investigaciones, sanciones y/o condenas promovidas por entes de control,  debido a al Incumplimiento en la cobertura de las garantías que amparan los riesgos definidos en la etapa precontractual de acuerdo al Manual de Contratación M-GJ-1140-170-001</v>
      </c>
      <c r="C22" s="331">
        <v>360</v>
      </c>
      <c r="D22" s="130" t="str">
        <f t="shared" si="0"/>
        <v>La actividad que conlleva el riesgo se ejecuta de 24 a 500 veces por año</v>
      </c>
      <c r="E22" s="131">
        <f t="shared" si="1"/>
        <v>0.6</v>
      </c>
      <c r="F22" s="21" t="str">
        <f t="shared" si="2"/>
        <v>Media</v>
      </c>
      <c r="G22" s="138" t="s">
        <v>232</v>
      </c>
      <c r="H22" s="132">
        <f t="shared" si="8"/>
        <v>0.6</v>
      </c>
      <c r="I22" s="137" t="str">
        <f t="shared" si="3"/>
        <v>Moderado</v>
      </c>
      <c r="J22" s="138" t="s">
        <v>214</v>
      </c>
      <c r="K22" s="132" t="str">
        <f t="shared" si="4"/>
        <v/>
      </c>
      <c r="L22" s="137" t="str">
        <f t="shared" si="5"/>
        <v/>
      </c>
      <c r="M22" s="159">
        <f t="shared" si="7"/>
        <v>0.6</v>
      </c>
      <c r="N22" s="160" t="str">
        <f t="shared" si="6"/>
        <v>Moderado</v>
      </c>
    </row>
    <row r="23" spans="1:14" ht="93" customHeight="1">
      <c r="A23" s="20" t="str">
        <f>'2 IDENTIFICACIÓN'!A23</f>
        <v>R14</v>
      </c>
      <c r="B23" s="152" t="str">
        <f>+'2 IDENTIFICACIÓN'!J23</f>
        <v>Posibilidad de pérdida reputacional por  corrupción mediante la solicitud, ofrecimiento, recepción o aceptación de dádivas, beneficios o incentivos indebidos, a nombre propio o de terceros,  debido a  la  alterar, influir o favorecer alguna de las partes dentro de los procesos policivos adelantados por la Secretaría del Interior</v>
      </c>
      <c r="C23" s="336">
        <v>360</v>
      </c>
      <c r="D23" s="130" t="str">
        <f t="shared" si="0"/>
        <v>La actividad que conlleva el riesgo se ejecuta de 24 a 500 veces por año</v>
      </c>
      <c r="E23" s="131">
        <f t="shared" si="1"/>
        <v>0.6</v>
      </c>
      <c r="F23" s="21" t="str">
        <f t="shared" si="2"/>
        <v>Media</v>
      </c>
      <c r="G23" s="138" t="s">
        <v>214</v>
      </c>
      <c r="H23" s="132" t="str">
        <f t="shared" si="8"/>
        <v/>
      </c>
      <c r="I23" s="137" t="str">
        <f t="shared" si="3"/>
        <v/>
      </c>
      <c r="J23" s="138" t="s">
        <v>222</v>
      </c>
      <c r="K23" s="132">
        <f t="shared" si="4"/>
        <v>0.8</v>
      </c>
      <c r="L23" s="137" t="str">
        <f t="shared" si="5"/>
        <v>Mayor</v>
      </c>
      <c r="M23" s="159">
        <f t="shared" si="7"/>
        <v>0.8</v>
      </c>
      <c r="N23" s="160" t="str">
        <f t="shared" si="6"/>
        <v>Mayor</v>
      </c>
    </row>
    <row r="24" spans="1:14" ht="93" customHeight="1">
      <c r="A24" s="20" t="str">
        <f>'2 IDENTIFICACIÓN'!A24</f>
        <v>R15</v>
      </c>
      <c r="B24" s="152" t="str">
        <f>+'2 IDENTIFICACIÓN'!J24</f>
        <v>Posibilidad de pérdida reputacional por  soborno entrante en los procesos administrativos de la Comisaría de Familia, al recibir o solicitar dádivas o beneficios a nombre propio o de terceros,  debido a  favorecimiento indebido a alguna de las partes en los procesos de la Comisaría de familia adscrita a la Secretaría del Interior.</v>
      </c>
      <c r="C24" s="336">
        <v>360</v>
      </c>
      <c r="D24" s="130" t="str">
        <f t="shared" si="0"/>
        <v>La actividad que conlleva el riesgo se ejecuta de 24 a 500 veces por año</v>
      </c>
      <c r="E24" s="131">
        <f t="shared" si="1"/>
        <v>0.6</v>
      </c>
      <c r="F24" s="21" t="str">
        <f t="shared" si="2"/>
        <v>Media</v>
      </c>
      <c r="G24" s="138" t="s">
        <v>214</v>
      </c>
      <c r="H24" s="132" t="str">
        <f t="shared" si="8"/>
        <v/>
      </c>
      <c r="I24" s="137" t="str">
        <f t="shared" si="3"/>
        <v/>
      </c>
      <c r="J24" s="138" t="s">
        <v>222</v>
      </c>
      <c r="K24" s="132">
        <f t="shared" si="4"/>
        <v>0.8</v>
      </c>
      <c r="L24" s="137" t="str">
        <f t="shared" si="5"/>
        <v>Mayor</v>
      </c>
      <c r="M24" s="159">
        <f t="shared" si="7"/>
        <v>0.8</v>
      </c>
      <c r="N24" s="160" t="str">
        <f t="shared" si="6"/>
        <v>Mayor</v>
      </c>
    </row>
    <row r="25" spans="1:14" ht="93" customHeight="1">
      <c r="A25" s="20" t="str">
        <f>'2 IDENTIFICACIÓN'!A25</f>
        <v>R16</v>
      </c>
      <c r="B25" s="152" t="str">
        <f>+'2 IDENTIFICACIÓN'!J25</f>
        <v>Posibilidad de pérdida reputacional por  Corrupcion  entrante en el proceso de contratación de la Secretaría del Interior, al recibir o solicitar dádivas o beneficios a nombre propio o de terceros, debido a   favorecimiento indebido a alguna de las partes en los procesos de adjudicación de contratos.</v>
      </c>
      <c r="C25" s="336">
        <v>360</v>
      </c>
      <c r="D25" s="130" t="str">
        <f t="shared" si="0"/>
        <v>La actividad que conlleva el riesgo se ejecuta de 24 a 500 veces por año</v>
      </c>
      <c r="E25" s="131">
        <f t="shared" si="1"/>
        <v>0.6</v>
      </c>
      <c r="F25" s="21" t="str">
        <f t="shared" si="2"/>
        <v>Media</v>
      </c>
      <c r="G25" s="138" t="s">
        <v>214</v>
      </c>
      <c r="H25" s="132" t="str">
        <f t="shared" si="8"/>
        <v/>
      </c>
      <c r="I25" s="137" t="str">
        <f t="shared" si="3"/>
        <v/>
      </c>
      <c r="J25" s="138" t="s">
        <v>222</v>
      </c>
      <c r="K25" s="132">
        <f t="shared" si="4"/>
        <v>0.8</v>
      </c>
      <c r="L25" s="137" t="str">
        <f t="shared" si="5"/>
        <v>Mayor</v>
      </c>
      <c r="M25" s="159">
        <f t="shared" si="7"/>
        <v>0.8</v>
      </c>
      <c r="N25" s="160" t="str">
        <f t="shared" si="6"/>
        <v>Mayor</v>
      </c>
    </row>
    <row r="26" spans="1:14" ht="93" customHeight="1">
      <c r="A26" s="20" t="str">
        <f>'2 IDENTIFICACIÓN'!A26</f>
        <v>R17</v>
      </c>
      <c r="B26" s="152" t="str">
        <f>+'2 IDENTIFICACIÓN'!J26</f>
        <v>Posibilidad de pérdida reputacional por  ocupación o desarrollo urbanístico no controlado en zonas intervenidas con obras de mitigación del riesgo, debido a  deficiencias en el seguimiento de las actuaciones policivas y en la articulación interinstitucional para la atención de denuncias, reportes o alertas relacionadas con presuntas infracciones urbanísticas.</v>
      </c>
      <c r="C26" s="336">
        <v>360</v>
      </c>
      <c r="D26" s="130" t="str">
        <f t="shared" si="0"/>
        <v>La actividad que conlleva el riesgo se ejecuta de 24 a 500 veces por año</v>
      </c>
      <c r="E26" s="131">
        <f t="shared" si="1"/>
        <v>0.6</v>
      </c>
      <c r="F26" s="21" t="str">
        <f t="shared" si="2"/>
        <v>Media</v>
      </c>
      <c r="G26" s="138" t="s">
        <v>214</v>
      </c>
      <c r="H26" s="132" t="str">
        <f t="shared" si="8"/>
        <v/>
      </c>
      <c r="I26" s="137" t="str">
        <f t="shared" si="3"/>
        <v/>
      </c>
      <c r="J26" s="138" t="s">
        <v>215</v>
      </c>
      <c r="K26" s="132">
        <f t="shared" si="4"/>
        <v>0.6</v>
      </c>
      <c r="L26" s="137" t="str">
        <f t="shared" si="5"/>
        <v>Moderado</v>
      </c>
      <c r="M26" s="159">
        <f t="shared" si="7"/>
        <v>0.6</v>
      </c>
      <c r="N26" s="160" t="str">
        <f t="shared" si="6"/>
        <v>Moderado</v>
      </c>
    </row>
    <row r="27" spans="1:14" ht="93" hidden="1" customHeight="1">
      <c r="A27" s="20" t="str">
        <f>'2 IDENTIFICACIÓN'!A27</f>
        <v>R18</v>
      </c>
      <c r="B27" s="152" t="str">
        <f>+'2 IDENTIFICACIÓN'!J27</f>
        <v xml:space="preserve"> por  debido a </v>
      </c>
      <c r="C27" s="153"/>
      <c r="D27" s="130" t="str">
        <f t="shared" si="0"/>
        <v/>
      </c>
      <c r="E27" s="131" t="str">
        <f t="shared" si="1"/>
        <v/>
      </c>
      <c r="F27" s="21" t="str">
        <f t="shared" si="2"/>
        <v/>
      </c>
      <c r="G27" s="138"/>
      <c r="H27" s="132" t="str">
        <f t="shared" si="8"/>
        <v/>
      </c>
      <c r="I27" s="137" t="str">
        <f t="shared" si="3"/>
        <v/>
      </c>
      <c r="J27" s="138"/>
      <c r="K27" s="132" t="str">
        <f t="shared" si="4"/>
        <v/>
      </c>
      <c r="L27" s="137" t="str">
        <f t="shared" si="5"/>
        <v/>
      </c>
      <c r="M27" s="159" t="str">
        <f t="shared" si="7"/>
        <v/>
      </c>
      <c r="N27" s="160" t="str">
        <f t="shared" si="6"/>
        <v/>
      </c>
    </row>
    <row r="28" spans="1:14" ht="93" hidden="1" customHeight="1">
      <c r="A28" s="20" t="str">
        <f>'2 IDENTIFICACIÓN'!A28</f>
        <v>R19</v>
      </c>
      <c r="B28" s="152" t="str">
        <f>+'2 IDENTIFICACIÓN'!J28</f>
        <v xml:space="preserve"> por  debido a </v>
      </c>
      <c r="C28" s="153"/>
      <c r="D28" s="130" t="str">
        <f t="shared" si="0"/>
        <v/>
      </c>
      <c r="E28" s="131" t="str">
        <f t="shared" si="1"/>
        <v/>
      </c>
      <c r="F28" s="21" t="str">
        <f t="shared" si="2"/>
        <v/>
      </c>
      <c r="G28" s="138"/>
      <c r="H28" s="132" t="str">
        <f t="shared" si="8"/>
        <v/>
      </c>
      <c r="I28" s="137" t="str">
        <f t="shared" si="3"/>
        <v/>
      </c>
      <c r="J28" s="138"/>
      <c r="K28" s="132" t="str">
        <f t="shared" si="4"/>
        <v/>
      </c>
      <c r="L28" s="137" t="str">
        <f t="shared" si="5"/>
        <v/>
      </c>
      <c r="M28" s="159" t="str">
        <f t="shared" si="7"/>
        <v/>
      </c>
      <c r="N28" s="160" t="str">
        <f t="shared" si="6"/>
        <v/>
      </c>
    </row>
    <row r="29" spans="1:14" ht="93" hidden="1" customHeight="1">
      <c r="A29" s="20" t="str">
        <f>'2 IDENTIFICACIÓN'!A29</f>
        <v>R20</v>
      </c>
      <c r="B29" s="152" t="str">
        <f>+'2 IDENTIFICACIÓN'!J29</f>
        <v xml:space="preserve"> por  debido a </v>
      </c>
      <c r="C29" s="273"/>
      <c r="D29" s="130" t="str">
        <f t="shared" si="0"/>
        <v/>
      </c>
      <c r="E29" s="131" t="str">
        <f t="shared" si="1"/>
        <v/>
      </c>
      <c r="F29" s="21" t="str">
        <f t="shared" si="2"/>
        <v/>
      </c>
      <c r="G29" s="274"/>
      <c r="H29" s="132" t="str">
        <f t="shared" si="8"/>
        <v/>
      </c>
      <c r="I29" s="137" t="str">
        <f t="shared" si="3"/>
        <v/>
      </c>
      <c r="J29" s="274"/>
      <c r="K29" s="132" t="str">
        <f t="shared" si="4"/>
        <v/>
      </c>
      <c r="L29" s="137" t="str">
        <f t="shared" si="5"/>
        <v/>
      </c>
      <c r="M29" s="159" t="str">
        <f t="shared" si="7"/>
        <v/>
      </c>
      <c r="N29" s="160" t="str">
        <f t="shared" si="6"/>
        <v/>
      </c>
    </row>
    <row r="30" spans="1:14" ht="93" hidden="1" customHeight="1">
      <c r="A30" s="20" t="str">
        <f>'2 IDENTIFICACIÓN'!A30</f>
        <v>R21</v>
      </c>
      <c r="B30" s="152" t="str">
        <f>+'2 IDENTIFICACIÓN'!J30</f>
        <v xml:space="preserve"> por  debido a </v>
      </c>
      <c r="C30" s="273"/>
      <c r="D30" s="130" t="str">
        <f t="shared" si="0"/>
        <v/>
      </c>
      <c r="E30" s="131" t="str">
        <f t="shared" si="1"/>
        <v/>
      </c>
      <c r="F30" s="21" t="str">
        <f t="shared" si="2"/>
        <v/>
      </c>
      <c r="G30" s="274"/>
      <c r="H30" s="132" t="str">
        <f t="shared" si="8"/>
        <v/>
      </c>
      <c r="I30" s="137" t="str">
        <f t="shared" si="3"/>
        <v/>
      </c>
      <c r="J30" s="274"/>
      <c r="K30" s="132" t="str">
        <f t="shared" si="4"/>
        <v/>
      </c>
      <c r="L30" s="137" t="str">
        <f t="shared" si="5"/>
        <v/>
      </c>
      <c r="M30" s="159" t="str">
        <f t="shared" si="7"/>
        <v/>
      </c>
      <c r="N30" s="160" t="str">
        <f t="shared" si="6"/>
        <v/>
      </c>
    </row>
    <row r="31" spans="1:14" ht="93" hidden="1" customHeight="1">
      <c r="A31" s="20" t="str">
        <f>'2 IDENTIFICACIÓN'!A31</f>
        <v>R22</v>
      </c>
      <c r="B31" s="152" t="str">
        <f>+'2 IDENTIFICACIÓN'!J31</f>
        <v xml:space="preserve"> por  debido a </v>
      </c>
      <c r="C31" s="273"/>
      <c r="D31" s="130" t="str">
        <f t="shared" si="0"/>
        <v/>
      </c>
      <c r="E31" s="131" t="str">
        <f t="shared" si="1"/>
        <v/>
      </c>
      <c r="F31" s="21" t="str">
        <f t="shared" si="2"/>
        <v/>
      </c>
      <c r="G31" s="274"/>
      <c r="H31" s="132" t="str">
        <f t="shared" si="8"/>
        <v/>
      </c>
      <c r="I31" s="137" t="str">
        <f t="shared" si="3"/>
        <v/>
      </c>
      <c r="J31" s="274"/>
      <c r="K31" s="132" t="str">
        <f t="shared" si="4"/>
        <v/>
      </c>
      <c r="L31" s="137" t="str">
        <f t="shared" si="5"/>
        <v/>
      </c>
      <c r="M31" s="159" t="str">
        <f t="shared" si="7"/>
        <v/>
      </c>
      <c r="N31" s="160" t="str">
        <f t="shared" si="6"/>
        <v/>
      </c>
    </row>
    <row r="32" spans="1:14" ht="93" hidden="1" customHeight="1">
      <c r="A32" s="20" t="str">
        <f>'2 IDENTIFICACIÓN'!A32</f>
        <v>R23</v>
      </c>
      <c r="B32" s="152" t="str">
        <f>+'2 IDENTIFICACIÓN'!J32</f>
        <v xml:space="preserve"> por  debido a </v>
      </c>
      <c r="C32" s="273"/>
      <c r="D32" s="130" t="str">
        <f t="shared" si="0"/>
        <v/>
      </c>
      <c r="E32" s="131" t="str">
        <f t="shared" si="1"/>
        <v/>
      </c>
      <c r="F32" s="21" t="str">
        <f t="shared" si="2"/>
        <v/>
      </c>
      <c r="G32" s="274"/>
      <c r="H32" s="132" t="str">
        <f t="shared" si="8"/>
        <v/>
      </c>
      <c r="I32" s="137" t="str">
        <f t="shared" si="3"/>
        <v/>
      </c>
      <c r="J32" s="274"/>
      <c r="K32" s="132" t="str">
        <f t="shared" si="4"/>
        <v/>
      </c>
      <c r="L32" s="137" t="str">
        <f t="shared" si="5"/>
        <v/>
      </c>
      <c r="M32" s="159" t="str">
        <f t="shared" si="7"/>
        <v/>
      </c>
      <c r="N32" s="160" t="str">
        <f t="shared" si="6"/>
        <v/>
      </c>
    </row>
    <row r="33" spans="1:14" ht="93" hidden="1" customHeight="1">
      <c r="A33" s="20" t="str">
        <f>'2 IDENTIFICACIÓN'!A33</f>
        <v>R24</v>
      </c>
      <c r="B33" s="152" t="str">
        <f>+'2 IDENTIFICACIÓN'!J33</f>
        <v xml:space="preserve"> por  debido a </v>
      </c>
      <c r="C33" s="273"/>
      <c r="D33" s="130" t="str">
        <f t="shared" si="0"/>
        <v/>
      </c>
      <c r="E33" s="131" t="str">
        <f t="shared" si="1"/>
        <v/>
      </c>
      <c r="F33" s="21" t="str">
        <f t="shared" si="2"/>
        <v/>
      </c>
      <c r="G33" s="274"/>
      <c r="H33" s="132" t="str">
        <f t="shared" si="8"/>
        <v/>
      </c>
      <c r="I33" s="137" t="str">
        <f t="shared" si="3"/>
        <v/>
      </c>
      <c r="J33" s="274"/>
      <c r="K33" s="132" t="str">
        <f t="shared" si="4"/>
        <v/>
      </c>
      <c r="L33" s="137" t="str">
        <f t="shared" si="5"/>
        <v/>
      </c>
      <c r="M33" s="159" t="str">
        <f t="shared" si="7"/>
        <v/>
      </c>
      <c r="N33" s="160" t="str">
        <f t="shared" si="6"/>
        <v/>
      </c>
    </row>
    <row r="34" spans="1:14" ht="93" hidden="1" customHeight="1">
      <c r="A34" s="20" t="str">
        <f>'2 IDENTIFICACIÓN'!A34</f>
        <v>R25</v>
      </c>
      <c r="B34" s="152" t="str">
        <f>+'2 IDENTIFICACIÓN'!J34</f>
        <v xml:space="preserve"> por  debido a </v>
      </c>
      <c r="C34" s="273"/>
      <c r="D34" s="130" t="str">
        <f t="shared" si="0"/>
        <v/>
      </c>
      <c r="E34" s="131" t="str">
        <f t="shared" si="1"/>
        <v/>
      </c>
      <c r="F34" s="21" t="str">
        <f t="shared" si="2"/>
        <v/>
      </c>
      <c r="G34" s="274"/>
      <c r="H34" s="132" t="str">
        <f t="shared" si="8"/>
        <v/>
      </c>
      <c r="I34" s="137" t="str">
        <f t="shared" si="3"/>
        <v/>
      </c>
      <c r="J34" s="274"/>
      <c r="K34" s="132" t="str">
        <f t="shared" si="4"/>
        <v/>
      </c>
      <c r="L34" s="137" t="str">
        <f t="shared" si="5"/>
        <v/>
      </c>
      <c r="M34" s="159" t="str">
        <f t="shared" si="7"/>
        <v/>
      </c>
      <c r="N34" s="160" t="str">
        <f t="shared" si="6"/>
        <v/>
      </c>
    </row>
    <row r="35" spans="1:14" ht="93" hidden="1" customHeight="1">
      <c r="A35" s="20" t="str">
        <f>'2 IDENTIFICACIÓN'!A35</f>
        <v>R26</v>
      </c>
      <c r="B35" s="152" t="str">
        <f>+'2 IDENTIFICACIÓN'!J35</f>
        <v xml:space="preserve"> por  debido a </v>
      </c>
      <c r="C35" s="273"/>
      <c r="D35" s="130" t="str">
        <f t="shared" si="0"/>
        <v/>
      </c>
      <c r="E35" s="131" t="str">
        <f t="shared" si="1"/>
        <v/>
      </c>
      <c r="F35" s="21" t="str">
        <f t="shared" si="2"/>
        <v/>
      </c>
      <c r="G35" s="274"/>
      <c r="H35" s="132" t="str">
        <f t="shared" si="8"/>
        <v/>
      </c>
      <c r="I35" s="137" t="str">
        <f t="shared" si="3"/>
        <v/>
      </c>
      <c r="J35" s="274"/>
      <c r="K35" s="132" t="str">
        <f t="shared" si="4"/>
        <v/>
      </c>
      <c r="L35" s="137" t="str">
        <f t="shared" si="5"/>
        <v/>
      </c>
      <c r="M35" s="159" t="str">
        <f t="shared" si="7"/>
        <v/>
      </c>
      <c r="N35" s="160" t="str">
        <f t="shared" si="6"/>
        <v/>
      </c>
    </row>
    <row r="36" spans="1:14" ht="93" hidden="1" customHeight="1">
      <c r="A36" s="20" t="str">
        <f>'2 IDENTIFICACIÓN'!A36</f>
        <v>R27</v>
      </c>
      <c r="B36" s="152" t="str">
        <f>+'2 IDENTIFICACIÓN'!J36</f>
        <v xml:space="preserve"> por  debido a </v>
      </c>
      <c r="C36" s="273"/>
      <c r="D36" s="130" t="str">
        <f t="shared" si="0"/>
        <v/>
      </c>
      <c r="E36" s="131" t="str">
        <f t="shared" si="1"/>
        <v/>
      </c>
      <c r="F36" s="21" t="str">
        <f t="shared" si="2"/>
        <v/>
      </c>
      <c r="G36" s="274"/>
      <c r="H36" s="132" t="str">
        <f t="shared" si="8"/>
        <v/>
      </c>
      <c r="I36" s="137" t="str">
        <f t="shared" si="3"/>
        <v/>
      </c>
      <c r="J36" s="274"/>
      <c r="K36" s="132" t="str">
        <f t="shared" si="4"/>
        <v/>
      </c>
      <c r="L36" s="137" t="str">
        <f t="shared" si="5"/>
        <v/>
      </c>
      <c r="M36" s="159" t="str">
        <f t="shared" si="7"/>
        <v/>
      </c>
      <c r="N36" s="160" t="str">
        <f t="shared" si="6"/>
        <v/>
      </c>
    </row>
    <row r="37" spans="1:14" ht="93" hidden="1" customHeight="1">
      <c r="A37" s="20" t="str">
        <f>'2 IDENTIFICACIÓN'!A37</f>
        <v>R28</v>
      </c>
      <c r="B37" s="152" t="str">
        <f>+'2 IDENTIFICACIÓN'!J37</f>
        <v xml:space="preserve"> por  debido a </v>
      </c>
      <c r="C37" s="273"/>
      <c r="D37" s="130" t="str">
        <f t="shared" si="0"/>
        <v/>
      </c>
      <c r="E37" s="131" t="str">
        <f t="shared" si="1"/>
        <v/>
      </c>
      <c r="F37" s="21" t="str">
        <f t="shared" si="2"/>
        <v/>
      </c>
      <c r="G37" s="274"/>
      <c r="H37" s="132" t="str">
        <f t="shared" si="8"/>
        <v/>
      </c>
      <c r="I37" s="137" t="str">
        <f t="shared" si="3"/>
        <v/>
      </c>
      <c r="J37" s="274"/>
      <c r="K37" s="132" t="str">
        <f t="shared" si="4"/>
        <v/>
      </c>
      <c r="L37" s="137" t="str">
        <f t="shared" si="5"/>
        <v/>
      </c>
      <c r="M37" s="159" t="str">
        <f t="shared" si="7"/>
        <v/>
      </c>
      <c r="N37" s="160" t="str">
        <f t="shared" si="6"/>
        <v/>
      </c>
    </row>
    <row r="38" spans="1:14" ht="93" hidden="1" customHeight="1">
      <c r="A38" s="20" t="str">
        <f>'2 IDENTIFICACIÓN'!A38</f>
        <v>R29</v>
      </c>
      <c r="B38" s="152" t="str">
        <f>+'2 IDENTIFICACIÓN'!J38</f>
        <v xml:space="preserve"> por  debido a </v>
      </c>
      <c r="C38" s="273"/>
      <c r="D38" s="130" t="str">
        <f t="shared" si="0"/>
        <v/>
      </c>
      <c r="E38" s="131" t="str">
        <f t="shared" si="1"/>
        <v/>
      </c>
      <c r="F38" s="21" t="str">
        <f t="shared" si="2"/>
        <v/>
      </c>
      <c r="G38" s="274"/>
      <c r="H38" s="132" t="str">
        <f t="shared" si="8"/>
        <v/>
      </c>
      <c r="I38" s="137" t="str">
        <f t="shared" si="3"/>
        <v/>
      </c>
      <c r="J38" s="274"/>
      <c r="K38" s="132" t="str">
        <f t="shared" si="4"/>
        <v/>
      </c>
      <c r="L38" s="137" t="str">
        <f t="shared" si="5"/>
        <v/>
      </c>
      <c r="M38" s="159" t="str">
        <f t="shared" si="7"/>
        <v/>
      </c>
      <c r="N38" s="160" t="str">
        <f t="shared" si="6"/>
        <v/>
      </c>
    </row>
    <row r="39" spans="1:14" ht="93" hidden="1" customHeight="1" thickBot="1">
      <c r="A39" s="27" t="str">
        <f>'2 IDENTIFICACIÓN'!A39</f>
        <v>R30</v>
      </c>
      <c r="B39" s="320" t="str">
        <f>+'2 IDENTIFICACIÓN'!J39</f>
        <v xml:space="preserve"> por  debido a </v>
      </c>
      <c r="C39" s="154"/>
      <c r="D39" s="321" t="str">
        <f t="shared" si="0"/>
        <v/>
      </c>
      <c r="E39" s="322" t="str">
        <f t="shared" si="1"/>
        <v/>
      </c>
      <c r="F39" s="323" t="str">
        <f t="shared" si="2"/>
        <v/>
      </c>
      <c r="G39" s="139"/>
      <c r="H39" s="324" t="str">
        <f t="shared" si="8"/>
        <v/>
      </c>
      <c r="I39" s="325" t="str">
        <f t="shared" si="3"/>
        <v/>
      </c>
      <c r="J39" s="139"/>
      <c r="K39" s="324" t="str">
        <f t="shared" si="4"/>
        <v/>
      </c>
      <c r="L39" s="325" t="str">
        <f t="shared" si="5"/>
        <v/>
      </c>
      <c r="M39" s="326" t="str">
        <f t="shared" si="7"/>
        <v/>
      </c>
      <c r="N39" s="327" t="str">
        <f t="shared" si="6"/>
        <v/>
      </c>
    </row>
    <row r="40" spans="1:14" ht="14.45" thickBot="1"/>
    <row r="41" spans="1:14" ht="15" thickTop="1" thickBot="1">
      <c r="A41" s="337" t="s">
        <v>84</v>
      </c>
      <c r="B41" s="337"/>
      <c r="C41" s="337"/>
      <c r="D41" s="337"/>
      <c r="E41" s="337"/>
      <c r="F41" s="337"/>
      <c r="G41" s="337"/>
    </row>
    <row r="42" spans="1:14" ht="15" thickTop="1" thickBot="1">
      <c r="A42" s="318" t="s">
        <v>85</v>
      </c>
      <c r="B42" s="337" t="s">
        <v>86</v>
      </c>
      <c r="C42" s="337"/>
      <c r="D42" s="337" t="s">
        <v>87</v>
      </c>
      <c r="E42" s="337"/>
      <c r="F42" s="337" t="s">
        <v>88</v>
      </c>
      <c r="G42" s="337"/>
    </row>
    <row r="43" spans="1:14" ht="93" customHeight="1" thickTop="1" thickBot="1">
      <c r="A43" s="319" t="s">
        <v>89</v>
      </c>
      <c r="B43" s="338">
        <v>46163</v>
      </c>
      <c r="C43" s="338"/>
      <c r="D43" s="339" t="s">
        <v>90</v>
      </c>
      <c r="E43" s="339"/>
      <c r="F43" s="340" t="s">
        <v>91</v>
      </c>
      <c r="G43" s="340"/>
    </row>
    <row r="44" spans="1:14" ht="14.45" thickTop="1"/>
  </sheetData>
  <sheetProtection formatCells="0" formatColumns="0" formatRows="0" sort="0" autoFilter="0" pivotTables="0"/>
  <autoFilter ref="A9:N9" xr:uid="{00000000-0009-0000-0000-000003000000}"/>
  <dataConsolidate/>
  <mergeCells count="18">
    <mergeCell ref="A1:A3"/>
    <mergeCell ref="B1:I2"/>
    <mergeCell ref="B3:I3"/>
    <mergeCell ref="A4:K4"/>
    <mergeCell ref="V8:Y8"/>
    <mergeCell ref="P8:T8"/>
    <mergeCell ref="C8:F8"/>
    <mergeCell ref="G8:I8"/>
    <mergeCell ref="J8:L8"/>
    <mergeCell ref="M8:N8"/>
    <mergeCell ref="G7:N7"/>
    <mergeCell ref="A41:G41"/>
    <mergeCell ref="B42:C42"/>
    <mergeCell ref="D42:E42"/>
    <mergeCell ref="F42:G42"/>
    <mergeCell ref="B43:C43"/>
    <mergeCell ref="D43:E43"/>
    <mergeCell ref="F43:G43"/>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63" operator="equal">
      <formula>$P$14</formula>
    </cfRule>
    <cfRule type="cellIs" dxfId="231" priority="159" operator="equal">
      <formula>$P$10</formula>
    </cfRule>
    <cfRule type="cellIs" dxfId="230" priority="160" operator="equal">
      <formula>$P$11</formula>
    </cfRule>
    <cfRule type="cellIs" dxfId="229" priority="161" operator="equal">
      <formula>$P$12</formula>
    </cfRule>
    <cfRule type="cellIs" dxfId="228" priority="162" operator="equal">
      <formula>$P$13</formula>
    </cfRule>
  </conditionalFormatting>
  <conditionalFormatting sqref="H10:H39">
    <cfRule type="cellIs" dxfId="227" priority="77" operator="equal">
      <formula>$W$11</formula>
    </cfRule>
    <cfRule type="cellIs" dxfId="226" priority="78" operator="equal">
      <formula>$W$12</formula>
    </cfRule>
    <cfRule type="cellIs" dxfId="225" priority="79" operator="equal">
      <formula>$W$13</formula>
    </cfRule>
    <cfRule type="cellIs" dxfId="224" priority="80" operator="equal">
      <formula>$W$14</formula>
    </cfRule>
    <cfRule type="cellIs" dxfId="223" priority="76" operator="equal">
      <formula>$W$10</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Normal="70" workbookViewId="0">
      <selection activeCell="A27" sqref="A27:XFD39"/>
    </sheetView>
  </sheetViews>
  <sheetFormatPr defaultColWidth="0" defaultRowHeight="13.15"/>
  <cols>
    <col min="1" max="1" width="12.7109375" style="46" customWidth="1"/>
    <col min="2" max="2" width="32.42578125" style="51" customWidth="1"/>
    <col min="3" max="3" width="16.42578125" style="46" customWidth="1"/>
    <col min="4" max="4" width="12.42578125" style="51" customWidth="1"/>
    <col min="5" max="5" width="22.7109375" style="51" customWidth="1"/>
    <col min="6" max="6" width="13.42578125" style="51" customWidth="1"/>
    <col min="7" max="7" width="29" style="51" bestFit="1" customWidth="1"/>
    <col min="8" max="8" width="14" style="51" customWidth="1"/>
    <col min="9" max="9" width="13.7109375" style="51" customWidth="1"/>
    <col min="10" max="10" width="29" style="51" bestFit="1" customWidth="1"/>
    <col min="11" max="11" width="18" style="51" customWidth="1"/>
    <col min="12" max="13" width="12.42578125" style="51" customWidth="1"/>
    <col min="14" max="14" width="3.7109375" style="51" customWidth="1"/>
    <col min="15" max="15" width="4.71093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7109375" style="46" hidden="1" customWidth="1"/>
    <col min="30" max="34" width="22.71093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19.899999999999999" customHeight="1" thickTop="1">
      <c r="A1" s="360"/>
      <c r="B1" s="341" t="s">
        <v>92</v>
      </c>
      <c r="C1" s="342"/>
      <c r="D1" s="342"/>
      <c r="E1" s="342"/>
      <c r="F1" s="342"/>
      <c r="G1" s="342"/>
      <c r="H1" s="342"/>
      <c r="I1" s="343"/>
      <c r="J1" s="310" t="s">
        <v>93</v>
      </c>
      <c r="K1" s="311"/>
      <c r="L1" s="260"/>
    </row>
    <row r="2" spans="1:36" s="4" customFormat="1" ht="19.899999999999999" customHeight="1">
      <c r="A2" s="361"/>
      <c r="B2" s="344"/>
      <c r="C2" s="345"/>
      <c r="D2" s="345"/>
      <c r="E2" s="345"/>
      <c r="F2" s="345"/>
      <c r="G2" s="345"/>
      <c r="H2" s="345"/>
      <c r="I2" s="346"/>
      <c r="J2" s="312" t="s">
        <v>94</v>
      </c>
      <c r="K2" s="313"/>
      <c r="L2" s="260"/>
    </row>
    <row r="3" spans="1:36" s="3" customFormat="1" ht="16.149999999999999" thickBot="1">
      <c r="A3" s="362"/>
      <c r="B3" s="347" t="s">
        <v>95</v>
      </c>
      <c r="C3" s="348"/>
      <c r="D3" s="348"/>
      <c r="E3" s="348"/>
      <c r="F3" s="348"/>
      <c r="G3" s="348"/>
      <c r="H3" s="348"/>
      <c r="I3" s="349"/>
      <c r="J3" s="314" t="s">
        <v>96</v>
      </c>
      <c r="K3" s="315"/>
      <c r="L3" s="261"/>
    </row>
    <row r="4" spans="1:36" s="3" customFormat="1" ht="16.899999999999999" customHeight="1" thickTop="1">
      <c r="A4" s="351"/>
      <c r="B4" s="352"/>
      <c r="C4" s="352"/>
      <c r="D4" s="352"/>
      <c r="E4" s="352"/>
      <c r="F4" s="352"/>
      <c r="G4" s="352"/>
      <c r="H4" s="352"/>
      <c r="I4" s="352"/>
      <c r="J4" s="352"/>
      <c r="K4" s="353"/>
    </row>
    <row r="5" spans="1:36" s="4" customFormat="1" ht="27" customHeight="1">
      <c r="A5" s="12" t="s">
        <v>97</v>
      </c>
      <c r="B5" s="272" t="str">
        <f>'2 IDENTIFICACIÓN'!B5</f>
        <v>ALCALDIA DE BUCARAMANGA</v>
      </c>
      <c r="C5" s="267"/>
      <c r="D5" s="267"/>
      <c r="E5" s="268"/>
      <c r="F5" s="251" t="s">
        <v>99</v>
      </c>
      <c r="G5" s="272" t="str">
        <f>'2 IDENTIFICACIÓN'!G5</f>
        <v>SEGURIDAD, PROTECCIÓN Y CONVIVENCIA CIUDADANA</v>
      </c>
      <c r="H5" s="268"/>
      <c r="I5" s="251" t="s">
        <v>101</v>
      </c>
      <c r="J5" s="269">
        <f>'2 IDENTIFICACIÓN'!J5</f>
        <v>2026</v>
      </c>
      <c r="K5" s="270"/>
    </row>
    <row r="6" spans="1:36" s="4" customFormat="1" ht="14.45" thickBot="1">
      <c r="A6" s="165"/>
      <c r="B6" s="262"/>
      <c r="C6" s="262"/>
      <c r="D6" s="262"/>
      <c r="E6" s="262"/>
      <c r="F6" s="263"/>
      <c r="G6" s="264"/>
      <c r="H6" s="264"/>
      <c r="I6" s="264"/>
      <c r="J6" s="264"/>
      <c r="K6" s="264"/>
    </row>
    <row r="7" spans="1:36" s="37" customFormat="1" ht="14.45" thickBot="1">
      <c r="A7" s="165"/>
      <c r="B7" s="164"/>
      <c r="C7" s="164"/>
      <c r="D7" s="40"/>
      <c r="G7" s="444" t="s">
        <v>240</v>
      </c>
      <c r="H7" s="445"/>
      <c r="I7" s="445"/>
      <c r="J7" s="445"/>
      <c r="K7" s="445"/>
      <c r="L7" s="445"/>
      <c r="M7" s="446"/>
      <c r="O7" s="41"/>
      <c r="P7" s="41"/>
      <c r="Q7" s="42"/>
      <c r="R7" s="440" t="s">
        <v>241</v>
      </c>
      <c r="S7" s="440"/>
      <c r="T7" s="440"/>
      <c r="U7" s="440"/>
      <c r="V7" s="441"/>
      <c r="AD7" s="38"/>
      <c r="AE7" s="38"/>
      <c r="AF7" s="38"/>
      <c r="AG7" s="38"/>
      <c r="AH7" s="38"/>
    </row>
    <row r="8" spans="1:36">
      <c r="A8" s="285"/>
      <c r="B8" s="284"/>
      <c r="C8" s="437" t="s">
        <v>242</v>
      </c>
      <c r="D8" s="437"/>
      <c r="E8" s="437"/>
      <c r="F8" s="43"/>
      <c r="G8" s="44"/>
      <c r="H8" s="45"/>
      <c r="I8" s="440" t="s">
        <v>241</v>
      </c>
      <c r="J8" s="440"/>
      <c r="K8" s="440"/>
      <c r="L8" s="440"/>
      <c r="M8" s="441"/>
      <c r="N8" s="43"/>
      <c r="O8" s="47"/>
      <c r="P8" s="47"/>
      <c r="R8" s="48">
        <v>0.2</v>
      </c>
      <c r="S8" s="48">
        <v>0.4</v>
      </c>
      <c r="T8" s="48">
        <v>0.6</v>
      </c>
      <c r="U8" s="48">
        <v>0.8</v>
      </c>
      <c r="V8" s="49">
        <v>1</v>
      </c>
      <c r="W8" s="50"/>
      <c r="X8" s="50"/>
      <c r="Y8" s="50"/>
      <c r="Z8" s="50"/>
      <c r="AA8" s="50"/>
      <c r="AB8" s="50"/>
      <c r="AC8" s="50"/>
    </row>
    <row r="9" spans="1:36" ht="26.45">
      <c r="A9" s="53" t="s">
        <v>243</v>
      </c>
      <c r="B9" s="52" t="s">
        <v>244</v>
      </c>
      <c r="C9" s="53" t="s">
        <v>198</v>
      </c>
      <c r="D9" s="53" t="s">
        <v>199</v>
      </c>
      <c r="E9" s="53" t="s">
        <v>69</v>
      </c>
      <c r="F9" s="43"/>
      <c r="G9" s="47"/>
      <c r="H9" s="55"/>
      <c r="I9" s="56" t="s">
        <v>218</v>
      </c>
      <c r="J9" s="56" t="s">
        <v>225</v>
      </c>
      <c r="K9" s="56" t="s">
        <v>231</v>
      </c>
      <c r="L9" s="56" t="s">
        <v>235</v>
      </c>
      <c r="M9" s="57" t="s">
        <v>238</v>
      </c>
      <c r="N9" s="43"/>
      <c r="O9" s="47"/>
      <c r="P9" s="47"/>
      <c r="Q9" s="58"/>
      <c r="R9" s="59" t="s">
        <v>218</v>
      </c>
      <c r="S9" s="59" t="s">
        <v>225</v>
      </c>
      <c r="T9" s="59" t="s">
        <v>231</v>
      </c>
      <c r="U9" s="59" t="s">
        <v>235</v>
      </c>
      <c r="V9" s="60" t="s">
        <v>238</v>
      </c>
      <c r="Y9" s="50"/>
      <c r="Z9" s="50"/>
      <c r="AA9" s="61"/>
      <c r="AB9" s="61"/>
      <c r="AC9" s="61"/>
      <c r="AD9" s="61"/>
      <c r="AE9" s="61"/>
      <c r="AF9" s="61"/>
      <c r="AG9" s="61"/>
      <c r="AH9" s="61"/>
      <c r="AI9" s="61"/>
      <c r="AJ9" s="61"/>
    </row>
    <row r="10" spans="1:36" ht="93" customHeight="1">
      <c r="A10" s="62" t="str">
        <f>'2 IDENTIFICACIÓN'!A10</f>
        <v>R1</v>
      </c>
      <c r="B10" s="63" t="str">
        <f>+'2 IDENTIFICACIÓN'!J10</f>
        <v>Posibilidad de afectación reputacional por  posibles investigaciones y sanciones disciplinarias por entes de control, debido a  incumplimiento de la Ley 594 del 2000 en los documentos generados por la Secretaría del Interior</v>
      </c>
      <c r="C10" s="64" t="str">
        <f>+'3 PROBABIL E IMPACTO INHERENTE'!F10</f>
        <v>Media</v>
      </c>
      <c r="D10" s="64" t="str">
        <f>+'3 PROBABIL E IMPACTO INHERENTE'!N10</f>
        <v>Moderado</v>
      </c>
      <c r="E10" s="258"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65"/>
      <c r="G10" s="442" t="s">
        <v>211</v>
      </c>
      <c r="H10" s="56" t="s">
        <v>236</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38" t="s">
        <v>211</v>
      </c>
      <c r="P10" s="68">
        <v>1</v>
      </c>
      <c r="Q10" s="59" t="s">
        <v>236</v>
      </c>
      <c r="R10" s="66" t="s">
        <v>245</v>
      </c>
      <c r="S10" s="66" t="s">
        <v>245</v>
      </c>
      <c r="T10" s="66" t="s">
        <v>245</v>
      </c>
      <c r="U10" s="66" t="s">
        <v>245</v>
      </c>
      <c r="V10" s="67" t="s">
        <v>246</v>
      </c>
      <c r="Y10" s="50"/>
      <c r="Z10" s="50"/>
      <c r="AA10" s="61"/>
      <c r="AB10" s="61"/>
      <c r="AC10" s="61"/>
      <c r="AD10" s="69"/>
      <c r="AE10" s="69"/>
      <c r="AF10" s="69"/>
      <c r="AG10" s="69"/>
      <c r="AH10" s="69"/>
      <c r="AI10" s="61"/>
      <c r="AJ10" s="61"/>
    </row>
    <row r="11" spans="1:36" ht="93" customHeight="1">
      <c r="A11" s="62" t="str">
        <f>'2 IDENTIFICACIÓN'!A11</f>
        <v>R2</v>
      </c>
      <c r="B11" s="63" t="str">
        <f>+'2 IDENTIFICACIÓN'!J11</f>
        <v>Posibilidad de afectación económica y reputacional por  investigaciones y sanciones por entes de control,  debido a   la demora en los procesos de contratación y presupuestal  relacionados con la atención de niños, niñas y adolescentes en período de restablecimiento de derechos (hogar de paso), incumpliendo la Ley 1098 de 2006.</v>
      </c>
      <c r="C11" s="64" t="str">
        <f>+'3 PROBABIL E IMPACTO INHERENTE'!F11</f>
        <v>Media</v>
      </c>
      <c r="D11" s="64" t="str">
        <f>+'3 PROBABIL E IMPACTO INHERENTE'!N11</f>
        <v>Mayor</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Alto</v>
      </c>
      <c r="F11" s="65"/>
      <c r="G11" s="442"/>
      <c r="H11" s="56" t="s">
        <v>233</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38"/>
      <c r="P11" s="68">
        <v>0.8</v>
      </c>
      <c r="Q11" s="59" t="s">
        <v>233</v>
      </c>
      <c r="R11" s="70" t="s">
        <v>231</v>
      </c>
      <c r="S11" s="70" t="s">
        <v>231</v>
      </c>
      <c r="T11" s="66" t="s">
        <v>245</v>
      </c>
      <c r="U11" s="66" t="s">
        <v>245</v>
      </c>
      <c r="V11" s="67" t="s">
        <v>246</v>
      </c>
      <c r="Y11" s="50"/>
      <c r="Z11" s="50"/>
      <c r="AA11" s="61"/>
      <c r="AB11" s="71"/>
      <c r="AC11" s="72"/>
      <c r="AD11" s="69"/>
      <c r="AE11" s="69"/>
      <c r="AF11" s="69"/>
      <c r="AG11" s="69"/>
      <c r="AH11" s="69"/>
      <c r="AI11" s="61"/>
      <c r="AJ11" s="61"/>
    </row>
    <row r="12" spans="1:36" ht="93" customHeight="1">
      <c r="A12" s="62" t="str">
        <f>'2 IDENTIFICACIÓN'!A12</f>
        <v>R3</v>
      </c>
      <c r="B12" s="63" t="str">
        <f>+'2 IDENTIFICACIÓN'!J12</f>
        <v>Posibilidad de afectación reputacional por  debilidades en la planeación, gestión y ejecución de las obligaciones contractuales por parte de las unidades gestoras,  debido a  deficiencias en la supervisión y ejecución oportuna de los procesos contractuales producto de la constitución de reservas presupuestales.</v>
      </c>
      <c r="C12" s="64" t="str">
        <f>+'3 PROBABIL E IMPACTO INHERENTE'!F12</f>
        <v>Media</v>
      </c>
      <c r="D12" s="64" t="str">
        <f>+'3 PROBABIL E IMPACTO INHERENTE'!N12</f>
        <v>Catastrófico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Extremo</v>
      </c>
      <c r="F12" s="65"/>
      <c r="G12" s="442"/>
      <c r="H12" s="56" t="s">
        <v>229</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R11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R9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R1    R5  R7      R13    R17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 R2      R8    R12  R14 R15 R16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R3   R6              </v>
      </c>
      <c r="N12" s="65"/>
      <c r="O12" s="438"/>
      <c r="P12" s="68">
        <v>0.6</v>
      </c>
      <c r="Q12" s="59" t="s">
        <v>229</v>
      </c>
      <c r="R12" s="70" t="s">
        <v>231</v>
      </c>
      <c r="S12" s="70" t="s">
        <v>231</v>
      </c>
      <c r="T12" s="70" t="s">
        <v>231</v>
      </c>
      <c r="U12" s="66" t="s">
        <v>245</v>
      </c>
      <c r="V12" s="67" t="s">
        <v>246</v>
      </c>
      <c r="Y12" s="50"/>
      <c r="Z12" s="50"/>
      <c r="AA12" s="61"/>
      <c r="AB12" s="71"/>
      <c r="AC12" s="72"/>
      <c r="AD12" s="69"/>
      <c r="AE12" s="69"/>
      <c r="AF12" s="69"/>
      <c r="AG12" s="69"/>
      <c r="AH12" s="73"/>
      <c r="AI12" s="61"/>
      <c r="AJ12" s="61"/>
    </row>
    <row r="13" spans="1:36" ht="93" customHeight="1">
      <c r="A13" s="62" t="str">
        <f>'2 IDENTIFICACIÓN'!A13</f>
        <v>R4</v>
      </c>
      <c r="B13" s="63" t="str">
        <f>+'2 IDENTIFICACIÓN'!J13</f>
        <v>Posibilidad de afectación económica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v>
      </c>
      <c r="C13" s="64" t="str">
        <f>+'3 PROBABIL E IMPACTO INHERENTE'!F13</f>
        <v>Baja</v>
      </c>
      <c r="D13" s="64" t="str">
        <f>+'3 PROBABIL E IMPACTO INHERENTE'!N13</f>
        <v>Mayor</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Alto</v>
      </c>
      <c r="F13" s="65"/>
      <c r="G13" s="442"/>
      <c r="H13" s="56" t="s">
        <v>223</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R4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R10          </v>
      </c>
      <c r="N13" s="65"/>
      <c r="O13" s="438"/>
      <c r="P13" s="68">
        <v>0.4</v>
      </c>
      <c r="Q13" s="59" t="s">
        <v>223</v>
      </c>
      <c r="R13" s="74" t="s">
        <v>247</v>
      </c>
      <c r="S13" s="70" t="s">
        <v>231</v>
      </c>
      <c r="T13" s="70" t="s">
        <v>231</v>
      </c>
      <c r="U13" s="66" t="s">
        <v>245</v>
      </c>
      <c r="V13" s="67" t="s">
        <v>246</v>
      </c>
      <c r="Y13" s="50"/>
      <c r="Z13" s="50"/>
      <c r="AA13" s="61"/>
      <c r="AB13" s="71"/>
      <c r="AC13" s="72"/>
      <c r="AD13" s="69"/>
      <c r="AE13" s="69"/>
      <c r="AF13" s="69"/>
      <c r="AG13" s="73"/>
      <c r="AH13" s="69"/>
      <c r="AI13" s="61"/>
      <c r="AJ13" s="61"/>
    </row>
    <row r="14" spans="1:36" ht="93" customHeight="1" thickBot="1">
      <c r="A14" s="62" t="str">
        <f>'2 IDENTIFICACIÓN'!A14</f>
        <v>R5</v>
      </c>
      <c r="B14" s="63" t="str">
        <f>+'2 IDENTIFICACIÓN'!J14</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4" s="64" t="str">
        <f>+'3 PROBABIL E IMPACTO INHERENTE'!F14</f>
        <v>Media</v>
      </c>
      <c r="D14" s="64" t="str">
        <f>+'3 PROBABIL E IMPACTO INHERENTE'!N14</f>
        <v>Moderado</v>
      </c>
      <c r="E14" s="63" t="str">
        <f t="shared" si="0"/>
        <v>Moderado</v>
      </c>
      <c r="F14" s="65"/>
      <c r="G14" s="443"/>
      <c r="H14" s="75" t="s">
        <v>216</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39"/>
      <c r="P14" s="80">
        <v>0.2</v>
      </c>
      <c r="Q14" s="81" t="s">
        <v>216</v>
      </c>
      <c r="R14" s="76" t="s">
        <v>247</v>
      </c>
      <c r="S14" s="76" t="s">
        <v>247</v>
      </c>
      <c r="T14" s="77" t="s">
        <v>231</v>
      </c>
      <c r="U14" s="78" t="s">
        <v>245</v>
      </c>
      <c r="V14" s="79" t="s">
        <v>246</v>
      </c>
      <c r="Y14" s="50"/>
      <c r="Z14" s="50"/>
      <c r="AA14" s="61"/>
      <c r="AB14" s="71"/>
      <c r="AC14" s="72"/>
      <c r="AD14" s="69"/>
      <c r="AE14" s="69"/>
      <c r="AF14" s="69"/>
      <c r="AG14" s="82"/>
      <c r="AH14" s="69"/>
      <c r="AI14" s="61"/>
      <c r="AJ14" s="61"/>
    </row>
    <row r="15" spans="1:36" ht="93" customHeight="1">
      <c r="A15" s="62" t="str">
        <f>'2 IDENTIFICACIÓN'!A15</f>
        <v>R6</v>
      </c>
      <c r="B15" s="63" t="str">
        <f>+'2 IDENTIFICACIÓN'!J15</f>
        <v>Posibilidad de afectación económica y reputacional por investigaciones y sanciones disciplinarias por entes de control,  debido a la falta de seguimiento al cumplimiento de metas del Plan de Desarrollo Municipal programadas para la vigencia.</v>
      </c>
      <c r="C15" s="64" t="str">
        <f>+'3 PROBABIL E IMPACTO INHERENTE'!F15</f>
        <v>Media</v>
      </c>
      <c r="D15" s="64" t="str">
        <f>+'3 PROBABIL E IMPACTO INHERENTE'!N15</f>
        <v>Catastrófico</v>
      </c>
      <c r="E15" s="63" t="str">
        <f t="shared" si="0"/>
        <v>Extremo</v>
      </c>
      <c r="F15" s="65"/>
      <c r="G15" s="65"/>
      <c r="H15" s="65"/>
      <c r="I15" s="65"/>
      <c r="J15" s="65"/>
      <c r="K15" s="65"/>
      <c r="L15" s="65"/>
      <c r="M15" s="65"/>
      <c r="N15" s="65"/>
      <c r="Y15" s="50"/>
      <c r="Z15" s="50"/>
      <c r="AA15" s="61"/>
      <c r="AB15" s="71"/>
      <c r="AC15" s="72"/>
      <c r="AD15" s="69"/>
      <c r="AE15" s="69"/>
      <c r="AF15" s="69"/>
      <c r="AG15" s="69"/>
      <c r="AH15" s="69"/>
      <c r="AI15" s="61"/>
      <c r="AJ15" s="61"/>
    </row>
    <row r="16" spans="1:36" ht="93" customHeight="1">
      <c r="A16" s="62" t="str">
        <f>'2 IDENTIFICACIÓN'!A16</f>
        <v>R7</v>
      </c>
      <c r="B16" s="63" t="str">
        <f>+'2 IDENTIFICACIÓN'!J16</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6" s="64" t="str">
        <f>+'3 PROBABIL E IMPACTO INHERENTE'!F16</f>
        <v>Media</v>
      </c>
      <c r="D16" s="64" t="str">
        <f>+'3 PROBABIL E IMPACTO INHERENTE'!N16</f>
        <v>Moderado</v>
      </c>
      <c r="E16" s="63" t="str">
        <f t="shared" si="0"/>
        <v>Moderado</v>
      </c>
      <c r="F16" s="65"/>
      <c r="G16" s="65"/>
      <c r="H16" s="65"/>
      <c r="I16" s="65"/>
      <c r="J16" s="65"/>
      <c r="K16" s="65"/>
      <c r="L16" s="65"/>
      <c r="M16" s="65"/>
      <c r="N16" s="65"/>
      <c r="R16" s="53" t="s">
        <v>248</v>
      </c>
      <c r="T16" s="50"/>
      <c r="U16" s="50"/>
      <c r="V16" s="50"/>
      <c r="W16" s="50"/>
      <c r="X16" s="50"/>
      <c r="Y16" s="50"/>
      <c r="Z16" s="50"/>
      <c r="AA16" s="61"/>
      <c r="AB16" s="71"/>
      <c r="AC16" s="61"/>
      <c r="AD16" s="72"/>
      <c r="AE16" s="72"/>
      <c r="AF16" s="72"/>
      <c r="AG16" s="72"/>
      <c r="AH16" s="72"/>
      <c r="AI16" s="61"/>
      <c r="AJ16" s="61"/>
    </row>
    <row r="17" spans="1:36" ht="93" customHeight="1">
      <c r="A17" s="62" t="str">
        <f>'2 IDENTIFICACIÓN'!A17</f>
        <v>R8</v>
      </c>
      <c r="B17" s="63" t="str">
        <f>+'2 IDENTIFICACIÓN'!J17</f>
        <v>Posibilidad  de efecto dañoso sobre bienes de uso público por   pérdida, extravío, hurto, robo o declaratoria de bienes muebles faltantes  de la entidad, debido a  la deficiencias en la aplicación de los procedimientos de actualización, custodia y control de inventarios institucionales.</v>
      </c>
      <c r="C17" s="64" t="str">
        <f>+'3 PROBABIL E IMPACTO INHERENTE'!F17</f>
        <v>Media</v>
      </c>
      <c r="D17" s="64" t="str">
        <f>+'3 PROBABIL E IMPACTO INHERENTE'!N17</f>
        <v>Mayor</v>
      </c>
      <c r="E17" s="63" t="str">
        <f t="shared" si="0"/>
        <v>Alto</v>
      </c>
      <c r="F17" s="65"/>
      <c r="G17" s="65"/>
      <c r="H17" s="65"/>
      <c r="I17" s="65"/>
      <c r="J17" s="65"/>
      <c r="K17" s="65"/>
      <c r="L17" s="65"/>
      <c r="M17" s="65"/>
      <c r="N17" s="65"/>
      <c r="R17" s="83" t="s">
        <v>246</v>
      </c>
      <c r="T17" s="50"/>
      <c r="U17" s="50"/>
      <c r="V17" s="50"/>
      <c r="W17" s="50"/>
      <c r="X17" s="50"/>
      <c r="Y17" s="50"/>
      <c r="Z17" s="50"/>
      <c r="AA17" s="61"/>
      <c r="AB17" s="61"/>
      <c r="AC17" s="61"/>
      <c r="AD17" s="69"/>
      <c r="AE17" s="69"/>
      <c r="AF17" s="69"/>
      <c r="AG17" s="69"/>
      <c r="AH17" s="69"/>
      <c r="AI17" s="61"/>
      <c r="AJ17" s="61"/>
    </row>
    <row r="18" spans="1:36" ht="93" customHeight="1">
      <c r="A18" s="62" t="str">
        <f>'2 IDENTIFICACIÓN'!A18</f>
        <v>R9</v>
      </c>
      <c r="B18" s="63" t="str">
        <f>+'2 IDENTIFICACIÓN'!J18</f>
        <v>Posibilidad  de efecto dañoso sobre el recurso público por pago de sanción e intereses moratorios,  debido a trámite inoportuno a los requerimientos de los entes de control y vigilancia, de acuerdo con sus lineamientos y términos de ley.</v>
      </c>
      <c r="C18" s="64" t="str">
        <f>+'3 PROBABIL E IMPACTO INHERENTE'!F18</f>
        <v>Media</v>
      </c>
      <c r="D18" s="64" t="str">
        <f>+'3 PROBABIL E IMPACTO INHERENTE'!N18</f>
        <v>Menor</v>
      </c>
      <c r="E18" s="63" t="str">
        <f t="shared" si="0"/>
        <v>Moderado</v>
      </c>
      <c r="F18" s="65"/>
      <c r="G18" s="65"/>
      <c r="H18" s="65"/>
      <c r="I18" s="65"/>
      <c r="J18" s="65"/>
      <c r="K18" s="65"/>
      <c r="L18" s="65"/>
      <c r="M18" s="65"/>
      <c r="N18" s="65"/>
      <c r="R18" s="66" t="s">
        <v>245</v>
      </c>
      <c r="S18" s="50"/>
      <c r="T18" s="50"/>
      <c r="U18" s="50"/>
      <c r="V18" s="50"/>
      <c r="W18" s="50"/>
      <c r="X18" s="50"/>
      <c r="Y18" s="50"/>
      <c r="Z18" s="50"/>
      <c r="AA18" s="61"/>
      <c r="AB18" s="61"/>
      <c r="AC18" s="61"/>
      <c r="AD18" s="69"/>
      <c r="AE18" s="69"/>
      <c r="AF18" s="69"/>
      <c r="AG18" s="69"/>
      <c r="AH18" s="69"/>
      <c r="AI18" s="61"/>
      <c r="AJ18" s="61"/>
    </row>
    <row r="19" spans="1:36" ht="93" customHeight="1">
      <c r="A19" s="62" t="str">
        <f>'2 IDENTIFICACIÓN'!A19</f>
        <v>R10</v>
      </c>
      <c r="B19" s="63" t="str">
        <f>+'2 IDENTIFICACIÓN'!J19</f>
        <v>Posibilidad  de efecto dañoso sobre el recurso público por  incumplimiento en las obligaciones del contratado, debido a a la deficiencias en la elaboración de especificaciones técnicas y seguimiento de los contratos e interventoría de la Entidad.</v>
      </c>
      <c r="C19" s="64" t="str">
        <f>+'3 PROBABIL E IMPACTO INHERENTE'!F19</f>
        <v>Baja</v>
      </c>
      <c r="D19" s="64" t="str">
        <f>+'3 PROBABIL E IMPACTO INHERENTE'!N19</f>
        <v>Catastrófico</v>
      </c>
      <c r="E19" s="63" t="str">
        <f t="shared" si="0"/>
        <v>Extremo</v>
      </c>
      <c r="F19" s="65"/>
      <c r="G19" s="65"/>
      <c r="H19" s="65"/>
      <c r="I19" s="65"/>
      <c r="J19" s="65"/>
      <c r="K19" s="65"/>
      <c r="L19" s="65"/>
      <c r="M19" s="65"/>
      <c r="N19" s="65"/>
      <c r="Q19" s="84"/>
      <c r="R19" s="70" t="s">
        <v>231</v>
      </c>
      <c r="S19" s="84"/>
      <c r="T19" s="84"/>
      <c r="U19" s="84"/>
      <c r="V19" s="84"/>
      <c r="W19" s="84"/>
      <c r="X19" s="84"/>
      <c r="Y19" s="84"/>
      <c r="Z19" s="84"/>
      <c r="AA19" s="61"/>
      <c r="AB19" s="61"/>
      <c r="AC19" s="85"/>
      <c r="AD19" s="85"/>
      <c r="AE19" s="85"/>
      <c r="AF19" s="85"/>
      <c r="AG19" s="85"/>
      <c r="AH19" s="85"/>
      <c r="AI19" s="61"/>
      <c r="AJ19" s="61"/>
    </row>
    <row r="20" spans="1:36" ht="93" customHeight="1">
      <c r="A20" s="62" t="str">
        <f>'2 IDENTIFICACIÓN'!A20</f>
        <v>R11</v>
      </c>
      <c r="B20" s="63" t="str">
        <f>+'2 IDENTIFICACIÓN'!J20</f>
        <v>Posibilidad  de efecto dañoso sobre el recurso público por el pago de costas procesales derivadas de fallos judiciales dentro de las acciones populares a cargo de la Secretaría de Interior  en contra del ente territorial, debido a al incumplimiento de disposiciones normativas y obligaciones legales aplicables.</v>
      </c>
      <c r="C20" s="64" t="str">
        <f>+'3 PROBABIL E IMPACTO INHERENTE'!F20</f>
        <v>Media</v>
      </c>
      <c r="D20" s="64" t="str">
        <f>+'3 PROBABIL E IMPACTO INHERENTE'!N20</f>
        <v>Leve</v>
      </c>
      <c r="E20" s="63" t="str">
        <f t="shared" si="0"/>
        <v>Moderado</v>
      </c>
      <c r="F20" s="65"/>
      <c r="G20" s="65"/>
      <c r="H20" s="65"/>
      <c r="I20" s="65"/>
      <c r="J20" s="65"/>
      <c r="K20" s="65"/>
      <c r="L20" s="65"/>
      <c r="M20" s="65"/>
      <c r="N20" s="65"/>
      <c r="Q20" s="84"/>
      <c r="R20" s="74" t="s">
        <v>247</v>
      </c>
      <c r="Y20" s="84"/>
      <c r="Z20" s="84"/>
      <c r="AA20" s="61"/>
      <c r="AB20" s="61"/>
      <c r="AC20" s="61"/>
      <c r="AD20" s="69"/>
      <c r="AE20" s="69"/>
      <c r="AF20" s="69"/>
      <c r="AG20" s="69"/>
      <c r="AH20" s="69"/>
      <c r="AI20" s="61"/>
      <c r="AJ20" s="61"/>
    </row>
    <row r="21" spans="1:36" ht="93" customHeight="1">
      <c r="A21" s="62" t="str">
        <f>'2 IDENTIFICACIÓN'!A21</f>
        <v>R12</v>
      </c>
      <c r="B21" s="63" t="str">
        <f>+'2 IDENTIFICACIÓN'!J21</f>
        <v>Posibilidad  de efecto dañoso sobre el recurso público por  incumplimientos en la gestión contractual durante las etapas precontractual, contractual y postcontractual,  debido a a debilidades en la aplicación y verificación de los requisitos y lineamientos establecidos en la normatividad vigente.</v>
      </c>
      <c r="C21" s="64" t="str">
        <f>+'3 PROBABIL E IMPACTO INHERENTE'!F21</f>
        <v>Media</v>
      </c>
      <c r="D21" s="64" t="str">
        <f>+'3 PROBABIL E IMPACTO INHERENTE'!N21</f>
        <v>Mayor</v>
      </c>
      <c r="E21" s="63" t="str">
        <f t="shared" si="0"/>
        <v>Alto</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customHeight="1">
      <c r="A22" s="62" t="str">
        <f>'2 IDENTIFICACIÓN'!A22</f>
        <v>R13</v>
      </c>
      <c r="B22" s="63" t="str">
        <f>+'2 IDENTIFICACIÓN'!J22</f>
        <v>Posibilidad de afectación económica por   investigaciones, sanciones y/o condenas promovidas por entes de control,  debido a al Incumplimiento en la cobertura de las garantías que amparan los riesgos definidos en la etapa precontractual de acuerdo al Manual de Contratación M-GJ-1140-170-001</v>
      </c>
      <c r="C22" s="64" t="str">
        <f>+'3 PROBABIL E IMPACTO INHERENTE'!F22</f>
        <v>Media</v>
      </c>
      <c r="D22" s="64" t="str">
        <f>+'3 PROBABIL E IMPACTO INHERENTE'!N22</f>
        <v>Moderado</v>
      </c>
      <c r="E22" s="63" t="str">
        <f t="shared" si="0"/>
        <v>Moderado</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customHeight="1">
      <c r="A23" s="62" t="str">
        <f>'2 IDENTIFICACIÓN'!A23</f>
        <v>R14</v>
      </c>
      <c r="B23" s="63" t="str">
        <f>+'2 IDENTIFICACIÓN'!J23</f>
        <v>Posibilidad de pérdida reputacional por  corrupción mediante la solicitud, ofrecimiento, recepción o aceptación de dádivas, beneficios o incentivos indebidos, a nombre propio o de terceros,  debido a  la  alterar, influir o favorecer alguna de las partes dentro de los procesos policivos adelantados por la Secretaría del Interior</v>
      </c>
      <c r="C23" s="64" t="str">
        <f>+'3 PROBABIL E IMPACTO INHERENTE'!F23</f>
        <v>Media</v>
      </c>
      <c r="D23" s="64" t="str">
        <f>+'3 PROBABIL E IMPACTO INHERENTE'!N23</f>
        <v>Mayor</v>
      </c>
      <c r="E23" s="63" t="str">
        <f t="shared" si="0"/>
        <v>Alto</v>
      </c>
      <c r="F23" s="65"/>
      <c r="G23" s="65"/>
      <c r="H23" s="65"/>
      <c r="I23" s="65"/>
      <c r="J23" s="65"/>
      <c r="K23" s="65"/>
      <c r="L23" s="65"/>
      <c r="M23" s="65"/>
      <c r="N23" s="65"/>
      <c r="O23" s="86"/>
      <c r="P23" s="86"/>
      <c r="AA23" s="61"/>
      <c r="AB23" s="88"/>
      <c r="AC23" s="88"/>
      <c r="AD23" s="88"/>
      <c r="AE23" s="88"/>
      <c r="AF23" s="88"/>
      <c r="AG23" s="88"/>
      <c r="AH23" s="69"/>
      <c r="AI23" s="61"/>
      <c r="AJ23" s="61"/>
    </row>
    <row r="24" spans="1:36" ht="93" customHeight="1">
      <c r="A24" s="62" t="str">
        <f>'2 IDENTIFICACIÓN'!A24</f>
        <v>R15</v>
      </c>
      <c r="B24" s="63" t="str">
        <f>+'2 IDENTIFICACIÓN'!J24</f>
        <v>Posibilidad de pérdida reputacional por  soborno entrante en los procesos administrativos de la Comisaría de Familia, al recibir o solicitar dádivas o beneficios a nombre propio o de terceros,  debido a  favorecimiento indebido a alguna de las partes en los procesos de la Comisaría de familia adscrita a la Secretaría del Interior.</v>
      </c>
      <c r="C24" s="64" t="str">
        <f>+'3 PROBABIL E IMPACTO INHERENTE'!F24</f>
        <v>Media</v>
      </c>
      <c r="D24" s="64" t="str">
        <f>+'3 PROBABIL E IMPACTO INHERENTE'!N24</f>
        <v>Mayor</v>
      </c>
      <c r="E24" s="63" t="str">
        <f t="shared" si="0"/>
        <v>Alto</v>
      </c>
      <c r="F24" s="65"/>
      <c r="G24" s="65"/>
      <c r="H24" s="65"/>
      <c r="I24" s="65"/>
      <c r="J24" s="65"/>
      <c r="K24" s="65"/>
      <c r="L24" s="65"/>
      <c r="M24" s="65"/>
      <c r="N24" s="65"/>
      <c r="O24" s="86"/>
      <c r="P24" s="86"/>
      <c r="AA24" s="61"/>
      <c r="AB24" s="82"/>
      <c r="AC24" s="82"/>
      <c r="AD24" s="82"/>
      <c r="AE24" s="82"/>
      <c r="AF24" s="82"/>
      <c r="AG24" s="82"/>
      <c r="AH24" s="69"/>
      <c r="AI24" s="61"/>
      <c r="AJ24" s="61"/>
    </row>
    <row r="25" spans="1:36" ht="93" customHeight="1">
      <c r="A25" s="62" t="str">
        <f>'2 IDENTIFICACIÓN'!A25</f>
        <v>R16</v>
      </c>
      <c r="B25" s="63" t="str">
        <f>+'2 IDENTIFICACIÓN'!J25</f>
        <v>Posibilidad de pérdida reputacional por  Corrupcion  entrante en el proceso de contratación de la Secretaría del Interior, al recibir o solicitar dádivas o beneficios a nombre propio o de terceros, debido a   favorecimiento indebido a alguna de las partes en los procesos de adjudicación de contratos.</v>
      </c>
      <c r="C25" s="64" t="str">
        <f>+'3 PROBABIL E IMPACTO INHERENTE'!F25</f>
        <v>Media</v>
      </c>
      <c r="D25" s="64" t="str">
        <f>+'3 PROBABIL E IMPACTO INHERENTE'!N25</f>
        <v>Mayor</v>
      </c>
      <c r="E25" s="63" t="str">
        <f t="shared" si="0"/>
        <v>Alto</v>
      </c>
      <c r="F25" s="65"/>
      <c r="G25" s="65"/>
      <c r="H25" s="65"/>
      <c r="I25" s="65"/>
      <c r="J25" s="65"/>
      <c r="K25" s="65"/>
      <c r="L25" s="65"/>
      <c r="M25" s="65"/>
      <c r="N25" s="65"/>
      <c r="AA25" s="61"/>
      <c r="AB25" s="82"/>
      <c r="AC25" s="82"/>
      <c r="AD25" s="82"/>
      <c r="AE25" s="82"/>
      <c r="AF25" s="82"/>
      <c r="AG25" s="82"/>
      <c r="AH25" s="69"/>
      <c r="AI25" s="61"/>
      <c r="AJ25" s="61"/>
    </row>
    <row r="26" spans="1:36" ht="93" customHeight="1">
      <c r="A26" s="62" t="str">
        <f>'2 IDENTIFICACIÓN'!A26</f>
        <v>R17</v>
      </c>
      <c r="B26" s="63" t="str">
        <f>+'2 IDENTIFICACIÓN'!J26</f>
        <v>Posibilidad de pérdida reputacional por  ocupación o desarrollo urbanístico no controlado en zonas intervenidas con obras de mitigación del riesgo, debido a  deficiencias en el seguimiento de las actuaciones policivas y en la articulación interinstitucional para la atención de denuncias, reportes o alertas relacionadas con presuntas infracciones urbanísticas.</v>
      </c>
      <c r="C26" s="64" t="str">
        <f>+'3 PROBABIL E IMPACTO INHERENTE'!F26</f>
        <v>Media</v>
      </c>
      <c r="D26" s="64" t="str">
        <f>+'3 PROBABIL E IMPACTO INHERENTE'!N26</f>
        <v>Moderado</v>
      </c>
      <c r="E26" s="63" t="str">
        <f t="shared" si="0"/>
        <v>Moderado</v>
      </c>
      <c r="F26" s="65"/>
      <c r="G26" s="65"/>
      <c r="H26" s="65"/>
      <c r="I26" s="65"/>
      <c r="J26" s="65"/>
      <c r="K26" s="65"/>
      <c r="L26" s="65"/>
      <c r="M26" s="65"/>
      <c r="N26" s="65"/>
    </row>
    <row r="27" spans="1:36" ht="93" hidden="1" customHeight="1">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hidden="1" customHeight="1">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hidden="1" customHeight="1">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hidden="1" customHeight="1">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hidden="1" customHeight="1">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hidden="1" customHeight="1">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hidden="1" customHeight="1">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hidden="1" customHeight="1">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hidden="1" customHeight="1">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hidden="1" customHeight="1">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hidden="1" customHeight="1">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hidden="1" customHeight="1">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hidden="1" customHeight="1">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65" customHeight="1" thickBot="1">
      <c r="B40" s="46"/>
      <c r="D40" s="46"/>
      <c r="E40" s="46"/>
      <c r="F40" s="46"/>
      <c r="G40" s="46"/>
      <c r="H40" s="46"/>
      <c r="I40" s="46"/>
      <c r="J40" s="46"/>
      <c r="K40" s="46"/>
      <c r="L40" s="46"/>
      <c r="M40" s="46"/>
      <c r="N40" s="46"/>
      <c r="Y40" s="51"/>
      <c r="Z40" s="51"/>
      <c r="AA40" s="51"/>
      <c r="AB40" s="51"/>
      <c r="AC40" s="51"/>
      <c r="AD40" s="46"/>
      <c r="AE40" s="46"/>
      <c r="AF40" s="46"/>
      <c r="AG40" s="46"/>
      <c r="AH40" s="46"/>
    </row>
    <row r="41" spans="1:34" ht="14.45" thickTop="1" thickBot="1">
      <c r="A41" s="337" t="s">
        <v>84</v>
      </c>
      <c r="B41" s="337"/>
      <c r="C41" s="337"/>
      <c r="D41" s="337"/>
      <c r="E41" s="337"/>
      <c r="F41" s="337"/>
      <c r="G41" s="337"/>
      <c r="H41" s="46"/>
      <c r="I41" s="46"/>
      <c r="J41" s="46"/>
      <c r="K41" s="46"/>
      <c r="L41" s="46"/>
      <c r="M41" s="46"/>
      <c r="N41" s="46"/>
      <c r="Y41" s="51"/>
      <c r="Z41" s="51"/>
      <c r="AA41" s="51"/>
      <c r="AB41" s="51"/>
      <c r="AC41" s="51"/>
      <c r="AD41" s="46"/>
      <c r="AE41" s="46"/>
      <c r="AF41" s="46"/>
      <c r="AG41" s="46"/>
      <c r="AH41" s="46"/>
    </row>
    <row r="42" spans="1:34" ht="19.5" customHeight="1" thickTop="1" thickBot="1">
      <c r="A42" s="318" t="s">
        <v>85</v>
      </c>
      <c r="B42" s="337" t="s">
        <v>86</v>
      </c>
      <c r="C42" s="337"/>
      <c r="D42" s="337" t="s">
        <v>87</v>
      </c>
      <c r="E42" s="337"/>
      <c r="F42" s="337" t="s">
        <v>88</v>
      </c>
      <c r="G42" s="337"/>
      <c r="H42" s="46"/>
      <c r="I42" s="46"/>
      <c r="J42" s="46"/>
      <c r="K42" s="46"/>
      <c r="L42" s="46"/>
      <c r="M42" s="46"/>
      <c r="N42" s="46"/>
      <c r="Y42" s="51"/>
      <c r="Z42" s="51"/>
      <c r="AA42" s="51"/>
      <c r="AB42" s="51"/>
      <c r="AC42" s="51"/>
      <c r="AD42" s="46"/>
      <c r="AE42" s="46"/>
      <c r="AF42" s="46"/>
      <c r="AG42" s="46"/>
      <c r="AH42" s="46"/>
    </row>
    <row r="43" spans="1:34" ht="73.5" customHeight="1" thickTop="1" thickBot="1">
      <c r="A43" s="319" t="s">
        <v>89</v>
      </c>
      <c r="B43" s="338">
        <v>46163</v>
      </c>
      <c r="C43" s="338"/>
      <c r="D43" s="339" t="s">
        <v>90</v>
      </c>
      <c r="E43" s="339"/>
      <c r="F43" s="340" t="s">
        <v>91</v>
      </c>
      <c r="G43" s="340"/>
      <c r="H43" s="46"/>
      <c r="I43" s="46"/>
      <c r="J43" s="46"/>
      <c r="K43" s="46"/>
      <c r="L43" s="46"/>
      <c r="M43" s="46"/>
      <c r="N43" s="46"/>
      <c r="Y43" s="51"/>
      <c r="Z43" s="51"/>
      <c r="AA43" s="51"/>
      <c r="AB43" s="51"/>
      <c r="AC43" s="51"/>
      <c r="AD43" s="46"/>
      <c r="AE43" s="46"/>
      <c r="AF43" s="46"/>
      <c r="AG43" s="46"/>
      <c r="AH43" s="46"/>
    </row>
    <row r="44" spans="1:34" ht="19.5" customHeight="1" thickTop="1">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7">
    <mergeCell ref="A1:A3"/>
    <mergeCell ref="B1:I2"/>
    <mergeCell ref="B3:I3"/>
    <mergeCell ref="A4:K4"/>
    <mergeCell ref="R7:V7"/>
    <mergeCell ref="C8:E8"/>
    <mergeCell ref="O10:O14"/>
    <mergeCell ref="I8:M8"/>
    <mergeCell ref="G10:G14"/>
    <mergeCell ref="G7:M7"/>
    <mergeCell ref="A41:G41"/>
    <mergeCell ref="B42:C42"/>
    <mergeCell ref="D42:E42"/>
    <mergeCell ref="F42:G42"/>
    <mergeCell ref="B43:C43"/>
    <mergeCell ref="D43:E43"/>
    <mergeCell ref="F43:G43"/>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topLeftCell="L2" zoomScale="90" zoomScaleNormal="90" zoomScaleSheetLayoutView="65" workbookViewId="0">
      <selection activeCell="T106" sqref="T106:T111"/>
    </sheetView>
  </sheetViews>
  <sheetFormatPr defaultColWidth="11.42578125" defaultRowHeight="13.9"/>
  <cols>
    <col min="1" max="1" width="14.7109375" style="29" customWidth="1"/>
    <col min="2" max="2" width="29.42578125" style="29" bestFit="1" customWidth="1"/>
    <col min="3" max="3" width="15.42578125" style="29" customWidth="1"/>
    <col min="4" max="4" width="11.42578125" style="29" customWidth="1"/>
    <col min="5" max="5" width="10.28515625" style="29" customWidth="1"/>
    <col min="6" max="6" width="17.42578125" style="29" customWidth="1"/>
    <col min="7" max="7" width="29.7109375" style="29" customWidth="1"/>
    <col min="8" max="8" width="47.7109375" style="29" customWidth="1"/>
    <col min="9" max="9" width="56.28515625" style="29" customWidth="1"/>
    <col min="10" max="10" width="29" style="29" bestFit="1" customWidth="1"/>
    <col min="11" max="11" width="22.5703125" style="34" customWidth="1"/>
    <col min="12" max="12" width="19.28515625" style="34" customWidth="1"/>
    <col min="13" max="13" width="19.42578125" style="29" bestFit="1" customWidth="1"/>
    <col min="14" max="14" width="12.28515625" style="34" customWidth="1"/>
    <col min="15" max="15" width="18.7109375" style="34" customWidth="1"/>
    <col min="16" max="16" width="16.42578125" style="34" bestFit="1" customWidth="1"/>
    <col min="17" max="17" width="14.42578125" style="34" customWidth="1"/>
    <col min="18" max="18" width="13" style="34" customWidth="1"/>
    <col min="19" max="19" width="13.42578125" style="216" customWidth="1"/>
    <col min="20" max="20" width="19.42578125" style="216" customWidth="1"/>
    <col min="21" max="21" width="12.42578125" style="216"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19.899999999999999" customHeight="1" thickTop="1">
      <c r="A1" s="360"/>
      <c r="B1" s="341" t="s">
        <v>92</v>
      </c>
      <c r="C1" s="342"/>
      <c r="D1" s="342"/>
      <c r="E1" s="342"/>
      <c r="F1" s="342"/>
      <c r="G1" s="342"/>
      <c r="H1" s="342"/>
      <c r="I1" s="343"/>
      <c r="J1" s="310" t="s">
        <v>93</v>
      </c>
      <c r="K1" s="311"/>
      <c r="L1" s="260"/>
    </row>
    <row r="2" spans="1:27" s="4" customFormat="1" ht="19.899999999999999" customHeight="1">
      <c r="A2" s="361"/>
      <c r="B2" s="344"/>
      <c r="C2" s="345"/>
      <c r="D2" s="345"/>
      <c r="E2" s="345"/>
      <c r="F2" s="345"/>
      <c r="G2" s="345"/>
      <c r="H2" s="345"/>
      <c r="I2" s="346"/>
      <c r="J2" s="312" t="s">
        <v>94</v>
      </c>
      <c r="K2" s="313"/>
      <c r="L2" s="260"/>
    </row>
    <row r="3" spans="1:27" s="3" customFormat="1" ht="16.149999999999999" thickBot="1">
      <c r="A3" s="362"/>
      <c r="B3" s="347" t="s">
        <v>95</v>
      </c>
      <c r="C3" s="348"/>
      <c r="D3" s="348"/>
      <c r="E3" s="348"/>
      <c r="F3" s="348"/>
      <c r="G3" s="348"/>
      <c r="H3" s="348"/>
      <c r="I3" s="349"/>
      <c r="J3" s="314" t="s">
        <v>96</v>
      </c>
      <c r="K3" s="315"/>
      <c r="L3" s="261"/>
    </row>
    <row r="4" spans="1:27" s="3" customFormat="1" ht="16.899999999999999" customHeight="1" thickTop="1">
      <c r="A4" s="351"/>
      <c r="B4" s="352"/>
      <c r="C4" s="352"/>
      <c r="D4" s="352"/>
      <c r="E4" s="352"/>
      <c r="F4" s="352"/>
      <c r="G4" s="352"/>
      <c r="H4" s="352"/>
      <c r="I4" s="352"/>
      <c r="J4" s="352"/>
      <c r="K4" s="353"/>
    </row>
    <row r="5" spans="1:27" s="4" customFormat="1" ht="27" customHeight="1">
      <c r="A5" s="12" t="s">
        <v>97</v>
      </c>
      <c r="B5" s="266" t="str">
        <f>'2 IDENTIFICACIÓN'!B5</f>
        <v>ALCALDIA DE BUCARAMANGA</v>
      </c>
      <c r="C5" s="267"/>
      <c r="D5" s="267"/>
      <c r="E5" s="268"/>
      <c r="F5" s="251" t="s">
        <v>99</v>
      </c>
      <c r="G5" s="266" t="str">
        <f>'2 IDENTIFICACIÓN'!G5</f>
        <v>SEGURIDAD, PROTECCIÓN Y CONVIVENCIA CIUDADANA</v>
      </c>
      <c r="H5" s="268"/>
      <c r="I5" s="251" t="s">
        <v>101</v>
      </c>
      <c r="J5" s="286">
        <f>'2 IDENTIFICACIÓN'!J5</f>
        <v>2026</v>
      </c>
      <c r="K5" s="270"/>
    </row>
    <row r="6" spans="1:27" s="4" customFormat="1">
      <c r="A6" s="165"/>
      <c r="B6" s="262"/>
      <c r="C6" s="262"/>
      <c r="D6" s="262"/>
      <c r="E6" s="262"/>
      <c r="F6" s="263"/>
      <c r="G6" s="264"/>
      <c r="H6" s="264"/>
      <c r="I6" s="264"/>
      <c r="J6" s="168"/>
      <c r="K6" s="264"/>
      <c r="S6" s="465" t="s">
        <v>249</v>
      </c>
      <c r="T6" s="465" t="s">
        <v>250</v>
      </c>
      <c r="U6" s="465" t="s">
        <v>65</v>
      </c>
    </row>
    <row r="7" spans="1:27" s="32" customFormat="1" ht="16.5" customHeight="1">
      <c r="A7" s="165"/>
      <c r="B7" s="164"/>
      <c r="C7" s="164"/>
      <c r="D7" s="111"/>
      <c r="E7" s="31"/>
      <c r="F7" s="30" t="s">
        <v>251</v>
      </c>
      <c r="G7" s="31"/>
      <c r="H7" s="31"/>
      <c r="I7" s="31"/>
      <c r="J7" s="478" t="s">
        <v>252</v>
      </c>
      <c r="K7" s="479"/>
      <c r="L7" s="479"/>
      <c r="M7" s="479"/>
      <c r="N7" s="479"/>
      <c r="O7" s="479"/>
      <c r="P7" s="479"/>
      <c r="Q7" s="479"/>
      <c r="R7" s="480"/>
      <c r="S7" s="466"/>
      <c r="T7" s="466"/>
      <c r="U7" s="466"/>
      <c r="V7" s="111"/>
      <c r="W7" s="111"/>
      <c r="X7" s="28"/>
      <c r="Y7" s="17" t="s">
        <v>206</v>
      </c>
      <c r="Z7" s="18" t="s">
        <v>253</v>
      </c>
      <c r="AA7" s="19" t="s">
        <v>254</v>
      </c>
    </row>
    <row r="8" spans="1:27" ht="29.25" customHeight="1">
      <c r="A8" s="447" t="s">
        <v>200</v>
      </c>
      <c r="B8" s="447" t="s">
        <v>201</v>
      </c>
      <c r="C8" s="447" t="s">
        <v>255</v>
      </c>
      <c r="D8" s="447" t="s">
        <v>256</v>
      </c>
      <c r="E8" s="468" t="s">
        <v>257</v>
      </c>
      <c r="F8" s="473" t="s">
        <v>47</v>
      </c>
      <c r="G8" s="474"/>
      <c r="H8" s="468"/>
      <c r="I8" s="142"/>
      <c r="J8" s="470" t="s">
        <v>258</v>
      </c>
      <c r="K8" s="471"/>
      <c r="L8" s="471"/>
      <c r="M8" s="471"/>
      <c r="N8" s="472"/>
      <c r="O8" s="475" t="s">
        <v>259</v>
      </c>
      <c r="P8" s="476"/>
      <c r="Q8" s="476"/>
      <c r="R8" s="477"/>
      <c r="S8" s="467"/>
      <c r="T8" s="467"/>
      <c r="U8" s="467"/>
      <c r="X8" s="28"/>
      <c r="Y8" s="220" t="s">
        <v>216</v>
      </c>
      <c r="Z8" s="24">
        <v>0.01</v>
      </c>
      <c r="AA8" s="23">
        <v>0.2</v>
      </c>
    </row>
    <row r="9" spans="1:27" s="28" customFormat="1" ht="55.9" thickBot="1">
      <c r="A9" s="448"/>
      <c r="B9" s="448"/>
      <c r="C9" s="448"/>
      <c r="D9" s="448"/>
      <c r="E9" s="469"/>
      <c r="F9" s="110" t="s">
        <v>260</v>
      </c>
      <c r="G9" s="110" t="s">
        <v>261</v>
      </c>
      <c r="H9" s="110" t="s">
        <v>262</v>
      </c>
      <c r="I9" s="110" t="s">
        <v>263</v>
      </c>
      <c r="J9" s="110" t="s">
        <v>49</v>
      </c>
      <c r="K9" s="33" t="s">
        <v>51</v>
      </c>
      <c r="L9" s="33" t="s">
        <v>53</v>
      </c>
      <c r="M9" s="110" t="s">
        <v>54</v>
      </c>
      <c r="N9" s="33" t="s">
        <v>56</v>
      </c>
      <c r="O9" s="33" t="s">
        <v>264</v>
      </c>
      <c r="P9" s="33" t="s">
        <v>265</v>
      </c>
      <c r="Q9" s="33" t="s">
        <v>266</v>
      </c>
      <c r="R9" s="33" t="s">
        <v>267</v>
      </c>
      <c r="S9" s="33" t="s">
        <v>60</v>
      </c>
      <c r="T9" s="33" t="s">
        <v>62</v>
      </c>
      <c r="U9" s="212" t="s">
        <v>64</v>
      </c>
      <c r="V9" s="33" t="s">
        <v>268</v>
      </c>
      <c r="W9" s="33" t="s">
        <v>269</v>
      </c>
      <c r="Y9" s="221" t="s">
        <v>223</v>
      </c>
      <c r="Z9" s="24">
        <v>0.21</v>
      </c>
      <c r="AA9" s="23">
        <v>0.4</v>
      </c>
    </row>
    <row r="10" spans="1:27" ht="108.75" customHeight="1" thickBot="1">
      <c r="A10" s="455" t="str">
        <f>'2 IDENTIFICACIÓN'!A10</f>
        <v>R1</v>
      </c>
      <c r="B10" s="459" t="str">
        <f>+'2 IDENTIFICACIÓN'!J10</f>
        <v>Posibilidad de afectación reputacional por  posibles investigaciones y sanciones disciplinarias por entes de control, debido a  incumplimiento de la Ley 594 del 2000 en los documentos generados por la Secretaría del Interior</v>
      </c>
      <c r="C10" s="449">
        <f>+'3 PROBABIL E IMPACTO INHERENTE'!E10</f>
        <v>0.6</v>
      </c>
      <c r="D10" s="452">
        <f>+'3 PROBABIL E IMPACTO INHERENTE'!M10</f>
        <v>0.6</v>
      </c>
      <c r="E10" s="252">
        <v>1</v>
      </c>
      <c r="F10" s="241" t="s">
        <v>270</v>
      </c>
      <c r="G10" s="35" t="s">
        <v>271</v>
      </c>
      <c r="H10" s="35" t="s">
        <v>272</v>
      </c>
      <c r="I10" s="211" t="str">
        <f t="shared" ref="I10:I73" si="0">+CONCATENATE(F10," ",G10," ",H10)</f>
        <v>El Área de Archivo de la Secretaría de Interior  aplica los lineamientos y procedimientos establecidos para la organización, inventario, conservación y transferencias documentales, de conformidad con las Tablas de Retención Documental, Tablas de Valoración Documental y las directrices emitidas por el Archivo General de la Nación.</v>
      </c>
      <c r="J10" s="287" t="s">
        <v>273</v>
      </c>
      <c r="K10" s="215">
        <f>+IFERROR(VLOOKUP($J10,'11 FORMULAS'!$B$51:$C$53,2,0),"")</f>
        <v>0.25</v>
      </c>
      <c r="L10" s="215" t="str">
        <f>+IFERROR(VLOOKUP($J10,'11 FORMULAS'!$B$51:$D$53,3,0),"")</f>
        <v>Probabilidad</v>
      </c>
      <c r="M10" s="253" t="s">
        <v>274</v>
      </c>
      <c r="N10" s="254">
        <f>+IFERROR(VLOOKUP($M10,'11 FORMULAS'!$B$54:$C$55,2,0),"")</f>
        <v>0.15</v>
      </c>
      <c r="O10" s="255" t="s">
        <v>275</v>
      </c>
      <c r="P10" s="255" t="s">
        <v>276</v>
      </c>
      <c r="Q10" s="255" t="s">
        <v>277</v>
      </c>
      <c r="R10" s="255" t="s">
        <v>278</v>
      </c>
      <c r="S10" s="215">
        <f>+IFERROR($K10+$N10,"")</f>
        <v>0.4</v>
      </c>
      <c r="T10" s="215">
        <f>IF($L10='11 FORMULAS'!$D$51,$C$10-($C$10*$S$10),$C$10)</f>
        <v>0.36</v>
      </c>
      <c r="U10" s="215">
        <f>IF(L10='11 FORMULAS'!$D$53,$D$10-($D$10*$S$10),$D$10)</f>
        <v>0.6</v>
      </c>
      <c r="V10" s="487">
        <f>+IF(T15="","",T15)</f>
        <v>0.6</v>
      </c>
      <c r="W10" s="490">
        <f>+IF(U15="","",U15)</f>
        <v>0.6</v>
      </c>
      <c r="X10" s="28"/>
      <c r="Y10" s="222" t="s">
        <v>229</v>
      </c>
      <c r="Z10" s="24">
        <v>0.41</v>
      </c>
      <c r="AA10" s="23">
        <v>0.6</v>
      </c>
    </row>
    <row r="11" spans="1:27" ht="29.65" customHeight="1" thickBot="1">
      <c r="A11" s="457"/>
      <c r="B11" s="461"/>
      <c r="C11" s="450"/>
      <c r="D11" s="453"/>
      <c r="E11" s="252">
        <v>2</v>
      </c>
      <c r="F11" s="240"/>
      <c r="G11" s="162"/>
      <c r="H11" s="162"/>
      <c r="I11" s="211" t="str">
        <f t="shared" si="0"/>
        <v xml:space="preserve">  </v>
      </c>
      <c r="J11" s="287"/>
      <c r="K11" s="215" t="str">
        <f>+IFERROR(VLOOKUP($J11,'11 FORMULAS'!$B$51:$C$53,2,0),"")</f>
        <v/>
      </c>
      <c r="L11" s="215" t="str">
        <f>+IFERROR(VLOOKUP($J11,'11 FORMULAS'!$B$51:$D$53,3,0),"")</f>
        <v/>
      </c>
      <c r="M11" s="253"/>
      <c r="N11" s="254" t="str">
        <f>+IFERROR(VLOOKUP($M11,'11 FORMULAS'!$B$54:$C$55,2,0),"")</f>
        <v/>
      </c>
      <c r="O11" s="255"/>
      <c r="P11" s="255"/>
      <c r="Q11" s="255"/>
      <c r="R11" s="255"/>
      <c r="S11" s="215" t="str">
        <f t="shared" ref="S11:S74" si="1">+IFERROR($K11+$N11,"")</f>
        <v/>
      </c>
      <c r="T11" s="215">
        <f>IF($L11='11 FORMULAS'!$D$51,$C$10-($C$10*$S$10),$C$10)</f>
        <v>0.6</v>
      </c>
      <c r="U11" s="215">
        <f>IF(L11='11 FORMULAS'!$D$53,$D$10-($D$10*$S$10),$D$10)</f>
        <v>0.6</v>
      </c>
      <c r="V11" s="488"/>
      <c r="W11" s="491"/>
      <c r="X11" s="28"/>
      <c r="Y11" s="26" t="s">
        <v>233</v>
      </c>
      <c r="Z11" s="24">
        <v>0.61</v>
      </c>
      <c r="AA11" s="23">
        <v>0.8</v>
      </c>
    </row>
    <row r="12" spans="1:27" ht="29.65" customHeight="1" thickBot="1">
      <c r="A12" s="457"/>
      <c r="B12" s="461"/>
      <c r="C12" s="450"/>
      <c r="D12" s="453"/>
      <c r="E12" s="252">
        <v>3</v>
      </c>
      <c r="F12" s="240"/>
      <c r="G12" s="162"/>
      <c r="H12" s="162"/>
      <c r="I12" s="211" t="str">
        <f t="shared" si="0"/>
        <v xml:space="preserve">  </v>
      </c>
      <c r="J12" s="287"/>
      <c r="K12" s="215" t="str">
        <f>+IFERROR(VLOOKUP($J12,'11 FORMULAS'!$B$51:$C$53,2,0),"")</f>
        <v/>
      </c>
      <c r="L12" s="215" t="str">
        <f>+IFERROR(VLOOKUP($J12,'11 FORMULAS'!$B$51:$D$53,3,0),"")</f>
        <v/>
      </c>
      <c r="M12" s="253"/>
      <c r="N12" s="254" t="str">
        <f>+IFERROR(VLOOKUP($M12,'11 FORMULAS'!$B$54:$C$55,2,0),"")</f>
        <v/>
      </c>
      <c r="O12" s="255"/>
      <c r="P12" s="255"/>
      <c r="Q12" s="255"/>
      <c r="R12" s="255"/>
      <c r="S12" s="215" t="str">
        <f t="shared" si="1"/>
        <v/>
      </c>
      <c r="T12" s="215">
        <f>IF($L12='11 FORMULAS'!$D$51,$C$10-($C$10*$S$10),$C$10)</f>
        <v>0.6</v>
      </c>
      <c r="U12" s="215">
        <f>IF(L12='11 FORMULAS'!$D$53,$D$10-($D$10*$S$10),$D$10)</f>
        <v>0.6</v>
      </c>
      <c r="V12" s="488"/>
      <c r="W12" s="491"/>
      <c r="X12" s="28"/>
      <c r="Y12" s="223" t="s">
        <v>236</v>
      </c>
      <c r="Z12" s="24">
        <v>0.81</v>
      </c>
      <c r="AA12" s="23">
        <v>1</v>
      </c>
    </row>
    <row r="13" spans="1:27" ht="29.65" customHeight="1" thickBot="1">
      <c r="A13" s="457"/>
      <c r="B13" s="461"/>
      <c r="C13" s="450"/>
      <c r="D13" s="453"/>
      <c r="E13" s="252">
        <v>4</v>
      </c>
      <c r="F13" s="240"/>
      <c r="G13" s="162"/>
      <c r="H13" s="162"/>
      <c r="I13" s="211" t="str">
        <f t="shared" si="0"/>
        <v xml:space="preserve">  </v>
      </c>
      <c r="J13" s="287"/>
      <c r="K13" s="215" t="str">
        <f>+IFERROR(VLOOKUP($J13,'11 FORMULAS'!$B$51:$C$53,2,0),"")</f>
        <v/>
      </c>
      <c r="L13" s="215" t="str">
        <f>+IFERROR(VLOOKUP($J13,'11 FORMULAS'!$B$51:$D$53,3,0),"")</f>
        <v/>
      </c>
      <c r="M13" s="253"/>
      <c r="N13" s="254" t="str">
        <f>+IFERROR(VLOOKUP($M13,'11 FORMULAS'!$B$54:$C$55,2,0),"")</f>
        <v/>
      </c>
      <c r="O13" s="255"/>
      <c r="P13" s="255"/>
      <c r="Q13" s="255"/>
      <c r="R13" s="255"/>
      <c r="S13" s="215" t="str">
        <f t="shared" si="1"/>
        <v/>
      </c>
      <c r="T13" s="215">
        <f>IF($L13='11 FORMULAS'!$D$51,$C$10-($C$10*$S$10),$C$10)</f>
        <v>0.6</v>
      </c>
      <c r="U13" s="215">
        <f>IF(L13='11 FORMULAS'!$D$53,$D$10-($D$10*$S$10),$D$10)</f>
        <v>0.6</v>
      </c>
      <c r="V13" s="488"/>
      <c r="W13" s="491"/>
      <c r="X13" s="28"/>
      <c r="Y13" s="213"/>
      <c r="Z13" s="213"/>
      <c r="AA13" s="213"/>
    </row>
    <row r="14" spans="1:27" ht="29.65" customHeight="1" thickBot="1">
      <c r="A14" s="457"/>
      <c r="B14" s="461"/>
      <c r="C14" s="450"/>
      <c r="D14" s="453"/>
      <c r="E14" s="252">
        <v>5</v>
      </c>
      <c r="F14" s="240"/>
      <c r="G14" s="162"/>
      <c r="H14" s="162"/>
      <c r="I14" s="211" t="str">
        <f t="shared" si="0"/>
        <v xml:space="preserve">  </v>
      </c>
      <c r="J14" s="287"/>
      <c r="K14" s="215" t="str">
        <f>+IFERROR(VLOOKUP($J14,'11 FORMULAS'!$B$51:$C$53,2,0),"")</f>
        <v/>
      </c>
      <c r="L14" s="215" t="str">
        <f>+IFERROR(VLOOKUP($J14,'11 FORMULAS'!$B$51:$D$53,3,0),"")</f>
        <v/>
      </c>
      <c r="M14" s="253"/>
      <c r="N14" s="254" t="str">
        <f>+IFERROR(VLOOKUP($M14,'11 FORMULAS'!$B$54:$C$55,2,0),"")</f>
        <v/>
      </c>
      <c r="O14" s="255"/>
      <c r="P14" s="255"/>
      <c r="Q14" s="255"/>
      <c r="R14" s="255"/>
      <c r="S14" s="215" t="str">
        <f t="shared" si="1"/>
        <v/>
      </c>
      <c r="T14" s="215">
        <f>IF($L14='11 FORMULAS'!$D$51,$C$10-($C$10*$S$10),$C$10)</f>
        <v>0.6</v>
      </c>
      <c r="U14" s="215">
        <f>IF(L14='11 FORMULAS'!$D$53,$D$10-($D$10*$S$10),$D$10)</f>
        <v>0.6</v>
      </c>
      <c r="V14" s="488"/>
      <c r="W14" s="491"/>
      <c r="X14" s="28"/>
      <c r="Y14" s="213"/>
      <c r="Z14" s="213"/>
      <c r="AA14" s="213"/>
    </row>
    <row r="15" spans="1:27" ht="29.65" customHeight="1" thickBot="1">
      <c r="A15" s="458"/>
      <c r="B15" s="462"/>
      <c r="C15" s="451"/>
      <c r="D15" s="454"/>
      <c r="E15" s="256">
        <v>6</v>
      </c>
      <c r="F15" s="243"/>
      <c r="G15" s="163"/>
      <c r="H15" s="163"/>
      <c r="I15" s="211" t="str">
        <f t="shared" si="0"/>
        <v xml:space="preserve">  </v>
      </c>
      <c r="J15" s="287"/>
      <c r="K15" s="215" t="str">
        <f>+IFERROR(VLOOKUP($J15,'11 FORMULAS'!$B$51:$C$53,2,0),"")</f>
        <v/>
      </c>
      <c r="L15" s="215" t="str">
        <f>+IFERROR(VLOOKUP($J15,'11 FORMULAS'!$B$51:$D$53,3,0),"")</f>
        <v/>
      </c>
      <c r="M15" s="253"/>
      <c r="N15" s="254" t="str">
        <f>+IFERROR(VLOOKUP($M15,'11 FORMULAS'!$B$54:$C$55,2,0),"")</f>
        <v/>
      </c>
      <c r="O15" s="255"/>
      <c r="P15" s="255"/>
      <c r="Q15" s="255"/>
      <c r="R15" s="255"/>
      <c r="S15" s="215" t="str">
        <f t="shared" si="1"/>
        <v/>
      </c>
      <c r="T15" s="215">
        <f>IF($L15='11 FORMULAS'!$D$51,$C$10-($C$10*$S$10),$C$10)</f>
        <v>0.6</v>
      </c>
      <c r="U15" s="215">
        <f>IF(L15='11 FORMULAS'!$D$53,$D$10-($D$10*$S$10),$D$10)</f>
        <v>0.6</v>
      </c>
      <c r="V15" s="489"/>
      <c r="W15" s="492"/>
      <c r="X15" s="28"/>
      <c r="Y15" s="213"/>
      <c r="Z15" s="213"/>
      <c r="AA15" s="213"/>
    </row>
    <row r="16" spans="1:27" ht="55.9" customHeight="1" thickBot="1">
      <c r="A16" s="455" t="str">
        <f>'2 IDENTIFICACIÓN'!A11</f>
        <v>R2</v>
      </c>
      <c r="B16" s="459" t="str">
        <f>+'2 IDENTIFICACIÓN'!J11</f>
        <v>Posibilidad de afectación económica y reputacional por  investigaciones y sanciones por entes de control,  debido a   la demora en los procesos de contratación y presupuestal  relacionados con la atención de niños, niñas y adolescentes en período de restablecimiento de derechos (hogar de paso), incumpliendo la Ley 1098 de 2006.</v>
      </c>
      <c r="C16" s="483">
        <f>+'3 PROBABIL E IMPACTO INHERENTE'!E11</f>
        <v>0.6</v>
      </c>
      <c r="D16" s="452">
        <f>+'3 PROBABIL E IMPACTO INHERENTE'!M11</f>
        <v>0.8</v>
      </c>
      <c r="E16" s="257">
        <v>1</v>
      </c>
      <c r="F16" s="241" t="s">
        <v>279</v>
      </c>
      <c r="G16" s="35" t="s">
        <v>280</v>
      </c>
      <c r="H16" s="35" t="s">
        <v>281</v>
      </c>
      <c r="I16" s="211" t="str">
        <f t="shared" si="0"/>
        <v>El supervisor designado, verifica la atención integral en el hogar de paso a los niños, niñas y adolescentes, remitidos por las comisarías de familia ajustado a la normatividad vigente.</v>
      </c>
      <c r="J16" s="287" t="s">
        <v>273</v>
      </c>
      <c r="K16" s="215">
        <f>+IFERROR(VLOOKUP($J16,'11 FORMULAS'!$B$51:$C$53,2,0),"")</f>
        <v>0.25</v>
      </c>
      <c r="L16" s="215" t="str">
        <f>+IFERROR(VLOOKUP($J16,'11 FORMULAS'!$B$51:$D$53,3,0),"")</f>
        <v>Probabilidad</v>
      </c>
      <c r="M16" s="253" t="s">
        <v>274</v>
      </c>
      <c r="N16" s="254">
        <f>+IFERROR(VLOOKUP($M16,'11 FORMULAS'!$B$54:$C$55,2,0),"")</f>
        <v>0.15</v>
      </c>
      <c r="O16" s="255" t="s">
        <v>275</v>
      </c>
      <c r="P16" s="255" t="s">
        <v>282</v>
      </c>
      <c r="Q16" s="255" t="s">
        <v>277</v>
      </c>
      <c r="R16" s="255" t="s">
        <v>278</v>
      </c>
      <c r="S16" s="215">
        <f t="shared" si="1"/>
        <v>0.4</v>
      </c>
      <c r="T16" s="215">
        <f>IF($L16='11 FORMULAS'!$D$51,$C$16-($C$16*$S$16),$C$16)</f>
        <v>0.36</v>
      </c>
      <c r="U16" s="215">
        <f>IF(L16='11 FORMULAS'!$D$53,$D$16-($D$16*$S$16),$D$16)</f>
        <v>0.8</v>
      </c>
      <c r="V16" s="487">
        <f>+IF(T21="","",T21)</f>
        <v>0.6</v>
      </c>
      <c r="W16" s="490">
        <f>+IF(U21="","",U21)</f>
        <v>0.8</v>
      </c>
      <c r="X16" s="28"/>
      <c r="Y16" s="213"/>
      <c r="Z16" s="214"/>
      <c r="AA16" s="214"/>
    </row>
    <row r="17" spans="1:27" ht="51.6" customHeight="1" thickBot="1">
      <c r="A17" s="457"/>
      <c r="B17" s="461"/>
      <c r="C17" s="484"/>
      <c r="D17" s="453"/>
      <c r="E17" s="252">
        <v>2</v>
      </c>
      <c r="F17" s="240" t="s">
        <v>283</v>
      </c>
      <c r="G17" s="162" t="s">
        <v>284</v>
      </c>
      <c r="H17" s="162" t="s">
        <v>285</v>
      </c>
      <c r="I17" s="211" t="str">
        <f t="shared" si="0"/>
        <v>El secretario del Interior y su equipo de trabajo del área de proyectos y contratación, verifica los procesos prioritarios que continúan para la próxima vigencia, por medio de un seguimiento.</v>
      </c>
      <c r="J17" s="287" t="s">
        <v>273</v>
      </c>
      <c r="K17" s="215">
        <f>+IFERROR(VLOOKUP($J17,'11 FORMULAS'!$B$51:$C$53,2,0),"")</f>
        <v>0.25</v>
      </c>
      <c r="L17" s="215" t="str">
        <f>+IFERROR(VLOOKUP($J17,'11 FORMULAS'!$B$51:$D$53,3,0),"")</f>
        <v>Probabilidad</v>
      </c>
      <c r="M17" s="253" t="s">
        <v>274</v>
      </c>
      <c r="N17" s="254">
        <f>+IFERROR(VLOOKUP($M17,'11 FORMULAS'!$B$54:$C$55,2,0),"")</f>
        <v>0.15</v>
      </c>
      <c r="O17" s="255" t="s">
        <v>275</v>
      </c>
      <c r="P17" s="255" t="s">
        <v>276</v>
      </c>
      <c r="Q17" s="255" t="s">
        <v>277</v>
      </c>
      <c r="R17" s="255" t="s">
        <v>278</v>
      </c>
      <c r="S17" s="215">
        <f t="shared" si="1"/>
        <v>0.4</v>
      </c>
      <c r="T17" s="215">
        <f>IF($L17='11 FORMULAS'!$D$51,$C$16-($C$16*$S$16),$C$16)</f>
        <v>0.36</v>
      </c>
      <c r="U17" s="215">
        <f>IF(L17='11 FORMULAS'!$D$53,$D$16-($D$16*$S$16),$D$16)</f>
        <v>0.8</v>
      </c>
      <c r="V17" s="488"/>
      <c r="W17" s="491"/>
      <c r="X17" s="28"/>
      <c r="Y17" s="213"/>
      <c r="Z17" s="214"/>
      <c r="AA17" s="214"/>
    </row>
    <row r="18" spans="1:27" ht="29.65" customHeight="1" thickBot="1">
      <c r="A18" s="457"/>
      <c r="B18" s="461"/>
      <c r="C18" s="484"/>
      <c r="D18" s="453"/>
      <c r="E18" s="252">
        <v>3</v>
      </c>
      <c r="F18" s="240"/>
      <c r="G18" s="162"/>
      <c r="H18" s="162"/>
      <c r="I18" s="211" t="str">
        <f t="shared" si="0"/>
        <v xml:space="preserve">  </v>
      </c>
      <c r="J18" s="287"/>
      <c r="K18" s="215" t="str">
        <f>+IFERROR(VLOOKUP($J18,'11 FORMULAS'!$B$51:$C$53,2,0),"")</f>
        <v/>
      </c>
      <c r="L18" s="215" t="str">
        <f>+IFERROR(VLOOKUP($J18,'11 FORMULAS'!$B$51:$D$53,3,0),"")</f>
        <v/>
      </c>
      <c r="M18" s="253"/>
      <c r="N18" s="254" t="str">
        <f>+IFERROR(VLOOKUP($M18,'11 FORMULAS'!$B$54:$C$55,2,0),"")</f>
        <v/>
      </c>
      <c r="O18" s="255"/>
      <c r="P18" s="255"/>
      <c r="Q18" s="255"/>
      <c r="R18" s="255"/>
      <c r="S18" s="215" t="str">
        <f t="shared" si="1"/>
        <v/>
      </c>
      <c r="T18" s="215">
        <f>IF($L18='11 FORMULAS'!$D$51,$C$16-($C$16*$S$16),$C$16)</f>
        <v>0.6</v>
      </c>
      <c r="U18" s="215">
        <f>IF(L18='11 FORMULAS'!$D$53,$D$16-($D$16*$S$16),$D$16)</f>
        <v>0.8</v>
      </c>
      <c r="V18" s="488"/>
      <c r="W18" s="491"/>
      <c r="X18" s="28"/>
      <c r="Y18" s="213"/>
      <c r="Z18" s="214"/>
      <c r="AA18" s="214"/>
    </row>
    <row r="19" spans="1:27" ht="29.65" customHeight="1" thickBot="1">
      <c r="A19" s="481"/>
      <c r="B19" s="482"/>
      <c r="C19" s="484"/>
      <c r="D19" s="486"/>
      <c r="E19" s="252">
        <v>4</v>
      </c>
      <c r="F19" s="242"/>
      <c r="G19" s="237"/>
      <c r="H19" s="237"/>
      <c r="I19" s="211" t="str">
        <f t="shared" si="0"/>
        <v xml:space="preserve">  </v>
      </c>
      <c r="J19" s="287"/>
      <c r="K19" s="215" t="str">
        <f>+IFERROR(VLOOKUP($J19,'11 FORMULAS'!$B$51:$C$53,2,0),"")</f>
        <v/>
      </c>
      <c r="L19" s="215" t="str">
        <f>+IFERROR(VLOOKUP($J19,'11 FORMULAS'!$B$51:$D$53,3,0),"")</f>
        <v/>
      </c>
      <c r="M19" s="253"/>
      <c r="N19" s="254" t="str">
        <f>+IFERROR(VLOOKUP($M19,'11 FORMULAS'!$B$54:$C$55,2,0),"")</f>
        <v/>
      </c>
      <c r="O19" s="255"/>
      <c r="P19" s="255"/>
      <c r="Q19" s="255"/>
      <c r="R19" s="255"/>
      <c r="S19" s="215" t="str">
        <f t="shared" si="1"/>
        <v/>
      </c>
      <c r="T19" s="215">
        <f>IF($L19='11 FORMULAS'!$D$51,$C$16-($C$16*$S$16),$C$16)</f>
        <v>0.6</v>
      </c>
      <c r="U19" s="215">
        <f>IF(L19='11 FORMULAS'!$D$53,$D$16-($D$16*$S$16),$D$16)</f>
        <v>0.8</v>
      </c>
      <c r="V19" s="493"/>
      <c r="W19" s="494"/>
      <c r="X19" s="28"/>
      <c r="Y19" s="213"/>
      <c r="Z19" s="214"/>
      <c r="AA19" s="214"/>
    </row>
    <row r="20" spans="1:27" ht="29.65" customHeight="1" thickBot="1">
      <c r="A20" s="481"/>
      <c r="B20" s="482"/>
      <c r="C20" s="484"/>
      <c r="D20" s="486"/>
      <c r="E20" s="252">
        <v>5</v>
      </c>
      <c r="F20" s="242"/>
      <c r="G20" s="237"/>
      <c r="H20" s="237"/>
      <c r="I20" s="211" t="str">
        <f t="shared" si="0"/>
        <v xml:space="preserve">  </v>
      </c>
      <c r="J20" s="287"/>
      <c r="K20" s="215" t="str">
        <f>+IFERROR(VLOOKUP($J20,'11 FORMULAS'!$B$51:$C$53,2,0),"")</f>
        <v/>
      </c>
      <c r="L20" s="215" t="str">
        <f>+IFERROR(VLOOKUP($J20,'11 FORMULAS'!$B$51:$D$53,3,0),"")</f>
        <v/>
      </c>
      <c r="M20" s="253"/>
      <c r="N20" s="254" t="str">
        <f>+IFERROR(VLOOKUP($M20,'11 FORMULAS'!$B$54:$C$55,2,0),"")</f>
        <v/>
      </c>
      <c r="O20" s="255"/>
      <c r="P20" s="255"/>
      <c r="Q20" s="255"/>
      <c r="R20" s="255"/>
      <c r="S20" s="215" t="str">
        <f t="shared" si="1"/>
        <v/>
      </c>
      <c r="T20" s="215">
        <f>IF($L20='11 FORMULAS'!$D$51,$C$16-($C$16*$S$16),$C$16)</f>
        <v>0.6</v>
      </c>
      <c r="U20" s="215">
        <f>IF(L20='11 FORMULAS'!$D$53,$D$16-($D$16*$S$16),$D$16)</f>
        <v>0.8</v>
      </c>
      <c r="V20" s="493"/>
      <c r="W20" s="494"/>
      <c r="X20" s="28"/>
      <c r="Y20" s="213"/>
      <c r="Z20" s="214"/>
      <c r="AA20" s="214"/>
    </row>
    <row r="21" spans="1:27" ht="29.65" customHeight="1" thickBot="1">
      <c r="A21" s="458"/>
      <c r="B21" s="462"/>
      <c r="C21" s="485"/>
      <c r="D21" s="454"/>
      <c r="E21" s="256">
        <v>6</v>
      </c>
      <c r="F21" s="243"/>
      <c r="G21" s="163"/>
      <c r="H21" s="163"/>
      <c r="I21" s="211" t="str">
        <f t="shared" si="0"/>
        <v xml:space="preserve">  </v>
      </c>
      <c r="J21" s="287"/>
      <c r="K21" s="215" t="str">
        <f>+IFERROR(VLOOKUP($J21,'11 FORMULAS'!$B$51:$C$53,2,0),"")</f>
        <v/>
      </c>
      <c r="L21" s="215" t="str">
        <f>+IFERROR(VLOOKUP($J21,'11 FORMULAS'!$B$51:$D$53,3,0),"")</f>
        <v/>
      </c>
      <c r="M21" s="253"/>
      <c r="N21" s="254" t="str">
        <f>+IFERROR(VLOOKUP($M21,'11 FORMULAS'!$B$54:$C$55,2,0),"")</f>
        <v/>
      </c>
      <c r="O21" s="255"/>
      <c r="P21" s="255"/>
      <c r="Q21" s="255"/>
      <c r="R21" s="255"/>
      <c r="S21" s="215" t="str">
        <f t="shared" si="1"/>
        <v/>
      </c>
      <c r="T21" s="215">
        <f>IF($L21='11 FORMULAS'!$D$51,$C$16-($C$16*$S$16),$C$16)</f>
        <v>0.6</v>
      </c>
      <c r="U21" s="215">
        <f>IF(L21='11 FORMULAS'!$D$53,$D$16-($D$16*$S$16),$D$16)</f>
        <v>0.8</v>
      </c>
      <c r="V21" s="489"/>
      <c r="W21" s="492"/>
      <c r="X21" s="28"/>
    </row>
    <row r="22" spans="1:27" ht="82.9" customHeight="1" thickBot="1">
      <c r="A22" s="455" t="str">
        <f>'2 IDENTIFICACIÓN'!A12</f>
        <v>R3</v>
      </c>
      <c r="B22" s="459" t="str">
        <f>+'2 IDENTIFICACIÓN'!J12</f>
        <v>Posibilidad de afectación reputacional por  debilidades en la planeación, gestión y ejecución de las obligaciones contractuales por parte de las unidades gestoras,  debido a  deficiencias en la supervisión y ejecución oportuna de los procesos contractuales producto de la constitución de reservas presupuestales.</v>
      </c>
      <c r="C22" s="449">
        <f>+'3 PROBABIL E IMPACTO INHERENTE'!E12</f>
        <v>0.6</v>
      </c>
      <c r="D22" s="452">
        <f>+'3 PROBABIL E IMPACTO INHERENTE'!M12</f>
        <v>1</v>
      </c>
      <c r="E22" s="257">
        <v>1</v>
      </c>
      <c r="F22" s="241" t="s">
        <v>286</v>
      </c>
      <c r="G22" s="35" t="s">
        <v>287</v>
      </c>
      <c r="H22" s="35" t="s">
        <v>288</v>
      </c>
      <c r="I22" s="211" t="str">
        <f t="shared" si="0"/>
        <v>El Secretario del Interior, el equipo de contratación y el profesional de presupuesto de la Secretaría del Interior, realizan seguimiento trimestral a la ejecución física, contractual y presupuestal de las obligaciones de la dependencia,   con el fin de controlar saldos pendientes de pago y prevenir la constitución de reservas presupuestales.</v>
      </c>
      <c r="J22" s="287" t="s">
        <v>273</v>
      </c>
      <c r="K22" s="215">
        <f>+IFERROR(VLOOKUP($J22,'11 FORMULAS'!$B$51:$C$53,2,0),"")</f>
        <v>0.25</v>
      </c>
      <c r="L22" s="215" t="str">
        <f>+IFERROR(VLOOKUP($J22,'11 FORMULAS'!$B$51:$D$53,3,0),"")</f>
        <v>Probabilidad</v>
      </c>
      <c r="M22" s="253" t="s">
        <v>274</v>
      </c>
      <c r="N22" s="254">
        <f>+IFERROR(VLOOKUP($M22,'11 FORMULAS'!$B$54:$C$55,2,0),"")</f>
        <v>0.15</v>
      </c>
      <c r="O22" s="255" t="s">
        <v>275</v>
      </c>
      <c r="P22" s="255" t="s">
        <v>282</v>
      </c>
      <c r="Q22" s="255" t="s">
        <v>277</v>
      </c>
      <c r="R22" s="255" t="s">
        <v>278</v>
      </c>
      <c r="S22" s="215">
        <f t="shared" si="1"/>
        <v>0.4</v>
      </c>
      <c r="T22" s="215">
        <f>IF($L22='11 FORMULAS'!$D$51,$C$22-($C$22*$S$22),$C$22)</f>
        <v>0.36</v>
      </c>
      <c r="U22" s="215">
        <f>IF(L22='11 FORMULAS'!$D$53,$D$22-($D$22*$S$22),$D$22)</f>
        <v>1</v>
      </c>
      <c r="V22" s="487">
        <f>+IF(T27="","",T27)</f>
        <v>0.6</v>
      </c>
      <c r="W22" s="490">
        <f>+IF(U27="","",U27)</f>
        <v>1</v>
      </c>
      <c r="X22" s="28"/>
      <c r="Y22" s="213"/>
      <c r="Z22" s="214"/>
      <c r="AA22" s="214"/>
    </row>
    <row r="23" spans="1:27" ht="29.65" customHeight="1" thickBot="1">
      <c r="A23" s="457"/>
      <c r="B23" s="461"/>
      <c r="C23" s="450"/>
      <c r="D23" s="453"/>
      <c r="E23" s="252">
        <v>2</v>
      </c>
      <c r="F23" s="240"/>
      <c r="G23" s="162"/>
      <c r="H23" s="162"/>
      <c r="I23" s="211" t="str">
        <f t="shared" si="0"/>
        <v xml:space="preserve">  </v>
      </c>
      <c r="J23" s="287"/>
      <c r="K23" s="215" t="str">
        <f>+IFERROR(VLOOKUP($J23,'11 FORMULAS'!$B$51:$C$53,2,0),"")</f>
        <v/>
      </c>
      <c r="L23" s="215" t="str">
        <f>+IFERROR(VLOOKUP($J23,'11 FORMULAS'!$B$51:$D$53,3,0),"")</f>
        <v/>
      </c>
      <c r="M23" s="253"/>
      <c r="N23" s="254" t="str">
        <f>+IFERROR(VLOOKUP($M23,'11 FORMULAS'!$B$54:$C$55,2,0),"")</f>
        <v/>
      </c>
      <c r="O23" s="255"/>
      <c r="P23" s="255"/>
      <c r="Q23" s="255"/>
      <c r="R23" s="255"/>
      <c r="S23" s="215" t="str">
        <f t="shared" si="1"/>
        <v/>
      </c>
      <c r="T23" s="215">
        <f>IF($L23='11 FORMULAS'!$D$51,$C$22-($C$22*$S$22),$C$22)</f>
        <v>0.6</v>
      </c>
      <c r="U23" s="215">
        <f>IF(L23='11 FORMULAS'!$D$53,$D$22-($D$22*$S$22),$D$22)</f>
        <v>1</v>
      </c>
      <c r="V23" s="488"/>
      <c r="W23" s="491"/>
      <c r="X23" s="28"/>
      <c r="Y23" s="213"/>
      <c r="Z23" s="214"/>
      <c r="AA23" s="214"/>
    </row>
    <row r="24" spans="1:27" ht="29.65" customHeight="1" thickBot="1">
      <c r="A24" s="457"/>
      <c r="B24" s="461"/>
      <c r="C24" s="450"/>
      <c r="D24" s="453"/>
      <c r="E24" s="252">
        <v>3</v>
      </c>
      <c r="F24" s="240"/>
      <c r="G24" s="162"/>
      <c r="H24" s="162"/>
      <c r="I24" s="211" t="str">
        <f t="shared" si="0"/>
        <v xml:space="preserve">  </v>
      </c>
      <c r="J24" s="287"/>
      <c r="K24" s="215" t="str">
        <f>+IFERROR(VLOOKUP($J24,'11 FORMULAS'!$B$51:$C$53,2,0),"")</f>
        <v/>
      </c>
      <c r="L24" s="215" t="str">
        <f>+IFERROR(VLOOKUP($J24,'11 FORMULAS'!$B$51:$D$53,3,0),"")</f>
        <v/>
      </c>
      <c r="M24" s="253"/>
      <c r="N24" s="254" t="str">
        <f>+IFERROR(VLOOKUP($M24,'11 FORMULAS'!$B$54:$C$55,2,0),"")</f>
        <v/>
      </c>
      <c r="O24" s="255"/>
      <c r="P24" s="255"/>
      <c r="Q24" s="255"/>
      <c r="R24" s="255"/>
      <c r="S24" s="215" t="str">
        <f t="shared" si="1"/>
        <v/>
      </c>
      <c r="T24" s="215">
        <f>IF($L24='11 FORMULAS'!$D$51,$C$22-($C$22*$S$22),$C$22)</f>
        <v>0.6</v>
      </c>
      <c r="U24" s="215">
        <f>IF(L24='11 FORMULAS'!$D$53,$D$22-($D$22*$S$22),$D$22)</f>
        <v>1</v>
      </c>
      <c r="V24" s="488"/>
      <c r="W24" s="491"/>
      <c r="X24" s="28"/>
      <c r="Y24" s="213"/>
      <c r="Z24" s="214"/>
      <c r="AA24" s="214"/>
    </row>
    <row r="25" spans="1:27" ht="29.65" customHeight="1" thickBot="1">
      <c r="A25" s="457"/>
      <c r="B25" s="461"/>
      <c r="C25" s="450"/>
      <c r="D25" s="453"/>
      <c r="E25" s="252">
        <v>4</v>
      </c>
      <c r="F25" s="240"/>
      <c r="G25" s="162"/>
      <c r="H25" s="162"/>
      <c r="I25" s="211" t="str">
        <f t="shared" si="0"/>
        <v xml:space="preserve">  </v>
      </c>
      <c r="J25" s="287"/>
      <c r="K25" s="215" t="str">
        <f>+IFERROR(VLOOKUP($J25,'11 FORMULAS'!$B$51:$C$53,2,0),"")</f>
        <v/>
      </c>
      <c r="L25" s="215" t="str">
        <f>+IFERROR(VLOOKUP($J25,'11 FORMULAS'!$B$51:$D$53,3,0),"")</f>
        <v/>
      </c>
      <c r="M25" s="253"/>
      <c r="N25" s="254" t="str">
        <f>+IFERROR(VLOOKUP($M25,'11 FORMULAS'!$B$54:$C$55,2,0),"")</f>
        <v/>
      </c>
      <c r="O25" s="255"/>
      <c r="P25" s="255"/>
      <c r="Q25" s="255"/>
      <c r="R25" s="255"/>
      <c r="S25" s="215" t="str">
        <f t="shared" si="1"/>
        <v/>
      </c>
      <c r="T25" s="215">
        <f>IF($L25='11 FORMULAS'!$D$51,$C$22-($C$22*$S$22),$C$22)</f>
        <v>0.6</v>
      </c>
      <c r="U25" s="215">
        <f>IF(L25='11 FORMULAS'!$D$53,$D$22-($D$22*$S$22),$D$22)</f>
        <v>1</v>
      </c>
      <c r="V25" s="488"/>
      <c r="W25" s="491"/>
      <c r="X25" s="28"/>
      <c r="Y25" s="213"/>
      <c r="Z25" s="214"/>
      <c r="AA25" s="214"/>
    </row>
    <row r="26" spans="1:27" ht="29.65" customHeight="1" thickBot="1">
      <c r="A26" s="457"/>
      <c r="B26" s="461"/>
      <c r="C26" s="450"/>
      <c r="D26" s="453"/>
      <c r="E26" s="252">
        <v>5</v>
      </c>
      <c r="F26" s="240"/>
      <c r="G26" s="162"/>
      <c r="H26" s="162"/>
      <c r="I26" s="211" t="str">
        <f t="shared" si="0"/>
        <v xml:space="preserve">  </v>
      </c>
      <c r="J26" s="287"/>
      <c r="K26" s="215" t="str">
        <f>+IFERROR(VLOOKUP($J26,'11 FORMULAS'!$B$51:$C$53,2,0),"")</f>
        <v/>
      </c>
      <c r="L26" s="215" t="str">
        <f>+IFERROR(VLOOKUP($J26,'11 FORMULAS'!$B$51:$D$53,3,0),"")</f>
        <v/>
      </c>
      <c r="M26" s="253"/>
      <c r="N26" s="254" t="str">
        <f>+IFERROR(VLOOKUP($M26,'11 FORMULAS'!$B$54:$C$55,2,0),"")</f>
        <v/>
      </c>
      <c r="O26" s="255"/>
      <c r="P26" s="255"/>
      <c r="Q26" s="255"/>
      <c r="R26" s="255"/>
      <c r="S26" s="215" t="str">
        <f t="shared" si="1"/>
        <v/>
      </c>
      <c r="T26" s="215">
        <f>IF($L26='11 FORMULAS'!$D$51,$C$22-($C$22*$S$22),$C$22)</f>
        <v>0.6</v>
      </c>
      <c r="U26" s="215">
        <f>IF(L26='11 FORMULAS'!$D$53,$D$22-($D$22*$S$22),$D$22)</f>
        <v>1</v>
      </c>
      <c r="V26" s="488"/>
      <c r="W26" s="491"/>
      <c r="X26" s="28"/>
      <c r="Y26" s="213"/>
      <c r="Z26" s="214"/>
      <c r="AA26" s="214"/>
    </row>
    <row r="27" spans="1:27" ht="29.65" customHeight="1" thickBot="1">
      <c r="A27" s="458"/>
      <c r="B27" s="462"/>
      <c r="C27" s="451"/>
      <c r="D27" s="454"/>
      <c r="E27" s="256">
        <v>6</v>
      </c>
      <c r="F27" s="243"/>
      <c r="G27" s="163"/>
      <c r="H27" s="163"/>
      <c r="I27" s="211" t="str">
        <f t="shared" si="0"/>
        <v xml:space="preserve">  </v>
      </c>
      <c r="J27" s="287"/>
      <c r="K27" s="215" t="str">
        <f>+IFERROR(VLOOKUP($J27,'11 FORMULAS'!$B$51:$C$53,2,0),"")</f>
        <v/>
      </c>
      <c r="L27" s="215" t="str">
        <f>+IFERROR(VLOOKUP($J27,'11 FORMULAS'!$B$51:$D$53,3,0),"")</f>
        <v/>
      </c>
      <c r="M27" s="253"/>
      <c r="N27" s="254" t="str">
        <f>+IFERROR(VLOOKUP($M27,'11 FORMULAS'!$B$54:$C$55,2,0),"")</f>
        <v/>
      </c>
      <c r="O27" s="255"/>
      <c r="P27" s="255"/>
      <c r="Q27" s="255"/>
      <c r="R27" s="255"/>
      <c r="S27" s="215" t="str">
        <f t="shared" si="1"/>
        <v/>
      </c>
      <c r="T27" s="215">
        <f>IF($L27='11 FORMULAS'!$D$51,$C$22-($C$22*$S$22),$C$22)</f>
        <v>0.6</v>
      </c>
      <c r="U27" s="215">
        <f>IF(L27='11 FORMULAS'!$D$53,$D$22-($D$22*$S$22),$D$22)</f>
        <v>1</v>
      </c>
      <c r="V27" s="489"/>
      <c r="W27" s="492"/>
      <c r="X27" s="28"/>
    </row>
    <row r="28" spans="1:27" ht="86.45" customHeight="1" thickBot="1">
      <c r="A28" s="455" t="str">
        <f>'2 IDENTIFICACIÓN'!A13</f>
        <v>R4</v>
      </c>
      <c r="B28" s="459" t="str">
        <f>+'2 IDENTIFICACIÓN'!J13</f>
        <v>Posibilidad de afectación económica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v>
      </c>
      <c r="C28" s="449">
        <f>+'3 PROBABIL E IMPACTO INHERENTE'!E13</f>
        <v>0.4</v>
      </c>
      <c r="D28" s="452">
        <f>+'3 PROBABIL E IMPACTO INHERENTE'!M13</f>
        <v>0.8</v>
      </c>
      <c r="E28" s="257">
        <v>1</v>
      </c>
      <c r="F28" s="241" t="s">
        <v>289</v>
      </c>
      <c r="G28" s="35" t="s">
        <v>290</v>
      </c>
      <c r="H28" s="35" t="s">
        <v>291</v>
      </c>
      <c r="I28" s="211" t="str">
        <f t="shared" si="0"/>
        <v xml:space="preserve">La persona encargada identifica los pasivos exigibles y/o vigencias expiradas de la Secretaría del Interior, y verifica el cumplimentó de la Resolución 193 de 2016 de la Contaduría General de la Nación, para realizar la acción de depuración </v>
      </c>
      <c r="J28" s="287" t="s">
        <v>273</v>
      </c>
      <c r="K28" s="215">
        <f>+IFERROR(VLOOKUP($J28,'11 FORMULAS'!$B$51:$C$53,2,0),"")</f>
        <v>0.25</v>
      </c>
      <c r="L28" s="215" t="str">
        <f>+IFERROR(VLOOKUP($J28,'11 FORMULAS'!$B$51:$D$53,3,0),"")</f>
        <v>Probabilidad</v>
      </c>
      <c r="M28" s="253" t="s">
        <v>274</v>
      </c>
      <c r="N28" s="254">
        <f>+IFERROR(VLOOKUP($M28,'11 FORMULAS'!$B$54:$C$55,2,0),"")</f>
        <v>0.15</v>
      </c>
      <c r="O28" s="255" t="s">
        <v>275</v>
      </c>
      <c r="P28" s="255" t="s">
        <v>292</v>
      </c>
      <c r="Q28" s="255" t="s">
        <v>277</v>
      </c>
      <c r="R28" s="255" t="s">
        <v>278</v>
      </c>
      <c r="S28" s="215">
        <f t="shared" si="1"/>
        <v>0.4</v>
      </c>
      <c r="T28" s="215">
        <f>IF($L28='11 FORMULAS'!$D$51,$C$28-($C$28*$S$28),$C$28)</f>
        <v>0.24</v>
      </c>
      <c r="U28" s="215">
        <f>IF(L28='11 FORMULAS'!$D$53,$D$28-($D$28*$S$28),$D$28)</f>
        <v>0.8</v>
      </c>
      <c r="V28" s="487">
        <f>+IF(T33="","",T33)</f>
        <v>0.4</v>
      </c>
      <c r="W28" s="490">
        <f>+IF(U33="","",U33)</f>
        <v>0.8</v>
      </c>
      <c r="X28" s="28"/>
      <c r="Y28" s="213"/>
      <c r="Z28" s="214"/>
      <c r="AA28" s="214"/>
    </row>
    <row r="29" spans="1:27" ht="29.65" customHeight="1" thickBot="1">
      <c r="A29" s="457"/>
      <c r="B29" s="461"/>
      <c r="C29" s="450"/>
      <c r="D29" s="453"/>
      <c r="E29" s="252">
        <v>2</v>
      </c>
      <c r="F29" s="240"/>
      <c r="G29" s="162"/>
      <c r="H29" s="162"/>
      <c r="I29" s="211" t="str">
        <f t="shared" si="0"/>
        <v xml:space="preserve">  </v>
      </c>
      <c r="J29" s="287"/>
      <c r="K29" s="215" t="str">
        <f>+IFERROR(VLOOKUP($J29,'11 FORMULAS'!$B$51:$C$53,2,0),"")</f>
        <v/>
      </c>
      <c r="L29" s="215" t="str">
        <f>+IFERROR(VLOOKUP($J29,'11 FORMULAS'!$B$51:$D$53,3,0),"")</f>
        <v/>
      </c>
      <c r="M29" s="253"/>
      <c r="N29" s="254" t="str">
        <f>+IFERROR(VLOOKUP($M29,'11 FORMULAS'!$B$54:$C$55,2,0),"")</f>
        <v/>
      </c>
      <c r="O29" s="255"/>
      <c r="P29" s="255"/>
      <c r="Q29" s="255"/>
      <c r="R29" s="255"/>
      <c r="S29" s="215" t="str">
        <f t="shared" si="1"/>
        <v/>
      </c>
      <c r="T29" s="215">
        <f>IF($L29='11 FORMULAS'!$D$51,$C$28-($C$28*$S$28),$C$28)</f>
        <v>0.4</v>
      </c>
      <c r="U29" s="215">
        <f>IF(L29='11 FORMULAS'!$D$53,$D$28-($D$28*$S$28),$D$28)</f>
        <v>0.8</v>
      </c>
      <c r="V29" s="488"/>
      <c r="W29" s="491"/>
      <c r="X29" s="28"/>
      <c r="Y29" s="213"/>
      <c r="Z29" s="214"/>
      <c r="AA29" s="214"/>
    </row>
    <row r="30" spans="1:27" ht="29.65" customHeight="1" thickBot="1">
      <c r="A30" s="457"/>
      <c r="B30" s="461"/>
      <c r="C30" s="450"/>
      <c r="D30" s="453"/>
      <c r="E30" s="252">
        <v>3</v>
      </c>
      <c r="F30" s="240"/>
      <c r="G30" s="162"/>
      <c r="H30" s="162"/>
      <c r="I30" s="211" t="str">
        <f t="shared" si="0"/>
        <v xml:space="preserve">  </v>
      </c>
      <c r="J30" s="287"/>
      <c r="K30" s="215" t="str">
        <f>+IFERROR(VLOOKUP($J30,'11 FORMULAS'!$B$51:$C$53,2,0),"")</f>
        <v/>
      </c>
      <c r="L30" s="215" t="str">
        <f>+IFERROR(VLOOKUP($J30,'11 FORMULAS'!$B$51:$D$53,3,0),"")</f>
        <v/>
      </c>
      <c r="M30" s="253"/>
      <c r="N30" s="254" t="str">
        <f>+IFERROR(VLOOKUP($M30,'11 FORMULAS'!$B$54:$C$55,2,0),"")</f>
        <v/>
      </c>
      <c r="O30" s="255"/>
      <c r="P30" s="255"/>
      <c r="Q30" s="255"/>
      <c r="R30" s="255"/>
      <c r="S30" s="215" t="str">
        <f t="shared" si="1"/>
        <v/>
      </c>
      <c r="T30" s="215">
        <f>IF($L30='11 FORMULAS'!$D$51,$C$28-($C$28*$S$28),$C$28)</f>
        <v>0.4</v>
      </c>
      <c r="U30" s="215">
        <f>IF(L30='11 FORMULAS'!$D$53,$D$28-($D$28*$S$28),$D$28)</f>
        <v>0.8</v>
      </c>
      <c r="V30" s="488"/>
      <c r="W30" s="491"/>
      <c r="X30" s="28"/>
      <c r="Y30" s="213"/>
      <c r="Z30" s="214"/>
      <c r="AA30" s="214"/>
    </row>
    <row r="31" spans="1:27" ht="29.65" customHeight="1" thickBot="1">
      <c r="A31" s="457"/>
      <c r="B31" s="461"/>
      <c r="C31" s="450"/>
      <c r="D31" s="453"/>
      <c r="E31" s="252">
        <v>4</v>
      </c>
      <c r="F31" s="240"/>
      <c r="G31" s="162"/>
      <c r="H31" s="162"/>
      <c r="I31" s="211" t="str">
        <f t="shared" si="0"/>
        <v xml:space="preserve">  </v>
      </c>
      <c r="J31" s="287"/>
      <c r="K31" s="215" t="str">
        <f>+IFERROR(VLOOKUP($J31,'11 FORMULAS'!$B$51:$C$53,2,0),"")</f>
        <v/>
      </c>
      <c r="L31" s="215" t="str">
        <f>+IFERROR(VLOOKUP($J31,'11 FORMULAS'!$B$51:$D$53,3,0),"")</f>
        <v/>
      </c>
      <c r="M31" s="253"/>
      <c r="N31" s="254" t="str">
        <f>+IFERROR(VLOOKUP($M31,'11 FORMULAS'!$B$54:$C$55,2,0),"")</f>
        <v/>
      </c>
      <c r="O31" s="255"/>
      <c r="P31" s="255"/>
      <c r="Q31" s="255"/>
      <c r="R31" s="255"/>
      <c r="S31" s="215" t="str">
        <f t="shared" si="1"/>
        <v/>
      </c>
      <c r="T31" s="215">
        <f>IF($L31='11 FORMULAS'!$D$51,$C$28-($C$28*$S$28),$C$28)</f>
        <v>0.4</v>
      </c>
      <c r="U31" s="215">
        <f>IF(L31='11 FORMULAS'!$D$53,$D$28-($D$28*$S$28),$D$28)</f>
        <v>0.8</v>
      </c>
      <c r="V31" s="488"/>
      <c r="W31" s="491"/>
      <c r="X31" s="28"/>
      <c r="Y31" s="213"/>
      <c r="Z31" s="214"/>
      <c r="AA31" s="214"/>
    </row>
    <row r="32" spans="1:27" ht="29.65" customHeight="1" thickBot="1">
      <c r="A32" s="457"/>
      <c r="B32" s="461"/>
      <c r="C32" s="450"/>
      <c r="D32" s="453"/>
      <c r="E32" s="252">
        <v>5</v>
      </c>
      <c r="F32" s="240"/>
      <c r="G32" s="162"/>
      <c r="H32" s="162"/>
      <c r="I32" s="211" t="str">
        <f t="shared" si="0"/>
        <v xml:space="preserve">  </v>
      </c>
      <c r="J32" s="287"/>
      <c r="K32" s="215" t="str">
        <f>+IFERROR(VLOOKUP($J32,'11 FORMULAS'!$B$51:$C$53,2,0),"")</f>
        <v/>
      </c>
      <c r="L32" s="215" t="str">
        <f>+IFERROR(VLOOKUP($J32,'11 FORMULAS'!$B$51:$D$53,3,0),"")</f>
        <v/>
      </c>
      <c r="M32" s="253"/>
      <c r="N32" s="254" t="str">
        <f>+IFERROR(VLOOKUP($M32,'11 FORMULAS'!$B$54:$C$55,2,0),"")</f>
        <v/>
      </c>
      <c r="O32" s="255"/>
      <c r="P32" s="255"/>
      <c r="Q32" s="255"/>
      <c r="R32" s="255"/>
      <c r="S32" s="215" t="str">
        <f t="shared" si="1"/>
        <v/>
      </c>
      <c r="T32" s="215">
        <f>IF($L32='11 FORMULAS'!$D$51,$C$28-($C$28*$S$28),$C$28)</f>
        <v>0.4</v>
      </c>
      <c r="U32" s="215">
        <f>IF(L32='11 FORMULAS'!$D$53,$D$28-($D$28*$S$28),$D$28)</f>
        <v>0.8</v>
      </c>
      <c r="V32" s="488"/>
      <c r="W32" s="491"/>
      <c r="X32" s="28"/>
      <c r="Y32" s="213"/>
      <c r="Z32" s="214"/>
      <c r="AA32" s="214"/>
    </row>
    <row r="33" spans="1:27" ht="29.65" customHeight="1" thickBot="1">
      <c r="A33" s="458"/>
      <c r="B33" s="462"/>
      <c r="C33" s="451"/>
      <c r="D33" s="454"/>
      <c r="E33" s="256">
        <v>6</v>
      </c>
      <c r="F33" s="243"/>
      <c r="G33" s="163"/>
      <c r="H33" s="163"/>
      <c r="I33" s="211" t="str">
        <f t="shared" si="0"/>
        <v xml:space="preserve">  </v>
      </c>
      <c r="J33" s="287"/>
      <c r="K33" s="215" t="str">
        <f>+IFERROR(VLOOKUP($J33,'11 FORMULAS'!$B$51:$C$53,2,0),"")</f>
        <v/>
      </c>
      <c r="L33" s="215" t="str">
        <f>+IFERROR(VLOOKUP($J33,'11 FORMULAS'!$B$51:$D$53,3,0),"")</f>
        <v/>
      </c>
      <c r="M33" s="253"/>
      <c r="N33" s="254" t="str">
        <f>+IFERROR(VLOOKUP($M33,'11 FORMULAS'!$B$54:$C$55,2,0),"")</f>
        <v/>
      </c>
      <c r="O33" s="255"/>
      <c r="P33" s="255"/>
      <c r="Q33" s="255"/>
      <c r="R33" s="255"/>
      <c r="S33" s="215" t="str">
        <f t="shared" si="1"/>
        <v/>
      </c>
      <c r="T33" s="215">
        <f>IF($L33='11 FORMULAS'!$D$51,$C$28-($C$28*$S$28),$C$28)</f>
        <v>0.4</v>
      </c>
      <c r="U33" s="215">
        <f>IF(L33='11 FORMULAS'!$D$53,$D$28-($D$28*$S$28),$D$28)</f>
        <v>0.8</v>
      </c>
      <c r="V33" s="489"/>
      <c r="W33" s="492"/>
      <c r="X33" s="28"/>
    </row>
    <row r="34" spans="1:27" ht="73.900000000000006" customHeight="1" thickBot="1">
      <c r="A34" s="455" t="str">
        <f>'2 IDENTIFICACIÓN'!A14</f>
        <v>R5</v>
      </c>
      <c r="B34" s="459" t="str">
        <f>+'2 IDENTIFICACIÓN'!J14</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34" s="449">
        <f>+'3 PROBABIL E IMPACTO INHERENTE'!E14</f>
        <v>0.6</v>
      </c>
      <c r="D34" s="452">
        <f>+'3 PROBABIL E IMPACTO INHERENTE'!M14</f>
        <v>0.6</v>
      </c>
      <c r="E34" s="257">
        <v>1</v>
      </c>
      <c r="F34" s="241" t="s">
        <v>293</v>
      </c>
      <c r="G34" s="35" t="s">
        <v>294</v>
      </c>
      <c r="H34" s="35" t="s">
        <v>295</v>
      </c>
      <c r="I34" s="211" t="str">
        <f t="shared" si="0"/>
        <v>El líder del proceso y el profesional encargado  revisa las acciones correctivas establecidas y plasmadas en los Planes de Mejoramiento de auditorías internas y externas suscritos,  a través de seguimientos con los responsables de su cumplimiento</v>
      </c>
      <c r="J34" s="287" t="s">
        <v>273</v>
      </c>
      <c r="K34" s="215">
        <f>+IFERROR(VLOOKUP($J34,'11 FORMULAS'!$B$51:$C$53,2,0),"")</f>
        <v>0.25</v>
      </c>
      <c r="L34" s="215" t="str">
        <f>+IFERROR(VLOOKUP($J34,'11 FORMULAS'!$B$51:$D$53,3,0),"")</f>
        <v>Probabilidad</v>
      </c>
      <c r="M34" s="253" t="s">
        <v>274</v>
      </c>
      <c r="N34" s="254">
        <f>+IFERROR(VLOOKUP($M34,'11 FORMULAS'!$B$54:$C$55,2,0),"")</f>
        <v>0.15</v>
      </c>
      <c r="O34" s="255" t="s">
        <v>275</v>
      </c>
      <c r="P34" s="255" t="s">
        <v>292</v>
      </c>
      <c r="Q34" s="255" t="s">
        <v>277</v>
      </c>
      <c r="R34" s="255" t="s">
        <v>278</v>
      </c>
      <c r="S34" s="215">
        <f t="shared" si="1"/>
        <v>0.4</v>
      </c>
      <c r="T34" s="215">
        <f>IF($L34='11 FORMULAS'!$D$51,$C$34-($C$34*$S$34),$C$34)</f>
        <v>0.36</v>
      </c>
      <c r="U34" s="215">
        <f>IF($L34='11 FORMULAS'!$D$53,$D$34-($D$34*$S$34),$D$34)</f>
        <v>0.6</v>
      </c>
      <c r="V34" s="487">
        <f>+IF(T39="","",T39)</f>
        <v>0.6</v>
      </c>
      <c r="W34" s="490">
        <f>+IF(U39="","",U39)</f>
        <v>0.6</v>
      </c>
      <c r="X34" s="28"/>
      <c r="Y34" s="213"/>
      <c r="Z34" s="214"/>
      <c r="AA34" s="214"/>
    </row>
    <row r="35" spans="1:27" ht="29.65" customHeight="1" thickBot="1">
      <c r="A35" s="456"/>
      <c r="B35" s="460"/>
      <c r="C35" s="463"/>
      <c r="D35" s="464"/>
      <c r="E35" s="252">
        <v>2</v>
      </c>
      <c r="F35" s="239"/>
      <c r="G35" s="236"/>
      <c r="H35" s="236"/>
      <c r="I35" s="211" t="str">
        <f t="shared" si="0"/>
        <v xml:space="preserve">  </v>
      </c>
      <c r="J35" s="287"/>
      <c r="K35" s="215" t="str">
        <f>+IFERROR(VLOOKUP($J35,'11 FORMULAS'!$B$51:$C$53,2,0),"")</f>
        <v/>
      </c>
      <c r="L35" s="215" t="str">
        <f>+IFERROR(VLOOKUP($J35,'11 FORMULAS'!$B$51:$D$53,3,0),"")</f>
        <v/>
      </c>
      <c r="M35" s="253"/>
      <c r="N35" s="254" t="str">
        <f>+IFERROR(VLOOKUP($M35,'11 FORMULAS'!$B$54:$C$55,2,0),"")</f>
        <v/>
      </c>
      <c r="O35" s="255"/>
      <c r="P35" s="255"/>
      <c r="Q35" s="255"/>
      <c r="R35" s="255"/>
      <c r="S35" s="215" t="str">
        <f t="shared" si="1"/>
        <v/>
      </c>
      <c r="T35" s="215">
        <f>IF($L35='11 FORMULAS'!$D$51,$C$34-($C$34*$S$34),$C$34)</f>
        <v>0.6</v>
      </c>
      <c r="U35" s="215">
        <f>IF($L35='11 FORMULAS'!$D$53,$D$34-($D$34*$S$34),$D$34)</f>
        <v>0.6</v>
      </c>
      <c r="V35" s="495"/>
      <c r="W35" s="496"/>
      <c r="X35" s="28"/>
      <c r="Y35" s="213"/>
      <c r="Z35" s="214"/>
      <c r="AA35" s="214"/>
    </row>
    <row r="36" spans="1:27" ht="29.65" customHeight="1" thickBot="1">
      <c r="A36" s="456"/>
      <c r="B36" s="460"/>
      <c r="C36" s="463"/>
      <c r="D36" s="464"/>
      <c r="E36" s="252">
        <v>3</v>
      </c>
      <c r="F36" s="239"/>
      <c r="G36" s="236"/>
      <c r="H36" s="236"/>
      <c r="I36" s="211" t="str">
        <f t="shared" si="0"/>
        <v xml:space="preserve">  </v>
      </c>
      <c r="J36" s="287"/>
      <c r="K36" s="215" t="str">
        <f>+IFERROR(VLOOKUP($J36,'11 FORMULAS'!$B$51:$C$53,2,0),"")</f>
        <v/>
      </c>
      <c r="L36" s="215" t="str">
        <f>+IFERROR(VLOOKUP($J36,'11 FORMULAS'!$B$51:$D$53,3,0),"")</f>
        <v/>
      </c>
      <c r="M36" s="253"/>
      <c r="N36" s="254" t="str">
        <f>+IFERROR(VLOOKUP($M36,'11 FORMULAS'!$B$54:$C$55,2,0),"")</f>
        <v/>
      </c>
      <c r="O36" s="255"/>
      <c r="P36" s="255"/>
      <c r="Q36" s="255"/>
      <c r="R36" s="255"/>
      <c r="S36" s="215" t="str">
        <f t="shared" si="1"/>
        <v/>
      </c>
      <c r="T36" s="215">
        <f>IF($L36='11 FORMULAS'!$D$51,$C$34-($C$34*$S$34),$C$34)</f>
        <v>0.6</v>
      </c>
      <c r="U36" s="215">
        <f>IF($L36='11 FORMULAS'!$D$53,$D$34-($D$34*$S$34),$D$34)</f>
        <v>0.6</v>
      </c>
      <c r="V36" s="495"/>
      <c r="W36" s="496"/>
      <c r="X36" s="28"/>
      <c r="Y36" s="213"/>
      <c r="Z36" s="214"/>
      <c r="AA36" s="214"/>
    </row>
    <row r="37" spans="1:27" ht="29.65" customHeight="1" thickBot="1">
      <c r="A37" s="457"/>
      <c r="B37" s="461"/>
      <c r="C37" s="450"/>
      <c r="D37" s="453"/>
      <c r="E37" s="252">
        <v>4</v>
      </c>
      <c r="F37" s="240"/>
      <c r="G37" s="162"/>
      <c r="H37" s="162"/>
      <c r="I37" s="211" t="str">
        <f t="shared" si="0"/>
        <v xml:space="preserve">  </v>
      </c>
      <c r="J37" s="287"/>
      <c r="K37" s="215" t="str">
        <f>+IFERROR(VLOOKUP($J37,'11 FORMULAS'!$B$51:$C$53,2,0),"")</f>
        <v/>
      </c>
      <c r="L37" s="215" t="str">
        <f>+IFERROR(VLOOKUP($J37,'11 FORMULAS'!$B$51:$D$53,3,0),"")</f>
        <v/>
      </c>
      <c r="M37" s="253"/>
      <c r="N37" s="254" t="str">
        <f>+IFERROR(VLOOKUP($M37,'11 FORMULAS'!$B$54:$C$55,2,0),"")</f>
        <v/>
      </c>
      <c r="O37" s="255"/>
      <c r="P37" s="255"/>
      <c r="Q37" s="255"/>
      <c r="R37" s="255"/>
      <c r="S37" s="215" t="str">
        <f t="shared" si="1"/>
        <v/>
      </c>
      <c r="T37" s="215">
        <f>IF($L37='11 FORMULAS'!$D$51,$C$34-($C$34*$S$34),$C$34)</f>
        <v>0.6</v>
      </c>
      <c r="U37" s="215">
        <f>IF($L37='11 FORMULAS'!$D$53,$D$34-($D$34*$S$34),$D$34)</f>
        <v>0.6</v>
      </c>
      <c r="V37" s="488"/>
      <c r="W37" s="491"/>
      <c r="X37" s="28"/>
      <c r="Y37" s="213"/>
      <c r="Z37" s="214"/>
      <c r="AA37" s="214"/>
    </row>
    <row r="38" spans="1:27" ht="29.65" customHeight="1" thickBot="1">
      <c r="A38" s="457"/>
      <c r="B38" s="461"/>
      <c r="C38" s="450"/>
      <c r="D38" s="453"/>
      <c r="E38" s="252">
        <v>5</v>
      </c>
      <c r="F38" s="240"/>
      <c r="G38" s="162"/>
      <c r="H38" s="162"/>
      <c r="I38" s="211" t="str">
        <f t="shared" si="0"/>
        <v xml:space="preserve">  </v>
      </c>
      <c r="J38" s="287"/>
      <c r="K38" s="215" t="str">
        <f>+IFERROR(VLOOKUP($J38,'11 FORMULAS'!$B$51:$C$53,2,0),"")</f>
        <v/>
      </c>
      <c r="L38" s="215" t="str">
        <f>+IFERROR(VLOOKUP($J38,'11 FORMULAS'!$B$51:$D$53,3,0),"")</f>
        <v/>
      </c>
      <c r="M38" s="253"/>
      <c r="N38" s="254" t="str">
        <f>+IFERROR(VLOOKUP($M38,'11 FORMULAS'!$B$54:$C$55,2,0),"")</f>
        <v/>
      </c>
      <c r="O38" s="255"/>
      <c r="P38" s="255"/>
      <c r="Q38" s="255"/>
      <c r="R38" s="255"/>
      <c r="S38" s="215" t="str">
        <f t="shared" si="1"/>
        <v/>
      </c>
      <c r="T38" s="215">
        <f>IF($L38='11 FORMULAS'!$D$51,$C$34-($C$34*$S$34),$C$34)</f>
        <v>0.6</v>
      </c>
      <c r="U38" s="215">
        <f>IF($L38='11 FORMULAS'!$D$53,$D$34-($D$34*$S$34),$D$34)</f>
        <v>0.6</v>
      </c>
      <c r="V38" s="488"/>
      <c r="W38" s="491"/>
      <c r="X38" s="28"/>
      <c r="Y38" s="213"/>
      <c r="Z38" s="214"/>
      <c r="AA38" s="214"/>
    </row>
    <row r="39" spans="1:27" ht="29.65" customHeight="1" thickBot="1">
      <c r="A39" s="458"/>
      <c r="B39" s="462"/>
      <c r="C39" s="451"/>
      <c r="D39" s="454"/>
      <c r="E39" s="252">
        <v>6</v>
      </c>
      <c r="F39" s="243"/>
      <c r="G39" s="163"/>
      <c r="H39" s="163"/>
      <c r="I39" s="211" t="str">
        <f t="shared" si="0"/>
        <v xml:space="preserve">  </v>
      </c>
      <c r="J39" s="287"/>
      <c r="K39" s="215" t="str">
        <f>+IFERROR(VLOOKUP($J39,'11 FORMULAS'!$B$51:$C$53,2,0),"")</f>
        <v/>
      </c>
      <c r="L39" s="215" t="str">
        <f>+IFERROR(VLOOKUP($J39,'11 FORMULAS'!$B$51:$D$53,3,0),"")</f>
        <v/>
      </c>
      <c r="M39" s="253"/>
      <c r="N39" s="254" t="str">
        <f>+IFERROR(VLOOKUP($M39,'11 FORMULAS'!$B$54:$C$55,2,0),"")</f>
        <v/>
      </c>
      <c r="O39" s="255"/>
      <c r="P39" s="255"/>
      <c r="Q39" s="255"/>
      <c r="R39" s="255"/>
      <c r="S39" s="215" t="str">
        <f t="shared" si="1"/>
        <v/>
      </c>
      <c r="T39" s="215">
        <f>IF($L39='11 FORMULAS'!$D$51,$C$34-($C$34*$S$34),$C$34)</f>
        <v>0.6</v>
      </c>
      <c r="U39" s="215">
        <f>IF($L39='11 FORMULAS'!$D$53,$D$34-($D$34*$S$34),$D$34)</f>
        <v>0.6</v>
      </c>
      <c r="V39" s="489"/>
      <c r="W39" s="492"/>
      <c r="X39" s="28"/>
    </row>
    <row r="40" spans="1:27" ht="95.45" customHeight="1" thickBot="1">
      <c r="A40" s="455" t="str">
        <f>'2 IDENTIFICACIÓN'!A15</f>
        <v>R6</v>
      </c>
      <c r="B40" s="459" t="str">
        <f>+'2 IDENTIFICACIÓN'!J15</f>
        <v>Posibilidad de afectación económica y reputacional por investigaciones y sanciones disciplinarias por entes de control,  debido a la falta de seguimiento al cumplimiento de metas del Plan de Desarrollo Municipal programadas para la vigencia.</v>
      </c>
      <c r="C40" s="449">
        <f>+'3 PROBABIL E IMPACTO INHERENTE'!E15</f>
        <v>0.6</v>
      </c>
      <c r="D40" s="452">
        <f>+'3 PROBABIL E IMPACTO INHERENTE'!M15</f>
        <v>1</v>
      </c>
      <c r="E40" s="252">
        <v>1</v>
      </c>
      <c r="F40" s="241" t="s">
        <v>296</v>
      </c>
      <c r="G40" s="35" t="s">
        <v>297</v>
      </c>
      <c r="H40" s="35" t="s">
        <v>298</v>
      </c>
      <c r="I40" s="211" t="str">
        <f t="shared" si="0"/>
        <v>La Secretaría del Interior verifica el avance en el cumplimiento físico de las metas y la ejecución de los recursos financieros del Plan de Desarrollo Municipal 2026-2027,  mediante seguimiento periódico, con el fin de gestionar oportunamente la apropiación de recursos y la solicitud de vigencias futuras que garanticen el cumplimiento de las metas programadas para la vigencia</v>
      </c>
      <c r="J40" s="287" t="s">
        <v>273</v>
      </c>
      <c r="K40" s="215">
        <f>+IFERROR(VLOOKUP($J40,'11 FORMULAS'!$B$51:$C$53,2,0),"")</f>
        <v>0.25</v>
      </c>
      <c r="L40" s="215" t="str">
        <f>+IFERROR(VLOOKUP($J40,'11 FORMULAS'!$B$51:$D$53,3,0),"")</f>
        <v>Probabilidad</v>
      </c>
      <c r="M40" s="253" t="s">
        <v>274</v>
      </c>
      <c r="N40" s="254">
        <f>+IFERROR(VLOOKUP($M40,'11 FORMULAS'!$B$54:$C$55,2,0),"")</f>
        <v>0.15</v>
      </c>
      <c r="O40" s="255" t="s">
        <v>275</v>
      </c>
      <c r="P40" s="255" t="s">
        <v>292</v>
      </c>
      <c r="Q40" s="255" t="s">
        <v>277</v>
      </c>
      <c r="R40" s="255" t="s">
        <v>278</v>
      </c>
      <c r="S40" s="215">
        <f t="shared" si="1"/>
        <v>0.4</v>
      </c>
      <c r="T40" s="215">
        <f>IF($L40='11 FORMULAS'!$D$51,$C$40-($C$40*$S$40),$C$40)</f>
        <v>0.36</v>
      </c>
      <c r="U40" s="215">
        <f>IF($L40='11 FORMULAS'!$D$53,$D$40-($D$40*$S$40),$D$40)</f>
        <v>1</v>
      </c>
      <c r="V40" s="487">
        <f>+IF(T45="","",T45)</f>
        <v>0.6</v>
      </c>
      <c r="W40" s="490">
        <f>+IF(U45="","",U45)</f>
        <v>1</v>
      </c>
      <c r="X40" s="28"/>
      <c r="Y40" s="213"/>
      <c r="Z40" s="214"/>
      <c r="AA40" s="214"/>
    </row>
    <row r="41" spans="1:27" ht="29.65" customHeight="1" thickBot="1">
      <c r="A41" s="456"/>
      <c r="B41" s="460"/>
      <c r="C41" s="463"/>
      <c r="D41" s="464"/>
      <c r="E41" s="252">
        <v>2</v>
      </c>
      <c r="F41" s="239"/>
      <c r="G41" s="236"/>
      <c r="H41" s="236"/>
      <c r="I41" s="211" t="str">
        <f t="shared" si="0"/>
        <v xml:space="preserve">  </v>
      </c>
      <c r="J41" s="287"/>
      <c r="K41" s="215" t="str">
        <f>+IFERROR(VLOOKUP($J41,'11 FORMULAS'!$B$51:$C$53,2,0),"")</f>
        <v/>
      </c>
      <c r="L41" s="215" t="str">
        <f>+IFERROR(VLOOKUP($J41,'11 FORMULAS'!$B$51:$D$53,3,0),"")</f>
        <v/>
      </c>
      <c r="M41" s="253"/>
      <c r="N41" s="254" t="str">
        <f>+IFERROR(VLOOKUP($M41,'11 FORMULAS'!$B$54:$C$55,2,0),"")</f>
        <v/>
      </c>
      <c r="O41" s="255"/>
      <c r="P41" s="255"/>
      <c r="Q41" s="255"/>
      <c r="R41" s="255"/>
      <c r="S41" s="215" t="str">
        <f t="shared" si="1"/>
        <v/>
      </c>
      <c r="T41" s="215">
        <f>IF($L41='11 FORMULAS'!$D$51,$C$40-($C$40*$S$40),$C$40)</f>
        <v>0.6</v>
      </c>
      <c r="U41" s="215">
        <f>IF($L41='11 FORMULAS'!$D$53,$D$40-($D$40*$S$40),$D$40)</f>
        <v>1</v>
      </c>
      <c r="V41" s="495"/>
      <c r="W41" s="496"/>
      <c r="X41" s="28"/>
      <c r="Y41" s="213"/>
      <c r="Z41" s="214"/>
      <c r="AA41" s="214"/>
    </row>
    <row r="42" spans="1:27" ht="29.65" customHeight="1" thickBot="1">
      <c r="A42" s="456"/>
      <c r="B42" s="460"/>
      <c r="C42" s="463"/>
      <c r="D42" s="464"/>
      <c r="E42" s="252">
        <v>3</v>
      </c>
      <c r="F42" s="239"/>
      <c r="G42" s="236"/>
      <c r="H42" s="236"/>
      <c r="I42" s="211" t="str">
        <f t="shared" si="0"/>
        <v xml:space="preserve">  </v>
      </c>
      <c r="J42" s="287"/>
      <c r="K42" s="215" t="str">
        <f>+IFERROR(VLOOKUP($J42,'11 FORMULAS'!$B$51:$C$53,2,0),"")</f>
        <v/>
      </c>
      <c r="L42" s="215" t="str">
        <f>+IFERROR(VLOOKUP($J42,'11 FORMULAS'!$B$51:$D$53,3,0),"")</f>
        <v/>
      </c>
      <c r="M42" s="253"/>
      <c r="N42" s="254" t="str">
        <f>+IFERROR(VLOOKUP($M42,'11 FORMULAS'!$B$54:$C$55,2,0),"")</f>
        <v/>
      </c>
      <c r="O42" s="255"/>
      <c r="P42" s="255"/>
      <c r="Q42" s="255"/>
      <c r="R42" s="255"/>
      <c r="S42" s="215" t="str">
        <f t="shared" si="1"/>
        <v/>
      </c>
      <c r="T42" s="215">
        <f>IF($L42='11 FORMULAS'!$D$51,$C$40-($C$40*$S$40),$C$40)</f>
        <v>0.6</v>
      </c>
      <c r="U42" s="215">
        <f>IF($L42='11 FORMULAS'!$D$53,$D$40-($D$40*$S$40),$D$40)</f>
        <v>1</v>
      </c>
      <c r="V42" s="495"/>
      <c r="W42" s="496"/>
      <c r="X42" s="28"/>
      <c r="Y42" s="213"/>
      <c r="Z42" s="214"/>
      <c r="AA42" s="214"/>
    </row>
    <row r="43" spans="1:27" ht="29.65" customHeight="1" thickBot="1">
      <c r="A43" s="457"/>
      <c r="B43" s="461"/>
      <c r="C43" s="450"/>
      <c r="D43" s="453"/>
      <c r="E43" s="252">
        <v>4</v>
      </c>
      <c r="F43" s="240"/>
      <c r="G43" s="162"/>
      <c r="H43" s="162"/>
      <c r="I43" s="211" t="str">
        <f t="shared" si="0"/>
        <v xml:space="preserve">  </v>
      </c>
      <c r="J43" s="287"/>
      <c r="K43" s="215" t="str">
        <f>+IFERROR(VLOOKUP($J43,'11 FORMULAS'!$B$51:$C$53,2,0),"")</f>
        <v/>
      </c>
      <c r="L43" s="215" t="str">
        <f>+IFERROR(VLOOKUP($J43,'11 FORMULAS'!$B$51:$D$53,3,0),"")</f>
        <v/>
      </c>
      <c r="M43" s="253"/>
      <c r="N43" s="254" t="str">
        <f>+IFERROR(VLOOKUP($M43,'11 FORMULAS'!$B$54:$C$55,2,0),"")</f>
        <v/>
      </c>
      <c r="O43" s="255"/>
      <c r="P43" s="255"/>
      <c r="Q43" s="255"/>
      <c r="R43" s="255"/>
      <c r="S43" s="215" t="str">
        <f t="shared" si="1"/>
        <v/>
      </c>
      <c r="T43" s="215">
        <f>IF($L43='11 FORMULAS'!$D$51,$C$40-($C$40*$S$40),$C$40)</f>
        <v>0.6</v>
      </c>
      <c r="U43" s="215">
        <f>IF($L43='11 FORMULAS'!$D$53,$D$40-($D$40*$S$40),$D$40)</f>
        <v>1</v>
      </c>
      <c r="V43" s="488"/>
      <c r="W43" s="491"/>
      <c r="X43" s="28"/>
      <c r="Y43" s="213"/>
      <c r="Z43" s="214"/>
      <c r="AA43" s="214"/>
    </row>
    <row r="44" spans="1:27" ht="29.65" customHeight="1" thickBot="1">
      <c r="A44" s="457"/>
      <c r="B44" s="461"/>
      <c r="C44" s="450"/>
      <c r="D44" s="453"/>
      <c r="E44" s="252">
        <v>5</v>
      </c>
      <c r="F44" s="240"/>
      <c r="G44" s="162"/>
      <c r="H44" s="162"/>
      <c r="I44" s="211" t="str">
        <f t="shared" si="0"/>
        <v xml:space="preserve">  </v>
      </c>
      <c r="J44" s="287"/>
      <c r="K44" s="215" t="str">
        <f>+IFERROR(VLOOKUP($J44,'11 FORMULAS'!$B$51:$C$53,2,0),"")</f>
        <v/>
      </c>
      <c r="L44" s="215" t="str">
        <f>+IFERROR(VLOOKUP($J44,'11 FORMULAS'!$B$51:$D$53,3,0),"")</f>
        <v/>
      </c>
      <c r="M44" s="253"/>
      <c r="N44" s="254" t="str">
        <f>+IFERROR(VLOOKUP($M44,'11 FORMULAS'!$B$54:$C$55,2,0),"")</f>
        <v/>
      </c>
      <c r="O44" s="255"/>
      <c r="P44" s="255"/>
      <c r="Q44" s="255"/>
      <c r="R44" s="255"/>
      <c r="S44" s="215" t="str">
        <f t="shared" si="1"/>
        <v/>
      </c>
      <c r="T44" s="215">
        <f>IF($L44='11 FORMULAS'!$D$51,$C$40-($C$40*$S$40),$C$40)</f>
        <v>0.6</v>
      </c>
      <c r="U44" s="215">
        <f>IF($L44='11 FORMULAS'!$D$53,$D$40-($D$40*$S$40),$D$40)</f>
        <v>1</v>
      </c>
      <c r="V44" s="488"/>
      <c r="W44" s="491"/>
      <c r="X44" s="28"/>
      <c r="Y44" s="213"/>
      <c r="Z44" s="214"/>
      <c r="AA44" s="214"/>
    </row>
    <row r="45" spans="1:27" ht="29.65" customHeight="1" thickBot="1">
      <c r="A45" s="458"/>
      <c r="B45" s="462"/>
      <c r="C45" s="451"/>
      <c r="D45" s="454"/>
      <c r="E45" s="256">
        <v>6</v>
      </c>
      <c r="F45" s="243"/>
      <c r="G45" s="163"/>
      <c r="H45" s="163"/>
      <c r="I45" s="211" t="str">
        <f t="shared" si="0"/>
        <v xml:space="preserve">  </v>
      </c>
      <c r="J45" s="287"/>
      <c r="K45" s="215" t="str">
        <f>+IFERROR(VLOOKUP($J45,'11 FORMULAS'!$B$51:$C$53,2,0),"")</f>
        <v/>
      </c>
      <c r="L45" s="215" t="str">
        <f>+IFERROR(VLOOKUP($J45,'11 FORMULAS'!$B$51:$D$53,3,0),"")</f>
        <v/>
      </c>
      <c r="M45" s="253"/>
      <c r="N45" s="254" t="str">
        <f>+IFERROR(VLOOKUP($M45,'11 FORMULAS'!$B$54:$C$55,2,0),"")</f>
        <v/>
      </c>
      <c r="O45" s="255"/>
      <c r="P45" s="255"/>
      <c r="Q45" s="255"/>
      <c r="R45" s="255"/>
      <c r="S45" s="215" t="str">
        <f t="shared" si="1"/>
        <v/>
      </c>
      <c r="T45" s="215">
        <f>IF($L45='11 FORMULAS'!$D$51,$C$40-($C$40*$S$40),$C$40)</f>
        <v>0.6</v>
      </c>
      <c r="U45" s="215">
        <f>IF($L45='11 FORMULAS'!$D$53,$D$40-($D$40*$S$40),$D$40)</f>
        <v>1</v>
      </c>
      <c r="V45" s="489"/>
      <c r="W45" s="492"/>
      <c r="X45" s="28"/>
    </row>
    <row r="46" spans="1:27" ht="100.9" customHeight="1" thickBot="1">
      <c r="A46" s="455" t="str">
        <f>'2 IDENTIFICACIÓN'!A16</f>
        <v>R7</v>
      </c>
      <c r="B46" s="459" t="str">
        <f>+'2 IDENTIFICACIÓN'!J16</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46" s="449">
        <f>+'3 PROBABIL E IMPACTO INHERENTE'!E16</f>
        <v>0.6</v>
      </c>
      <c r="D46" s="452">
        <f>+'3 PROBABIL E IMPACTO INHERENTE'!M16</f>
        <v>0.6</v>
      </c>
      <c r="E46" s="257">
        <v>1</v>
      </c>
      <c r="F46" s="241" t="s">
        <v>299</v>
      </c>
      <c r="G46" s="35" t="s">
        <v>300</v>
      </c>
      <c r="H46" s="35" t="s">
        <v>301</v>
      </c>
      <c r="I46" s="211" t="str">
        <f t="shared" si="0"/>
        <v>El profesional asignado por el líder del proceso revisa la información sujeta a publicación, de acuerdo con lo establecido en la Resolución 1519 de 2020 y sus anexos,  y verifica su publicación y actualización en la página web institucional.</v>
      </c>
      <c r="J46" s="287" t="s">
        <v>273</v>
      </c>
      <c r="K46" s="215">
        <f>+IFERROR(VLOOKUP($J46,'11 FORMULAS'!$B$51:$C$53,2,0),"")</f>
        <v>0.25</v>
      </c>
      <c r="L46" s="215" t="str">
        <f>+IFERROR(VLOOKUP($J46,'11 FORMULAS'!$B$51:$D$53,3,0),"")</f>
        <v>Probabilidad</v>
      </c>
      <c r="M46" s="253" t="s">
        <v>274</v>
      </c>
      <c r="N46" s="254">
        <f>+IFERROR(VLOOKUP($M46,'11 FORMULAS'!$B$54:$C$55,2,0),"")</f>
        <v>0.15</v>
      </c>
      <c r="O46" s="255" t="s">
        <v>275</v>
      </c>
      <c r="P46" s="255" t="s">
        <v>292</v>
      </c>
      <c r="Q46" s="255" t="s">
        <v>277</v>
      </c>
      <c r="R46" s="255" t="s">
        <v>278</v>
      </c>
      <c r="S46" s="215">
        <f t="shared" si="1"/>
        <v>0.4</v>
      </c>
      <c r="T46" s="215">
        <f>IF($L46='11 FORMULAS'!$D$51,$C$46-($C$46*$S$46),$C$46)</f>
        <v>0.36</v>
      </c>
      <c r="U46" s="215">
        <f>IF($L46='11 FORMULAS'!$D$53,$D$46-($D$46*$S$46),$D$46)</f>
        <v>0.6</v>
      </c>
      <c r="V46" s="487">
        <f>+IF(T51="","",T51)</f>
        <v>0.6</v>
      </c>
      <c r="W46" s="490">
        <f>+IF(U51="","",U51)</f>
        <v>0.6</v>
      </c>
      <c r="X46" s="28"/>
      <c r="Y46" s="213"/>
      <c r="Z46" s="214"/>
      <c r="AA46" s="214"/>
    </row>
    <row r="47" spans="1:27" ht="29.65" customHeight="1" thickBot="1">
      <c r="A47" s="457"/>
      <c r="B47" s="461"/>
      <c r="C47" s="450"/>
      <c r="D47" s="453"/>
      <c r="E47" s="252">
        <v>2</v>
      </c>
      <c r="F47" s="240"/>
      <c r="G47" s="162"/>
      <c r="H47" s="162"/>
      <c r="I47" s="211" t="str">
        <f t="shared" si="0"/>
        <v xml:space="preserve">  </v>
      </c>
      <c r="J47" s="287"/>
      <c r="K47" s="215" t="str">
        <f>+IFERROR(VLOOKUP($J47,'11 FORMULAS'!$B$51:$C$53,2,0),"")</f>
        <v/>
      </c>
      <c r="L47" s="215" t="str">
        <f>+IFERROR(VLOOKUP($J47,'11 FORMULAS'!$B$51:$D$53,3,0),"")</f>
        <v/>
      </c>
      <c r="M47" s="253"/>
      <c r="N47" s="254" t="str">
        <f>+IFERROR(VLOOKUP($M47,'11 FORMULAS'!$B$54:$C$55,2,0),"")</f>
        <v/>
      </c>
      <c r="O47" s="255"/>
      <c r="P47" s="255"/>
      <c r="Q47" s="255"/>
      <c r="R47" s="255"/>
      <c r="S47" s="215" t="str">
        <f t="shared" si="1"/>
        <v/>
      </c>
      <c r="T47" s="215">
        <f>IF($L47='11 FORMULAS'!$D$51,$C$46-($C$46*$S$46),$C$46)</f>
        <v>0.6</v>
      </c>
      <c r="U47" s="215">
        <f>IF($L47='11 FORMULAS'!$D$53,$D$46-($D$46*$S$46),$D$46)</f>
        <v>0.6</v>
      </c>
      <c r="V47" s="488"/>
      <c r="W47" s="491"/>
      <c r="X47" s="28"/>
      <c r="Y47" s="213"/>
      <c r="Z47" s="214"/>
      <c r="AA47" s="214"/>
    </row>
    <row r="48" spans="1:27" ht="29.65" customHeight="1" thickBot="1">
      <c r="A48" s="457"/>
      <c r="B48" s="461"/>
      <c r="C48" s="450"/>
      <c r="D48" s="453"/>
      <c r="E48" s="252">
        <v>3</v>
      </c>
      <c r="F48" s="240"/>
      <c r="G48" s="162"/>
      <c r="H48" s="162"/>
      <c r="I48" s="211" t="str">
        <f t="shared" si="0"/>
        <v xml:space="preserve">  </v>
      </c>
      <c r="J48" s="287"/>
      <c r="K48" s="215" t="str">
        <f>+IFERROR(VLOOKUP($J48,'11 FORMULAS'!$B$51:$C$53,2,0),"")</f>
        <v/>
      </c>
      <c r="L48" s="215" t="str">
        <f>+IFERROR(VLOOKUP($J48,'11 FORMULAS'!$B$51:$D$53,3,0),"")</f>
        <v/>
      </c>
      <c r="M48" s="253"/>
      <c r="N48" s="254" t="str">
        <f>+IFERROR(VLOOKUP($M48,'11 FORMULAS'!$B$54:$C$55,2,0),"")</f>
        <v/>
      </c>
      <c r="O48" s="255"/>
      <c r="P48" s="255"/>
      <c r="Q48" s="255"/>
      <c r="R48" s="255"/>
      <c r="S48" s="215" t="str">
        <f t="shared" si="1"/>
        <v/>
      </c>
      <c r="T48" s="215">
        <f>IF($L48='11 FORMULAS'!$D$51,$C$46-($C$46*$S$46),$C$46)</f>
        <v>0.6</v>
      </c>
      <c r="U48" s="215">
        <f>IF($L48='11 FORMULAS'!$D$53,$D$46-($D$46*$S$46),$D$46)</f>
        <v>0.6</v>
      </c>
      <c r="V48" s="488"/>
      <c r="W48" s="491"/>
      <c r="X48" s="28"/>
      <c r="Y48" s="213"/>
      <c r="Z48" s="214"/>
      <c r="AA48" s="214"/>
    </row>
    <row r="49" spans="1:27" ht="29.65" customHeight="1" thickBot="1">
      <c r="A49" s="457"/>
      <c r="B49" s="461"/>
      <c r="C49" s="450"/>
      <c r="D49" s="453"/>
      <c r="E49" s="252">
        <v>4</v>
      </c>
      <c r="F49" s="240"/>
      <c r="G49" s="162"/>
      <c r="H49" s="162"/>
      <c r="I49" s="211" t="str">
        <f t="shared" si="0"/>
        <v xml:space="preserve">  </v>
      </c>
      <c r="J49" s="287"/>
      <c r="K49" s="215" t="str">
        <f>+IFERROR(VLOOKUP($J49,'11 FORMULAS'!$B$51:$C$53,2,0),"")</f>
        <v/>
      </c>
      <c r="L49" s="215" t="str">
        <f>+IFERROR(VLOOKUP($J49,'11 FORMULAS'!$B$51:$D$53,3,0),"")</f>
        <v/>
      </c>
      <c r="M49" s="253"/>
      <c r="N49" s="254" t="str">
        <f>+IFERROR(VLOOKUP($M49,'11 FORMULAS'!$B$54:$C$55,2,0),"")</f>
        <v/>
      </c>
      <c r="O49" s="255"/>
      <c r="P49" s="255"/>
      <c r="Q49" s="255"/>
      <c r="R49" s="255"/>
      <c r="S49" s="215" t="str">
        <f t="shared" si="1"/>
        <v/>
      </c>
      <c r="T49" s="215">
        <f>IF($L49='11 FORMULAS'!$D$51,$C$46-($C$46*$S$46),$C$46)</f>
        <v>0.6</v>
      </c>
      <c r="U49" s="215">
        <f>IF($L49='11 FORMULAS'!$D$53,$D$46-($D$46*$S$46),$D$46)</f>
        <v>0.6</v>
      </c>
      <c r="V49" s="488"/>
      <c r="W49" s="491"/>
      <c r="X49" s="28"/>
      <c r="Y49" s="213"/>
      <c r="Z49" s="214"/>
      <c r="AA49" s="214"/>
    </row>
    <row r="50" spans="1:27" ht="29.65" customHeight="1" thickBot="1">
      <c r="A50" s="457"/>
      <c r="B50" s="461"/>
      <c r="C50" s="450"/>
      <c r="D50" s="453"/>
      <c r="E50" s="252">
        <v>5</v>
      </c>
      <c r="F50" s="240"/>
      <c r="G50" s="162"/>
      <c r="H50" s="162"/>
      <c r="I50" s="211" t="str">
        <f t="shared" si="0"/>
        <v xml:space="preserve">  </v>
      </c>
      <c r="J50" s="287"/>
      <c r="K50" s="215" t="str">
        <f>+IFERROR(VLOOKUP($J50,'11 FORMULAS'!$B$51:$C$53,2,0),"")</f>
        <v/>
      </c>
      <c r="L50" s="215" t="str">
        <f>+IFERROR(VLOOKUP($J50,'11 FORMULAS'!$B$51:$D$53,3,0),"")</f>
        <v/>
      </c>
      <c r="M50" s="253"/>
      <c r="N50" s="254" t="str">
        <f>+IFERROR(VLOOKUP($M50,'11 FORMULAS'!$B$54:$C$55,2,0),"")</f>
        <v/>
      </c>
      <c r="O50" s="255"/>
      <c r="P50" s="255"/>
      <c r="Q50" s="255"/>
      <c r="R50" s="255"/>
      <c r="S50" s="215" t="str">
        <f t="shared" si="1"/>
        <v/>
      </c>
      <c r="T50" s="215">
        <f>IF($L50='11 FORMULAS'!$D$51,$C$46-($C$46*$S$46),$C$46)</f>
        <v>0.6</v>
      </c>
      <c r="U50" s="215">
        <f>IF($L50='11 FORMULAS'!$D$53,$D$46-($D$46*$S$46),$D$46)</f>
        <v>0.6</v>
      </c>
      <c r="V50" s="488"/>
      <c r="W50" s="491"/>
      <c r="X50" s="28"/>
      <c r="Y50" s="213"/>
      <c r="Z50" s="214"/>
      <c r="AA50" s="214"/>
    </row>
    <row r="51" spans="1:27" ht="29.65" customHeight="1" thickBot="1">
      <c r="A51" s="458"/>
      <c r="B51" s="462"/>
      <c r="C51" s="451"/>
      <c r="D51" s="454"/>
      <c r="E51" s="256">
        <v>6</v>
      </c>
      <c r="F51" s="243"/>
      <c r="G51" s="163"/>
      <c r="H51" s="163"/>
      <c r="I51" s="211" t="str">
        <f t="shared" si="0"/>
        <v xml:space="preserve">  </v>
      </c>
      <c r="J51" s="287"/>
      <c r="K51" s="215" t="str">
        <f>+IFERROR(VLOOKUP($J51,'11 FORMULAS'!$B$51:$C$53,2,0),"")</f>
        <v/>
      </c>
      <c r="L51" s="215" t="str">
        <f>+IFERROR(VLOOKUP($J51,'11 FORMULAS'!$B$51:$D$53,3,0),"")</f>
        <v/>
      </c>
      <c r="M51" s="253"/>
      <c r="N51" s="254" t="str">
        <f>+IFERROR(VLOOKUP($M51,'11 FORMULAS'!$B$54:$C$55,2,0),"")</f>
        <v/>
      </c>
      <c r="O51" s="255"/>
      <c r="P51" s="255"/>
      <c r="Q51" s="255"/>
      <c r="R51" s="255"/>
      <c r="S51" s="215" t="str">
        <f t="shared" si="1"/>
        <v/>
      </c>
      <c r="T51" s="215">
        <f>IF($L51='11 FORMULAS'!$D$51,$C$46-($C$46*$S$46),$C$46)</f>
        <v>0.6</v>
      </c>
      <c r="U51" s="215">
        <f>IF($L51='11 FORMULAS'!$D$53,$D$46-($D$46*$S$46),$D$46)</f>
        <v>0.6</v>
      </c>
      <c r="V51" s="489"/>
      <c r="W51" s="492"/>
      <c r="X51" s="28"/>
    </row>
    <row r="52" spans="1:27" ht="82.9" customHeight="1" thickBot="1">
      <c r="A52" s="455" t="str">
        <f>'2 IDENTIFICACIÓN'!A17</f>
        <v>R8</v>
      </c>
      <c r="B52" s="459" t="str">
        <f>+'2 IDENTIFICACIÓN'!J17</f>
        <v>Posibilidad  de efecto dañoso sobre bienes de uso público por   pérdida, extravío, hurto, robo o declaratoria de bienes muebles faltantes  de la entidad, debido a  la deficiencias en la aplicación de los procedimientos de actualización, custodia y control de inventarios institucionales.</v>
      </c>
      <c r="C52" s="449">
        <f>+'3 PROBABIL E IMPACTO INHERENTE'!E17</f>
        <v>0.6</v>
      </c>
      <c r="D52" s="452">
        <f>+'3 PROBABIL E IMPACTO INHERENTE'!M17</f>
        <v>0.8</v>
      </c>
      <c r="E52" s="257">
        <v>1</v>
      </c>
      <c r="F52" s="241" t="s">
        <v>302</v>
      </c>
      <c r="G52" s="35" t="s">
        <v>303</v>
      </c>
      <c r="H52" s="35" t="s">
        <v>304</v>
      </c>
      <c r="I52" s="211" t="str">
        <f t="shared" si="0"/>
        <v>El servidor público verifica el inventario de bienes muebles asignados a su cargo, de acuerdo con el formato ESTADO ACTUAL DEL INVENTARIO RESUMIDO DEL SERVIDOR PÚBLICO F-INV-8500-238,37-015 reportado por el área de Inventarios</v>
      </c>
      <c r="J52" s="287" t="s">
        <v>273</v>
      </c>
      <c r="K52" s="215">
        <f>+IFERROR(VLOOKUP($J52,'11 FORMULAS'!$B$51:$C$53,2,0),"")</f>
        <v>0.25</v>
      </c>
      <c r="L52" s="215" t="str">
        <f>+IFERROR(VLOOKUP($J52,'11 FORMULAS'!$B$51:$D$53,3,0),"")</f>
        <v>Probabilidad</v>
      </c>
      <c r="M52" s="253" t="s">
        <v>274</v>
      </c>
      <c r="N52" s="254">
        <f>+IFERROR(VLOOKUP($M52,'11 FORMULAS'!$B$54:$C$55,2,0),"")</f>
        <v>0.15</v>
      </c>
      <c r="O52" s="255" t="s">
        <v>275</v>
      </c>
      <c r="P52" s="255" t="s">
        <v>276</v>
      </c>
      <c r="Q52" s="255" t="s">
        <v>277</v>
      </c>
      <c r="R52" s="255" t="s">
        <v>278</v>
      </c>
      <c r="S52" s="215">
        <f t="shared" si="1"/>
        <v>0.4</v>
      </c>
      <c r="T52" s="215">
        <f>IF($L52='11 FORMULAS'!$D$51,$C$52-($C$52*$S$52),$C$52)</f>
        <v>0.36</v>
      </c>
      <c r="U52" s="215">
        <f>IF($L52='11 FORMULAS'!$D$53,$D$52-($D$52*$S$52),$D$52)</f>
        <v>0.8</v>
      </c>
      <c r="V52" s="487">
        <f>+IF(T57="","",T57)</f>
        <v>0.6</v>
      </c>
      <c r="W52" s="490">
        <f>+IF(U57="","",U57)</f>
        <v>0.8</v>
      </c>
      <c r="X52" s="28"/>
      <c r="Y52" s="213"/>
      <c r="Z52" s="214"/>
      <c r="AA52" s="214"/>
    </row>
    <row r="53" spans="1:27" ht="29.65" customHeight="1" thickBot="1">
      <c r="A53" s="457"/>
      <c r="B53" s="461"/>
      <c r="C53" s="450"/>
      <c r="D53" s="453"/>
      <c r="E53" s="252">
        <v>2</v>
      </c>
      <c r="F53" s="240"/>
      <c r="G53" s="162"/>
      <c r="H53" s="162"/>
      <c r="I53" s="211" t="str">
        <f t="shared" si="0"/>
        <v xml:space="preserve">  </v>
      </c>
      <c r="J53" s="287"/>
      <c r="K53" s="215" t="str">
        <f>+IFERROR(VLOOKUP($J53,'11 FORMULAS'!$B$51:$C$53,2,0),"")</f>
        <v/>
      </c>
      <c r="L53" s="215" t="str">
        <f>+IFERROR(VLOOKUP($J53,'11 FORMULAS'!$B$51:$D$53,3,0),"")</f>
        <v/>
      </c>
      <c r="M53" s="253"/>
      <c r="N53" s="254" t="str">
        <f>+IFERROR(VLOOKUP($M53,'11 FORMULAS'!$B$54:$C$55,2,0),"")</f>
        <v/>
      </c>
      <c r="O53" s="255"/>
      <c r="P53" s="255"/>
      <c r="Q53" s="255"/>
      <c r="R53" s="255"/>
      <c r="S53" s="215" t="str">
        <f t="shared" si="1"/>
        <v/>
      </c>
      <c r="T53" s="215">
        <f>IF($L53='11 FORMULAS'!$D$51,$C$52-($C$52*$S$52),$C$52)</f>
        <v>0.6</v>
      </c>
      <c r="U53" s="215">
        <f>IF($L53='11 FORMULAS'!$D$53,$D$52-($D$52*$S$52),$D$52)</f>
        <v>0.8</v>
      </c>
      <c r="V53" s="488"/>
      <c r="W53" s="491"/>
      <c r="X53" s="28"/>
      <c r="Y53" s="213"/>
      <c r="Z53" s="214"/>
      <c r="AA53" s="214"/>
    </row>
    <row r="54" spans="1:27" ht="29.65" customHeight="1" thickBot="1">
      <c r="A54" s="457"/>
      <c r="B54" s="461"/>
      <c r="C54" s="450"/>
      <c r="D54" s="453"/>
      <c r="E54" s="252">
        <v>3</v>
      </c>
      <c r="F54" s="240"/>
      <c r="G54" s="162"/>
      <c r="H54" s="162"/>
      <c r="I54" s="211" t="str">
        <f t="shared" si="0"/>
        <v xml:space="preserve">  </v>
      </c>
      <c r="J54" s="287"/>
      <c r="K54" s="215" t="str">
        <f>+IFERROR(VLOOKUP($J54,'11 FORMULAS'!$B$51:$C$53,2,0),"")</f>
        <v/>
      </c>
      <c r="L54" s="215" t="str">
        <f>+IFERROR(VLOOKUP($J54,'11 FORMULAS'!$B$51:$D$53,3,0),"")</f>
        <v/>
      </c>
      <c r="M54" s="253"/>
      <c r="N54" s="254" t="str">
        <f>+IFERROR(VLOOKUP($M54,'11 FORMULAS'!$B$54:$C$55,2,0),"")</f>
        <v/>
      </c>
      <c r="O54" s="255"/>
      <c r="P54" s="255"/>
      <c r="Q54" s="255"/>
      <c r="R54" s="255"/>
      <c r="S54" s="215" t="str">
        <f t="shared" si="1"/>
        <v/>
      </c>
      <c r="T54" s="215">
        <f>IF($L54='11 FORMULAS'!$D$51,$C$52-($C$52*$S$52),$C$52)</f>
        <v>0.6</v>
      </c>
      <c r="U54" s="215">
        <f>IF($L54='11 FORMULAS'!$D$53,$D$52-($D$52*$S$52),$D$52)</f>
        <v>0.8</v>
      </c>
      <c r="V54" s="488"/>
      <c r="W54" s="491"/>
      <c r="X54" s="28"/>
      <c r="Y54" s="213"/>
      <c r="Z54" s="214"/>
      <c r="AA54" s="214"/>
    </row>
    <row r="55" spans="1:27" ht="29.65" customHeight="1" thickBot="1">
      <c r="A55" s="457"/>
      <c r="B55" s="461"/>
      <c r="C55" s="450"/>
      <c r="D55" s="453"/>
      <c r="E55" s="252">
        <v>4</v>
      </c>
      <c r="F55" s="240"/>
      <c r="G55" s="162"/>
      <c r="H55" s="162"/>
      <c r="I55" s="211" t="str">
        <f t="shared" si="0"/>
        <v xml:space="preserve">  </v>
      </c>
      <c r="J55" s="287"/>
      <c r="K55" s="215" t="str">
        <f>+IFERROR(VLOOKUP($J55,'11 FORMULAS'!$B$51:$C$53,2,0),"")</f>
        <v/>
      </c>
      <c r="L55" s="215" t="str">
        <f>+IFERROR(VLOOKUP($J55,'11 FORMULAS'!$B$51:$D$53,3,0),"")</f>
        <v/>
      </c>
      <c r="M55" s="253"/>
      <c r="N55" s="254" t="str">
        <f>+IFERROR(VLOOKUP($M55,'11 FORMULAS'!$B$54:$C$55,2,0),"")</f>
        <v/>
      </c>
      <c r="O55" s="255"/>
      <c r="P55" s="255"/>
      <c r="Q55" s="255"/>
      <c r="R55" s="255"/>
      <c r="S55" s="215" t="str">
        <f t="shared" si="1"/>
        <v/>
      </c>
      <c r="T55" s="215">
        <f>IF($L55='11 FORMULAS'!$D$51,$C$52-($C$52*$S$52),$C$52)</f>
        <v>0.6</v>
      </c>
      <c r="U55" s="215">
        <f>IF($L55='11 FORMULAS'!$D$53,$D$52-($D$52*$S$52),$D$52)</f>
        <v>0.8</v>
      </c>
      <c r="V55" s="488"/>
      <c r="W55" s="491"/>
      <c r="X55" s="28"/>
      <c r="Y55" s="213"/>
      <c r="Z55" s="214"/>
      <c r="AA55" s="214"/>
    </row>
    <row r="56" spans="1:27" ht="29.65" customHeight="1" thickBot="1">
      <c r="A56" s="457"/>
      <c r="B56" s="461"/>
      <c r="C56" s="450"/>
      <c r="D56" s="453"/>
      <c r="E56" s="252">
        <v>5</v>
      </c>
      <c r="F56" s="240"/>
      <c r="G56" s="162"/>
      <c r="H56" s="162"/>
      <c r="I56" s="211" t="str">
        <f t="shared" si="0"/>
        <v xml:space="preserve">  </v>
      </c>
      <c r="J56" s="287"/>
      <c r="K56" s="215" t="str">
        <f>+IFERROR(VLOOKUP($J56,'11 FORMULAS'!$B$51:$C$53,2,0),"")</f>
        <v/>
      </c>
      <c r="L56" s="215" t="str">
        <f>+IFERROR(VLOOKUP($J56,'11 FORMULAS'!$B$51:$D$53,3,0),"")</f>
        <v/>
      </c>
      <c r="M56" s="253"/>
      <c r="N56" s="254" t="str">
        <f>+IFERROR(VLOOKUP($M56,'11 FORMULAS'!$B$54:$C$55,2,0),"")</f>
        <v/>
      </c>
      <c r="O56" s="255"/>
      <c r="P56" s="255"/>
      <c r="Q56" s="255"/>
      <c r="R56" s="255"/>
      <c r="S56" s="215" t="str">
        <f t="shared" si="1"/>
        <v/>
      </c>
      <c r="T56" s="215">
        <f>IF($L56='11 FORMULAS'!$D$51,$C$52-($C$52*$S$52),$C$52)</f>
        <v>0.6</v>
      </c>
      <c r="U56" s="215">
        <f>IF($L56='11 FORMULAS'!$D$53,$D$52-($D$52*$S$52),$D$52)</f>
        <v>0.8</v>
      </c>
      <c r="V56" s="488"/>
      <c r="W56" s="491"/>
      <c r="X56" s="28"/>
      <c r="Y56" s="213"/>
      <c r="Z56" s="214"/>
      <c r="AA56" s="214"/>
    </row>
    <row r="57" spans="1:27" ht="29.65" customHeight="1" thickBot="1">
      <c r="A57" s="458"/>
      <c r="B57" s="462"/>
      <c r="C57" s="451"/>
      <c r="D57" s="454"/>
      <c r="E57" s="256">
        <v>6</v>
      </c>
      <c r="F57" s="243"/>
      <c r="G57" s="163"/>
      <c r="H57" s="163"/>
      <c r="I57" s="211" t="str">
        <f t="shared" si="0"/>
        <v xml:space="preserve">  </v>
      </c>
      <c r="J57" s="287"/>
      <c r="K57" s="215" t="str">
        <f>+IFERROR(VLOOKUP($J57,'11 FORMULAS'!$B$51:$C$53,2,0),"")</f>
        <v/>
      </c>
      <c r="L57" s="215" t="str">
        <f>+IFERROR(VLOOKUP($J57,'11 FORMULAS'!$B$51:$D$53,3,0),"")</f>
        <v/>
      </c>
      <c r="M57" s="253"/>
      <c r="N57" s="254" t="str">
        <f>+IFERROR(VLOOKUP($M57,'11 FORMULAS'!$B$54:$C$55,2,0),"")</f>
        <v/>
      </c>
      <c r="O57" s="255"/>
      <c r="P57" s="255"/>
      <c r="Q57" s="255"/>
      <c r="R57" s="255"/>
      <c r="S57" s="215" t="str">
        <f t="shared" si="1"/>
        <v/>
      </c>
      <c r="T57" s="215">
        <f>IF($L57='11 FORMULAS'!$D$51,$C$52-($C$52*$S$52),$C$52)</f>
        <v>0.6</v>
      </c>
      <c r="U57" s="215">
        <f>IF($L57='11 FORMULAS'!$D$53,$D$52-($D$52*$S$52),$D$52)</f>
        <v>0.8</v>
      </c>
      <c r="V57" s="489"/>
      <c r="W57" s="492"/>
      <c r="X57" s="28"/>
    </row>
    <row r="58" spans="1:27" ht="114" customHeight="1" thickBot="1">
      <c r="A58" s="455" t="str">
        <f>'2 IDENTIFICACIÓN'!A18</f>
        <v>R9</v>
      </c>
      <c r="B58" s="459" t="str">
        <f>+'2 IDENTIFICACIÓN'!J18</f>
        <v>Posibilidad  de efecto dañoso sobre el recurso público por pago de sanción e intereses moratorios,  debido a trámite inoportuno a los requerimientos de los entes de control y vigilancia, de acuerdo con sus lineamientos y términos de ley.</v>
      </c>
      <c r="C58" s="449">
        <f>+'3 PROBABIL E IMPACTO INHERENTE'!E18</f>
        <v>0.6</v>
      </c>
      <c r="D58" s="452">
        <f>+'3 PROBABIL E IMPACTO INHERENTE'!M18</f>
        <v>0.4</v>
      </c>
      <c r="E58" s="257">
        <v>1</v>
      </c>
      <c r="F58" s="241" t="s">
        <v>289</v>
      </c>
      <c r="G58" s="35" t="s">
        <v>305</v>
      </c>
      <c r="H58" s="35" t="s">
        <v>306</v>
      </c>
      <c r="I58" s="211" t="str">
        <f t="shared" si="0"/>
        <v>La persona encargada verifica el cumplimiento de los términos establecidos para la atención de los requerimientos de los entes de control y vigilancia asignados a la Secretaría del Interior, a través del seguimiento y validación de las fechas de vencimiento y respuesta registradas en los mecanismos institucionales de control y seguimiento, identificando alertas frente a posibles incumplimientos.</v>
      </c>
      <c r="J58" s="287" t="s">
        <v>273</v>
      </c>
      <c r="K58" s="215">
        <f>+IFERROR(VLOOKUP($J58,'11 FORMULAS'!$B$51:$C$53,2,0),"")</f>
        <v>0.25</v>
      </c>
      <c r="L58" s="215" t="str">
        <f>+IFERROR(VLOOKUP($J58,'11 FORMULAS'!$B$51:$D$53,3,0),"")</f>
        <v>Probabilidad</v>
      </c>
      <c r="M58" s="253" t="s">
        <v>274</v>
      </c>
      <c r="N58" s="254">
        <f>+IFERROR(VLOOKUP($M58,'11 FORMULAS'!$B$54:$C$55,2,0),"")</f>
        <v>0.15</v>
      </c>
      <c r="O58" s="255" t="s">
        <v>275</v>
      </c>
      <c r="P58" s="255" t="s">
        <v>292</v>
      </c>
      <c r="Q58" s="255" t="s">
        <v>277</v>
      </c>
      <c r="R58" s="255" t="s">
        <v>278</v>
      </c>
      <c r="S58" s="215">
        <f t="shared" si="1"/>
        <v>0.4</v>
      </c>
      <c r="T58" s="215">
        <f>IF($L58='11 FORMULAS'!$D$51,$C$58-($C$58*$S$58),$C$58)</f>
        <v>0.36</v>
      </c>
      <c r="U58" s="215">
        <f>IF($L58='11 FORMULAS'!$D$53,$D$58-($D$58*$S$58),$D$58)</f>
        <v>0.4</v>
      </c>
      <c r="V58" s="487">
        <f>+IF(T63="","",T63)</f>
        <v>0.6</v>
      </c>
      <c r="W58" s="490">
        <f>+IF(U63="","",U63)</f>
        <v>0.4</v>
      </c>
      <c r="X58" s="28"/>
      <c r="Y58" s="213"/>
      <c r="Z58" s="214"/>
      <c r="AA58" s="214"/>
    </row>
    <row r="59" spans="1:27" ht="29.65" customHeight="1" thickBot="1">
      <c r="A59" s="457"/>
      <c r="B59" s="461"/>
      <c r="C59" s="450"/>
      <c r="D59" s="453"/>
      <c r="E59" s="252">
        <v>2</v>
      </c>
      <c r="F59" s="240"/>
      <c r="G59" s="162"/>
      <c r="H59" s="162"/>
      <c r="I59" s="211" t="str">
        <f t="shared" si="0"/>
        <v xml:space="preserve">  </v>
      </c>
      <c r="J59" s="287"/>
      <c r="K59" s="215" t="str">
        <f>+IFERROR(VLOOKUP($J59,'11 FORMULAS'!$B$51:$C$53,2,0),"")</f>
        <v/>
      </c>
      <c r="L59" s="215" t="str">
        <f>+IFERROR(VLOOKUP($J59,'11 FORMULAS'!$B$51:$D$53,3,0),"")</f>
        <v/>
      </c>
      <c r="M59" s="253"/>
      <c r="N59" s="254" t="str">
        <f>+IFERROR(VLOOKUP($M59,'11 FORMULAS'!$B$54:$C$55,2,0),"")</f>
        <v/>
      </c>
      <c r="O59" s="255"/>
      <c r="P59" s="255"/>
      <c r="Q59" s="255"/>
      <c r="R59" s="255"/>
      <c r="S59" s="215" t="str">
        <f t="shared" si="1"/>
        <v/>
      </c>
      <c r="T59" s="215">
        <f>IF($L59='11 FORMULAS'!$D$51,$C$58-($C$58*$S$58),$C$58)</f>
        <v>0.6</v>
      </c>
      <c r="U59" s="215">
        <f>IF($L59='11 FORMULAS'!$D$53,$D$58-($D$58*$S$58),$D$58)</f>
        <v>0.4</v>
      </c>
      <c r="V59" s="488"/>
      <c r="W59" s="491"/>
      <c r="X59" s="28"/>
      <c r="Y59" s="213"/>
      <c r="Z59" s="214"/>
      <c r="AA59" s="214"/>
    </row>
    <row r="60" spans="1:27" ht="29.65" customHeight="1" thickBot="1">
      <c r="A60" s="457"/>
      <c r="B60" s="461"/>
      <c r="C60" s="450"/>
      <c r="D60" s="453"/>
      <c r="E60" s="252">
        <v>3</v>
      </c>
      <c r="F60" s="240"/>
      <c r="G60" s="162"/>
      <c r="H60" s="162"/>
      <c r="I60" s="211" t="str">
        <f t="shared" si="0"/>
        <v xml:space="preserve">  </v>
      </c>
      <c r="J60" s="287"/>
      <c r="K60" s="215" t="str">
        <f>+IFERROR(VLOOKUP($J60,'11 FORMULAS'!$B$51:$C$53,2,0),"")</f>
        <v/>
      </c>
      <c r="L60" s="215" t="str">
        <f>+IFERROR(VLOOKUP($J60,'11 FORMULAS'!$B$51:$D$53,3,0),"")</f>
        <v/>
      </c>
      <c r="M60" s="253"/>
      <c r="N60" s="254" t="str">
        <f>+IFERROR(VLOOKUP($M60,'11 FORMULAS'!$B$54:$C$55,2,0),"")</f>
        <v/>
      </c>
      <c r="O60" s="255"/>
      <c r="P60" s="255"/>
      <c r="Q60" s="255"/>
      <c r="R60" s="255"/>
      <c r="S60" s="215" t="str">
        <f t="shared" si="1"/>
        <v/>
      </c>
      <c r="T60" s="215">
        <f>IF($L60='11 FORMULAS'!$D$51,$C$58-($C$58*$S$58),$C$58)</f>
        <v>0.6</v>
      </c>
      <c r="U60" s="215">
        <f>IF($L60='11 FORMULAS'!$D$53,$D$58-($D$58*$S$58),$D$58)</f>
        <v>0.4</v>
      </c>
      <c r="V60" s="488"/>
      <c r="W60" s="491"/>
      <c r="X60" s="28"/>
      <c r="Y60" s="213"/>
      <c r="Z60" s="214"/>
      <c r="AA60" s="214"/>
    </row>
    <row r="61" spans="1:27" ht="29.65" customHeight="1" thickBot="1">
      <c r="A61" s="457"/>
      <c r="B61" s="461"/>
      <c r="C61" s="450"/>
      <c r="D61" s="453"/>
      <c r="E61" s="252">
        <v>4</v>
      </c>
      <c r="F61" s="240"/>
      <c r="G61" s="162"/>
      <c r="H61" s="162"/>
      <c r="I61" s="211" t="str">
        <f t="shared" si="0"/>
        <v xml:space="preserve">  </v>
      </c>
      <c r="J61" s="287"/>
      <c r="K61" s="215" t="str">
        <f>+IFERROR(VLOOKUP($J61,'11 FORMULAS'!$B$51:$C$53,2,0),"")</f>
        <v/>
      </c>
      <c r="L61" s="215" t="str">
        <f>+IFERROR(VLOOKUP($J61,'11 FORMULAS'!$B$51:$D$53,3,0),"")</f>
        <v/>
      </c>
      <c r="M61" s="253"/>
      <c r="N61" s="254" t="str">
        <f>+IFERROR(VLOOKUP($M61,'11 FORMULAS'!$B$54:$C$55,2,0),"")</f>
        <v/>
      </c>
      <c r="O61" s="255"/>
      <c r="P61" s="255"/>
      <c r="Q61" s="255"/>
      <c r="R61" s="255"/>
      <c r="S61" s="215" t="str">
        <f t="shared" si="1"/>
        <v/>
      </c>
      <c r="T61" s="215">
        <f>IF($L61='11 FORMULAS'!$D$51,$C$58-($C$58*$S$58),$C$58)</f>
        <v>0.6</v>
      </c>
      <c r="U61" s="215">
        <f>IF($L61='11 FORMULAS'!$D$53,$D$58-($D$58*$S$58),$D$58)</f>
        <v>0.4</v>
      </c>
      <c r="V61" s="488"/>
      <c r="W61" s="491"/>
      <c r="X61" s="28"/>
      <c r="Y61" s="213"/>
      <c r="Z61" s="214"/>
      <c r="AA61" s="214"/>
    </row>
    <row r="62" spans="1:27" ht="29.65" customHeight="1" thickBot="1">
      <c r="A62" s="457"/>
      <c r="B62" s="461"/>
      <c r="C62" s="450"/>
      <c r="D62" s="453"/>
      <c r="E62" s="252">
        <v>5</v>
      </c>
      <c r="F62" s="240"/>
      <c r="G62" s="162"/>
      <c r="H62" s="162"/>
      <c r="I62" s="211" t="str">
        <f t="shared" si="0"/>
        <v xml:space="preserve">  </v>
      </c>
      <c r="J62" s="287"/>
      <c r="K62" s="215" t="str">
        <f>+IFERROR(VLOOKUP($J62,'11 FORMULAS'!$B$51:$C$53,2,0),"")</f>
        <v/>
      </c>
      <c r="L62" s="215" t="str">
        <f>+IFERROR(VLOOKUP($J62,'11 FORMULAS'!$B$51:$D$53,3,0),"")</f>
        <v/>
      </c>
      <c r="M62" s="253"/>
      <c r="N62" s="254" t="str">
        <f>+IFERROR(VLOOKUP($M62,'11 FORMULAS'!$B$54:$C$55,2,0),"")</f>
        <v/>
      </c>
      <c r="O62" s="255"/>
      <c r="P62" s="255"/>
      <c r="Q62" s="255"/>
      <c r="R62" s="255"/>
      <c r="S62" s="215" t="str">
        <f t="shared" si="1"/>
        <v/>
      </c>
      <c r="T62" s="215">
        <f>IF($L62='11 FORMULAS'!$D$51,$C$58-($C$58*$S$58),$C$58)</f>
        <v>0.6</v>
      </c>
      <c r="U62" s="215">
        <f>IF($L62='11 FORMULAS'!$D$53,$D$58-($D$58*$S$58),$D$58)</f>
        <v>0.4</v>
      </c>
      <c r="V62" s="488"/>
      <c r="W62" s="491"/>
      <c r="X62" s="28"/>
      <c r="Y62" s="213"/>
      <c r="Z62" s="214"/>
      <c r="AA62" s="214"/>
    </row>
    <row r="63" spans="1:27" ht="29.65" customHeight="1" thickBot="1">
      <c r="A63" s="458"/>
      <c r="B63" s="462"/>
      <c r="C63" s="451"/>
      <c r="D63" s="454"/>
      <c r="E63" s="256">
        <v>6</v>
      </c>
      <c r="F63" s="243"/>
      <c r="G63" s="163"/>
      <c r="H63" s="163"/>
      <c r="I63" s="211" t="str">
        <f t="shared" si="0"/>
        <v xml:space="preserve">  </v>
      </c>
      <c r="J63" s="287"/>
      <c r="K63" s="215" t="str">
        <f>+IFERROR(VLOOKUP($J63,'11 FORMULAS'!$B$51:$C$53,2,0),"")</f>
        <v/>
      </c>
      <c r="L63" s="215" t="str">
        <f>+IFERROR(VLOOKUP($J63,'11 FORMULAS'!$B$51:$D$53,3,0),"")</f>
        <v/>
      </c>
      <c r="M63" s="253"/>
      <c r="N63" s="254" t="str">
        <f>+IFERROR(VLOOKUP($M63,'11 FORMULAS'!$B$54:$C$55,2,0),"")</f>
        <v/>
      </c>
      <c r="O63" s="255"/>
      <c r="P63" s="255"/>
      <c r="Q63" s="255"/>
      <c r="R63" s="255"/>
      <c r="S63" s="215" t="str">
        <f t="shared" si="1"/>
        <v/>
      </c>
      <c r="T63" s="215">
        <f>IF($L63='11 FORMULAS'!$D$51,$C$58-($C$58*$S$58),$C$58)</f>
        <v>0.6</v>
      </c>
      <c r="U63" s="215">
        <f>IF($L63='11 FORMULAS'!$D$53,$D$58-($D$58*$S$58),$D$58)</f>
        <v>0.4</v>
      </c>
      <c r="V63" s="489"/>
      <c r="W63" s="492"/>
      <c r="X63" s="28"/>
    </row>
    <row r="64" spans="1:27" ht="72.599999999999994" customHeight="1" thickBot="1">
      <c r="A64" s="455" t="str">
        <f>'2 IDENTIFICACIÓN'!A19</f>
        <v>R10</v>
      </c>
      <c r="B64" s="459" t="str">
        <f>+'2 IDENTIFICACIÓN'!J19</f>
        <v>Posibilidad  de efecto dañoso sobre el recurso público por  incumplimiento en las obligaciones del contratado, debido a a la deficiencias en la elaboración de especificaciones técnicas y seguimiento de los contratos e interventoría de la Entidad.</v>
      </c>
      <c r="C64" s="449">
        <f>+'3 PROBABIL E IMPACTO INHERENTE'!E19</f>
        <v>0.4</v>
      </c>
      <c r="D64" s="452">
        <f>+'3 PROBABIL E IMPACTO INHERENTE'!M19</f>
        <v>1</v>
      </c>
      <c r="E64" s="257">
        <v>1</v>
      </c>
      <c r="F64" s="241" t="s">
        <v>307</v>
      </c>
      <c r="G64" s="35" t="s">
        <v>308</v>
      </c>
      <c r="H64" s="35" t="s">
        <v>309</v>
      </c>
      <c r="I64" s="211" t="str">
        <f t="shared" si="0"/>
        <v>Los profesionales encargados de la formulación de proyectos y el equipo de contratación verifican las especificaciones técnicas y obligaciones contractuales de los procesos de contratación de la Secretaría del Interior,  conforme a la normatividad vigente, con el fin de prevenir incumplimientos y afectaciones a los recursos públicos.</v>
      </c>
      <c r="J64" s="287" t="s">
        <v>273</v>
      </c>
      <c r="K64" s="215">
        <f>+IFERROR(VLOOKUP($J64,'11 FORMULAS'!$B$51:$C$53,2,0),"")</f>
        <v>0.25</v>
      </c>
      <c r="L64" s="215" t="str">
        <f>+IFERROR(VLOOKUP($J64,'11 FORMULAS'!$B$51:$D$53,3,0),"")</f>
        <v>Probabilidad</v>
      </c>
      <c r="M64" s="253" t="s">
        <v>274</v>
      </c>
      <c r="N64" s="254">
        <f>+IFERROR(VLOOKUP($M64,'11 FORMULAS'!$B$54:$C$55,2,0),"")</f>
        <v>0.15</v>
      </c>
      <c r="O64" s="255" t="s">
        <v>275</v>
      </c>
      <c r="P64" s="255" t="s">
        <v>292</v>
      </c>
      <c r="Q64" s="255" t="s">
        <v>277</v>
      </c>
      <c r="R64" s="255" t="s">
        <v>278</v>
      </c>
      <c r="S64" s="215">
        <f t="shared" si="1"/>
        <v>0.4</v>
      </c>
      <c r="T64" s="215">
        <f>IF($L64='11 FORMULAS'!$D$51,$C$64-($C$64*$S$64),$C$64)</f>
        <v>0.24</v>
      </c>
      <c r="U64" s="215">
        <f>IF($L64='11 FORMULAS'!$D$53,$D$64-($D$64*$S$64),$D$64)</f>
        <v>1</v>
      </c>
      <c r="V64" s="487">
        <f>+IF(T69="","",T69)</f>
        <v>0.4</v>
      </c>
      <c r="W64" s="490">
        <f>+IF(U69="","",U69)</f>
        <v>1</v>
      </c>
      <c r="X64" s="28"/>
      <c r="Y64" s="213"/>
      <c r="Z64" s="214"/>
      <c r="AA64" s="214"/>
    </row>
    <row r="65" spans="1:27" ht="29.65" customHeight="1" thickBot="1">
      <c r="A65" s="457"/>
      <c r="B65" s="461"/>
      <c r="C65" s="450"/>
      <c r="D65" s="453"/>
      <c r="E65" s="252">
        <v>2</v>
      </c>
      <c r="F65" s="240"/>
      <c r="G65" s="162"/>
      <c r="H65" s="162"/>
      <c r="I65" s="211" t="str">
        <f t="shared" si="0"/>
        <v xml:space="preserve">  </v>
      </c>
      <c r="J65" s="287"/>
      <c r="K65" s="215" t="str">
        <f>+IFERROR(VLOOKUP($J65,'11 FORMULAS'!$B$51:$C$53,2,0),"")</f>
        <v/>
      </c>
      <c r="L65" s="215" t="str">
        <f>+IFERROR(VLOOKUP($J65,'11 FORMULAS'!$B$51:$D$53,3,0),"")</f>
        <v/>
      </c>
      <c r="M65" s="253"/>
      <c r="N65" s="254" t="str">
        <f>+IFERROR(VLOOKUP($M65,'11 FORMULAS'!$B$54:$C$55,2,0),"")</f>
        <v/>
      </c>
      <c r="O65" s="255"/>
      <c r="P65" s="255"/>
      <c r="Q65" s="255"/>
      <c r="R65" s="255"/>
      <c r="S65" s="215" t="str">
        <f t="shared" si="1"/>
        <v/>
      </c>
      <c r="T65" s="215">
        <f>IF($L65='11 FORMULAS'!$D$51,$C$64-($C$64*$S$64),$C$64)</f>
        <v>0.4</v>
      </c>
      <c r="U65" s="215">
        <f>IF($L65='11 FORMULAS'!$D$53,$D$64-($D$64*$S$64),$D$64)</f>
        <v>1</v>
      </c>
      <c r="V65" s="488"/>
      <c r="W65" s="491"/>
      <c r="X65" s="28"/>
      <c r="Y65" s="213"/>
      <c r="Z65" s="214"/>
      <c r="AA65" s="214"/>
    </row>
    <row r="66" spans="1:27" ht="29.65" customHeight="1" thickBot="1">
      <c r="A66" s="457"/>
      <c r="B66" s="461"/>
      <c r="C66" s="450"/>
      <c r="D66" s="453"/>
      <c r="E66" s="252">
        <v>3</v>
      </c>
      <c r="F66" s="240"/>
      <c r="G66" s="162"/>
      <c r="H66" s="162"/>
      <c r="I66" s="211" t="str">
        <f t="shared" si="0"/>
        <v xml:space="preserve">  </v>
      </c>
      <c r="J66" s="287"/>
      <c r="K66" s="215" t="str">
        <f>+IFERROR(VLOOKUP($J66,'11 FORMULAS'!$B$51:$C$53,2,0),"")</f>
        <v/>
      </c>
      <c r="L66" s="215" t="str">
        <f>+IFERROR(VLOOKUP($J66,'11 FORMULAS'!$B$51:$D$53,3,0),"")</f>
        <v/>
      </c>
      <c r="M66" s="253"/>
      <c r="N66" s="254" t="str">
        <f>+IFERROR(VLOOKUP($M66,'11 FORMULAS'!$B$54:$C$55,2,0),"")</f>
        <v/>
      </c>
      <c r="O66" s="255"/>
      <c r="P66" s="255"/>
      <c r="Q66" s="255"/>
      <c r="R66" s="255"/>
      <c r="S66" s="215" t="str">
        <f t="shared" si="1"/>
        <v/>
      </c>
      <c r="T66" s="215">
        <f>IF($L66='11 FORMULAS'!$D$51,$C$64-($C$64*$S$64),$C$64)</f>
        <v>0.4</v>
      </c>
      <c r="U66" s="215">
        <f>IF($L66='11 FORMULAS'!$D$53,$D$64-($D$64*$S$64),$D$64)</f>
        <v>1</v>
      </c>
      <c r="V66" s="488"/>
      <c r="W66" s="491"/>
      <c r="X66" s="28"/>
      <c r="Y66" s="213"/>
      <c r="Z66" s="214"/>
      <c r="AA66" s="214"/>
    </row>
    <row r="67" spans="1:27" ht="29.65" customHeight="1" thickBot="1">
      <c r="A67" s="457"/>
      <c r="B67" s="461"/>
      <c r="C67" s="450"/>
      <c r="D67" s="453"/>
      <c r="E67" s="252">
        <v>4</v>
      </c>
      <c r="F67" s="240"/>
      <c r="G67" s="162"/>
      <c r="H67" s="162"/>
      <c r="I67" s="211" t="str">
        <f t="shared" si="0"/>
        <v xml:space="preserve">  </v>
      </c>
      <c r="J67" s="287"/>
      <c r="K67" s="215" t="str">
        <f>+IFERROR(VLOOKUP($J67,'11 FORMULAS'!$B$51:$C$53,2,0),"")</f>
        <v/>
      </c>
      <c r="L67" s="215" t="str">
        <f>+IFERROR(VLOOKUP($J67,'11 FORMULAS'!$B$51:$D$53,3,0),"")</f>
        <v/>
      </c>
      <c r="M67" s="253"/>
      <c r="N67" s="254" t="str">
        <f>+IFERROR(VLOOKUP($M67,'11 FORMULAS'!$B$54:$C$55,2,0),"")</f>
        <v/>
      </c>
      <c r="O67" s="255"/>
      <c r="P67" s="255"/>
      <c r="Q67" s="255"/>
      <c r="R67" s="255"/>
      <c r="S67" s="215" t="str">
        <f t="shared" si="1"/>
        <v/>
      </c>
      <c r="T67" s="215">
        <f>IF($L67='11 FORMULAS'!$D$51,$C$64-($C$64*$S$64),$C$64)</f>
        <v>0.4</v>
      </c>
      <c r="U67" s="215">
        <f>IF($L67='11 FORMULAS'!$D$53,$D$64-($D$64*$S$64),$D$64)</f>
        <v>1</v>
      </c>
      <c r="V67" s="488"/>
      <c r="W67" s="491"/>
      <c r="X67" s="28"/>
      <c r="Y67" s="213"/>
      <c r="Z67" s="214"/>
      <c r="AA67" s="214"/>
    </row>
    <row r="68" spans="1:27" ht="29.65" customHeight="1" thickBot="1">
      <c r="A68" s="457"/>
      <c r="B68" s="461"/>
      <c r="C68" s="450"/>
      <c r="D68" s="453"/>
      <c r="E68" s="252">
        <v>5</v>
      </c>
      <c r="F68" s="240"/>
      <c r="G68" s="162"/>
      <c r="H68" s="162"/>
      <c r="I68" s="211" t="str">
        <f t="shared" si="0"/>
        <v xml:space="preserve">  </v>
      </c>
      <c r="J68" s="287"/>
      <c r="K68" s="215" t="str">
        <f>+IFERROR(VLOOKUP($J68,'11 FORMULAS'!$B$51:$C$53,2,0),"")</f>
        <v/>
      </c>
      <c r="L68" s="215" t="str">
        <f>+IFERROR(VLOOKUP($J68,'11 FORMULAS'!$B$51:$D$53,3,0),"")</f>
        <v/>
      </c>
      <c r="M68" s="253"/>
      <c r="N68" s="254" t="str">
        <f>+IFERROR(VLOOKUP($M68,'11 FORMULAS'!$B$54:$C$55,2,0),"")</f>
        <v/>
      </c>
      <c r="O68" s="255"/>
      <c r="P68" s="255"/>
      <c r="Q68" s="255"/>
      <c r="R68" s="255"/>
      <c r="S68" s="215" t="str">
        <f t="shared" si="1"/>
        <v/>
      </c>
      <c r="T68" s="215">
        <f>IF($L68='11 FORMULAS'!$D$51,$C$64-($C$64*$S$64),$C$64)</f>
        <v>0.4</v>
      </c>
      <c r="U68" s="215">
        <f>IF($L68='11 FORMULAS'!$D$53,$D$64-($D$64*$S$64),$D$64)</f>
        <v>1</v>
      </c>
      <c r="V68" s="488"/>
      <c r="W68" s="491"/>
      <c r="X68" s="28"/>
      <c r="Y68" s="213"/>
      <c r="Z68" s="214"/>
      <c r="AA68" s="214"/>
    </row>
    <row r="69" spans="1:27" ht="29.65" customHeight="1" thickBot="1">
      <c r="A69" s="458"/>
      <c r="B69" s="462"/>
      <c r="C69" s="451"/>
      <c r="D69" s="454"/>
      <c r="E69" s="256">
        <v>6</v>
      </c>
      <c r="F69" s="243"/>
      <c r="G69" s="163"/>
      <c r="H69" s="163"/>
      <c r="I69" s="211" t="str">
        <f t="shared" si="0"/>
        <v xml:space="preserve">  </v>
      </c>
      <c r="J69" s="287"/>
      <c r="K69" s="215" t="str">
        <f>+IFERROR(VLOOKUP($J69,'11 FORMULAS'!$B$51:$C$53,2,0),"")</f>
        <v/>
      </c>
      <c r="L69" s="215" t="str">
        <f>+IFERROR(VLOOKUP($J69,'11 FORMULAS'!$B$51:$D$53,3,0),"")</f>
        <v/>
      </c>
      <c r="M69" s="253"/>
      <c r="N69" s="254" t="str">
        <f>+IFERROR(VLOOKUP($M69,'11 FORMULAS'!$B$54:$C$55,2,0),"")</f>
        <v/>
      </c>
      <c r="O69" s="255"/>
      <c r="P69" s="255"/>
      <c r="Q69" s="255"/>
      <c r="R69" s="255"/>
      <c r="S69" s="215" t="str">
        <f t="shared" si="1"/>
        <v/>
      </c>
      <c r="T69" s="215">
        <f>IF($L69='11 FORMULAS'!$D$51,$C$64-($C$64*$S$64),$C$64)</f>
        <v>0.4</v>
      </c>
      <c r="U69" s="215">
        <f>IF($L69='11 FORMULAS'!$D$53,$D$64-($D$64*$S$64),$D$64)</f>
        <v>1</v>
      </c>
      <c r="V69" s="489"/>
      <c r="W69" s="492"/>
      <c r="X69" s="28"/>
    </row>
    <row r="70" spans="1:27" ht="80.45" customHeight="1" thickBot="1">
      <c r="A70" s="455" t="str">
        <f>'2 IDENTIFICACIÓN'!A20</f>
        <v>R11</v>
      </c>
      <c r="B70" s="459" t="str">
        <f>+'2 IDENTIFICACIÓN'!J20</f>
        <v>Posibilidad  de efecto dañoso sobre el recurso público por el pago de costas procesales derivadas de fallos judiciales dentro de las acciones populares a cargo de la Secretaría de Interior  en contra del ente territorial, debido a al incumplimiento de disposiciones normativas y obligaciones legales aplicables.</v>
      </c>
      <c r="C70" s="449">
        <f>+'3 PROBABIL E IMPACTO INHERENTE'!E20</f>
        <v>0.6</v>
      </c>
      <c r="D70" s="452">
        <f>+'3 PROBABIL E IMPACTO INHERENTE'!M20</f>
        <v>0.2</v>
      </c>
      <c r="E70" s="257">
        <v>1</v>
      </c>
      <c r="F70" s="241" t="s">
        <v>310</v>
      </c>
      <c r="G70" s="35" t="s">
        <v>311</v>
      </c>
      <c r="H70" s="35" t="s">
        <v>312</v>
      </c>
      <c r="I70" s="211" t="str">
        <f t="shared" si="0"/>
        <v>El apoderado judicial  verifica el cumplimiento de las obligaciones relacionadas con el pago de costas procesales derivadas de las acciones populares a cargo de la Secretaría del Interior, a través de la revisión y seguimiento de los trámites y requisitos establecidos en la normatividad vigente y el procedimiento institucional aplicable.</v>
      </c>
      <c r="J70" s="287" t="s">
        <v>273</v>
      </c>
      <c r="K70" s="215">
        <f>+IFERROR(VLOOKUP($J70,'11 FORMULAS'!$B$51:$C$53,2,0),"")</f>
        <v>0.25</v>
      </c>
      <c r="L70" s="215" t="str">
        <f>+IFERROR(VLOOKUP($J70,'11 FORMULAS'!$B$51:$D$53,3,0),"")</f>
        <v>Probabilidad</v>
      </c>
      <c r="M70" s="253" t="s">
        <v>274</v>
      </c>
      <c r="N70" s="254">
        <f>+IFERROR(VLOOKUP($M70,'11 FORMULAS'!$B$54:$C$55,2,0),"")</f>
        <v>0.15</v>
      </c>
      <c r="O70" s="255" t="s">
        <v>275</v>
      </c>
      <c r="P70" s="255" t="s">
        <v>313</v>
      </c>
      <c r="Q70" s="255" t="s">
        <v>277</v>
      </c>
      <c r="R70" s="255" t="s">
        <v>278</v>
      </c>
      <c r="S70" s="215">
        <f t="shared" si="1"/>
        <v>0.4</v>
      </c>
      <c r="T70" s="215">
        <f>IF($L70='11 FORMULAS'!$D$51,$C$70-($C$70*$S$70),$C$70)</f>
        <v>0.36</v>
      </c>
      <c r="U70" s="215">
        <f>IF($L70='11 FORMULAS'!$D$53,$D$70-($D$70*$S$70),$D$70)</f>
        <v>0.2</v>
      </c>
      <c r="V70" s="487">
        <f>+IF(T75="","",T75)</f>
        <v>0.6</v>
      </c>
      <c r="W70" s="490">
        <f>+IF(U75="","",U75)</f>
        <v>0.2</v>
      </c>
      <c r="X70" s="28"/>
      <c r="Y70" s="213"/>
      <c r="Z70" s="214"/>
      <c r="AA70" s="214"/>
    </row>
    <row r="71" spans="1:27" ht="29.65" customHeight="1" thickBot="1">
      <c r="A71" s="456"/>
      <c r="B71" s="460"/>
      <c r="C71" s="463"/>
      <c r="D71" s="464"/>
      <c r="E71" s="252">
        <v>2</v>
      </c>
      <c r="F71" s="239"/>
      <c r="G71" s="236"/>
      <c r="H71" s="236"/>
      <c r="I71" s="211" t="str">
        <f t="shared" si="0"/>
        <v xml:space="preserve">  </v>
      </c>
      <c r="J71" s="287"/>
      <c r="K71" s="215" t="str">
        <f>+IFERROR(VLOOKUP($J71,'11 FORMULAS'!$B$51:$C$53,2,0),"")</f>
        <v/>
      </c>
      <c r="L71" s="215" t="str">
        <f>+IFERROR(VLOOKUP($J71,'11 FORMULAS'!$B$51:$D$53,3,0),"")</f>
        <v/>
      </c>
      <c r="M71" s="253"/>
      <c r="N71" s="254" t="str">
        <f>+IFERROR(VLOOKUP($M71,'11 FORMULAS'!$B$54:$C$55,2,0),"")</f>
        <v/>
      </c>
      <c r="O71" s="255"/>
      <c r="P71" s="255"/>
      <c r="Q71" s="255"/>
      <c r="R71" s="255"/>
      <c r="S71" s="215" t="str">
        <f t="shared" si="1"/>
        <v/>
      </c>
      <c r="T71" s="215">
        <f>IF($L71='11 FORMULAS'!$D$51,$C$70-($C$70*$S$70),$C$70)</f>
        <v>0.6</v>
      </c>
      <c r="U71" s="215">
        <f>IF($L71='11 FORMULAS'!$D$53,$D$70-($D$70*$S$70),$D$70)</f>
        <v>0.2</v>
      </c>
      <c r="V71" s="495"/>
      <c r="W71" s="496"/>
      <c r="X71" s="28"/>
      <c r="Y71" s="213"/>
      <c r="Z71" s="214"/>
      <c r="AA71" s="214"/>
    </row>
    <row r="72" spans="1:27" ht="29.65" customHeight="1" thickBot="1">
      <c r="A72" s="456"/>
      <c r="B72" s="460"/>
      <c r="C72" s="463"/>
      <c r="D72" s="464"/>
      <c r="E72" s="252">
        <v>3</v>
      </c>
      <c r="F72" s="239"/>
      <c r="G72" s="236"/>
      <c r="H72" s="236"/>
      <c r="I72" s="211" t="str">
        <f t="shared" si="0"/>
        <v xml:space="preserve">  </v>
      </c>
      <c r="J72" s="287"/>
      <c r="K72" s="215" t="str">
        <f>+IFERROR(VLOOKUP($J72,'11 FORMULAS'!$B$51:$C$53,2,0),"")</f>
        <v/>
      </c>
      <c r="L72" s="215" t="str">
        <f>+IFERROR(VLOOKUP($J72,'11 FORMULAS'!$B$51:$D$53,3,0),"")</f>
        <v/>
      </c>
      <c r="M72" s="253"/>
      <c r="N72" s="254" t="str">
        <f>+IFERROR(VLOOKUP($M72,'11 FORMULAS'!$B$54:$C$55,2,0),"")</f>
        <v/>
      </c>
      <c r="O72" s="255"/>
      <c r="P72" s="255"/>
      <c r="Q72" s="255"/>
      <c r="R72" s="255"/>
      <c r="S72" s="215" t="str">
        <f t="shared" si="1"/>
        <v/>
      </c>
      <c r="T72" s="215">
        <f>IF($L72='11 FORMULAS'!$D$51,$C$70-($C$70*$S$70),$C$70)</f>
        <v>0.6</v>
      </c>
      <c r="U72" s="215">
        <f>IF($L72='11 FORMULAS'!$D$53,$D$70-($D$70*$S$70),$D$70)</f>
        <v>0.2</v>
      </c>
      <c r="V72" s="495"/>
      <c r="W72" s="496"/>
      <c r="X72" s="28"/>
      <c r="Y72" s="213"/>
      <c r="Z72" s="214"/>
      <c r="AA72" s="214"/>
    </row>
    <row r="73" spans="1:27" ht="29.65" customHeight="1" thickBot="1">
      <c r="A73" s="457"/>
      <c r="B73" s="461"/>
      <c r="C73" s="450"/>
      <c r="D73" s="453"/>
      <c r="E73" s="252">
        <v>4</v>
      </c>
      <c r="F73" s="240"/>
      <c r="G73" s="162"/>
      <c r="H73" s="162"/>
      <c r="I73" s="211" t="str">
        <f t="shared" si="0"/>
        <v xml:space="preserve">  </v>
      </c>
      <c r="J73" s="287"/>
      <c r="K73" s="215" t="str">
        <f>+IFERROR(VLOOKUP($J73,'11 FORMULAS'!$B$51:$C$53,2,0),"")</f>
        <v/>
      </c>
      <c r="L73" s="215" t="str">
        <f>+IFERROR(VLOOKUP($J73,'11 FORMULAS'!$B$51:$D$53,3,0),"")</f>
        <v/>
      </c>
      <c r="M73" s="253"/>
      <c r="N73" s="254" t="str">
        <f>+IFERROR(VLOOKUP($M73,'11 FORMULAS'!$B$54:$C$55,2,0),"")</f>
        <v/>
      </c>
      <c r="O73" s="255"/>
      <c r="P73" s="255"/>
      <c r="Q73" s="255"/>
      <c r="R73" s="255"/>
      <c r="S73" s="215" t="str">
        <f t="shared" si="1"/>
        <v/>
      </c>
      <c r="T73" s="215">
        <f>IF($L73='11 FORMULAS'!$D$51,$C$70-($C$70*$S$70),$C$70)</f>
        <v>0.6</v>
      </c>
      <c r="U73" s="215">
        <f>IF($L73='11 FORMULAS'!$D$53,$D$70-($D$70*$S$70),$D$70)</f>
        <v>0.2</v>
      </c>
      <c r="V73" s="488"/>
      <c r="W73" s="491"/>
      <c r="X73" s="28"/>
      <c r="Y73" s="213"/>
      <c r="Z73" s="214"/>
      <c r="AA73" s="214"/>
    </row>
    <row r="74" spans="1:27" ht="29.65" customHeight="1" thickBot="1">
      <c r="A74" s="457"/>
      <c r="B74" s="461"/>
      <c r="C74" s="450"/>
      <c r="D74" s="453"/>
      <c r="E74" s="252">
        <v>5</v>
      </c>
      <c r="F74" s="240"/>
      <c r="G74" s="162"/>
      <c r="H74" s="162"/>
      <c r="I74" s="211" t="str">
        <f t="shared" ref="I74:I189" si="2">+CONCATENATE(F74," ",G74," ",H74)</f>
        <v xml:space="preserve">  </v>
      </c>
      <c r="J74" s="287"/>
      <c r="K74" s="215" t="str">
        <f>+IFERROR(VLOOKUP($J74,'11 FORMULAS'!$B$51:$C$53,2,0),"")</f>
        <v/>
      </c>
      <c r="L74" s="215" t="str">
        <f>+IFERROR(VLOOKUP($J74,'11 FORMULAS'!$B$51:$D$53,3,0),"")</f>
        <v/>
      </c>
      <c r="M74" s="253"/>
      <c r="N74" s="254" t="str">
        <f>+IFERROR(VLOOKUP($M74,'11 FORMULAS'!$B$54:$C$55,2,0),"")</f>
        <v/>
      </c>
      <c r="O74" s="255"/>
      <c r="P74" s="255"/>
      <c r="Q74" s="255"/>
      <c r="R74" s="255"/>
      <c r="S74" s="215" t="str">
        <f t="shared" si="1"/>
        <v/>
      </c>
      <c r="T74" s="215">
        <f>IF($L74='11 FORMULAS'!$D$51,$C$70-($C$70*$S$70),$C$70)</f>
        <v>0.6</v>
      </c>
      <c r="U74" s="215">
        <f>IF($L74='11 FORMULAS'!$D$53,$D$70-($D$70*$S$70),$D$70)</f>
        <v>0.2</v>
      </c>
      <c r="V74" s="488"/>
      <c r="W74" s="491"/>
      <c r="X74" s="28"/>
      <c r="Y74" s="213"/>
      <c r="Z74" s="214"/>
      <c r="AA74" s="214"/>
    </row>
    <row r="75" spans="1:27" ht="29.65" customHeight="1" thickBot="1">
      <c r="A75" s="458"/>
      <c r="B75" s="462"/>
      <c r="C75" s="451"/>
      <c r="D75" s="454"/>
      <c r="E75" s="256">
        <v>6</v>
      </c>
      <c r="F75" s="243"/>
      <c r="G75" s="163"/>
      <c r="H75" s="163"/>
      <c r="I75" s="211" t="str">
        <f t="shared" si="2"/>
        <v xml:space="preserve">  </v>
      </c>
      <c r="J75" s="287"/>
      <c r="K75" s="215" t="str">
        <f>+IFERROR(VLOOKUP($J75,'11 FORMULAS'!$B$51:$C$53,2,0),"")</f>
        <v/>
      </c>
      <c r="L75" s="215" t="str">
        <f>+IFERROR(VLOOKUP($J75,'11 FORMULAS'!$B$51:$D$53,3,0),"")</f>
        <v/>
      </c>
      <c r="M75" s="253"/>
      <c r="N75" s="254" t="str">
        <f>+IFERROR(VLOOKUP($M75,'11 FORMULAS'!$B$54:$C$55,2,0),"")</f>
        <v/>
      </c>
      <c r="O75" s="255"/>
      <c r="P75" s="255"/>
      <c r="Q75" s="255"/>
      <c r="R75" s="255"/>
      <c r="S75" s="215" t="str">
        <f t="shared" ref="S75:S189" si="3">+IFERROR($K75+$N75,"")</f>
        <v/>
      </c>
      <c r="T75" s="215">
        <f>IF($L75='11 FORMULAS'!$D$51,$C$70-($C$70*$S$70),$C$70)</f>
        <v>0.6</v>
      </c>
      <c r="U75" s="215">
        <f>IF($L75='11 FORMULAS'!$D$53,$D$70-($D$70*$S$70),$D$70)</f>
        <v>0.2</v>
      </c>
      <c r="V75" s="489"/>
      <c r="W75" s="492"/>
      <c r="X75" s="28"/>
    </row>
    <row r="76" spans="1:27" ht="85.15" customHeight="1" thickBot="1">
      <c r="A76" s="455" t="str">
        <f>'2 IDENTIFICACIÓN'!A21</f>
        <v>R12</v>
      </c>
      <c r="B76" s="459" t="str">
        <f>+'2 IDENTIFICACIÓN'!J21</f>
        <v>Posibilidad  de efecto dañoso sobre el recurso público por  incumplimientos en la gestión contractual durante las etapas precontractual, contractual y postcontractual,  debido a a debilidades en la aplicación y verificación de los requisitos y lineamientos establecidos en la normatividad vigente.</v>
      </c>
      <c r="C76" s="449">
        <f>+'3 PROBABIL E IMPACTO INHERENTE'!E21</f>
        <v>0.6</v>
      </c>
      <c r="D76" s="452">
        <f>+'3 PROBABIL E IMPACTO INHERENTE'!M21</f>
        <v>0.8</v>
      </c>
      <c r="E76" s="257">
        <v>1</v>
      </c>
      <c r="F76" s="241" t="s">
        <v>314</v>
      </c>
      <c r="G76" s="35" t="s">
        <v>315</v>
      </c>
      <c r="H76" s="35" t="s">
        <v>316</v>
      </c>
      <c r="I76" s="211" t="str">
        <f t="shared" si="2"/>
        <v>Los profesionales encargados de la contratación y/o supervisores designados  revisa el cumplimiento de las normas vigentes en las diferentes etapas de contratación (precontractual, contractual y postcontractual), de los procesos celebrados por la Secretaría del Interior diferentes a contratos de prestación de servicios</v>
      </c>
      <c r="J76" s="287" t="s">
        <v>273</v>
      </c>
      <c r="K76" s="215">
        <f>+IFERROR(VLOOKUP($J76,'11 FORMULAS'!$B$51:$C$53,2,0),"")</f>
        <v>0.25</v>
      </c>
      <c r="L76" s="215" t="str">
        <f>+IFERROR(VLOOKUP($J76,'11 FORMULAS'!$B$51:$D$53,3,0),"")</f>
        <v>Probabilidad</v>
      </c>
      <c r="M76" s="253" t="s">
        <v>274</v>
      </c>
      <c r="N76" s="254">
        <f>+IFERROR(VLOOKUP($M76,'11 FORMULAS'!$B$54:$C$55,2,0),"")</f>
        <v>0.15</v>
      </c>
      <c r="O76" s="255" t="s">
        <v>275</v>
      </c>
      <c r="P76" s="255" t="s">
        <v>276</v>
      </c>
      <c r="Q76" s="255" t="s">
        <v>277</v>
      </c>
      <c r="R76" s="255" t="s">
        <v>278</v>
      </c>
      <c r="S76" s="215">
        <f t="shared" si="3"/>
        <v>0.4</v>
      </c>
      <c r="T76" s="215">
        <f>IF($L76='11 FORMULAS'!$D$51,$C$76-($C$76*$S$76),$C$76)</f>
        <v>0.36</v>
      </c>
      <c r="U76" s="215">
        <f>IF($L76='11 FORMULAS'!$D$53,$D$76-($D$76*$S$76),$D$76)</f>
        <v>0.8</v>
      </c>
      <c r="V76" s="487">
        <f>+IF(T81="","",T81)</f>
        <v>0.6</v>
      </c>
      <c r="W76" s="490">
        <f>+IF(U81="","",U81)</f>
        <v>0.8</v>
      </c>
      <c r="X76" s="28"/>
      <c r="Y76" s="213"/>
      <c r="Z76" s="214"/>
      <c r="AA76" s="214"/>
    </row>
    <row r="77" spans="1:27" ht="29.65" customHeight="1" thickBot="1">
      <c r="A77" s="457"/>
      <c r="B77" s="461"/>
      <c r="C77" s="450"/>
      <c r="D77" s="453"/>
      <c r="E77" s="252">
        <v>2</v>
      </c>
      <c r="F77" s="240"/>
      <c r="G77" s="162"/>
      <c r="H77" s="162"/>
      <c r="I77" s="211" t="str">
        <f t="shared" si="2"/>
        <v xml:space="preserve">  </v>
      </c>
      <c r="J77" s="287"/>
      <c r="K77" s="215" t="str">
        <f>+IFERROR(VLOOKUP($J77,'11 FORMULAS'!$B$51:$C$53,2,0),"")</f>
        <v/>
      </c>
      <c r="L77" s="215" t="str">
        <f>+IFERROR(VLOOKUP($J77,'11 FORMULAS'!$B$51:$D$53,3,0),"")</f>
        <v/>
      </c>
      <c r="M77" s="253"/>
      <c r="N77" s="254" t="str">
        <f>+IFERROR(VLOOKUP($M77,'11 FORMULAS'!$B$54:$C$55,2,0),"")</f>
        <v/>
      </c>
      <c r="O77" s="255"/>
      <c r="P77" s="255"/>
      <c r="Q77" s="255"/>
      <c r="R77" s="255"/>
      <c r="S77" s="215" t="str">
        <f t="shared" si="3"/>
        <v/>
      </c>
      <c r="T77" s="215">
        <f>IF($L77='11 FORMULAS'!$D$51,$C$76-($C$76*$S$76),$C$76)</f>
        <v>0.6</v>
      </c>
      <c r="U77" s="215">
        <f>IF($L77='11 FORMULAS'!$D$53,$D$76-($D$76*$S$76),$D$76)</f>
        <v>0.8</v>
      </c>
      <c r="V77" s="488"/>
      <c r="W77" s="491"/>
      <c r="X77" s="28"/>
      <c r="Y77" s="213"/>
      <c r="Z77" s="214"/>
      <c r="AA77" s="214"/>
    </row>
    <row r="78" spans="1:27" ht="29.65" customHeight="1" thickBot="1">
      <c r="A78" s="457"/>
      <c r="B78" s="461"/>
      <c r="C78" s="450"/>
      <c r="D78" s="453"/>
      <c r="E78" s="252">
        <v>3</v>
      </c>
      <c r="F78" s="240"/>
      <c r="G78" s="162"/>
      <c r="H78" s="162"/>
      <c r="I78" s="211" t="str">
        <f t="shared" si="2"/>
        <v xml:space="preserve">  </v>
      </c>
      <c r="J78" s="287"/>
      <c r="K78" s="215" t="str">
        <f>+IFERROR(VLOOKUP($J78,'11 FORMULAS'!$B$51:$C$53,2,0),"")</f>
        <v/>
      </c>
      <c r="L78" s="215" t="str">
        <f>+IFERROR(VLOOKUP($J78,'11 FORMULAS'!$B$51:$D$53,3,0),"")</f>
        <v/>
      </c>
      <c r="M78" s="253"/>
      <c r="N78" s="254" t="str">
        <f>+IFERROR(VLOOKUP($M78,'11 FORMULAS'!$B$54:$C$55,2,0),"")</f>
        <v/>
      </c>
      <c r="O78" s="255"/>
      <c r="P78" s="255"/>
      <c r="Q78" s="255"/>
      <c r="R78" s="255"/>
      <c r="S78" s="215" t="str">
        <f t="shared" si="3"/>
        <v/>
      </c>
      <c r="T78" s="215">
        <f>IF($L78='11 FORMULAS'!$D$51,$C$76-($C$76*$S$76),$C$76)</f>
        <v>0.6</v>
      </c>
      <c r="U78" s="215">
        <f>IF($L78='11 FORMULAS'!$D$53,$D$76-($D$76*$S$76),$D$76)</f>
        <v>0.8</v>
      </c>
      <c r="V78" s="488"/>
      <c r="W78" s="491"/>
      <c r="X78" s="28"/>
      <c r="Y78" s="213"/>
      <c r="Z78" s="214"/>
      <c r="AA78" s="214"/>
    </row>
    <row r="79" spans="1:27" ht="29.65" customHeight="1" thickBot="1">
      <c r="A79" s="457"/>
      <c r="B79" s="461"/>
      <c r="C79" s="450"/>
      <c r="D79" s="453"/>
      <c r="E79" s="252">
        <v>4</v>
      </c>
      <c r="F79" s="240"/>
      <c r="G79" s="162"/>
      <c r="H79" s="162"/>
      <c r="I79" s="211" t="str">
        <f t="shared" si="2"/>
        <v xml:space="preserve">  </v>
      </c>
      <c r="J79" s="287"/>
      <c r="K79" s="215" t="str">
        <f>+IFERROR(VLOOKUP($J79,'11 FORMULAS'!$B$51:$C$53,2,0),"")</f>
        <v/>
      </c>
      <c r="L79" s="215" t="str">
        <f>+IFERROR(VLOOKUP($J79,'11 FORMULAS'!$B$51:$D$53,3,0),"")</f>
        <v/>
      </c>
      <c r="M79" s="253"/>
      <c r="N79" s="254" t="str">
        <f>+IFERROR(VLOOKUP($M79,'11 FORMULAS'!$B$54:$C$55,2,0),"")</f>
        <v/>
      </c>
      <c r="O79" s="255"/>
      <c r="P79" s="255"/>
      <c r="Q79" s="255"/>
      <c r="R79" s="255"/>
      <c r="S79" s="215" t="str">
        <f t="shared" si="3"/>
        <v/>
      </c>
      <c r="T79" s="215">
        <f>IF($L79='11 FORMULAS'!$D$51,$C$76-($C$76*$S$76),$C$76)</f>
        <v>0.6</v>
      </c>
      <c r="U79" s="215">
        <f>IF($L79='11 FORMULAS'!$D$53,$D$76-($D$76*$S$76),$D$76)</f>
        <v>0.8</v>
      </c>
      <c r="V79" s="488"/>
      <c r="W79" s="491"/>
      <c r="X79" s="28"/>
      <c r="Y79" s="213"/>
      <c r="Z79" s="214"/>
      <c r="AA79" s="214"/>
    </row>
    <row r="80" spans="1:27" ht="29.65" customHeight="1" thickBot="1">
      <c r="A80" s="457"/>
      <c r="B80" s="461"/>
      <c r="C80" s="450"/>
      <c r="D80" s="453"/>
      <c r="E80" s="252">
        <v>5</v>
      </c>
      <c r="F80" s="240"/>
      <c r="G80" s="162"/>
      <c r="H80" s="162"/>
      <c r="I80" s="211" t="str">
        <f t="shared" si="2"/>
        <v xml:space="preserve">  </v>
      </c>
      <c r="J80" s="287"/>
      <c r="K80" s="215" t="str">
        <f>+IFERROR(VLOOKUP($J80,'11 FORMULAS'!$B$51:$C$53,2,0),"")</f>
        <v/>
      </c>
      <c r="L80" s="215" t="str">
        <f>+IFERROR(VLOOKUP($J80,'11 FORMULAS'!$B$51:$D$53,3,0),"")</f>
        <v/>
      </c>
      <c r="M80" s="253"/>
      <c r="N80" s="254" t="str">
        <f>+IFERROR(VLOOKUP($M80,'11 FORMULAS'!$B$54:$C$55,2,0),"")</f>
        <v/>
      </c>
      <c r="O80" s="255"/>
      <c r="P80" s="255"/>
      <c r="Q80" s="255"/>
      <c r="R80" s="255"/>
      <c r="S80" s="215" t="str">
        <f t="shared" si="3"/>
        <v/>
      </c>
      <c r="T80" s="215">
        <f>IF($L80='11 FORMULAS'!$D$51,$C$76-($C$76*$S$76),$C$76)</f>
        <v>0.6</v>
      </c>
      <c r="U80" s="215">
        <f>IF($L80='11 FORMULAS'!$D$53,$D$76-($D$76*$S$76),$D$76)</f>
        <v>0.8</v>
      </c>
      <c r="V80" s="488"/>
      <c r="W80" s="491"/>
      <c r="X80" s="28"/>
      <c r="Y80" s="213"/>
      <c r="Z80" s="214"/>
      <c r="AA80" s="214"/>
    </row>
    <row r="81" spans="1:27" ht="29.65" customHeight="1" thickBot="1">
      <c r="A81" s="458"/>
      <c r="B81" s="462"/>
      <c r="C81" s="451"/>
      <c r="D81" s="454"/>
      <c r="E81" s="256">
        <v>6</v>
      </c>
      <c r="F81" s="243"/>
      <c r="G81" s="163"/>
      <c r="H81" s="163"/>
      <c r="I81" s="211" t="str">
        <f t="shared" si="2"/>
        <v xml:space="preserve">  </v>
      </c>
      <c r="J81" s="287"/>
      <c r="K81" s="215" t="str">
        <f>+IFERROR(VLOOKUP($J81,'11 FORMULAS'!$B$51:$C$53,2,0),"")</f>
        <v/>
      </c>
      <c r="L81" s="215" t="str">
        <f>+IFERROR(VLOOKUP($J81,'11 FORMULAS'!$B$51:$D$53,3,0),"")</f>
        <v/>
      </c>
      <c r="M81" s="253"/>
      <c r="N81" s="254" t="str">
        <f>+IFERROR(VLOOKUP($M81,'11 FORMULAS'!$B$54:$C$55,2,0),"")</f>
        <v/>
      </c>
      <c r="O81" s="255"/>
      <c r="P81" s="255"/>
      <c r="Q81" s="255"/>
      <c r="R81" s="255"/>
      <c r="S81" s="215" t="str">
        <f t="shared" si="3"/>
        <v/>
      </c>
      <c r="T81" s="215">
        <f>IF($L81='11 FORMULAS'!$D$51,$C$76-($C$76*$S$76),$C$76)</f>
        <v>0.6</v>
      </c>
      <c r="U81" s="215">
        <f>IF($L81='11 FORMULAS'!$D$53,$D$76-($D$76*$S$76),$D$76)</f>
        <v>0.8</v>
      </c>
      <c r="V81" s="489"/>
      <c r="W81" s="492"/>
      <c r="X81" s="28"/>
    </row>
    <row r="82" spans="1:27" ht="107.45" customHeight="1" thickBot="1">
      <c r="A82" s="455" t="str">
        <f>'2 IDENTIFICACIÓN'!A22</f>
        <v>R13</v>
      </c>
      <c r="B82" s="459" t="str">
        <f>+'2 IDENTIFICACIÓN'!J22</f>
        <v>Posibilidad de afectación económica por   investigaciones, sanciones y/o condenas promovidas por entes de control,  debido a al Incumplimiento en la cobertura de las garantías que amparan los riesgos definidos en la etapa precontractual de acuerdo al Manual de Contratación M-GJ-1140-170-001</v>
      </c>
      <c r="C82" s="449">
        <f>+'3 PROBABIL E IMPACTO INHERENTE'!E22</f>
        <v>0.6</v>
      </c>
      <c r="D82" s="452">
        <f>+'3 PROBABIL E IMPACTO INHERENTE'!M22</f>
        <v>0.6</v>
      </c>
      <c r="E82" s="257">
        <v>1</v>
      </c>
      <c r="F82" s="241" t="s">
        <v>317</v>
      </c>
      <c r="G82" s="35" t="s">
        <v>318</v>
      </c>
      <c r="H82" s="35" t="s">
        <v>319</v>
      </c>
      <c r="I82" s="211" t="str">
        <f t="shared" si="2"/>
        <v>La persona encargada por el ordenador del gasto realizará la verificación de los amparos exigidos en los contratos suscritos en la Secretaría del Interior, dando aplicación al Manual de Contratación M-GJ-1140-170-001.</v>
      </c>
      <c r="J82" s="287" t="s">
        <v>273</v>
      </c>
      <c r="K82" s="215">
        <f>+IFERROR(VLOOKUP($J82,'11 FORMULAS'!$B$51:$C$53,2,0),"")</f>
        <v>0.25</v>
      </c>
      <c r="L82" s="215" t="str">
        <f>+IFERROR(VLOOKUP($J82,'11 FORMULAS'!$B$51:$D$53,3,0),"")</f>
        <v>Probabilidad</v>
      </c>
      <c r="M82" s="253" t="s">
        <v>320</v>
      </c>
      <c r="N82" s="254">
        <f>+IFERROR(VLOOKUP($M82,'11 FORMULAS'!$B$54:$C$55,2,0),"")</f>
        <v>0.25</v>
      </c>
      <c r="O82" s="255" t="s">
        <v>321</v>
      </c>
      <c r="P82" s="255" t="s">
        <v>282</v>
      </c>
      <c r="Q82" s="255" t="s">
        <v>277</v>
      </c>
      <c r="R82" s="255" t="s">
        <v>322</v>
      </c>
      <c r="S82" s="215">
        <f t="shared" si="3"/>
        <v>0.5</v>
      </c>
      <c r="T82" s="215">
        <f>IF($L82='11 FORMULAS'!$D$51,$C$82-($C$82*$S$82),$C$82)</f>
        <v>0.3</v>
      </c>
      <c r="U82" s="215">
        <f>IF($L82='11 FORMULAS'!$D$53,$D$82-($D$82*$S$82),$D$82)</f>
        <v>0.6</v>
      </c>
      <c r="V82" s="487">
        <f>+IF(T87="","",T87)</f>
        <v>0.6</v>
      </c>
      <c r="W82" s="490">
        <f>+IF(U87="","",U87)</f>
        <v>0.6</v>
      </c>
      <c r="X82" s="28"/>
      <c r="Y82" s="213"/>
      <c r="Z82" s="214"/>
      <c r="AA82" s="214"/>
    </row>
    <row r="83" spans="1:27" ht="29.65" customHeight="1" thickBot="1">
      <c r="A83" s="457"/>
      <c r="B83" s="461"/>
      <c r="C83" s="450"/>
      <c r="D83" s="453"/>
      <c r="E83" s="252">
        <v>2</v>
      </c>
      <c r="F83" s="240"/>
      <c r="G83" s="162"/>
      <c r="H83" s="162"/>
      <c r="I83" s="211" t="str">
        <f t="shared" si="2"/>
        <v xml:space="preserve">  </v>
      </c>
      <c r="J83" s="287"/>
      <c r="K83" s="215" t="str">
        <f>+IFERROR(VLOOKUP($J83,'11 FORMULAS'!$B$51:$C$53,2,0),"")</f>
        <v/>
      </c>
      <c r="L83" s="215" t="str">
        <f>+IFERROR(VLOOKUP($J83,'11 FORMULAS'!$B$51:$D$53,3,0),"")</f>
        <v/>
      </c>
      <c r="M83" s="253"/>
      <c r="N83" s="254" t="str">
        <f>+IFERROR(VLOOKUP($M83,'11 FORMULAS'!$B$54:$C$55,2,0),"")</f>
        <v/>
      </c>
      <c r="O83" s="255"/>
      <c r="P83" s="255"/>
      <c r="Q83" s="255"/>
      <c r="R83" s="255"/>
      <c r="S83" s="215" t="str">
        <f t="shared" si="3"/>
        <v/>
      </c>
      <c r="T83" s="215">
        <f>IF($L83='11 FORMULAS'!$D$51,$C$82-($C$82*$S$82),$C$82)</f>
        <v>0.6</v>
      </c>
      <c r="U83" s="215">
        <f>IF($L83='11 FORMULAS'!$D$53,$D$82-($D$82*$S$82),$D$82)</f>
        <v>0.6</v>
      </c>
      <c r="V83" s="488"/>
      <c r="W83" s="491"/>
      <c r="X83" s="28"/>
      <c r="Y83" s="213"/>
      <c r="Z83" s="214"/>
      <c r="AA83" s="214"/>
    </row>
    <row r="84" spans="1:27" ht="29.65" customHeight="1" thickBot="1">
      <c r="A84" s="457"/>
      <c r="B84" s="461"/>
      <c r="C84" s="450"/>
      <c r="D84" s="453"/>
      <c r="E84" s="252">
        <v>3</v>
      </c>
      <c r="F84" s="240"/>
      <c r="G84" s="162"/>
      <c r="H84" s="162"/>
      <c r="I84" s="211" t="str">
        <f t="shared" si="2"/>
        <v xml:space="preserve">  </v>
      </c>
      <c r="J84" s="287"/>
      <c r="K84" s="215" t="str">
        <f>+IFERROR(VLOOKUP($J84,'11 FORMULAS'!$B$51:$C$53,2,0),"")</f>
        <v/>
      </c>
      <c r="L84" s="215" t="str">
        <f>+IFERROR(VLOOKUP($J84,'11 FORMULAS'!$B$51:$D$53,3,0),"")</f>
        <v/>
      </c>
      <c r="M84" s="253"/>
      <c r="N84" s="254" t="str">
        <f>+IFERROR(VLOOKUP($M84,'11 FORMULAS'!$B$54:$C$55,2,0),"")</f>
        <v/>
      </c>
      <c r="O84" s="255"/>
      <c r="P84" s="255"/>
      <c r="Q84" s="255"/>
      <c r="R84" s="255"/>
      <c r="S84" s="215" t="str">
        <f t="shared" si="3"/>
        <v/>
      </c>
      <c r="T84" s="215">
        <f>IF($L84='11 FORMULAS'!$D$51,$C$82-($C$82*$S$82),$C$82)</f>
        <v>0.6</v>
      </c>
      <c r="U84" s="215">
        <f>IF($L84='11 FORMULAS'!$D$53,$D$82-($D$82*$S$82),$D$82)</f>
        <v>0.6</v>
      </c>
      <c r="V84" s="488"/>
      <c r="W84" s="491"/>
      <c r="X84" s="28"/>
      <c r="Y84" s="213"/>
      <c r="Z84" s="214"/>
      <c r="AA84" s="214"/>
    </row>
    <row r="85" spans="1:27" ht="29.65" customHeight="1" thickBot="1">
      <c r="A85" s="457"/>
      <c r="B85" s="461"/>
      <c r="C85" s="450"/>
      <c r="D85" s="453"/>
      <c r="E85" s="252">
        <v>4</v>
      </c>
      <c r="F85" s="240"/>
      <c r="G85" s="162"/>
      <c r="H85" s="162"/>
      <c r="I85" s="211" t="str">
        <f t="shared" si="2"/>
        <v xml:space="preserve">  </v>
      </c>
      <c r="J85" s="287"/>
      <c r="K85" s="215" t="str">
        <f>+IFERROR(VLOOKUP($J85,'11 FORMULAS'!$B$51:$C$53,2,0),"")</f>
        <v/>
      </c>
      <c r="L85" s="215" t="str">
        <f>+IFERROR(VLOOKUP($J85,'11 FORMULAS'!$B$51:$D$53,3,0),"")</f>
        <v/>
      </c>
      <c r="M85" s="253"/>
      <c r="N85" s="254" t="str">
        <f>+IFERROR(VLOOKUP($M85,'11 FORMULAS'!$B$54:$C$55,2,0),"")</f>
        <v/>
      </c>
      <c r="O85" s="255"/>
      <c r="P85" s="255"/>
      <c r="Q85" s="255"/>
      <c r="R85" s="255"/>
      <c r="S85" s="215" t="str">
        <f t="shared" si="3"/>
        <v/>
      </c>
      <c r="T85" s="215">
        <f>IF($L85='11 FORMULAS'!$D$51,$C$82-($C$82*$S$82),$C$82)</f>
        <v>0.6</v>
      </c>
      <c r="U85" s="215">
        <f>IF($L85='11 FORMULAS'!$D$53,$D$82-($D$82*$S$82),$D$82)</f>
        <v>0.6</v>
      </c>
      <c r="V85" s="488"/>
      <c r="W85" s="491"/>
      <c r="X85" s="28"/>
      <c r="Y85" s="213"/>
      <c r="Z85" s="214"/>
      <c r="AA85" s="214"/>
    </row>
    <row r="86" spans="1:27" ht="29.65" customHeight="1" thickBot="1">
      <c r="A86" s="457"/>
      <c r="B86" s="461"/>
      <c r="C86" s="450"/>
      <c r="D86" s="453"/>
      <c r="E86" s="252">
        <v>5</v>
      </c>
      <c r="F86" s="240"/>
      <c r="G86" s="162"/>
      <c r="H86" s="162"/>
      <c r="I86" s="211" t="str">
        <f t="shared" si="2"/>
        <v xml:space="preserve">  </v>
      </c>
      <c r="J86" s="287"/>
      <c r="K86" s="215" t="str">
        <f>+IFERROR(VLOOKUP($J86,'11 FORMULAS'!$B$51:$C$53,2,0),"")</f>
        <v/>
      </c>
      <c r="L86" s="215" t="str">
        <f>+IFERROR(VLOOKUP($J86,'11 FORMULAS'!$B$51:$D$53,3,0),"")</f>
        <v/>
      </c>
      <c r="M86" s="253"/>
      <c r="N86" s="254" t="str">
        <f>+IFERROR(VLOOKUP($M86,'11 FORMULAS'!$B$54:$C$55,2,0),"")</f>
        <v/>
      </c>
      <c r="O86" s="255"/>
      <c r="P86" s="255"/>
      <c r="Q86" s="255"/>
      <c r="R86" s="255"/>
      <c r="S86" s="215" t="str">
        <f t="shared" si="3"/>
        <v/>
      </c>
      <c r="T86" s="215">
        <f>IF($L86='11 FORMULAS'!$D$51,$C$82-($C$82*$S$82),$C$82)</f>
        <v>0.6</v>
      </c>
      <c r="U86" s="215">
        <f>IF($L86='11 FORMULAS'!$D$53,$D$82-($D$82*$S$82),$D$82)</f>
        <v>0.6</v>
      </c>
      <c r="V86" s="488"/>
      <c r="W86" s="491"/>
      <c r="X86" s="28"/>
      <c r="Y86" s="213"/>
      <c r="Z86" s="214"/>
      <c r="AA86" s="214"/>
    </row>
    <row r="87" spans="1:27" ht="29.65" customHeight="1" thickBot="1">
      <c r="A87" s="458"/>
      <c r="B87" s="462"/>
      <c r="C87" s="451"/>
      <c r="D87" s="454"/>
      <c r="E87" s="256">
        <v>6</v>
      </c>
      <c r="F87" s="243"/>
      <c r="G87" s="163"/>
      <c r="H87" s="163"/>
      <c r="I87" s="211" t="str">
        <f t="shared" si="2"/>
        <v xml:space="preserve">  </v>
      </c>
      <c r="J87" s="287"/>
      <c r="K87" s="215" t="str">
        <f>+IFERROR(VLOOKUP($J87,'11 FORMULAS'!$B$51:$C$53,2,0),"")</f>
        <v/>
      </c>
      <c r="L87" s="215" t="str">
        <f>+IFERROR(VLOOKUP($J87,'11 FORMULAS'!$B$51:$D$53,3,0),"")</f>
        <v/>
      </c>
      <c r="M87" s="253"/>
      <c r="N87" s="254" t="str">
        <f>+IFERROR(VLOOKUP($M87,'11 FORMULAS'!$B$54:$C$55,2,0),"")</f>
        <v/>
      </c>
      <c r="O87" s="255"/>
      <c r="P87" s="255"/>
      <c r="Q87" s="255"/>
      <c r="R87" s="255"/>
      <c r="S87" s="215" t="str">
        <f t="shared" si="3"/>
        <v/>
      </c>
      <c r="T87" s="215">
        <f>IF($L87='11 FORMULAS'!$D$51,$C$82-($C$82*$S$82),$C$82)</f>
        <v>0.6</v>
      </c>
      <c r="U87" s="215">
        <f>IF($L87='11 FORMULAS'!$D$53,$D$82-($D$82*$S$82),$D$82)</f>
        <v>0.6</v>
      </c>
      <c r="V87" s="489"/>
      <c r="W87" s="492"/>
      <c r="X87" s="28"/>
    </row>
    <row r="88" spans="1:27" ht="67.900000000000006" customHeight="1" thickBot="1">
      <c r="A88" s="455" t="str">
        <f>'2 IDENTIFICACIÓN'!A23</f>
        <v>R14</v>
      </c>
      <c r="B88" s="459" t="str">
        <f>+'2 IDENTIFICACIÓN'!J23</f>
        <v>Posibilidad de pérdida reputacional por  corrupción mediante la solicitud, ofrecimiento, recepción o aceptación de dádivas, beneficios o incentivos indebidos, a nombre propio o de terceros,  debido a  la  alterar, influir o favorecer alguna de las partes dentro de los procesos policivos adelantados por la Secretaría del Interior</v>
      </c>
      <c r="C88" s="449">
        <f>+'3 PROBABIL E IMPACTO INHERENTE'!E23</f>
        <v>0.6</v>
      </c>
      <c r="D88" s="452">
        <f>+'3 PROBABIL E IMPACTO INHERENTE'!M23</f>
        <v>0.8</v>
      </c>
      <c r="E88" s="257">
        <v>1</v>
      </c>
      <c r="F88" s="241" t="s">
        <v>323</v>
      </c>
      <c r="G88" s="35" t="s">
        <v>324</v>
      </c>
      <c r="H88" s="35" t="s">
        <v>325</v>
      </c>
      <c r="I88" s="211" t="str">
        <f t="shared" si="2"/>
        <v>El Profesional Articulador del Área de Inspecciones de Convivencia y Paz de la Secretaría del Interior verifica y consolida las quejas recepcionadas por presuntos actos de corrupción relacionados con los procesos policivos adelantados por la dependencia, mediante la revisión del cumplimiento de los procedimientos establecidos, con el fin de garantizar la transparencia e imparcialidad en las actuaciones administrativas, de manera trimestral o cuando se presenten novedades.</v>
      </c>
      <c r="J88" s="287" t="s">
        <v>273</v>
      </c>
      <c r="K88" s="215">
        <f>+IFERROR(VLOOKUP($J88,'11 FORMULAS'!$B$51:$C$53,2,0),"")</f>
        <v>0.25</v>
      </c>
      <c r="L88" s="215" t="str">
        <f>+IFERROR(VLOOKUP($J88,'11 FORMULAS'!$B$51:$D$53,3,0),"")</f>
        <v>Probabilidad</v>
      </c>
      <c r="M88" s="253" t="s">
        <v>274</v>
      </c>
      <c r="N88" s="254">
        <f>+IFERROR(VLOOKUP($M88,'11 FORMULAS'!$B$54:$C$55,2,0),"")</f>
        <v>0.15</v>
      </c>
      <c r="O88" s="255" t="s">
        <v>275</v>
      </c>
      <c r="P88" s="255" t="s">
        <v>292</v>
      </c>
      <c r="Q88" s="255" t="s">
        <v>277</v>
      </c>
      <c r="R88" s="255" t="s">
        <v>278</v>
      </c>
      <c r="S88" s="215">
        <f t="shared" si="3"/>
        <v>0.4</v>
      </c>
      <c r="T88" s="215">
        <f>IF($L88='11 FORMULAS'!$D$51,$C$88-($C$88*$S$88),$C$88)</f>
        <v>0.36</v>
      </c>
      <c r="U88" s="215">
        <f>IF($L88='11 FORMULAS'!$D$53,$D$88-($D$88*$S$88),$D$88)</f>
        <v>0.8</v>
      </c>
      <c r="V88" s="487">
        <f>+IF(T93="","",T93)</f>
        <v>0.6</v>
      </c>
      <c r="W88" s="490">
        <f>+IF(U93="","",U93)</f>
        <v>0.8</v>
      </c>
      <c r="X88" s="28"/>
      <c r="Y88" s="213"/>
      <c r="Z88" s="214"/>
      <c r="AA88" s="214"/>
    </row>
    <row r="89" spans="1:27" ht="29.65" customHeight="1" thickBot="1">
      <c r="A89" s="457"/>
      <c r="B89" s="461"/>
      <c r="C89" s="450"/>
      <c r="D89" s="453"/>
      <c r="E89" s="252">
        <v>2</v>
      </c>
      <c r="F89" s="240"/>
      <c r="G89" s="162"/>
      <c r="H89" s="162"/>
      <c r="I89" s="211" t="str">
        <f t="shared" si="2"/>
        <v xml:space="preserve">  </v>
      </c>
      <c r="J89" s="287"/>
      <c r="K89" s="215" t="str">
        <f>+IFERROR(VLOOKUP($J89,'11 FORMULAS'!$B$51:$C$53,2,0),"")</f>
        <v/>
      </c>
      <c r="L89" s="215" t="str">
        <f>+IFERROR(VLOOKUP($J89,'11 FORMULAS'!$B$51:$D$53,3,0),"")</f>
        <v/>
      </c>
      <c r="M89" s="253"/>
      <c r="N89" s="254" t="str">
        <f>+IFERROR(VLOOKUP($M89,'11 FORMULAS'!$B$54:$C$55,2,0),"")</f>
        <v/>
      </c>
      <c r="O89" s="255"/>
      <c r="P89" s="255"/>
      <c r="Q89" s="255"/>
      <c r="R89" s="255"/>
      <c r="S89" s="215" t="str">
        <f t="shared" si="3"/>
        <v/>
      </c>
      <c r="T89" s="215">
        <f>IF($L89='11 FORMULAS'!$D$51,$C$88-($C$88*$S$88),$C$88)</f>
        <v>0.6</v>
      </c>
      <c r="U89" s="215">
        <f>IF($L89='11 FORMULAS'!$D$53,$D$88-($D$88*$S$88),$D$88)</f>
        <v>0.8</v>
      </c>
      <c r="V89" s="488"/>
      <c r="W89" s="491"/>
      <c r="X89" s="28"/>
      <c r="Y89" s="213"/>
      <c r="Z89" s="214"/>
      <c r="AA89" s="214"/>
    </row>
    <row r="90" spans="1:27" ht="29.65" customHeight="1" thickBot="1">
      <c r="A90" s="457"/>
      <c r="B90" s="461"/>
      <c r="C90" s="450"/>
      <c r="D90" s="453"/>
      <c r="E90" s="252">
        <v>3</v>
      </c>
      <c r="F90" s="240"/>
      <c r="G90" s="162"/>
      <c r="H90" s="162"/>
      <c r="I90" s="211" t="str">
        <f t="shared" si="2"/>
        <v xml:space="preserve">  </v>
      </c>
      <c r="J90" s="287"/>
      <c r="K90" s="215" t="str">
        <f>+IFERROR(VLOOKUP($J90,'11 FORMULAS'!$B$51:$C$53,2,0),"")</f>
        <v/>
      </c>
      <c r="L90" s="215" t="str">
        <f>+IFERROR(VLOOKUP($J90,'11 FORMULAS'!$B$51:$D$53,3,0),"")</f>
        <v/>
      </c>
      <c r="M90" s="253"/>
      <c r="N90" s="254" t="str">
        <f>+IFERROR(VLOOKUP($M90,'11 FORMULAS'!$B$54:$C$55,2,0),"")</f>
        <v/>
      </c>
      <c r="O90" s="255"/>
      <c r="P90" s="255"/>
      <c r="Q90" s="255"/>
      <c r="R90" s="255"/>
      <c r="S90" s="215" t="str">
        <f t="shared" si="3"/>
        <v/>
      </c>
      <c r="T90" s="215">
        <f>IF($L90='11 FORMULAS'!$D$51,$C$88-($C$88*$S$88),$C$88)</f>
        <v>0.6</v>
      </c>
      <c r="U90" s="215">
        <f>IF($L90='11 FORMULAS'!$D$53,$D$88-($D$88*$S$88),$D$88)</f>
        <v>0.8</v>
      </c>
      <c r="V90" s="488"/>
      <c r="W90" s="491"/>
      <c r="X90" s="28"/>
      <c r="Y90" s="213"/>
      <c r="Z90" s="214"/>
      <c r="AA90" s="214"/>
    </row>
    <row r="91" spans="1:27" ht="29.65" customHeight="1" thickBot="1">
      <c r="A91" s="457"/>
      <c r="B91" s="461"/>
      <c r="C91" s="450"/>
      <c r="D91" s="453"/>
      <c r="E91" s="252">
        <v>4</v>
      </c>
      <c r="F91" s="240"/>
      <c r="G91" s="162"/>
      <c r="H91" s="162"/>
      <c r="I91" s="211" t="str">
        <f t="shared" si="2"/>
        <v xml:space="preserve">  </v>
      </c>
      <c r="J91" s="287"/>
      <c r="K91" s="215" t="str">
        <f>+IFERROR(VLOOKUP($J91,'11 FORMULAS'!$B$51:$C$53,2,0),"")</f>
        <v/>
      </c>
      <c r="L91" s="215" t="str">
        <f>+IFERROR(VLOOKUP($J91,'11 FORMULAS'!$B$51:$D$53,3,0),"")</f>
        <v/>
      </c>
      <c r="M91" s="253"/>
      <c r="N91" s="254" t="str">
        <f>+IFERROR(VLOOKUP($M91,'11 FORMULAS'!$B$54:$C$55,2,0),"")</f>
        <v/>
      </c>
      <c r="O91" s="255"/>
      <c r="P91" s="255"/>
      <c r="Q91" s="255"/>
      <c r="R91" s="255"/>
      <c r="S91" s="215" t="str">
        <f t="shared" si="3"/>
        <v/>
      </c>
      <c r="T91" s="215">
        <f>IF($L91='11 FORMULAS'!$D$51,$C$88-($C$88*$S$88),$C$88)</f>
        <v>0.6</v>
      </c>
      <c r="U91" s="215">
        <f>IF($L91='11 FORMULAS'!$D$53,$D$88-($D$88*$S$88),$D$88)</f>
        <v>0.8</v>
      </c>
      <c r="V91" s="488"/>
      <c r="W91" s="491"/>
      <c r="X91" s="28"/>
      <c r="Y91" s="213"/>
      <c r="Z91" s="214"/>
      <c r="AA91" s="214"/>
    </row>
    <row r="92" spans="1:27" ht="29.65" customHeight="1" thickBot="1">
      <c r="A92" s="457"/>
      <c r="B92" s="461"/>
      <c r="C92" s="450"/>
      <c r="D92" s="453"/>
      <c r="E92" s="252">
        <v>5</v>
      </c>
      <c r="F92" s="240"/>
      <c r="G92" s="162"/>
      <c r="H92" s="162"/>
      <c r="I92" s="211" t="str">
        <f t="shared" si="2"/>
        <v xml:space="preserve">  </v>
      </c>
      <c r="J92" s="287"/>
      <c r="K92" s="215" t="str">
        <f>+IFERROR(VLOOKUP($J92,'11 FORMULAS'!$B$51:$C$53,2,0),"")</f>
        <v/>
      </c>
      <c r="L92" s="215" t="str">
        <f>+IFERROR(VLOOKUP($J92,'11 FORMULAS'!$B$51:$D$53,3,0),"")</f>
        <v/>
      </c>
      <c r="M92" s="253"/>
      <c r="N92" s="254" t="str">
        <f>+IFERROR(VLOOKUP($M92,'11 FORMULAS'!$B$54:$C$55,2,0),"")</f>
        <v/>
      </c>
      <c r="O92" s="255"/>
      <c r="P92" s="255"/>
      <c r="Q92" s="255"/>
      <c r="R92" s="255"/>
      <c r="S92" s="215" t="str">
        <f t="shared" si="3"/>
        <v/>
      </c>
      <c r="T92" s="215">
        <f>IF($L92='11 FORMULAS'!$D$51,$C$88-($C$88*$S$88),$C$88)</f>
        <v>0.6</v>
      </c>
      <c r="U92" s="215">
        <f>IF($L92='11 FORMULAS'!$D$53,$D$88-($D$88*$S$88),$D$88)</f>
        <v>0.8</v>
      </c>
      <c r="V92" s="488"/>
      <c r="W92" s="491"/>
      <c r="X92" s="28"/>
      <c r="Y92" s="213"/>
      <c r="Z92" s="214"/>
      <c r="AA92" s="214"/>
    </row>
    <row r="93" spans="1:27" ht="29.65" customHeight="1" thickBot="1">
      <c r="A93" s="458"/>
      <c r="B93" s="462"/>
      <c r="C93" s="451"/>
      <c r="D93" s="454"/>
      <c r="E93" s="256">
        <v>6</v>
      </c>
      <c r="F93" s="243"/>
      <c r="G93" s="163"/>
      <c r="H93" s="163"/>
      <c r="I93" s="211" t="str">
        <f t="shared" si="2"/>
        <v xml:space="preserve">  </v>
      </c>
      <c r="J93" s="287"/>
      <c r="K93" s="215" t="str">
        <f>+IFERROR(VLOOKUP($J93,'11 FORMULAS'!$B$51:$C$53,2,0),"")</f>
        <v/>
      </c>
      <c r="L93" s="215" t="str">
        <f>+IFERROR(VLOOKUP($J93,'11 FORMULAS'!$B$51:$D$53,3,0),"")</f>
        <v/>
      </c>
      <c r="M93" s="253"/>
      <c r="N93" s="254" t="str">
        <f>+IFERROR(VLOOKUP($M93,'11 FORMULAS'!$B$54:$C$55,2,0),"")</f>
        <v/>
      </c>
      <c r="O93" s="255"/>
      <c r="P93" s="255"/>
      <c r="Q93" s="255"/>
      <c r="R93" s="255"/>
      <c r="S93" s="215" t="str">
        <f t="shared" si="3"/>
        <v/>
      </c>
      <c r="T93" s="215">
        <f>IF($L93='11 FORMULAS'!$D$51,$C$88-($C$88*$S$88),$C$88)</f>
        <v>0.6</v>
      </c>
      <c r="U93" s="215">
        <f>IF($L93='11 FORMULAS'!$D$53,$D$88-($D$88*$S$88),$D$88)</f>
        <v>0.8</v>
      </c>
      <c r="V93" s="489"/>
      <c r="W93" s="492"/>
      <c r="X93" s="28"/>
    </row>
    <row r="94" spans="1:27" ht="94.15" customHeight="1" thickBot="1">
      <c r="A94" s="455" t="str">
        <f>'2 IDENTIFICACIÓN'!A24</f>
        <v>R15</v>
      </c>
      <c r="B94" s="459" t="str">
        <f>+'2 IDENTIFICACIÓN'!J24</f>
        <v>Posibilidad de pérdida reputacional por  soborno entrante en los procesos administrativos de la Comisaría de Familia, al recibir o solicitar dádivas o beneficios a nombre propio o de terceros,  debido a  favorecimiento indebido a alguna de las partes en los procesos de la Comisaría de familia adscrita a la Secretaría del Interior.</v>
      </c>
      <c r="C94" s="449">
        <f>+'3 PROBABIL E IMPACTO INHERENTE'!E24</f>
        <v>0.6</v>
      </c>
      <c r="D94" s="452">
        <f>+'3 PROBABIL E IMPACTO INHERENTE'!M24</f>
        <v>0.8</v>
      </c>
      <c r="E94" s="257">
        <v>1</v>
      </c>
      <c r="F94" s="241" t="s">
        <v>326</v>
      </c>
      <c r="G94" s="35" t="s">
        <v>327</v>
      </c>
      <c r="H94" s="35" t="s">
        <v>325</v>
      </c>
      <c r="I94" s="211" t="str">
        <f t="shared" si="2"/>
        <v>El Profesional Articulador del Área de Comisaría de Familia de la Secretaría del Interior verifica y consolida las quejas recepcionadas por presuntos actos de corrupción relacionados con los procesos adelantados por las Comisarías de Familia, mediante la revisión del cumplimiento de los procedimientos establecidos, con el fin de garantizar la transparencia e imparcialidad en las actuaciones administrativas, de manera trimestral o cuando se presenten novedades.</v>
      </c>
      <c r="J94" s="287" t="s">
        <v>273</v>
      </c>
      <c r="K94" s="215">
        <f>+IFERROR(VLOOKUP($J94,'11 FORMULAS'!$B$51:$C$53,2,0),"")</f>
        <v>0.25</v>
      </c>
      <c r="L94" s="215" t="str">
        <f>+IFERROR(VLOOKUP($J94,'11 FORMULAS'!$B$51:$D$53,3,0),"")</f>
        <v>Probabilidad</v>
      </c>
      <c r="M94" s="253" t="s">
        <v>274</v>
      </c>
      <c r="N94" s="254">
        <f>+IFERROR(VLOOKUP($M94,'11 FORMULAS'!$B$54:$C$55,2,0),"")</f>
        <v>0.15</v>
      </c>
      <c r="O94" s="255" t="s">
        <v>275</v>
      </c>
      <c r="P94" s="255" t="s">
        <v>292</v>
      </c>
      <c r="Q94" s="255" t="s">
        <v>277</v>
      </c>
      <c r="R94" s="255" t="s">
        <v>278</v>
      </c>
      <c r="S94" s="215">
        <f t="shared" si="3"/>
        <v>0.4</v>
      </c>
      <c r="T94" s="215">
        <f>IF($L94='11 FORMULAS'!$D$51,$C$94-($C$94*$S$94),$C$94)</f>
        <v>0.36</v>
      </c>
      <c r="U94" s="215">
        <f>IF($L94='11 FORMULAS'!$D$53,$D$94-($D$94*$S$94),$D$94)</f>
        <v>0.8</v>
      </c>
      <c r="V94" s="487">
        <f>+IF(T99="","",T99)</f>
        <v>0.6</v>
      </c>
      <c r="W94" s="490">
        <f>+IF(U99="","",U99)</f>
        <v>0.8</v>
      </c>
      <c r="X94" s="28"/>
      <c r="Y94" s="213"/>
      <c r="Z94" s="214"/>
      <c r="AA94" s="214"/>
    </row>
    <row r="95" spans="1:27" ht="29.65" customHeight="1" thickBot="1">
      <c r="A95" s="457"/>
      <c r="B95" s="461"/>
      <c r="C95" s="450"/>
      <c r="D95" s="453"/>
      <c r="E95" s="252">
        <v>2</v>
      </c>
      <c r="F95" s="240"/>
      <c r="G95" s="162"/>
      <c r="H95" s="162"/>
      <c r="I95" s="211" t="str">
        <f t="shared" si="2"/>
        <v xml:space="preserve">  </v>
      </c>
      <c r="J95" s="287"/>
      <c r="K95" s="215" t="str">
        <f>+IFERROR(VLOOKUP($J95,'11 FORMULAS'!$B$51:$C$53,2,0),"")</f>
        <v/>
      </c>
      <c r="L95" s="215" t="str">
        <f>+IFERROR(VLOOKUP($J95,'11 FORMULAS'!$B$51:$D$53,3,0),"")</f>
        <v/>
      </c>
      <c r="M95" s="253"/>
      <c r="N95" s="254" t="str">
        <f>+IFERROR(VLOOKUP($M95,'11 FORMULAS'!$B$54:$C$55,2,0),"")</f>
        <v/>
      </c>
      <c r="O95" s="255"/>
      <c r="P95" s="255"/>
      <c r="Q95" s="255"/>
      <c r="R95" s="255"/>
      <c r="S95" s="215" t="str">
        <f t="shared" si="3"/>
        <v/>
      </c>
      <c r="T95" s="215">
        <f>IF($L95='11 FORMULAS'!$D$51,$C$94-($C$94*$S$94),$C$94)</f>
        <v>0.6</v>
      </c>
      <c r="U95" s="215">
        <f>IF($L95='11 FORMULAS'!$D$53,$D$94-($D$94*$S$94),$D$94)</f>
        <v>0.8</v>
      </c>
      <c r="V95" s="488"/>
      <c r="W95" s="491"/>
      <c r="X95" s="28"/>
      <c r="Y95" s="213"/>
      <c r="Z95" s="214"/>
      <c r="AA95" s="214"/>
    </row>
    <row r="96" spans="1:27" ht="29.65" customHeight="1" thickBot="1">
      <c r="A96" s="457"/>
      <c r="B96" s="461"/>
      <c r="C96" s="450"/>
      <c r="D96" s="453"/>
      <c r="E96" s="252">
        <v>3</v>
      </c>
      <c r="F96" s="240"/>
      <c r="G96" s="162"/>
      <c r="H96" s="162"/>
      <c r="I96" s="211" t="str">
        <f t="shared" si="2"/>
        <v xml:space="preserve">  </v>
      </c>
      <c r="J96" s="287"/>
      <c r="K96" s="215" t="str">
        <f>+IFERROR(VLOOKUP($J96,'11 FORMULAS'!$B$51:$C$53,2,0),"")</f>
        <v/>
      </c>
      <c r="L96" s="215" t="str">
        <f>+IFERROR(VLOOKUP($J96,'11 FORMULAS'!$B$51:$D$53,3,0),"")</f>
        <v/>
      </c>
      <c r="M96" s="253"/>
      <c r="N96" s="254" t="str">
        <f>+IFERROR(VLOOKUP($M96,'11 FORMULAS'!$B$54:$C$55,2,0),"")</f>
        <v/>
      </c>
      <c r="O96" s="255"/>
      <c r="P96" s="255"/>
      <c r="Q96" s="255"/>
      <c r="R96" s="255"/>
      <c r="S96" s="215" t="str">
        <f t="shared" si="3"/>
        <v/>
      </c>
      <c r="T96" s="215">
        <f>IF($L96='11 FORMULAS'!$D$51,$C$94-($C$94*$S$94),$C$94)</f>
        <v>0.6</v>
      </c>
      <c r="U96" s="215">
        <f>IF($L96='11 FORMULAS'!$D$53,$D$94-($D$94*$S$94),$D$94)</f>
        <v>0.8</v>
      </c>
      <c r="V96" s="488"/>
      <c r="W96" s="491"/>
      <c r="X96" s="28"/>
      <c r="Y96" s="213"/>
      <c r="Z96" s="214"/>
      <c r="AA96" s="214"/>
    </row>
    <row r="97" spans="1:27" ht="29.65" customHeight="1" thickBot="1">
      <c r="A97" s="457"/>
      <c r="B97" s="461"/>
      <c r="C97" s="450"/>
      <c r="D97" s="453"/>
      <c r="E97" s="252">
        <v>4</v>
      </c>
      <c r="F97" s="240"/>
      <c r="G97" s="162"/>
      <c r="H97" s="162"/>
      <c r="I97" s="211" t="str">
        <f t="shared" si="2"/>
        <v xml:space="preserve">  </v>
      </c>
      <c r="J97" s="287"/>
      <c r="K97" s="215" t="str">
        <f>+IFERROR(VLOOKUP($J97,'11 FORMULAS'!$B$51:$C$53,2,0),"")</f>
        <v/>
      </c>
      <c r="L97" s="215" t="str">
        <f>+IFERROR(VLOOKUP($J97,'11 FORMULAS'!$B$51:$D$53,3,0),"")</f>
        <v/>
      </c>
      <c r="M97" s="253"/>
      <c r="N97" s="254" t="str">
        <f>+IFERROR(VLOOKUP($M97,'11 FORMULAS'!$B$54:$C$55,2,0),"")</f>
        <v/>
      </c>
      <c r="O97" s="255"/>
      <c r="P97" s="255"/>
      <c r="Q97" s="255"/>
      <c r="R97" s="255"/>
      <c r="S97" s="215" t="str">
        <f t="shared" si="3"/>
        <v/>
      </c>
      <c r="T97" s="215">
        <f>IF($L97='11 FORMULAS'!$D$51,$C$94-($C$94*$S$94),$C$94)</f>
        <v>0.6</v>
      </c>
      <c r="U97" s="215">
        <f>IF($L97='11 FORMULAS'!$D$53,$D$94-($D$94*$S$94),$D$94)</f>
        <v>0.8</v>
      </c>
      <c r="V97" s="488"/>
      <c r="W97" s="491"/>
      <c r="X97" s="28"/>
      <c r="Y97" s="213"/>
      <c r="Z97" s="214"/>
      <c r="AA97" s="214"/>
    </row>
    <row r="98" spans="1:27" ht="29.65" customHeight="1" thickBot="1">
      <c r="A98" s="457"/>
      <c r="B98" s="461"/>
      <c r="C98" s="450"/>
      <c r="D98" s="453"/>
      <c r="E98" s="252">
        <v>5</v>
      </c>
      <c r="F98" s="240"/>
      <c r="G98" s="162"/>
      <c r="H98" s="162"/>
      <c r="I98" s="211" t="str">
        <f t="shared" si="2"/>
        <v xml:space="preserve">  </v>
      </c>
      <c r="J98" s="287"/>
      <c r="K98" s="215" t="str">
        <f>+IFERROR(VLOOKUP($J98,'11 FORMULAS'!$B$51:$C$53,2,0),"")</f>
        <v/>
      </c>
      <c r="L98" s="215" t="str">
        <f>+IFERROR(VLOOKUP($J98,'11 FORMULAS'!$B$51:$D$53,3,0),"")</f>
        <v/>
      </c>
      <c r="M98" s="253"/>
      <c r="N98" s="254" t="str">
        <f>+IFERROR(VLOOKUP($M98,'11 FORMULAS'!$B$54:$C$55,2,0),"")</f>
        <v/>
      </c>
      <c r="O98" s="255"/>
      <c r="P98" s="255"/>
      <c r="Q98" s="255"/>
      <c r="R98" s="255"/>
      <c r="S98" s="215" t="str">
        <f t="shared" si="3"/>
        <v/>
      </c>
      <c r="T98" s="215">
        <f>IF($L98='11 FORMULAS'!$D$51,$C$94-($C$94*$S$94),$C$94)</f>
        <v>0.6</v>
      </c>
      <c r="U98" s="215">
        <f>IF($L98='11 FORMULAS'!$D$53,$D$94-($D$94*$S$94),$D$94)</f>
        <v>0.8</v>
      </c>
      <c r="V98" s="488"/>
      <c r="W98" s="491"/>
      <c r="X98" s="28"/>
      <c r="Y98" s="213"/>
      <c r="Z98" s="214"/>
      <c r="AA98" s="214"/>
    </row>
    <row r="99" spans="1:27" ht="29.65" customHeight="1" thickBot="1">
      <c r="A99" s="458"/>
      <c r="B99" s="462"/>
      <c r="C99" s="451"/>
      <c r="D99" s="454"/>
      <c r="E99" s="256">
        <v>6</v>
      </c>
      <c r="F99" s="243"/>
      <c r="G99" s="163"/>
      <c r="H99" s="163"/>
      <c r="I99" s="211" t="str">
        <f t="shared" si="2"/>
        <v xml:space="preserve">  </v>
      </c>
      <c r="J99" s="287"/>
      <c r="K99" s="215" t="str">
        <f>+IFERROR(VLOOKUP($J99,'11 FORMULAS'!$B$51:$C$53,2,0),"")</f>
        <v/>
      </c>
      <c r="L99" s="215" t="str">
        <f>+IFERROR(VLOOKUP($J99,'11 FORMULAS'!$B$51:$D$53,3,0),"")</f>
        <v/>
      </c>
      <c r="M99" s="253"/>
      <c r="N99" s="254" t="str">
        <f>+IFERROR(VLOOKUP($M99,'11 FORMULAS'!$B$54:$C$55,2,0),"")</f>
        <v/>
      </c>
      <c r="O99" s="255"/>
      <c r="P99" s="255"/>
      <c r="Q99" s="255"/>
      <c r="R99" s="255"/>
      <c r="S99" s="215" t="str">
        <f t="shared" si="3"/>
        <v/>
      </c>
      <c r="T99" s="215">
        <f>IF($L99='11 FORMULAS'!$D$51,$C$94-($C$94*$S$94),$C$94)</f>
        <v>0.6</v>
      </c>
      <c r="U99" s="215">
        <f>IF($L99='11 FORMULAS'!$D$53,$D$94-($D$94*$S$94),$D$94)</f>
        <v>0.8</v>
      </c>
      <c r="V99" s="489"/>
      <c r="W99" s="492"/>
      <c r="X99" s="28"/>
    </row>
    <row r="100" spans="1:27" ht="75" customHeight="1" thickBot="1">
      <c r="A100" s="455" t="str">
        <f>'2 IDENTIFICACIÓN'!A25</f>
        <v>R16</v>
      </c>
      <c r="B100" s="459" t="str">
        <f>+'2 IDENTIFICACIÓN'!J25</f>
        <v>Posibilidad de pérdida reputacional por  Corrupcion  entrante en el proceso de contratación de la Secretaría del Interior, al recibir o solicitar dádivas o beneficios a nombre propio o de terceros, debido a   favorecimiento indebido a alguna de las partes en los procesos de adjudicación de contratos.</v>
      </c>
      <c r="C100" s="449">
        <f>+'3 PROBABIL E IMPACTO INHERENTE'!E25</f>
        <v>0.6</v>
      </c>
      <c r="D100" s="452">
        <f>+'3 PROBABIL E IMPACTO INHERENTE'!M25</f>
        <v>0.8</v>
      </c>
      <c r="E100" s="257">
        <v>1</v>
      </c>
      <c r="F100" s="241" t="s">
        <v>328</v>
      </c>
      <c r="G100" s="35" t="s">
        <v>329</v>
      </c>
      <c r="H100" s="35" t="s">
        <v>330</v>
      </c>
      <c r="I100" s="211" t="str">
        <f t="shared" si="2"/>
        <v>El profesional articulador del Area de contratación de la Secretaría del Interior,  Verifica que todos los procesos en la etapa precontractual tengan la viabilidad jurídica y técnica que   emite la Secretaría Jurídica,  para continuar con la correspondiente publicación en la plataforma SECOP.</v>
      </c>
      <c r="J100" s="287" t="s">
        <v>273</v>
      </c>
      <c r="K100" s="215">
        <f>+IFERROR(VLOOKUP($J100,'11 FORMULAS'!$B$51:$C$53,2,0),"")</f>
        <v>0.25</v>
      </c>
      <c r="L100" s="215" t="str">
        <f>+IFERROR(VLOOKUP($J100,'11 FORMULAS'!$B$51:$D$53,3,0),"")</f>
        <v>Probabilidad</v>
      </c>
      <c r="M100" s="253" t="s">
        <v>274</v>
      </c>
      <c r="N100" s="254">
        <f>+IFERROR(VLOOKUP($M100,'11 FORMULAS'!$B$54:$C$55,2,0),"")</f>
        <v>0.15</v>
      </c>
      <c r="O100" s="255" t="s">
        <v>275</v>
      </c>
      <c r="P100" s="255" t="s">
        <v>282</v>
      </c>
      <c r="Q100" s="255" t="s">
        <v>277</v>
      </c>
      <c r="R100" s="255" t="s">
        <v>278</v>
      </c>
      <c r="S100" s="215">
        <f t="shared" si="3"/>
        <v>0.4</v>
      </c>
      <c r="T100" s="215">
        <f>IF($L100='11 FORMULAS'!$D$51,$C$100-($C$100*$S$100),$C$100)</f>
        <v>0.36</v>
      </c>
      <c r="U100" s="215">
        <f>IF($L100='11 FORMULAS'!$D$53,$D$100-($D$100*$S$100),$D$100)</f>
        <v>0.8</v>
      </c>
      <c r="V100" s="487">
        <f>+IF(T105="","",T105)</f>
        <v>0.6</v>
      </c>
      <c r="W100" s="490">
        <f>+IF(U105="","",U105)</f>
        <v>0.8</v>
      </c>
      <c r="X100" s="28"/>
      <c r="Y100" s="213"/>
      <c r="Z100" s="214"/>
      <c r="AA100" s="214"/>
    </row>
    <row r="101" spans="1:27" ht="29.65" customHeight="1" thickBot="1">
      <c r="A101" s="457"/>
      <c r="B101" s="461"/>
      <c r="C101" s="450"/>
      <c r="D101" s="453"/>
      <c r="E101" s="252">
        <v>2</v>
      </c>
      <c r="F101" s="240"/>
      <c r="G101" s="162"/>
      <c r="H101" s="162"/>
      <c r="I101" s="211" t="str">
        <f t="shared" si="2"/>
        <v xml:space="preserve">  </v>
      </c>
      <c r="J101" s="287"/>
      <c r="K101" s="215" t="str">
        <f>+IFERROR(VLOOKUP($J101,'11 FORMULAS'!$B$51:$C$53,2,0),"")</f>
        <v/>
      </c>
      <c r="L101" s="215" t="str">
        <f>+IFERROR(VLOOKUP($J101,'11 FORMULAS'!$B$51:$D$53,3,0),"")</f>
        <v/>
      </c>
      <c r="M101" s="253"/>
      <c r="N101" s="254" t="str">
        <f>+IFERROR(VLOOKUP($M101,'11 FORMULAS'!$B$54:$C$55,2,0),"")</f>
        <v/>
      </c>
      <c r="O101" s="255"/>
      <c r="P101" s="255"/>
      <c r="Q101" s="255"/>
      <c r="R101" s="255"/>
      <c r="S101" s="215" t="str">
        <f t="shared" si="3"/>
        <v/>
      </c>
      <c r="T101" s="215">
        <f>IF($L101='11 FORMULAS'!$D$51,$C$100-($C$100*$S$100),$C$100)</f>
        <v>0.6</v>
      </c>
      <c r="U101" s="215">
        <f>IF($L101='11 FORMULAS'!$D$53,$D$100-($D$100*$S$100),$D$100)</f>
        <v>0.8</v>
      </c>
      <c r="V101" s="488"/>
      <c r="W101" s="491"/>
      <c r="X101" s="28"/>
      <c r="Y101" s="213"/>
      <c r="Z101" s="214"/>
      <c r="AA101" s="214"/>
    </row>
    <row r="102" spans="1:27" ht="29.65" customHeight="1" thickBot="1">
      <c r="A102" s="457"/>
      <c r="B102" s="461"/>
      <c r="C102" s="450"/>
      <c r="D102" s="453"/>
      <c r="E102" s="252">
        <v>3</v>
      </c>
      <c r="F102" s="240"/>
      <c r="G102" s="162"/>
      <c r="H102" s="162"/>
      <c r="I102" s="211" t="str">
        <f t="shared" si="2"/>
        <v xml:space="preserve">  </v>
      </c>
      <c r="J102" s="287"/>
      <c r="K102" s="215" t="str">
        <f>+IFERROR(VLOOKUP($J102,'11 FORMULAS'!$B$51:$C$53,2,0),"")</f>
        <v/>
      </c>
      <c r="L102" s="215" t="str">
        <f>+IFERROR(VLOOKUP($J102,'11 FORMULAS'!$B$51:$D$53,3,0),"")</f>
        <v/>
      </c>
      <c r="M102" s="253"/>
      <c r="N102" s="254" t="str">
        <f>+IFERROR(VLOOKUP($M102,'11 FORMULAS'!$B$54:$C$55,2,0),"")</f>
        <v/>
      </c>
      <c r="O102" s="255"/>
      <c r="P102" s="255"/>
      <c r="Q102" s="255"/>
      <c r="R102" s="255"/>
      <c r="S102" s="215" t="str">
        <f t="shared" si="3"/>
        <v/>
      </c>
      <c r="T102" s="215">
        <f>IF($L102='11 FORMULAS'!$D$51,$C$100-($C$100*$S$100),$C$100)</f>
        <v>0.6</v>
      </c>
      <c r="U102" s="215">
        <f>IF($L102='11 FORMULAS'!$D$53,$D$100-($D$100*$S$100),$D$100)</f>
        <v>0.8</v>
      </c>
      <c r="V102" s="488"/>
      <c r="W102" s="491"/>
      <c r="X102" s="28"/>
      <c r="Y102" s="213"/>
      <c r="Z102" s="214"/>
      <c r="AA102" s="214"/>
    </row>
    <row r="103" spans="1:27" ht="29.65" customHeight="1" thickBot="1">
      <c r="A103" s="457"/>
      <c r="B103" s="461"/>
      <c r="C103" s="450"/>
      <c r="D103" s="453"/>
      <c r="E103" s="252">
        <v>4</v>
      </c>
      <c r="F103" s="240"/>
      <c r="G103" s="162"/>
      <c r="H103" s="162"/>
      <c r="I103" s="211" t="str">
        <f t="shared" si="2"/>
        <v xml:space="preserve">  </v>
      </c>
      <c r="J103" s="287"/>
      <c r="K103" s="215" t="str">
        <f>+IFERROR(VLOOKUP($J103,'11 FORMULAS'!$B$51:$C$53,2,0),"")</f>
        <v/>
      </c>
      <c r="L103" s="215" t="str">
        <f>+IFERROR(VLOOKUP($J103,'11 FORMULAS'!$B$51:$D$53,3,0),"")</f>
        <v/>
      </c>
      <c r="M103" s="253"/>
      <c r="N103" s="254" t="str">
        <f>+IFERROR(VLOOKUP($M103,'11 FORMULAS'!$B$54:$C$55,2,0),"")</f>
        <v/>
      </c>
      <c r="O103" s="255"/>
      <c r="P103" s="255"/>
      <c r="Q103" s="255"/>
      <c r="R103" s="255"/>
      <c r="S103" s="215" t="str">
        <f t="shared" si="3"/>
        <v/>
      </c>
      <c r="T103" s="215">
        <f>IF($L103='11 FORMULAS'!$D$51,$C$100-($C$100*$S$100),$C$100)</f>
        <v>0.6</v>
      </c>
      <c r="U103" s="215">
        <f>IF($L103='11 FORMULAS'!$D$53,$D$100-($D$100*$S$100),$D$100)</f>
        <v>0.8</v>
      </c>
      <c r="V103" s="488"/>
      <c r="W103" s="491"/>
      <c r="X103" s="28"/>
      <c r="Y103" s="213"/>
      <c r="Z103" s="214"/>
      <c r="AA103" s="214"/>
    </row>
    <row r="104" spans="1:27" ht="29.65" customHeight="1" thickBot="1">
      <c r="A104" s="457"/>
      <c r="B104" s="461"/>
      <c r="C104" s="450"/>
      <c r="D104" s="453"/>
      <c r="E104" s="252">
        <v>5</v>
      </c>
      <c r="F104" s="240"/>
      <c r="G104" s="162"/>
      <c r="H104" s="162"/>
      <c r="I104" s="211" t="str">
        <f t="shared" si="2"/>
        <v xml:space="preserve">  </v>
      </c>
      <c r="J104" s="287"/>
      <c r="K104" s="215" t="str">
        <f>+IFERROR(VLOOKUP($J104,'11 FORMULAS'!$B$51:$C$53,2,0),"")</f>
        <v/>
      </c>
      <c r="L104" s="215" t="str">
        <f>+IFERROR(VLOOKUP($J104,'11 FORMULAS'!$B$51:$D$53,3,0),"")</f>
        <v/>
      </c>
      <c r="M104" s="253"/>
      <c r="N104" s="254" t="str">
        <f>+IFERROR(VLOOKUP($M104,'11 FORMULAS'!$B$54:$C$55,2,0),"")</f>
        <v/>
      </c>
      <c r="O104" s="255"/>
      <c r="P104" s="255"/>
      <c r="Q104" s="255"/>
      <c r="R104" s="255"/>
      <c r="S104" s="215" t="str">
        <f t="shared" si="3"/>
        <v/>
      </c>
      <c r="T104" s="215">
        <f>IF($L104='11 FORMULAS'!$D$51,$C$100-($C$100*$S$100),$C$100)</f>
        <v>0.6</v>
      </c>
      <c r="U104" s="215">
        <f>IF($L104='11 FORMULAS'!$D$53,$D$100-($D$100*$S$100),$D$100)</f>
        <v>0.8</v>
      </c>
      <c r="V104" s="488"/>
      <c r="W104" s="491"/>
      <c r="X104" s="28"/>
      <c r="Y104" s="213"/>
      <c r="Z104" s="214"/>
      <c r="AA104" s="214"/>
    </row>
    <row r="105" spans="1:27" ht="29.65" customHeight="1" thickBot="1">
      <c r="A105" s="458"/>
      <c r="B105" s="462"/>
      <c r="C105" s="451"/>
      <c r="D105" s="454"/>
      <c r="E105" s="256">
        <v>6</v>
      </c>
      <c r="F105" s="243"/>
      <c r="G105" s="163"/>
      <c r="H105" s="163"/>
      <c r="I105" s="211" t="str">
        <f t="shared" si="2"/>
        <v xml:space="preserve">  </v>
      </c>
      <c r="J105" s="287"/>
      <c r="K105" s="215" t="str">
        <f>+IFERROR(VLOOKUP($J105,'11 FORMULAS'!$B$51:$C$53,2,0),"")</f>
        <v/>
      </c>
      <c r="L105" s="215" t="str">
        <f>+IFERROR(VLOOKUP($J105,'11 FORMULAS'!$B$51:$D$53,3,0),"")</f>
        <v/>
      </c>
      <c r="M105" s="253"/>
      <c r="N105" s="254" t="str">
        <f>+IFERROR(VLOOKUP($M105,'11 FORMULAS'!$B$54:$C$55,2,0),"")</f>
        <v/>
      </c>
      <c r="O105" s="255"/>
      <c r="P105" s="255"/>
      <c r="Q105" s="255"/>
      <c r="R105" s="255"/>
      <c r="S105" s="215" t="str">
        <f t="shared" si="3"/>
        <v/>
      </c>
      <c r="T105" s="215">
        <f>IF($L105='11 FORMULAS'!$D$51,$C$100-($C$100*$S$100),$C$100)</f>
        <v>0.6</v>
      </c>
      <c r="U105" s="215">
        <f>IF($L105='11 FORMULAS'!$D$53,$D$100-($D$100*$S$100),$D$100)</f>
        <v>0.8</v>
      </c>
      <c r="V105" s="489"/>
      <c r="W105" s="492"/>
      <c r="X105" s="28"/>
    </row>
    <row r="106" spans="1:27" ht="77.45" customHeight="1" thickBot="1">
      <c r="A106" s="455" t="str">
        <f>'2 IDENTIFICACIÓN'!A26</f>
        <v>R17</v>
      </c>
      <c r="B106" s="459" t="str">
        <f>+'2 IDENTIFICACIÓN'!J26</f>
        <v>Posibilidad de pérdida reputacional por  ocupación o desarrollo urbanístico no controlado en zonas intervenidas con obras de mitigación del riesgo, debido a  deficiencias en el seguimiento de las actuaciones policivas y en la articulación interinstitucional para la atención de denuncias, reportes o alertas relacionadas con presuntas infracciones urbanísticas.</v>
      </c>
      <c r="C106" s="449">
        <f>+'3 PROBABIL E IMPACTO INHERENTE'!E26</f>
        <v>0.6</v>
      </c>
      <c r="D106" s="452">
        <f>+'3 PROBABIL E IMPACTO INHERENTE'!M26</f>
        <v>0.6</v>
      </c>
      <c r="E106" s="257">
        <v>1</v>
      </c>
      <c r="F106" s="241" t="s">
        <v>331</v>
      </c>
      <c r="G106" s="35" t="s">
        <v>332</v>
      </c>
      <c r="H106" s="35" t="s">
        <v>333</v>
      </c>
      <c r="I106" s="211" t="str">
        <f t="shared" si="2"/>
        <v>El profesional responsable del proceso y las Inspecciones de Convivencia y Paz adscritas a la Secretaría del Interior, realizan seguimiento y articulación interinstitucional a las actuaciones relacionadas con presuntas infracciones urbanísticas en zonas intervenidas con obras de mitigación del riesgo, de manera trimestral o cuando se presenten novedades.</v>
      </c>
      <c r="J106" s="287" t="s">
        <v>273</v>
      </c>
      <c r="K106" s="215">
        <f>+IFERROR(VLOOKUP($J106,'11 FORMULAS'!$B$51:$C$53,2,0),"")</f>
        <v>0.25</v>
      </c>
      <c r="L106" s="215" t="str">
        <f>+IFERROR(VLOOKUP($J106,'11 FORMULAS'!$B$51:$D$53,3,0),"")</f>
        <v>Probabilidad</v>
      </c>
      <c r="M106" s="253" t="s">
        <v>274</v>
      </c>
      <c r="N106" s="254">
        <f>+IFERROR(VLOOKUP($M106,'11 FORMULAS'!$B$54:$C$55,2,0),"")</f>
        <v>0.15</v>
      </c>
      <c r="O106" s="255" t="s">
        <v>275</v>
      </c>
      <c r="P106" s="255" t="s">
        <v>292</v>
      </c>
      <c r="Q106" s="255" t="s">
        <v>277</v>
      </c>
      <c r="R106" s="255" t="s">
        <v>278</v>
      </c>
      <c r="S106" s="215">
        <f t="shared" si="3"/>
        <v>0.4</v>
      </c>
      <c r="T106" s="215">
        <f>IF($L106='11 FORMULAS'!$D$51,$C$106-($C$106*$S$106),$C$106)</f>
        <v>0.36</v>
      </c>
      <c r="U106" s="215">
        <f>IF($L106='11 FORMULAS'!$D$53,$D$106-($D$106*$S$106),$D$106)</f>
        <v>0.6</v>
      </c>
      <c r="V106" s="487">
        <f>+IF(T111="","",T111)</f>
        <v>0.6</v>
      </c>
      <c r="W106" s="490">
        <f>+IF(U111="","",U111)</f>
        <v>0.6</v>
      </c>
      <c r="X106" s="28"/>
      <c r="Y106" s="213"/>
      <c r="Z106" s="214"/>
      <c r="AA106" s="214"/>
    </row>
    <row r="107" spans="1:27" ht="29.65" customHeight="1" thickBot="1">
      <c r="A107" s="456"/>
      <c r="B107" s="460"/>
      <c r="C107" s="463"/>
      <c r="D107" s="464"/>
      <c r="E107" s="252">
        <v>2</v>
      </c>
      <c r="F107" s="239"/>
      <c r="G107" s="236"/>
      <c r="H107" s="236"/>
      <c r="I107" s="211" t="str">
        <f t="shared" si="2"/>
        <v xml:space="preserve">  </v>
      </c>
      <c r="J107" s="287"/>
      <c r="K107" s="215" t="str">
        <f>+IFERROR(VLOOKUP($J107,'11 FORMULAS'!$B$51:$C$53,2,0),"")</f>
        <v/>
      </c>
      <c r="L107" s="215" t="str">
        <f>+IFERROR(VLOOKUP($J107,'11 FORMULAS'!$B$51:$D$53,3,0),"")</f>
        <v/>
      </c>
      <c r="M107" s="253"/>
      <c r="N107" s="254" t="str">
        <f>+IFERROR(VLOOKUP($M107,'11 FORMULAS'!$B$54:$C$55,2,0),"")</f>
        <v/>
      </c>
      <c r="O107" s="255"/>
      <c r="P107" s="255"/>
      <c r="Q107" s="255"/>
      <c r="R107" s="255"/>
      <c r="S107" s="215" t="str">
        <f t="shared" si="3"/>
        <v/>
      </c>
      <c r="T107" s="215">
        <f>IF($L107='11 FORMULAS'!$D$51,$C$106-($C$106*$S$106),$C$106)</f>
        <v>0.6</v>
      </c>
      <c r="U107" s="215">
        <f>IF($L107='11 FORMULAS'!$D$53,$D$106-($D$106*$S$106),$D$106)</f>
        <v>0.6</v>
      </c>
      <c r="V107" s="495"/>
      <c r="W107" s="496"/>
      <c r="X107" s="28"/>
      <c r="Y107" s="213"/>
      <c r="Z107" s="214"/>
      <c r="AA107" s="214"/>
    </row>
    <row r="108" spans="1:27" ht="29.65" customHeight="1" thickBot="1">
      <c r="A108" s="456"/>
      <c r="B108" s="460"/>
      <c r="C108" s="463"/>
      <c r="D108" s="464"/>
      <c r="E108" s="252">
        <v>3</v>
      </c>
      <c r="F108" s="239"/>
      <c r="G108" s="236"/>
      <c r="H108" s="236"/>
      <c r="I108" s="211" t="str">
        <f t="shared" si="2"/>
        <v xml:space="preserve">  </v>
      </c>
      <c r="J108" s="287"/>
      <c r="K108" s="215" t="str">
        <f>+IFERROR(VLOOKUP($J108,'11 FORMULAS'!$B$51:$C$53,2,0),"")</f>
        <v/>
      </c>
      <c r="L108" s="215" t="str">
        <f>+IFERROR(VLOOKUP($J108,'11 FORMULAS'!$B$51:$D$53,3,0),"")</f>
        <v/>
      </c>
      <c r="M108" s="253"/>
      <c r="N108" s="254" t="str">
        <f>+IFERROR(VLOOKUP($M108,'11 FORMULAS'!$B$54:$C$55,2,0),"")</f>
        <v/>
      </c>
      <c r="O108" s="255"/>
      <c r="P108" s="255"/>
      <c r="Q108" s="255"/>
      <c r="R108" s="255"/>
      <c r="S108" s="215" t="str">
        <f t="shared" si="3"/>
        <v/>
      </c>
      <c r="T108" s="215">
        <f>IF($L108='11 FORMULAS'!$D$51,$C$106-($C$106*$S$106),$C$106)</f>
        <v>0.6</v>
      </c>
      <c r="U108" s="215">
        <f>IF($L108='11 FORMULAS'!$D$53,$D$106-($D$106*$S$106),$D$106)</f>
        <v>0.6</v>
      </c>
      <c r="V108" s="495"/>
      <c r="W108" s="496"/>
      <c r="X108" s="28"/>
      <c r="Y108" s="213"/>
      <c r="Z108" s="214"/>
      <c r="AA108" s="214"/>
    </row>
    <row r="109" spans="1:27" ht="29.65" customHeight="1" thickBot="1">
      <c r="A109" s="457"/>
      <c r="B109" s="461"/>
      <c r="C109" s="450"/>
      <c r="D109" s="453"/>
      <c r="E109" s="252">
        <v>4</v>
      </c>
      <c r="F109" s="240"/>
      <c r="G109" s="162"/>
      <c r="H109" s="162"/>
      <c r="I109" s="211" t="str">
        <f t="shared" si="2"/>
        <v xml:space="preserve">  </v>
      </c>
      <c r="J109" s="287"/>
      <c r="K109" s="215" t="str">
        <f>+IFERROR(VLOOKUP($J109,'11 FORMULAS'!$B$51:$C$53,2,0),"")</f>
        <v/>
      </c>
      <c r="L109" s="215" t="str">
        <f>+IFERROR(VLOOKUP($J109,'11 FORMULAS'!$B$51:$D$53,3,0),"")</f>
        <v/>
      </c>
      <c r="M109" s="253"/>
      <c r="N109" s="254" t="str">
        <f>+IFERROR(VLOOKUP($M109,'11 FORMULAS'!$B$54:$C$55,2,0),"")</f>
        <v/>
      </c>
      <c r="O109" s="255"/>
      <c r="P109" s="255"/>
      <c r="Q109" s="255"/>
      <c r="R109" s="255"/>
      <c r="S109" s="215" t="str">
        <f t="shared" si="3"/>
        <v/>
      </c>
      <c r="T109" s="215">
        <f>IF($L109='11 FORMULAS'!$D$51,$C$106-($C$106*$S$106),$C$106)</f>
        <v>0.6</v>
      </c>
      <c r="U109" s="215">
        <f>IF($L109='11 FORMULAS'!$D$53,$D$106-($D$106*$S$106),$D$106)</f>
        <v>0.6</v>
      </c>
      <c r="V109" s="488"/>
      <c r="W109" s="491"/>
      <c r="X109" s="28"/>
      <c r="Y109" s="213"/>
      <c r="Z109" s="214"/>
      <c r="AA109" s="214"/>
    </row>
    <row r="110" spans="1:27" ht="29.65" customHeight="1" thickBot="1">
      <c r="A110" s="457"/>
      <c r="B110" s="461"/>
      <c r="C110" s="450"/>
      <c r="D110" s="453"/>
      <c r="E110" s="252">
        <v>5</v>
      </c>
      <c r="F110" s="240"/>
      <c r="G110" s="162"/>
      <c r="H110" s="162"/>
      <c r="I110" s="211" t="str">
        <f t="shared" si="2"/>
        <v xml:space="preserve">  </v>
      </c>
      <c r="J110" s="287"/>
      <c r="K110" s="215" t="str">
        <f>+IFERROR(VLOOKUP($J110,'11 FORMULAS'!$B$51:$C$53,2,0),"")</f>
        <v/>
      </c>
      <c r="L110" s="215" t="str">
        <f>+IFERROR(VLOOKUP($J110,'11 FORMULAS'!$B$51:$D$53,3,0),"")</f>
        <v/>
      </c>
      <c r="M110" s="253"/>
      <c r="N110" s="254" t="str">
        <f>+IFERROR(VLOOKUP($M110,'11 FORMULAS'!$B$54:$C$55,2,0),"")</f>
        <v/>
      </c>
      <c r="O110" s="255"/>
      <c r="P110" s="255"/>
      <c r="Q110" s="255"/>
      <c r="R110" s="255"/>
      <c r="S110" s="215" t="str">
        <f t="shared" si="3"/>
        <v/>
      </c>
      <c r="T110" s="215">
        <f>IF($L110='11 FORMULAS'!$D$51,$C$106-($C$106*$S$106),$C$106)</f>
        <v>0.6</v>
      </c>
      <c r="U110" s="215">
        <f>IF($L110='11 FORMULAS'!$D$53,$D$106-($D$106*$S$106),$D$106)</f>
        <v>0.6</v>
      </c>
      <c r="V110" s="488"/>
      <c r="W110" s="491"/>
      <c r="X110" s="28"/>
      <c r="Y110" s="213"/>
      <c r="Z110" s="214"/>
      <c r="AA110" s="214"/>
    </row>
    <row r="111" spans="1:27" ht="29.65" customHeight="1" thickBot="1">
      <c r="A111" s="458"/>
      <c r="B111" s="462"/>
      <c r="C111" s="451"/>
      <c r="D111" s="454"/>
      <c r="E111" s="256">
        <v>6</v>
      </c>
      <c r="F111" s="243"/>
      <c r="G111" s="163"/>
      <c r="H111" s="163"/>
      <c r="I111" s="211" t="str">
        <f t="shared" si="2"/>
        <v xml:space="preserve">  </v>
      </c>
      <c r="J111" s="287"/>
      <c r="K111" s="215" t="str">
        <f>+IFERROR(VLOOKUP($J111,'11 FORMULAS'!$B$51:$C$53,2,0),"")</f>
        <v/>
      </c>
      <c r="L111" s="215" t="str">
        <f>+IFERROR(VLOOKUP($J111,'11 FORMULAS'!$B$51:$D$53,3,0),"")</f>
        <v/>
      </c>
      <c r="M111" s="253"/>
      <c r="N111" s="254" t="str">
        <f>+IFERROR(VLOOKUP($M111,'11 FORMULAS'!$B$54:$C$55,2,0),"")</f>
        <v/>
      </c>
      <c r="O111" s="255"/>
      <c r="P111" s="255"/>
      <c r="Q111" s="255"/>
      <c r="R111" s="255"/>
      <c r="S111" s="215" t="str">
        <f t="shared" si="3"/>
        <v/>
      </c>
      <c r="T111" s="215">
        <f>IF($L111='11 FORMULAS'!$D$51,$C$106-($C$106*$S$106),$C$106)</f>
        <v>0.6</v>
      </c>
      <c r="U111" s="215">
        <f>IF($L111='11 FORMULAS'!$D$53,$D$106-($D$106*$S$106),$D$106)</f>
        <v>0.6</v>
      </c>
      <c r="V111" s="489"/>
      <c r="W111" s="492"/>
      <c r="X111" s="28"/>
    </row>
    <row r="112" spans="1:27" ht="29.65" hidden="1" customHeight="1" thickBot="1">
      <c r="A112" s="455" t="str">
        <f>'2 IDENTIFICACIÓN'!A27</f>
        <v>R18</v>
      </c>
      <c r="B112" s="459" t="str">
        <f>+'2 IDENTIFICACIÓN'!J27</f>
        <v xml:space="preserve"> por  debido a </v>
      </c>
      <c r="C112" s="449" t="str">
        <f>+'3 PROBABIL E IMPACTO INHERENTE'!E27</f>
        <v/>
      </c>
      <c r="D112" s="452" t="str">
        <f>+'3 PROBABIL E IMPACTO INHERENTE'!M27</f>
        <v/>
      </c>
      <c r="E112" s="257">
        <v>1</v>
      </c>
      <c r="F112" s="241"/>
      <c r="G112" s="35"/>
      <c r="H112" s="35"/>
      <c r="I112" s="211" t="str">
        <f t="shared" si="2"/>
        <v xml:space="preserve">  </v>
      </c>
      <c r="J112" s="287"/>
      <c r="K112" s="215" t="str">
        <f>+IFERROR(VLOOKUP($J112,'11 FORMULAS'!$B$51:$C$53,2,0),"")</f>
        <v/>
      </c>
      <c r="L112" s="215" t="str">
        <f>+IFERROR(VLOOKUP($J112,'11 FORMULAS'!$B$51:$D$53,3,0),"")</f>
        <v/>
      </c>
      <c r="M112" s="253" t="s">
        <v>320</v>
      </c>
      <c r="N112" s="254">
        <f>+IFERROR(VLOOKUP($M112,'11 FORMULAS'!$B$54:$C$55,2,0),"")</f>
        <v>0.25</v>
      </c>
      <c r="O112" s="255" t="s">
        <v>321</v>
      </c>
      <c r="P112" s="255" t="s">
        <v>282</v>
      </c>
      <c r="Q112" s="255" t="s">
        <v>277</v>
      </c>
      <c r="R112" s="255" t="s">
        <v>322</v>
      </c>
      <c r="S112" s="215" t="str">
        <f t="shared" si="3"/>
        <v/>
      </c>
      <c r="T112" s="215">
        <f>IF($L112='11 FORMULAS'!$D$51,$C$10-($C$10*$S$10),$C$10)</f>
        <v>0.6</v>
      </c>
      <c r="U112" s="215" t="str">
        <f>IF($L112='11 FORMULAS'!$D$53,D112-(D112*S112),D112)</f>
        <v/>
      </c>
      <c r="V112" s="487">
        <f>+IF(T117="","",T117)</f>
        <v>0.6</v>
      </c>
      <c r="W112" s="490">
        <f>+IF(U117="","",U117)</f>
        <v>0</v>
      </c>
      <c r="X112" s="28"/>
      <c r="Y112" s="213"/>
      <c r="Z112" s="214"/>
      <c r="AA112" s="214"/>
    </row>
    <row r="113" spans="1:27" ht="29.65" hidden="1" customHeight="1" thickBot="1">
      <c r="A113" s="456"/>
      <c r="B113" s="460"/>
      <c r="C113" s="463"/>
      <c r="D113" s="464"/>
      <c r="E113" s="252">
        <v>2</v>
      </c>
      <c r="F113" s="239"/>
      <c r="G113" s="236"/>
      <c r="H113" s="236"/>
      <c r="I113" s="211" t="str">
        <f t="shared" si="2"/>
        <v xml:space="preserve">  </v>
      </c>
      <c r="J113" s="287"/>
      <c r="K113" s="215" t="str">
        <f>+IFERROR(VLOOKUP($J113,'11 FORMULAS'!$B$51:$C$53,2,0),"")</f>
        <v/>
      </c>
      <c r="L113" s="215" t="str">
        <f>+IFERROR(VLOOKUP($J113,'11 FORMULAS'!$B$51:$D$53,3,0),"")</f>
        <v/>
      </c>
      <c r="M113" s="253" t="s">
        <v>320</v>
      </c>
      <c r="N113" s="254">
        <f>+IFERROR(VLOOKUP($M113,'11 FORMULAS'!$B$54:$C$55,2,0),"")</f>
        <v>0.25</v>
      </c>
      <c r="O113" s="255" t="s">
        <v>321</v>
      </c>
      <c r="P113" s="255" t="s">
        <v>282</v>
      </c>
      <c r="Q113" s="255" t="s">
        <v>277</v>
      </c>
      <c r="R113" s="255" t="s">
        <v>322</v>
      </c>
      <c r="S113" s="215" t="str">
        <f t="shared" si="3"/>
        <v/>
      </c>
      <c r="T113" s="215">
        <f>IF($L113='11 FORMULAS'!$D$51,$C$10-($C$10*$S$10),$C$10)</f>
        <v>0.6</v>
      </c>
      <c r="U113" s="215">
        <f>IF($L113='11 FORMULAS'!$D$53,D113-(D113*S113),D113)</f>
        <v>0</v>
      </c>
      <c r="V113" s="495"/>
      <c r="W113" s="496"/>
      <c r="X113" s="28"/>
      <c r="Y113" s="213"/>
      <c r="Z113" s="214"/>
      <c r="AA113" s="214"/>
    </row>
    <row r="114" spans="1:27" ht="29.65" hidden="1" customHeight="1" thickBot="1">
      <c r="A114" s="456"/>
      <c r="B114" s="460"/>
      <c r="C114" s="463"/>
      <c r="D114" s="464"/>
      <c r="E114" s="252">
        <v>3</v>
      </c>
      <c r="F114" s="239"/>
      <c r="G114" s="236"/>
      <c r="H114" s="236"/>
      <c r="I114" s="211" t="str">
        <f t="shared" si="2"/>
        <v xml:space="preserve">  </v>
      </c>
      <c r="J114" s="287"/>
      <c r="K114" s="215" t="str">
        <f>+IFERROR(VLOOKUP($J114,'11 FORMULAS'!$B$51:$C$53,2,0),"")</f>
        <v/>
      </c>
      <c r="L114" s="215" t="str">
        <f>+IFERROR(VLOOKUP($J114,'11 FORMULAS'!$B$51:$D$53,3,0),"")</f>
        <v/>
      </c>
      <c r="M114" s="253" t="s">
        <v>320</v>
      </c>
      <c r="N114" s="254">
        <f>+IFERROR(VLOOKUP($M114,'11 FORMULAS'!$B$54:$C$55,2,0),"")</f>
        <v>0.25</v>
      </c>
      <c r="O114" s="255" t="s">
        <v>321</v>
      </c>
      <c r="P114" s="255" t="s">
        <v>282</v>
      </c>
      <c r="Q114" s="255" t="s">
        <v>277</v>
      </c>
      <c r="R114" s="255" t="s">
        <v>322</v>
      </c>
      <c r="S114" s="215" t="str">
        <f t="shared" si="3"/>
        <v/>
      </c>
      <c r="T114" s="215">
        <f>IF($L114='11 FORMULAS'!$D$51,$C$10-($C$10*$S$10),$C$10)</f>
        <v>0.6</v>
      </c>
      <c r="U114" s="215">
        <f>IF($L114='11 FORMULAS'!$D$53,D114-(D114*S114),D114)</f>
        <v>0</v>
      </c>
      <c r="V114" s="495"/>
      <c r="W114" s="496"/>
      <c r="X114" s="28"/>
      <c r="Y114" s="213"/>
      <c r="Z114" s="214"/>
      <c r="AA114" s="214"/>
    </row>
    <row r="115" spans="1:27" ht="29.65" hidden="1" customHeight="1" thickBot="1">
      <c r="A115" s="457"/>
      <c r="B115" s="461"/>
      <c r="C115" s="450"/>
      <c r="D115" s="453"/>
      <c r="E115" s="252">
        <v>4</v>
      </c>
      <c r="F115" s="240"/>
      <c r="G115" s="162"/>
      <c r="H115" s="162"/>
      <c r="I115" s="211" t="str">
        <f t="shared" si="2"/>
        <v xml:space="preserve">  </v>
      </c>
      <c r="J115" s="287"/>
      <c r="K115" s="215" t="str">
        <f>+IFERROR(VLOOKUP($J115,'11 FORMULAS'!$B$51:$C$53,2,0),"")</f>
        <v/>
      </c>
      <c r="L115" s="215" t="str">
        <f>+IFERROR(VLOOKUP($J115,'11 FORMULAS'!$B$51:$D$53,3,0),"")</f>
        <v/>
      </c>
      <c r="M115" s="253" t="s">
        <v>320</v>
      </c>
      <c r="N115" s="254">
        <f>+IFERROR(VLOOKUP($M115,'11 FORMULAS'!$B$54:$C$55,2,0),"")</f>
        <v>0.25</v>
      </c>
      <c r="O115" s="255" t="s">
        <v>321</v>
      </c>
      <c r="P115" s="255" t="s">
        <v>282</v>
      </c>
      <c r="Q115" s="255" t="s">
        <v>277</v>
      </c>
      <c r="R115" s="255" t="s">
        <v>322</v>
      </c>
      <c r="S115" s="215" t="str">
        <f t="shared" si="3"/>
        <v/>
      </c>
      <c r="T115" s="215">
        <f>IF($L115='11 FORMULAS'!$D$51,$C$10-($C$10*$S$10),$C$10)</f>
        <v>0.6</v>
      </c>
      <c r="U115" s="215">
        <f>IF($L115='11 FORMULAS'!$D$53,D115-(D115*S115),D115)</f>
        <v>0</v>
      </c>
      <c r="V115" s="488"/>
      <c r="W115" s="491"/>
      <c r="X115" s="28"/>
      <c r="Y115" s="213"/>
      <c r="Z115" s="214"/>
      <c r="AA115" s="214"/>
    </row>
    <row r="116" spans="1:27" ht="29.65" hidden="1" customHeight="1" thickBot="1">
      <c r="A116" s="457"/>
      <c r="B116" s="461"/>
      <c r="C116" s="450"/>
      <c r="D116" s="453"/>
      <c r="E116" s="252">
        <v>5</v>
      </c>
      <c r="F116" s="240"/>
      <c r="G116" s="162"/>
      <c r="H116" s="162"/>
      <c r="I116" s="211" t="str">
        <f t="shared" si="2"/>
        <v xml:space="preserve">  </v>
      </c>
      <c r="J116" s="287"/>
      <c r="K116" s="215" t="str">
        <f>+IFERROR(VLOOKUP($J116,'11 FORMULAS'!$B$51:$C$53,2,0),"")</f>
        <v/>
      </c>
      <c r="L116" s="215" t="str">
        <f>+IFERROR(VLOOKUP($J116,'11 FORMULAS'!$B$51:$D$53,3,0),"")</f>
        <v/>
      </c>
      <c r="M116" s="253" t="s">
        <v>320</v>
      </c>
      <c r="N116" s="254">
        <f>+IFERROR(VLOOKUP($M116,'11 FORMULAS'!$B$54:$C$55,2,0),"")</f>
        <v>0.25</v>
      </c>
      <c r="O116" s="255" t="s">
        <v>321</v>
      </c>
      <c r="P116" s="255" t="s">
        <v>282</v>
      </c>
      <c r="Q116" s="255" t="s">
        <v>277</v>
      </c>
      <c r="R116" s="255" t="s">
        <v>322</v>
      </c>
      <c r="S116" s="215" t="str">
        <f t="shared" si="3"/>
        <v/>
      </c>
      <c r="T116" s="215">
        <f>IF($L116='11 FORMULAS'!$D$51,$C$10-($C$10*$S$10),$C$10)</f>
        <v>0.6</v>
      </c>
      <c r="U116" s="215">
        <f>IF($L116='11 FORMULAS'!$D$53,D116-(D116*S116),D116)</f>
        <v>0</v>
      </c>
      <c r="V116" s="488"/>
      <c r="W116" s="491"/>
      <c r="X116" s="28"/>
      <c r="Y116" s="213"/>
      <c r="Z116" s="214"/>
      <c r="AA116" s="214"/>
    </row>
    <row r="117" spans="1:27" ht="29.65" hidden="1" customHeight="1" thickBot="1">
      <c r="A117" s="458"/>
      <c r="B117" s="462"/>
      <c r="C117" s="451"/>
      <c r="D117" s="454"/>
      <c r="E117" s="256">
        <v>6</v>
      </c>
      <c r="F117" s="243"/>
      <c r="G117" s="163"/>
      <c r="H117" s="163"/>
      <c r="I117" s="211" t="str">
        <f t="shared" si="2"/>
        <v xml:space="preserve">  </v>
      </c>
      <c r="J117" s="287"/>
      <c r="K117" s="215" t="str">
        <f>+IFERROR(VLOOKUP($J117,'11 FORMULAS'!$B$51:$C$53,2,0),"")</f>
        <v/>
      </c>
      <c r="L117" s="215" t="str">
        <f>+IFERROR(VLOOKUP($J117,'11 FORMULAS'!$B$51:$D$53,3,0),"")</f>
        <v/>
      </c>
      <c r="M117" s="253" t="s">
        <v>320</v>
      </c>
      <c r="N117" s="254">
        <f>+IFERROR(VLOOKUP($M117,'11 FORMULAS'!$B$54:$C$55,2,0),"")</f>
        <v>0.25</v>
      </c>
      <c r="O117" s="255" t="s">
        <v>321</v>
      </c>
      <c r="P117" s="255" t="s">
        <v>282</v>
      </c>
      <c r="Q117" s="255" t="s">
        <v>277</v>
      </c>
      <c r="R117" s="255" t="s">
        <v>322</v>
      </c>
      <c r="S117" s="215" t="str">
        <f t="shared" si="3"/>
        <v/>
      </c>
      <c r="T117" s="215">
        <f>IF($L117='11 FORMULAS'!$D$51,$C$10-($C$10*$S$10),$C$10)</f>
        <v>0.6</v>
      </c>
      <c r="U117" s="215">
        <f>IF($L117='11 FORMULAS'!$D$53,D117-(D117*S117),D117)</f>
        <v>0</v>
      </c>
      <c r="V117" s="489"/>
      <c r="W117" s="492"/>
      <c r="X117" s="28"/>
    </row>
    <row r="118" spans="1:27" ht="29.65" hidden="1" customHeight="1" thickBot="1">
      <c r="A118" s="455" t="str">
        <f>'2 IDENTIFICACIÓN'!A28</f>
        <v>R19</v>
      </c>
      <c r="B118" s="459" t="str">
        <f>+'2 IDENTIFICACIÓN'!J28</f>
        <v xml:space="preserve"> por  debido a </v>
      </c>
      <c r="C118" s="449" t="str">
        <f>+'3 PROBABIL E IMPACTO INHERENTE'!E28</f>
        <v/>
      </c>
      <c r="D118" s="452" t="str">
        <f>+'3 PROBABIL E IMPACTO INHERENTE'!M28</f>
        <v/>
      </c>
      <c r="E118" s="257">
        <v>1</v>
      </c>
      <c r="F118" s="241"/>
      <c r="G118" s="35"/>
      <c r="H118" s="35"/>
      <c r="I118" s="211" t="str">
        <f t="shared" si="2"/>
        <v xml:space="preserve">  </v>
      </c>
      <c r="J118" s="287"/>
      <c r="K118" s="215" t="str">
        <f>+IFERROR(VLOOKUP($J118,'11 FORMULAS'!$B$51:$C$53,2,0),"")</f>
        <v/>
      </c>
      <c r="L118" s="215" t="str">
        <f>+IFERROR(VLOOKUP($J118,'11 FORMULAS'!$B$51:$D$53,3,0),"")</f>
        <v/>
      </c>
      <c r="M118" s="253" t="s">
        <v>320</v>
      </c>
      <c r="N118" s="254">
        <f>+IFERROR(VLOOKUP($M118,'11 FORMULAS'!$B$54:$C$55,2,0),"")</f>
        <v>0.25</v>
      </c>
      <c r="O118" s="255" t="s">
        <v>321</v>
      </c>
      <c r="P118" s="255" t="s">
        <v>282</v>
      </c>
      <c r="Q118" s="255" t="s">
        <v>277</v>
      </c>
      <c r="R118" s="255" t="s">
        <v>322</v>
      </c>
      <c r="S118" s="215" t="str">
        <f t="shared" si="3"/>
        <v/>
      </c>
      <c r="T118" s="215">
        <f>IF($L118='11 FORMULAS'!$D$51,$C$10-($C$10*$S$10),$C$10)</f>
        <v>0.6</v>
      </c>
      <c r="U118" s="215" t="str">
        <f>IF($L118='11 FORMULAS'!$D$53,D118-(D118*S118),D118)</f>
        <v/>
      </c>
      <c r="V118" s="487">
        <f>+IF(T123="","",T123)</f>
        <v>0.6</v>
      </c>
      <c r="W118" s="490">
        <f>+IF(U123="","",U123)</f>
        <v>0</v>
      </c>
      <c r="X118" s="28"/>
      <c r="Y118" s="213"/>
      <c r="Z118" s="214"/>
      <c r="AA118" s="214"/>
    </row>
    <row r="119" spans="1:27" ht="29.65" hidden="1" customHeight="1" thickBot="1">
      <c r="A119" s="456"/>
      <c r="B119" s="460"/>
      <c r="C119" s="463"/>
      <c r="D119" s="464"/>
      <c r="E119" s="252">
        <v>2</v>
      </c>
      <c r="F119" s="239"/>
      <c r="G119" s="236"/>
      <c r="H119" s="236"/>
      <c r="I119" s="211" t="str">
        <f t="shared" si="2"/>
        <v xml:space="preserve">  </v>
      </c>
      <c r="J119" s="287"/>
      <c r="K119" s="215" t="str">
        <f>+IFERROR(VLOOKUP($J119,'11 FORMULAS'!$B$51:$C$53,2,0),"")</f>
        <v/>
      </c>
      <c r="L119" s="215" t="str">
        <f>+IFERROR(VLOOKUP($J119,'11 FORMULAS'!$B$51:$D$53,3,0),"")</f>
        <v/>
      </c>
      <c r="M119" s="253" t="s">
        <v>320</v>
      </c>
      <c r="N119" s="254">
        <f>+IFERROR(VLOOKUP($M119,'11 FORMULAS'!$B$54:$C$55,2,0),"")</f>
        <v>0.25</v>
      </c>
      <c r="O119" s="255" t="s">
        <v>321</v>
      </c>
      <c r="P119" s="255" t="s">
        <v>282</v>
      </c>
      <c r="Q119" s="255" t="s">
        <v>277</v>
      </c>
      <c r="R119" s="255" t="s">
        <v>322</v>
      </c>
      <c r="S119" s="215" t="str">
        <f t="shared" si="3"/>
        <v/>
      </c>
      <c r="T119" s="215">
        <f>IF($L119='11 FORMULAS'!$D$51,$C$10-($C$10*$S$10),$C$10)</f>
        <v>0.6</v>
      </c>
      <c r="U119" s="215">
        <f>IF($L119='11 FORMULAS'!$D$53,D119-(D119*S119),D119)</f>
        <v>0</v>
      </c>
      <c r="V119" s="495"/>
      <c r="W119" s="496"/>
      <c r="X119" s="28"/>
      <c r="Y119" s="213"/>
      <c r="Z119" s="214"/>
      <c r="AA119" s="214"/>
    </row>
    <row r="120" spans="1:27" ht="29.65" hidden="1" customHeight="1" thickBot="1">
      <c r="A120" s="456"/>
      <c r="B120" s="460"/>
      <c r="C120" s="463"/>
      <c r="D120" s="464"/>
      <c r="E120" s="252">
        <v>3</v>
      </c>
      <c r="F120" s="239"/>
      <c r="G120" s="236"/>
      <c r="H120" s="236"/>
      <c r="I120" s="211" t="str">
        <f t="shared" si="2"/>
        <v xml:space="preserve">  </v>
      </c>
      <c r="J120" s="287"/>
      <c r="K120" s="215" t="str">
        <f>+IFERROR(VLOOKUP($J120,'11 FORMULAS'!$B$51:$C$53,2,0),"")</f>
        <v/>
      </c>
      <c r="L120" s="215" t="str">
        <f>+IFERROR(VLOOKUP($J120,'11 FORMULAS'!$B$51:$D$53,3,0),"")</f>
        <v/>
      </c>
      <c r="M120" s="253" t="s">
        <v>320</v>
      </c>
      <c r="N120" s="254">
        <f>+IFERROR(VLOOKUP($M120,'11 FORMULAS'!$B$54:$C$55,2,0),"")</f>
        <v>0.25</v>
      </c>
      <c r="O120" s="255" t="s">
        <v>321</v>
      </c>
      <c r="P120" s="255" t="s">
        <v>282</v>
      </c>
      <c r="Q120" s="255" t="s">
        <v>277</v>
      </c>
      <c r="R120" s="255" t="s">
        <v>322</v>
      </c>
      <c r="S120" s="215" t="str">
        <f t="shared" si="3"/>
        <v/>
      </c>
      <c r="T120" s="215">
        <f>IF($L120='11 FORMULAS'!$D$51,$C$10-($C$10*$S$10),$C$10)</f>
        <v>0.6</v>
      </c>
      <c r="U120" s="215">
        <f>IF($L120='11 FORMULAS'!$D$53,D120-(D120*S120),D120)</f>
        <v>0</v>
      </c>
      <c r="V120" s="495"/>
      <c r="W120" s="496"/>
      <c r="X120" s="28"/>
      <c r="Y120" s="213"/>
      <c r="Z120" s="214"/>
      <c r="AA120" s="214"/>
    </row>
    <row r="121" spans="1:27" ht="29.65" hidden="1" customHeight="1" thickBot="1">
      <c r="A121" s="457"/>
      <c r="B121" s="461"/>
      <c r="C121" s="450"/>
      <c r="D121" s="453"/>
      <c r="E121" s="252">
        <v>4</v>
      </c>
      <c r="F121" s="240"/>
      <c r="G121" s="162"/>
      <c r="H121" s="162"/>
      <c r="I121" s="211" t="str">
        <f t="shared" si="2"/>
        <v xml:space="preserve">  </v>
      </c>
      <c r="J121" s="287"/>
      <c r="K121" s="215" t="str">
        <f>+IFERROR(VLOOKUP($J121,'11 FORMULAS'!$B$51:$C$53,2,0),"")</f>
        <v/>
      </c>
      <c r="L121" s="215" t="str">
        <f>+IFERROR(VLOOKUP($J121,'11 FORMULAS'!$B$51:$D$53,3,0),"")</f>
        <v/>
      </c>
      <c r="M121" s="253" t="s">
        <v>320</v>
      </c>
      <c r="N121" s="254">
        <f>+IFERROR(VLOOKUP($M121,'11 FORMULAS'!$B$54:$C$55,2,0),"")</f>
        <v>0.25</v>
      </c>
      <c r="O121" s="255" t="s">
        <v>321</v>
      </c>
      <c r="P121" s="255" t="s">
        <v>282</v>
      </c>
      <c r="Q121" s="255" t="s">
        <v>277</v>
      </c>
      <c r="R121" s="255" t="s">
        <v>322</v>
      </c>
      <c r="S121" s="215" t="str">
        <f t="shared" si="3"/>
        <v/>
      </c>
      <c r="T121" s="215">
        <f>IF($L121='11 FORMULAS'!$D$51,$C$10-($C$10*$S$10),$C$10)</f>
        <v>0.6</v>
      </c>
      <c r="U121" s="215">
        <f>IF($L121='11 FORMULAS'!$D$53,D121-(D121*S121),D121)</f>
        <v>0</v>
      </c>
      <c r="V121" s="488"/>
      <c r="W121" s="491"/>
      <c r="X121" s="28"/>
      <c r="Y121" s="213"/>
      <c r="Z121" s="214"/>
      <c r="AA121" s="214"/>
    </row>
    <row r="122" spans="1:27" ht="29.65" hidden="1" customHeight="1" thickBot="1">
      <c r="A122" s="457"/>
      <c r="B122" s="461"/>
      <c r="C122" s="450"/>
      <c r="D122" s="453"/>
      <c r="E122" s="252">
        <v>5</v>
      </c>
      <c r="F122" s="240"/>
      <c r="G122" s="162"/>
      <c r="H122" s="162"/>
      <c r="I122" s="211" t="str">
        <f t="shared" si="2"/>
        <v xml:space="preserve">  </v>
      </c>
      <c r="J122" s="287"/>
      <c r="K122" s="215" t="str">
        <f>+IFERROR(VLOOKUP($J122,'11 FORMULAS'!$B$51:$C$53,2,0),"")</f>
        <v/>
      </c>
      <c r="L122" s="215" t="str">
        <f>+IFERROR(VLOOKUP($J122,'11 FORMULAS'!$B$51:$D$53,3,0),"")</f>
        <v/>
      </c>
      <c r="M122" s="253" t="s">
        <v>320</v>
      </c>
      <c r="N122" s="254">
        <f>+IFERROR(VLOOKUP($M122,'11 FORMULAS'!$B$54:$C$55,2,0),"")</f>
        <v>0.25</v>
      </c>
      <c r="O122" s="255" t="s">
        <v>321</v>
      </c>
      <c r="P122" s="255" t="s">
        <v>282</v>
      </c>
      <c r="Q122" s="255" t="s">
        <v>277</v>
      </c>
      <c r="R122" s="255" t="s">
        <v>322</v>
      </c>
      <c r="S122" s="215" t="str">
        <f t="shared" si="3"/>
        <v/>
      </c>
      <c r="T122" s="215">
        <f>IF($L122='11 FORMULAS'!$D$51,$C$10-($C$10*$S$10),$C$10)</f>
        <v>0.6</v>
      </c>
      <c r="U122" s="215">
        <f>IF($L122='11 FORMULAS'!$D$53,D122-(D122*S122),D122)</f>
        <v>0</v>
      </c>
      <c r="V122" s="488"/>
      <c r="W122" s="491"/>
      <c r="X122" s="28"/>
      <c r="Y122" s="213"/>
      <c r="Z122" s="214"/>
      <c r="AA122" s="214"/>
    </row>
    <row r="123" spans="1:27" ht="29.65" hidden="1" customHeight="1" thickBot="1">
      <c r="A123" s="458"/>
      <c r="B123" s="462"/>
      <c r="C123" s="451"/>
      <c r="D123" s="454"/>
      <c r="E123" s="256">
        <v>6</v>
      </c>
      <c r="F123" s="243"/>
      <c r="G123" s="163"/>
      <c r="H123" s="163"/>
      <c r="I123" s="211" t="str">
        <f t="shared" si="2"/>
        <v xml:space="preserve">  </v>
      </c>
      <c r="J123" s="287"/>
      <c r="K123" s="215" t="str">
        <f>+IFERROR(VLOOKUP($J123,'11 FORMULAS'!$B$51:$C$53,2,0),"")</f>
        <v/>
      </c>
      <c r="L123" s="215" t="str">
        <f>+IFERROR(VLOOKUP($J123,'11 FORMULAS'!$B$51:$D$53,3,0),"")</f>
        <v/>
      </c>
      <c r="M123" s="253" t="s">
        <v>320</v>
      </c>
      <c r="N123" s="254">
        <f>+IFERROR(VLOOKUP($M123,'11 FORMULAS'!$B$54:$C$55,2,0),"")</f>
        <v>0.25</v>
      </c>
      <c r="O123" s="255" t="s">
        <v>321</v>
      </c>
      <c r="P123" s="255" t="s">
        <v>282</v>
      </c>
      <c r="Q123" s="255" t="s">
        <v>277</v>
      </c>
      <c r="R123" s="255" t="s">
        <v>322</v>
      </c>
      <c r="S123" s="215" t="str">
        <f t="shared" si="3"/>
        <v/>
      </c>
      <c r="T123" s="215">
        <f>IF($L123='11 FORMULAS'!$D$51,$C$10-($C$10*$S$10),$C$10)</f>
        <v>0.6</v>
      </c>
      <c r="U123" s="215">
        <f>IF($L123='11 FORMULAS'!$D$53,D123-(D123*S123),D123)</f>
        <v>0</v>
      </c>
      <c r="V123" s="489"/>
      <c r="W123" s="492"/>
      <c r="X123" s="28"/>
    </row>
    <row r="124" spans="1:27" ht="29.65" hidden="1" customHeight="1" thickBot="1">
      <c r="A124" s="455" t="str">
        <f>'2 IDENTIFICACIÓN'!A29</f>
        <v>R20</v>
      </c>
      <c r="B124" s="459" t="str">
        <f>+'2 IDENTIFICACIÓN'!J29</f>
        <v xml:space="preserve"> por  debido a </v>
      </c>
      <c r="C124" s="449" t="str">
        <f>+'3 PROBABIL E IMPACTO INHERENTE'!E29</f>
        <v/>
      </c>
      <c r="D124" s="452" t="str">
        <f>+'3 PROBABIL E IMPACTO INHERENTE'!M29</f>
        <v/>
      </c>
      <c r="E124" s="257">
        <v>1</v>
      </c>
      <c r="F124" s="241"/>
      <c r="G124" s="35"/>
      <c r="H124" s="35"/>
      <c r="I124" s="211" t="str">
        <f t="shared" ref="I124:I183" si="4">+CONCATENATE(F124," ",G124," ",H124)</f>
        <v xml:space="preserve">  </v>
      </c>
      <c r="J124" s="287"/>
      <c r="K124" s="215" t="str">
        <f>+IFERROR(VLOOKUP($J124,'11 FORMULAS'!$B$51:$C$53,2,0),"")</f>
        <v/>
      </c>
      <c r="L124" s="215" t="str">
        <f>+IFERROR(VLOOKUP($J124,'11 FORMULAS'!$B$51:$D$53,3,0),"")</f>
        <v/>
      </c>
      <c r="M124" s="253" t="s">
        <v>320</v>
      </c>
      <c r="N124" s="254">
        <f>+IFERROR(VLOOKUP($M124,'11 FORMULAS'!$B$54:$C$55,2,0),"")</f>
        <v>0.25</v>
      </c>
      <c r="O124" s="255" t="s">
        <v>321</v>
      </c>
      <c r="P124" s="255" t="s">
        <v>282</v>
      </c>
      <c r="Q124" s="255" t="s">
        <v>277</v>
      </c>
      <c r="R124" s="255" t="s">
        <v>322</v>
      </c>
      <c r="S124" s="215" t="str">
        <f t="shared" si="3"/>
        <v/>
      </c>
      <c r="T124" s="215">
        <f>IF($L124='11 FORMULAS'!$D$51,$C$10-($C$10*$S$10),$C$10)</f>
        <v>0.6</v>
      </c>
      <c r="U124" s="215" t="str">
        <f>IF($L124='11 FORMULAS'!$D$53,D124-(D124*S124),D124)</f>
        <v/>
      </c>
      <c r="V124" s="487">
        <f>+IF(T129="","",T129)</f>
        <v>0.6</v>
      </c>
      <c r="W124" s="490">
        <f>+IF(U129="","",U129)</f>
        <v>0</v>
      </c>
      <c r="X124" s="28"/>
    </row>
    <row r="125" spans="1:27" ht="29.65" hidden="1" customHeight="1" thickBot="1">
      <c r="A125" s="456"/>
      <c r="B125" s="460"/>
      <c r="C125" s="463"/>
      <c r="D125" s="464"/>
      <c r="E125" s="252">
        <v>2</v>
      </c>
      <c r="F125" s="239"/>
      <c r="G125" s="236"/>
      <c r="H125" s="236"/>
      <c r="I125" s="211" t="str">
        <f t="shared" si="4"/>
        <v xml:space="preserve">  </v>
      </c>
      <c r="J125" s="287"/>
      <c r="K125" s="215" t="str">
        <f>+IFERROR(VLOOKUP($J125,'11 FORMULAS'!$B$51:$C$53,2,0),"")</f>
        <v/>
      </c>
      <c r="L125" s="215" t="str">
        <f>+IFERROR(VLOOKUP($J125,'11 FORMULAS'!$B$51:$D$53,3,0),"")</f>
        <v/>
      </c>
      <c r="M125" s="253" t="s">
        <v>320</v>
      </c>
      <c r="N125" s="254">
        <f>+IFERROR(VLOOKUP($M125,'11 FORMULAS'!$B$54:$C$55,2,0),"")</f>
        <v>0.25</v>
      </c>
      <c r="O125" s="255" t="s">
        <v>321</v>
      </c>
      <c r="P125" s="255" t="s">
        <v>282</v>
      </c>
      <c r="Q125" s="255" t="s">
        <v>277</v>
      </c>
      <c r="R125" s="255" t="s">
        <v>322</v>
      </c>
      <c r="S125" s="215" t="str">
        <f t="shared" si="3"/>
        <v/>
      </c>
      <c r="T125" s="215">
        <f>IF($L125='11 FORMULAS'!$D$51,$C$10-($C$10*$S$10),$C$10)</f>
        <v>0.6</v>
      </c>
      <c r="U125" s="215">
        <f>IF($L125='11 FORMULAS'!$D$53,D125-(D125*S125),D125)</f>
        <v>0</v>
      </c>
      <c r="V125" s="495"/>
      <c r="W125" s="496"/>
      <c r="X125" s="28"/>
    </row>
    <row r="126" spans="1:27" ht="29.65" hidden="1" customHeight="1" thickBot="1">
      <c r="A126" s="456"/>
      <c r="B126" s="460"/>
      <c r="C126" s="463"/>
      <c r="D126" s="464"/>
      <c r="E126" s="252">
        <v>3</v>
      </c>
      <c r="F126" s="239"/>
      <c r="G126" s="236"/>
      <c r="H126" s="236"/>
      <c r="I126" s="211" t="str">
        <f t="shared" si="4"/>
        <v xml:space="preserve">  </v>
      </c>
      <c r="J126" s="287"/>
      <c r="K126" s="215" t="str">
        <f>+IFERROR(VLOOKUP($J126,'11 FORMULAS'!$B$51:$C$53,2,0),"")</f>
        <v/>
      </c>
      <c r="L126" s="215" t="str">
        <f>+IFERROR(VLOOKUP($J126,'11 FORMULAS'!$B$51:$D$53,3,0),"")</f>
        <v/>
      </c>
      <c r="M126" s="253" t="s">
        <v>320</v>
      </c>
      <c r="N126" s="254">
        <f>+IFERROR(VLOOKUP($M126,'11 FORMULAS'!$B$54:$C$55,2,0),"")</f>
        <v>0.25</v>
      </c>
      <c r="O126" s="255" t="s">
        <v>321</v>
      </c>
      <c r="P126" s="255" t="s">
        <v>282</v>
      </c>
      <c r="Q126" s="255" t="s">
        <v>277</v>
      </c>
      <c r="R126" s="255" t="s">
        <v>322</v>
      </c>
      <c r="S126" s="215" t="str">
        <f t="shared" si="3"/>
        <v/>
      </c>
      <c r="T126" s="215">
        <f>IF($L126='11 FORMULAS'!$D$51,$C$10-($C$10*$S$10),$C$10)</f>
        <v>0.6</v>
      </c>
      <c r="U126" s="215">
        <f>IF($L126='11 FORMULAS'!$D$53,D126-(D126*S126),D126)</f>
        <v>0</v>
      </c>
      <c r="V126" s="495"/>
      <c r="W126" s="496"/>
      <c r="X126" s="28"/>
    </row>
    <row r="127" spans="1:27" ht="29.65" hidden="1" customHeight="1" thickBot="1">
      <c r="A127" s="457"/>
      <c r="B127" s="461"/>
      <c r="C127" s="450"/>
      <c r="D127" s="453"/>
      <c r="E127" s="252">
        <v>4</v>
      </c>
      <c r="F127" s="240"/>
      <c r="G127" s="162"/>
      <c r="H127" s="162"/>
      <c r="I127" s="211" t="str">
        <f t="shared" si="4"/>
        <v xml:space="preserve">  </v>
      </c>
      <c r="J127" s="287"/>
      <c r="K127" s="215" t="str">
        <f>+IFERROR(VLOOKUP($J127,'11 FORMULAS'!$B$51:$C$53,2,0),"")</f>
        <v/>
      </c>
      <c r="L127" s="215" t="str">
        <f>+IFERROR(VLOOKUP($J127,'11 FORMULAS'!$B$51:$D$53,3,0),"")</f>
        <v/>
      </c>
      <c r="M127" s="253" t="s">
        <v>320</v>
      </c>
      <c r="N127" s="254">
        <f>+IFERROR(VLOOKUP($M127,'11 FORMULAS'!$B$54:$C$55,2,0),"")</f>
        <v>0.25</v>
      </c>
      <c r="O127" s="255" t="s">
        <v>321</v>
      </c>
      <c r="P127" s="255" t="s">
        <v>282</v>
      </c>
      <c r="Q127" s="255" t="s">
        <v>277</v>
      </c>
      <c r="R127" s="255" t="s">
        <v>322</v>
      </c>
      <c r="S127" s="215" t="str">
        <f t="shared" si="3"/>
        <v/>
      </c>
      <c r="T127" s="215">
        <f>IF($L127='11 FORMULAS'!$D$51,$C$10-($C$10*$S$10),$C$10)</f>
        <v>0.6</v>
      </c>
      <c r="U127" s="215">
        <f>IF($L127='11 FORMULAS'!$D$53,D127-(D127*S127),D127)</f>
        <v>0</v>
      </c>
      <c r="V127" s="488"/>
      <c r="W127" s="491"/>
      <c r="X127" s="28"/>
    </row>
    <row r="128" spans="1:27" ht="29.65" hidden="1" customHeight="1" thickBot="1">
      <c r="A128" s="457"/>
      <c r="B128" s="461"/>
      <c r="C128" s="450"/>
      <c r="D128" s="453"/>
      <c r="E128" s="252">
        <v>5</v>
      </c>
      <c r="F128" s="240"/>
      <c r="G128" s="162"/>
      <c r="H128" s="162"/>
      <c r="I128" s="211" t="str">
        <f t="shared" si="4"/>
        <v xml:space="preserve">  </v>
      </c>
      <c r="J128" s="287"/>
      <c r="K128" s="215" t="str">
        <f>+IFERROR(VLOOKUP($J128,'11 FORMULAS'!$B$51:$C$53,2,0),"")</f>
        <v/>
      </c>
      <c r="L128" s="215" t="str">
        <f>+IFERROR(VLOOKUP($J128,'11 FORMULAS'!$B$51:$D$53,3,0),"")</f>
        <v/>
      </c>
      <c r="M128" s="253" t="s">
        <v>320</v>
      </c>
      <c r="N128" s="254">
        <f>+IFERROR(VLOOKUP($M128,'11 FORMULAS'!$B$54:$C$55,2,0),"")</f>
        <v>0.25</v>
      </c>
      <c r="O128" s="255" t="s">
        <v>321</v>
      </c>
      <c r="P128" s="255" t="s">
        <v>282</v>
      </c>
      <c r="Q128" s="255" t="s">
        <v>277</v>
      </c>
      <c r="R128" s="255" t="s">
        <v>322</v>
      </c>
      <c r="S128" s="215" t="str">
        <f t="shared" si="3"/>
        <v/>
      </c>
      <c r="T128" s="215">
        <f>IF($L128='11 FORMULAS'!$D$51,$C$10-($C$10*$S$10),$C$10)</f>
        <v>0.6</v>
      </c>
      <c r="U128" s="215">
        <f>IF($L128='11 FORMULAS'!$D$53,D128-(D128*S128),D128)</f>
        <v>0</v>
      </c>
      <c r="V128" s="488"/>
      <c r="W128" s="491"/>
      <c r="X128" s="28"/>
    </row>
    <row r="129" spans="1:24" ht="29.65" hidden="1" customHeight="1" thickBot="1">
      <c r="A129" s="458"/>
      <c r="B129" s="462"/>
      <c r="C129" s="451"/>
      <c r="D129" s="454"/>
      <c r="E129" s="256">
        <v>6</v>
      </c>
      <c r="F129" s="243"/>
      <c r="G129" s="163"/>
      <c r="H129" s="163"/>
      <c r="I129" s="211" t="str">
        <f t="shared" si="4"/>
        <v xml:space="preserve">  </v>
      </c>
      <c r="J129" s="287"/>
      <c r="K129" s="215" t="str">
        <f>+IFERROR(VLOOKUP($J129,'11 FORMULAS'!$B$51:$C$53,2,0),"")</f>
        <v/>
      </c>
      <c r="L129" s="215" t="str">
        <f>+IFERROR(VLOOKUP($J129,'11 FORMULAS'!$B$51:$D$53,3,0),"")</f>
        <v/>
      </c>
      <c r="M129" s="253" t="s">
        <v>320</v>
      </c>
      <c r="N129" s="254">
        <f>+IFERROR(VLOOKUP($M129,'11 FORMULAS'!$B$54:$C$55,2,0),"")</f>
        <v>0.25</v>
      </c>
      <c r="O129" s="255" t="s">
        <v>321</v>
      </c>
      <c r="P129" s="255" t="s">
        <v>282</v>
      </c>
      <c r="Q129" s="255" t="s">
        <v>277</v>
      </c>
      <c r="R129" s="255" t="s">
        <v>322</v>
      </c>
      <c r="S129" s="215" t="str">
        <f t="shared" si="3"/>
        <v/>
      </c>
      <c r="T129" s="215">
        <f>IF($L129='11 FORMULAS'!$D$51,$C$10-($C$10*$S$10),$C$10)</f>
        <v>0.6</v>
      </c>
      <c r="U129" s="215">
        <f>IF($L129='11 FORMULAS'!$D$53,D129-(D129*S129),D129)</f>
        <v>0</v>
      </c>
      <c r="V129" s="489"/>
      <c r="W129" s="492"/>
      <c r="X129" s="28"/>
    </row>
    <row r="130" spans="1:24" ht="29.65" hidden="1" customHeight="1" thickBot="1">
      <c r="A130" s="455" t="str">
        <f>'2 IDENTIFICACIÓN'!A30</f>
        <v>R21</v>
      </c>
      <c r="B130" s="459" t="str">
        <f>+'2 IDENTIFICACIÓN'!J30</f>
        <v xml:space="preserve"> por  debido a </v>
      </c>
      <c r="C130" s="449" t="str">
        <f>+'3 PROBABIL E IMPACTO INHERENTE'!E30</f>
        <v/>
      </c>
      <c r="D130" s="452" t="str">
        <f>+'3 PROBABIL E IMPACTO INHERENTE'!M30</f>
        <v/>
      </c>
      <c r="E130" s="257">
        <v>1</v>
      </c>
      <c r="F130" s="241"/>
      <c r="G130" s="35"/>
      <c r="H130" s="35"/>
      <c r="I130" s="211" t="str">
        <f t="shared" si="4"/>
        <v xml:space="preserve">  </v>
      </c>
      <c r="J130" s="287"/>
      <c r="K130" s="215" t="str">
        <f>+IFERROR(VLOOKUP($J130,'11 FORMULAS'!$B$51:$C$53,2,0),"")</f>
        <v/>
      </c>
      <c r="L130" s="215" t="str">
        <f>+IFERROR(VLOOKUP($J130,'11 FORMULAS'!$B$51:$D$53,3,0),"")</f>
        <v/>
      </c>
      <c r="M130" s="253" t="s">
        <v>320</v>
      </c>
      <c r="N130" s="254">
        <f>+IFERROR(VLOOKUP($M130,'11 FORMULAS'!$B$54:$C$55,2,0),"")</f>
        <v>0.25</v>
      </c>
      <c r="O130" s="255" t="s">
        <v>321</v>
      </c>
      <c r="P130" s="255" t="s">
        <v>282</v>
      </c>
      <c r="Q130" s="255" t="s">
        <v>277</v>
      </c>
      <c r="R130" s="255" t="s">
        <v>322</v>
      </c>
      <c r="S130" s="215" t="str">
        <f t="shared" si="3"/>
        <v/>
      </c>
      <c r="T130" s="215">
        <f>IF($L130='11 FORMULAS'!$D$51,$C$10-($C$10*$S$10),$C$10)</f>
        <v>0.6</v>
      </c>
      <c r="U130" s="215" t="str">
        <f>IF($L130='11 FORMULAS'!$D$53,D130-(D130*S130),D130)</f>
        <v/>
      </c>
      <c r="V130" s="487">
        <f>+IF(T135="","",T135)</f>
        <v>0.6</v>
      </c>
      <c r="W130" s="490">
        <f>+IF(U135="","",U135)</f>
        <v>0</v>
      </c>
      <c r="X130" s="28"/>
    </row>
    <row r="131" spans="1:24" ht="29.65" hidden="1" customHeight="1" thickBot="1">
      <c r="A131" s="456"/>
      <c r="B131" s="460"/>
      <c r="C131" s="463"/>
      <c r="D131" s="464"/>
      <c r="E131" s="252">
        <v>2</v>
      </c>
      <c r="F131" s="239"/>
      <c r="G131" s="236"/>
      <c r="H131" s="236"/>
      <c r="I131" s="211" t="str">
        <f t="shared" si="4"/>
        <v xml:space="preserve">  </v>
      </c>
      <c r="J131" s="287"/>
      <c r="K131" s="215" t="str">
        <f>+IFERROR(VLOOKUP($J131,'11 FORMULAS'!$B$51:$C$53,2,0),"")</f>
        <v/>
      </c>
      <c r="L131" s="215" t="str">
        <f>+IFERROR(VLOOKUP($J131,'11 FORMULAS'!$B$51:$D$53,3,0),"")</f>
        <v/>
      </c>
      <c r="M131" s="253" t="s">
        <v>320</v>
      </c>
      <c r="N131" s="254">
        <f>+IFERROR(VLOOKUP($M131,'11 FORMULAS'!$B$54:$C$55,2,0),"")</f>
        <v>0.25</v>
      </c>
      <c r="O131" s="255" t="s">
        <v>321</v>
      </c>
      <c r="P131" s="255" t="s">
        <v>282</v>
      </c>
      <c r="Q131" s="255" t="s">
        <v>277</v>
      </c>
      <c r="R131" s="255" t="s">
        <v>322</v>
      </c>
      <c r="S131" s="215" t="str">
        <f t="shared" si="3"/>
        <v/>
      </c>
      <c r="T131" s="215">
        <f>IF($L131='11 FORMULAS'!$D$51,$C$10-($C$10*$S$10),$C$10)</f>
        <v>0.6</v>
      </c>
      <c r="U131" s="215">
        <f>IF($L131='11 FORMULAS'!$D$53,D131-(D131*S131),D131)</f>
        <v>0</v>
      </c>
      <c r="V131" s="495"/>
      <c r="W131" s="496"/>
      <c r="X131" s="28"/>
    </row>
    <row r="132" spans="1:24" ht="29.65" hidden="1" customHeight="1" thickBot="1">
      <c r="A132" s="456"/>
      <c r="B132" s="460"/>
      <c r="C132" s="463"/>
      <c r="D132" s="464"/>
      <c r="E132" s="252">
        <v>3</v>
      </c>
      <c r="F132" s="239"/>
      <c r="G132" s="236"/>
      <c r="H132" s="236"/>
      <c r="I132" s="211" t="str">
        <f t="shared" si="4"/>
        <v xml:space="preserve">  </v>
      </c>
      <c r="J132" s="287"/>
      <c r="K132" s="215" t="str">
        <f>+IFERROR(VLOOKUP($J132,'11 FORMULAS'!$B$51:$C$53,2,0),"")</f>
        <v/>
      </c>
      <c r="L132" s="215" t="str">
        <f>+IFERROR(VLOOKUP($J132,'11 FORMULAS'!$B$51:$D$53,3,0),"")</f>
        <v/>
      </c>
      <c r="M132" s="253" t="s">
        <v>320</v>
      </c>
      <c r="N132" s="254">
        <f>+IFERROR(VLOOKUP($M132,'11 FORMULAS'!$B$54:$C$55,2,0),"")</f>
        <v>0.25</v>
      </c>
      <c r="O132" s="255" t="s">
        <v>321</v>
      </c>
      <c r="P132" s="255" t="s">
        <v>282</v>
      </c>
      <c r="Q132" s="255" t="s">
        <v>277</v>
      </c>
      <c r="R132" s="255" t="s">
        <v>322</v>
      </c>
      <c r="S132" s="215" t="str">
        <f t="shared" si="3"/>
        <v/>
      </c>
      <c r="T132" s="215">
        <f>IF($L132='11 FORMULAS'!$D$51,$C$10-($C$10*$S$10),$C$10)</f>
        <v>0.6</v>
      </c>
      <c r="U132" s="215">
        <f>IF($L132='11 FORMULAS'!$D$53,D132-(D132*S132),D132)</f>
        <v>0</v>
      </c>
      <c r="V132" s="495"/>
      <c r="W132" s="496"/>
      <c r="X132" s="28"/>
    </row>
    <row r="133" spans="1:24" ht="29.65" hidden="1" customHeight="1" thickBot="1">
      <c r="A133" s="457"/>
      <c r="B133" s="461"/>
      <c r="C133" s="450"/>
      <c r="D133" s="453"/>
      <c r="E133" s="252">
        <v>4</v>
      </c>
      <c r="F133" s="240"/>
      <c r="G133" s="162"/>
      <c r="H133" s="162"/>
      <c r="I133" s="211" t="str">
        <f t="shared" si="4"/>
        <v xml:space="preserve">  </v>
      </c>
      <c r="J133" s="287"/>
      <c r="K133" s="215" t="str">
        <f>+IFERROR(VLOOKUP($J133,'11 FORMULAS'!$B$51:$C$53,2,0),"")</f>
        <v/>
      </c>
      <c r="L133" s="215" t="str">
        <f>+IFERROR(VLOOKUP($J133,'11 FORMULAS'!$B$51:$D$53,3,0),"")</f>
        <v/>
      </c>
      <c r="M133" s="253" t="s">
        <v>320</v>
      </c>
      <c r="N133" s="254">
        <f>+IFERROR(VLOOKUP($M133,'11 FORMULAS'!$B$54:$C$55,2,0),"")</f>
        <v>0.25</v>
      </c>
      <c r="O133" s="255" t="s">
        <v>321</v>
      </c>
      <c r="P133" s="255" t="s">
        <v>282</v>
      </c>
      <c r="Q133" s="255" t="s">
        <v>277</v>
      </c>
      <c r="R133" s="255" t="s">
        <v>322</v>
      </c>
      <c r="S133" s="215" t="str">
        <f t="shared" si="3"/>
        <v/>
      </c>
      <c r="T133" s="215">
        <f>IF($L133='11 FORMULAS'!$D$51,$C$10-($C$10*$S$10),$C$10)</f>
        <v>0.6</v>
      </c>
      <c r="U133" s="215">
        <f>IF($L133='11 FORMULAS'!$D$53,D133-(D133*S133),D133)</f>
        <v>0</v>
      </c>
      <c r="V133" s="488"/>
      <c r="W133" s="491"/>
      <c r="X133" s="28"/>
    </row>
    <row r="134" spans="1:24" ht="29.65" hidden="1" customHeight="1" thickBot="1">
      <c r="A134" s="457"/>
      <c r="B134" s="461"/>
      <c r="C134" s="450"/>
      <c r="D134" s="453"/>
      <c r="E134" s="252">
        <v>5</v>
      </c>
      <c r="F134" s="240"/>
      <c r="G134" s="162"/>
      <c r="H134" s="162"/>
      <c r="I134" s="211" t="str">
        <f t="shared" si="4"/>
        <v xml:space="preserve">  </v>
      </c>
      <c r="J134" s="287"/>
      <c r="K134" s="215" t="str">
        <f>+IFERROR(VLOOKUP($J134,'11 FORMULAS'!$B$51:$C$53,2,0),"")</f>
        <v/>
      </c>
      <c r="L134" s="215" t="str">
        <f>+IFERROR(VLOOKUP($J134,'11 FORMULAS'!$B$51:$D$53,3,0),"")</f>
        <v/>
      </c>
      <c r="M134" s="253" t="s">
        <v>320</v>
      </c>
      <c r="N134" s="254">
        <f>+IFERROR(VLOOKUP($M134,'11 FORMULAS'!$B$54:$C$55,2,0),"")</f>
        <v>0.25</v>
      </c>
      <c r="O134" s="255" t="s">
        <v>321</v>
      </c>
      <c r="P134" s="255" t="s">
        <v>282</v>
      </c>
      <c r="Q134" s="255" t="s">
        <v>277</v>
      </c>
      <c r="R134" s="255" t="s">
        <v>322</v>
      </c>
      <c r="S134" s="215" t="str">
        <f t="shared" si="3"/>
        <v/>
      </c>
      <c r="T134" s="215">
        <f>IF($L134='11 FORMULAS'!$D$51,$C$10-($C$10*$S$10),$C$10)</f>
        <v>0.6</v>
      </c>
      <c r="U134" s="215">
        <f>IF($L134='11 FORMULAS'!$D$53,D134-(D134*S134),D134)</f>
        <v>0</v>
      </c>
      <c r="V134" s="488"/>
      <c r="W134" s="491"/>
      <c r="X134" s="28"/>
    </row>
    <row r="135" spans="1:24" ht="29.65" hidden="1" customHeight="1" thickBot="1">
      <c r="A135" s="458"/>
      <c r="B135" s="462"/>
      <c r="C135" s="451"/>
      <c r="D135" s="454"/>
      <c r="E135" s="256">
        <v>6</v>
      </c>
      <c r="F135" s="243"/>
      <c r="G135" s="163"/>
      <c r="H135" s="163"/>
      <c r="I135" s="211" t="str">
        <f t="shared" si="4"/>
        <v xml:space="preserve">  </v>
      </c>
      <c r="J135" s="287"/>
      <c r="K135" s="215" t="str">
        <f>+IFERROR(VLOOKUP($J135,'11 FORMULAS'!$B$51:$C$53,2,0),"")</f>
        <v/>
      </c>
      <c r="L135" s="215" t="str">
        <f>+IFERROR(VLOOKUP($J135,'11 FORMULAS'!$B$51:$D$53,3,0),"")</f>
        <v/>
      </c>
      <c r="M135" s="253" t="s">
        <v>320</v>
      </c>
      <c r="N135" s="254">
        <f>+IFERROR(VLOOKUP($M135,'11 FORMULAS'!$B$54:$C$55,2,0),"")</f>
        <v>0.25</v>
      </c>
      <c r="O135" s="255" t="s">
        <v>321</v>
      </c>
      <c r="P135" s="255" t="s">
        <v>282</v>
      </c>
      <c r="Q135" s="255" t="s">
        <v>277</v>
      </c>
      <c r="R135" s="255" t="s">
        <v>322</v>
      </c>
      <c r="S135" s="215" t="str">
        <f t="shared" si="3"/>
        <v/>
      </c>
      <c r="T135" s="215">
        <f>IF($L135='11 FORMULAS'!$D$51,$C$10-($C$10*$S$10),$C$10)</f>
        <v>0.6</v>
      </c>
      <c r="U135" s="215">
        <f>IF($L135='11 FORMULAS'!$D$53,D135-(D135*S135),D135)</f>
        <v>0</v>
      </c>
      <c r="V135" s="489"/>
      <c r="W135" s="492"/>
      <c r="X135" s="28"/>
    </row>
    <row r="136" spans="1:24" ht="29.65" hidden="1" customHeight="1" thickBot="1">
      <c r="A136" s="455" t="str">
        <f>'2 IDENTIFICACIÓN'!A31</f>
        <v>R22</v>
      </c>
      <c r="B136" s="459" t="str">
        <f>+'2 IDENTIFICACIÓN'!J31</f>
        <v xml:space="preserve"> por  debido a </v>
      </c>
      <c r="C136" s="449" t="str">
        <f>+'3 PROBABIL E IMPACTO INHERENTE'!E31</f>
        <v/>
      </c>
      <c r="D136" s="452" t="str">
        <f>+'3 PROBABIL E IMPACTO INHERENTE'!M31</f>
        <v/>
      </c>
      <c r="E136" s="257">
        <v>1</v>
      </c>
      <c r="F136" s="241"/>
      <c r="G136" s="35"/>
      <c r="H136" s="35"/>
      <c r="I136" s="211" t="str">
        <f t="shared" si="4"/>
        <v xml:space="preserve">  </v>
      </c>
      <c r="J136" s="287"/>
      <c r="K136" s="215" t="str">
        <f>+IFERROR(VLOOKUP($J136,'11 FORMULAS'!$B$51:$C$53,2,0),"")</f>
        <v/>
      </c>
      <c r="L136" s="215" t="str">
        <f>+IFERROR(VLOOKUP($J136,'11 FORMULAS'!$B$51:$D$53,3,0),"")</f>
        <v/>
      </c>
      <c r="M136" s="253" t="s">
        <v>320</v>
      </c>
      <c r="N136" s="254">
        <f>+IFERROR(VLOOKUP($M136,'11 FORMULAS'!$B$54:$C$55,2,0),"")</f>
        <v>0.25</v>
      </c>
      <c r="O136" s="255" t="s">
        <v>321</v>
      </c>
      <c r="P136" s="255" t="s">
        <v>282</v>
      </c>
      <c r="Q136" s="255" t="s">
        <v>277</v>
      </c>
      <c r="R136" s="255" t="s">
        <v>322</v>
      </c>
      <c r="S136" s="215" t="str">
        <f t="shared" si="3"/>
        <v/>
      </c>
      <c r="T136" s="215">
        <f>IF($L136='11 FORMULAS'!$D$51,$C$10-($C$10*$S$10),$C$10)</f>
        <v>0.6</v>
      </c>
      <c r="U136" s="215" t="str">
        <f>IF($L136='11 FORMULAS'!$D$53,D136-(D136*S136),D136)</f>
        <v/>
      </c>
      <c r="V136" s="487">
        <f>+IF(T141="","",T141)</f>
        <v>0.6</v>
      </c>
      <c r="W136" s="490">
        <f>+IF(U141="","",U141)</f>
        <v>0</v>
      </c>
      <c r="X136" s="28"/>
    </row>
    <row r="137" spans="1:24" ht="29.65" hidden="1" customHeight="1" thickBot="1">
      <c r="A137" s="456"/>
      <c r="B137" s="460"/>
      <c r="C137" s="463"/>
      <c r="D137" s="464"/>
      <c r="E137" s="252">
        <v>2</v>
      </c>
      <c r="F137" s="239"/>
      <c r="G137" s="236"/>
      <c r="H137" s="236"/>
      <c r="I137" s="211" t="str">
        <f t="shared" si="4"/>
        <v xml:space="preserve">  </v>
      </c>
      <c r="J137" s="287"/>
      <c r="K137" s="215" t="str">
        <f>+IFERROR(VLOOKUP($J137,'11 FORMULAS'!$B$51:$C$53,2,0),"")</f>
        <v/>
      </c>
      <c r="L137" s="215" t="str">
        <f>+IFERROR(VLOOKUP($J137,'11 FORMULAS'!$B$51:$D$53,3,0),"")</f>
        <v/>
      </c>
      <c r="M137" s="253" t="s">
        <v>320</v>
      </c>
      <c r="N137" s="254">
        <f>+IFERROR(VLOOKUP($M137,'11 FORMULAS'!$B$54:$C$55,2,0),"")</f>
        <v>0.25</v>
      </c>
      <c r="O137" s="255" t="s">
        <v>321</v>
      </c>
      <c r="P137" s="255" t="s">
        <v>282</v>
      </c>
      <c r="Q137" s="255" t="s">
        <v>277</v>
      </c>
      <c r="R137" s="255" t="s">
        <v>322</v>
      </c>
      <c r="S137" s="215" t="str">
        <f t="shared" si="3"/>
        <v/>
      </c>
      <c r="T137" s="215">
        <f>IF($L137='11 FORMULAS'!$D$51,$C$10-($C$10*$S$10),$C$10)</f>
        <v>0.6</v>
      </c>
      <c r="U137" s="215">
        <f>IF($L137='11 FORMULAS'!$D$53,D137-(D137*S137),D137)</f>
        <v>0</v>
      </c>
      <c r="V137" s="495"/>
      <c r="W137" s="496"/>
      <c r="X137" s="28"/>
    </row>
    <row r="138" spans="1:24" ht="29.65" hidden="1" customHeight="1" thickBot="1">
      <c r="A138" s="456"/>
      <c r="B138" s="460"/>
      <c r="C138" s="463"/>
      <c r="D138" s="464"/>
      <c r="E138" s="252">
        <v>3</v>
      </c>
      <c r="F138" s="239"/>
      <c r="G138" s="236"/>
      <c r="H138" s="236"/>
      <c r="I138" s="211" t="str">
        <f t="shared" si="4"/>
        <v xml:space="preserve">  </v>
      </c>
      <c r="J138" s="287"/>
      <c r="K138" s="215" t="str">
        <f>+IFERROR(VLOOKUP($J138,'11 FORMULAS'!$B$51:$C$53,2,0),"")</f>
        <v/>
      </c>
      <c r="L138" s="215" t="str">
        <f>+IFERROR(VLOOKUP($J138,'11 FORMULAS'!$B$51:$D$53,3,0),"")</f>
        <v/>
      </c>
      <c r="M138" s="253" t="s">
        <v>320</v>
      </c>
      <c r="N138" s="254">
        <f>+IFERROR(VLOOKUP($M138,'11 FORMULAS'!$B$54:$C$55,2,0),"")</f>
        <v>0.25</v>
      </c>
      <c r="O138" s="255" t="s">
        <v>321</v>
      </c>
      <c r="P138" s="255" t="s">
        <v>282</v>
      </c>
      <c r="Q138" s="255" t="s">
        <v>277</v>
      </c>
      <c r="R138" s="255" t="s">
        <v>322</v>
      </c>
      <c r="S138" s="215" t="str">
        <f t="shared" si="3"/>
        <v/>
      </c>
      <c r="T138" s="215">
        <f>IF($L138='11 FORMULAS'!$D$51,$C$10-($C$10*$S$10),$C$10)</f>
        <v>0.6</v>
      </c>
      <c r="U138" s="215">
        <f>IF($L138='11 FORMULAS'!$D$53,D138-(D138*S138),D138)</f>
        <v>0</v>
      </c>
      <c r="V138" s="495"/>
      <c r="W138" s="496"/>
      <c r="X138" s="28"/>
    </row>
    <row r="139" spans="1:24" ht="29.65" hidden="1" customHeight="1" thickBot="1">
      <c r="A139" s="457"/>
      <c r="B139" s="461"/>
      <c r="C139" s="450"/>
      <c r="D139" s="453"/>
      <c r="E139" s="252">
        <v>4</v>
      </c>
      <c r="F139" s="240"/>
      <c r="G139" s="162"/>
      <c r="H139" s="162"/>
      <c r="I139" s="211" t="str">
        <f t="shared" si="4"/>
        <v xml:space="preserve">  </v>
      </c>
      <c r="J139" s="287"/>
      <c r="K139" s="215" t="str">
        <f>+IFERROR(VLOOKUP($J139,'11 FORMULAS'!$B$51:$C$53,2,0),"")</f>
        <v/>
      </c>
      <c r="L139" s="215" t="str">
        <f>+IFERROR(VLOOKUP($J139,'11 FORMULAS'!$B$51:$D$53,3,0),"")</f>
        <v/>
      </c>
      <c r="M139" s="253" t="s">
        <v>320</v>
      </c>
      <c r="N139" s="254">
        <f>+IFERROR(VLOOKUP($M139,'11 FORMULAS'!$B$54:$C$55,2,0),"")</f>
        <v>0.25</v>
      </c>
      <c r="O139" s="255" t="s">
        <v>321</v>
      </c>
      <c r="P139" s="255" t="s">
        <v>282</v>
      </c>
      <c r="Q139" s="255" t="s">
        <v>277</v>
      </c>
      <c r="R139" s="255" t="s">
        <v>322</v>
      </c>
      <c r="S139" s="215" t="str">
        <f t="shared" si="3"/>
        <v/>
      </c>
      <c r="T139" s="215">
        <f>IF($L139='11 FORMULAS'!$D$51,$C$10-($C$10*$S$10),$C$10)</f>
        <v>0.6</v>
      </c>
      <c r="U139" s="215">
        <f>IF($L139='11 FORMULAS'!$D$53,D139-(D139*S139),D139)</f>
        <v>0</v>
      </c>
      <c r="V139" s="488"/>
      <c r="W139" s="491"/>
      <c r="X139" s="28"/>
    </row>
    <row r="140" spans="1:24" ht="29.65" hidden="1" customHeight="1" thickBot="1">
      <c r="A140" s="457"/>
      <c r="B140" s="461"/>
      <c r="C140" s="450"/>
      <c r="D140" s="453"/>
      <c r="E140" s="252">
        <v>5</v>
      </c>
      <c r="F140" s="240"/>
      <c r="G140" s="162"/>
      <c r="H140" s="162"/>
      <c r="I140" s="211" t="str">
        <f t="shared" si="4"/>
        <v xml:space="preserve">  </v>
      </c>
      <c r="J140" s="287"/>
      <c r="K140" s="215" t="str">
        <f>+IFERROR(VLOOKUP($J140,'11 FORMULAS'!$B$51:$C$53,2,0),"")</f>
        <v/>
      </c>
      <c r="L140" s="215" t="str">
        <f>+IFERROR(VLOOKUP($J140,'11 FORMULAS'!$B$51:$D$53,3,0),"")</f>
        <v/>
      </c>
      <c r="M140" s="253" t="s">
        <v>320</v>
      </c>
      <c r="N140" s="254">
        <f>+IFERROR(VLOOKUP($M140,'11 FORMULAS'!$B$54:$C$55,2,0),"")</f>
        <v>0.25</v>
      </c>
      <c r="O140" s="255" t="s">
        <v>321</v>
      </c>
      <c r="P140" s="255" t="s">
        <v>282</v>
      </c>
      <c r="Q140" s="255" t="s">
        <v>277</v>
      </c>
      <c r="R140" s="255" t="s">
        <v>322</v>
      </c>
      <c r="S140" s="215" t="str">
        <f t="shared" si="3"/>
        <v/>
      </c>
      <c r="T140" s="215">
        <f>IF($L140='11 FORMULAS'!$D$51,$C$10-($C$10*$S$10),$C$10)</f>
        <v>0.6</v>
      </c>
      <c r="U140" s="215">
        <f>IF($L140='11 FORMULAS'!$D$53,D140-(D140*S140),D140)</f>
        <v>0</v>
      </c>
      <c r="V140" s="488"/>
      <c r="W140" s="491"/>
      <c r="X140" s="28"/>
    </row>
    <row r="141" spans="1:24" ht="29.65" hidden="1" customHeight="1" thickBot="1">
      <c r="A141" s="458"/>
      <c r="B141" s="462"/>
      <c r="C141" s="451"/>
      <c r="D141" s="454"/>
      <c r="E141" s="256">
        <v>6</v>
      </c>
      <c r="F141" s="243"/>
      <c r="G141" s="163"/>
      <c r="H141" s="163"/>
      <c r="I141" s="211" t="str">
        <f t="shared" si="4"/>
        <v xml:space="preserve">  </v>
      </c>
      <c r="J141" s="287"/>
      <c r="K141" s="215" t="str">
        <f>+IFERROR(VLOOKUP($J141,'11 FORMULAS'!$B$51:$C$53,2,0),"")</f>
        <v/>
      </c>
      <c r="L141" s="215" t="str">
        <f>+IFERROR(VLOOKUP($J141,'11 FORMULAS'!$B$51:$D$53,3,0),"")</f>
        <v/>
      </c>
      <c r="M141" s="253" t="s">
        <v>320</v>
      </c>
      <c r="N141" s="254">
        <f>+IFERROR(VLOOKUP($M141,'11 FORMULAS'!$B$54:$C$55,2,0),"")</f>
        <v>0.25</v>
      </c>
      <c r="O141" s="255" t="s">
        <v>321</v>
      </c>
      <c r="P141" s="255" t="s">
        <v>282</v>
      </c>
      <c r="Q141" s="255" t="s">
        <v>277</v>
      </c>
      <c r="R141" s="255" t="s">
        <v>322</v>
      </c>
      <c r="S141" s="215" t="str">
        <f t="shared" si="3"/>
        <v/>
      </c>
      <c r="T141" s="215">
        <f>IF($L141='11 FORMULAS'!$D$51,$C$10-($C$10*$S$10),$C$10)</f>
        <v>0.6</v>
      </c>
      <c r="U141" s="215">
        <f>IF($L141='11 FORMULAS'!$D$53,D141-(D141*S141),D141)</f>
        <v>0</v>
      </c>
      <c r="V141" s="489"/>
      <c r="W141" s="492"/>
      <c r="X141" s="28"/>
    </row>
    <row r="142" spans="1:24" ht="29.65" hidden="1" customHeight="1" thickBot="1">
      <c r="A142" s="455" t="str">
        <f>'2 IDENTIFICACIÓN'!A32</f>
        <v>R23</v>
      </c>
      <c r="B142" s="459" t="str">
        <f>+'2 IDENTIFICACIÓN'!J32</f>
        <v xml:space="preserve"> por  debido a </v>
      </c>
      <c r="C142" s="449" t="str">
        <f>+'3 PROBABIL E IMPACTO INHERENTE'!E32</f>
        <v/>
      </c>
      <c r="D142" s="452" t="str">
        <f>+'3 PROBABIL E IMPACTO INHERENTE'!M32</f>
        <v/>
      </c>
      <c r="E142" s="257">
        <v>1</v>
      </c>
      <c r="F142" s="241"/>
      <c r="G142" s="35"/>
      <c r="H142" s="35"/>
      <c r="I142" s="211" t="str">
        <f t="shared" si="4"/>
        <v xml:space="preserve">  </v>
      </c>
      <c r="J142" s="287"/>
      <c r="K142" s="215" t="str">
        <f>+IFERROR(VLOOKUP($J142,'11 FORMULAS'!$B$51:$C$53,2,0),"")</f>
        <v/>
      </c>
      <c r="L142" s="215" t="str">
        <f>+IFERROR(VLOOKUP($J142,'11 FORMULAS'!$B$51:$D$53,3,0),"")</f>
        <v/>
      </c>
      <c r="M142" s="253" t="s">
        <v>320</v>
      </c>
      <c r="N142" s="254">
        <f>+IFERROR(VLOOKUP($M142,'11 FORMULAS'!$B$54:$C$55,2,0),"")</f>
        <v>0.25</v>
      </c>
      <c r="O142" s="255" t="s">
        <v>321</v>
      </c>
      <c r="P142" s="255" t="s">
        <v>282</v>
      </c>
      <c r="Q142" s="255" t="s">
        <v>277</v>
      </c>
      <c r="R142" s="255" t="s">
        <v>322</v>
      </c>
      <c r="S142" s="215" t="str">
        <f t="shared" si="3"/>
        <v/>
      </c>
      <c r="T142" s="215">
        <f>IF($L142='11 FORMULAS'!$D$51,$C$10-($C$10*$S$10),$C$10)</f>
        <v>0.6</v>
      </c>
      <c r="U142" s="215" t="str">
        <f>IF($L142='11 FORMULAS'!$D$53,D142-(D142*S142),D142)</f>
        <v/>
      </c>
      <c r="V142" s="487">
        <f>+IF(T147="","",T147)</f>
        <v>0.6</v>
      </c>
      <c r="W142" s="490">
        <f>+IF(U147="","",U147)</f>
        <v>0</v>
      </c>
      <c r="X142" s="28"/>
    </row>
    <row r="143" spans="1:24" ht="29.65" hidden="1" customHeight="1" thickBot="1">
      <c r="A143" s="456"/>
      <c r="B143" s="460"/>
      <c r="C143" s="463"/>
      <c r="D143" s="464"/>
      <c r="E143" s="252">
        <v>2</v>
      </c>
      <c r="F143" s="239"/>
      <c r="G143" s="236"/>
      <c r="H143" s="236"/>
      <c r="I143" s="211" t="str">
        <f t="shared" si="4"/>
        <v xml:space="preserve">  </v>
      </c>
      <c r="J143" s="287"/>
      <c r="K143" s="215" t="str">
        <f>+IFERROR(VLOOKUP($J143,'11 FORMULAS'!$B$51:$C$53,2,0),"")</f>
        <v/>
      </c>
      <c r="L143" s="215" t="str">
        <f>+IFERROR(VLOOKUP($J143,'11 FORMULAS'!$B$51:$D$53,3,0),"")</f>
        <v/>
      </c>
      <c r="M143" s="253" t="s">
        <v>320</v>
      </c>
      <c r="N143" s="254">
        <f>+IFERROR(VLOOKUP($M143,'11 FORMULAS'!$B$54:$C$55,2,0),"")</f>
        <v>0.25</v>
      </c>
      <c r="O143" s="255" t="s">
        <v>321</v>
      </c>
      <c r="P143" s="255" t="s">
        <v>282</v>
      </c>
      <c r="Q143" s="255" t="s">
        <v>277</v>
      </c>
      <c r="R143" s="255" t="s">
        <v>322</v>
      </c>
      <c r="S143" s="215" t="str">
        <f t="shared" si="3"/>
        <v/>
      </c>
      <c r="T143" s="215">
        <f>IF($L143='11 FORMULAS'!$D$51,$C$10-($C$10*$S$10),$C$10)</f>
        <v>0.6</v>
      </c>
      <c r="U143" s="215">
        <f>IF($L143='11 FORMULAS'!$D$53,D143-(D143*S143),D143)</f>
        <v>0</v>
      </c>
      <c r="V143" s="495"/>
      <c r="W143" s="496"/>
      <c r="X143" s="28"/>
    </row>
    <row r="144" spans="1:24" ht="29.65" hidden="1" customHeight="1" thickBot="1">
      <c r="A144" s="456"/>
      <c r="B144" s="460"/>
      <c r="C144" s="463"/>
      <c r="D144" s="464"/>
      <c r="E144" s="252">
        <v>3</v>
      </c>
      <c r="F144" s="239"/>
      <c r="G144" s="236"/>
      <c r="H144" s="236"/>
      <c r="I144" s="211" t="str">
        <f t="shared" si="4"/>
        <v xml:space="preserve">  </v>
      </c>
      <c r="J144" s="287"/>
      <c r="K144" s="215" t="str">
        <f>+IFERROR(VLOOKUP($J144,'11 FORMULAS'!$B$51:$C$53,2,0),"")</f>
        <v/>
      </c>
      <c r="L144" s="215" t="str">
        <f>+IFERROR(VLOOKUP($J144,'11 FORMULAS'!$B$51:$D$53,3,0),"")</f>
        <v/>
      </c>
      <c r="M144" s="253" t="s">
        <v>320</v>
      </c>
      <c r="N144" s="254">
        <f>+IFERROR(VLOOKUP($M144,'11 FORMULAS'!$B$54:$C$55,2,0),"")</f>
        <v>0.25</v>
      </c>
      <c r="O144" s="255" t="s">
        <v>321</v>
      </c>
      <c r="P144" s="255" t="s">
        <v>282</v>
      </c>
      <c r="Q144" s="255" t="s">
        <v>277</v>
      </c>
      <c r="R144" s="255" t="s">
        <v>322</v>
      </c>
      <c r="S144" s="215" t="str">
        <f t="shared" si="3"/>
        <v/>
      </c>
      <c r="T144" s="215">
        <f>IF($L144='11 FORMULAS'!$D$51,$C$10-($C$10*$S$10),$C$10)</f>
        <v>0.6</v>
      </c>
      <c r="U144" s="215">
        <f>IF($L144='11 FORMULAS'!$D$53,D144-(D144*S144),D144)</f>
        <v>0</v>
      </c>
      <c r="V144" s="495"/>
      <c r="W144" s="496"/>
      <c r="X144" s="28"/>
    </row>
    <row r="145" spans="1:24" ht="29.65" hidden="1" customHeight="1" thickBot="1">
      <c r="A145" s="457"/>
      <c r="B145" s="461"/>
      <c r="C145" s="450"/>
      <c r="D145" s="453"/>
      <c r="E145" s="252">
        <v>4</v>
      </c>
      <c r="F145" s="240"/>
      <c r="G145" s="162"/>
      <c r="H145" s="162"/>
      <c r="I145" s="211" t="str">
        <f t="shared" si="4"/>
        <v xml:space="preserve">  </v>
      </c>
      <c r="J145" s="287"/>
      <c r="K145" s="215" t="str">
        <f>+IFERROR(VLOOKUP($J145,'11 FORMULAS'!$B$51:$C$53,2,0),"")</f>
        <v/>
      </c>
      <c r="L145" s="215" t="str">
        <f>+IFERROR(VLOOKUP($J145,'11 FORMULAS'!$B$51:$D$53,3,0),"")</f>
        <v/>
      </c>
      <c r="M145" s="253" t="s">
        <v>320</v>
      </c>
      <c r="N145" s="254">
        <f>+IFERROR(VLOOKUP($M145,'11 FORMULAS'!$B$54:$C$55,2,0),"")</f>
        <v>0.25</v>
      </c>
      <c r="O145" s="255" t="s">
        <v>321</v>
      </c>
      <c r="P145" s="255" t="s">
        <v>282</v>
      </c>
      <c r="Q145" s="255" t="s">
        <v>277</v>
      </c>
      <c r="R145" s="255" t="s">
        <v>322</v>
      </c>
      <c r="S145" s="215" t="str">
        <f t="shared" si="3"/>
        <v/>
      </c>
      <c r="T145" s="215">
        <f>IF($L145='11 FORMULAS'!$D$51,$C$10-($C$10*$S$10),$C$10)</f>
        <v>0.6</v>
      </c>
      <c r="U145" s="215">
        <f>IF($L145='11 FORMULAS'!$D$53,D145-(D145*S145),D145)</f>
        <v>0</v>
      </c>
      <c r="V145" s="488"/>
      <c r="W145" s="491"/>
      <c r="X145" s="28"/>
    </row>
    <row r="146" spans="1:24" ht="29.65" hidden="1" customHeight="1" thickBot="1">
      <c r="A146" s="457"/>
      <c r="B146" s="461"/>
      <c r="C146" s="450"/>
      <c r="D146" s="453"/>
      <c r="E146" s="252">
        <v>5</v>
      </c>
      <c r="F146" s="240"/>
      <c r="G146" s="162"/>
      <c r="H146" s="162"/>
      <c r="I146" s="211" t="str">
        <f t="shared" si="4"/>
        <v xml:space="preserve">  </v>
      </c>
      <c r="J146" s="287"/>
      <c r="K146" s="215" t="str">
        <f>+IFERROR(VLOOKUP($J146,'11 FORMULAS'!$B$51:$C$53,2,0),"")</f>
        <v/>
      </c>
      <c r="L146" s="215" t="str">
        <f>+IFERROR(VLOOKUP($J146,'11 FORMULAS'!$B$51:$D$53,3,0),"")</f>
        <v/>
      </c>
      <c r="M146" s="253" t="s">
        <v>320</v>
      </c>
      <c r="N146" s="254">
        <f>+IFERROR(VLOOKUP($M146,'11 FORMULAS'!$B$54:$C$55,2,0),"")</f>
        <v>0.25</v>
      </c>
      <c r="O146" s="255" t="s">
        <v>321</v>
      </c>
      <c r="P146" s="255" t="s">
        <v>282</v>
      </c>
      <c r="Q146" s="255" t="s">
        <v>277</v>
      </c>
      <c r="R146" s="255" t="s">
        <v>322</v>
      </c>
      <c r="S146" s="215" t="str">
        <f t="shared" si="3"/>
        <v/>
      </c>
      <c r="T146" s="215">
        <f>IF($L146='11 FORMULAS'!$D$51,$C$10-($C$10*$S$10),$C$10)</f>
        <v>0.6</v>
      </c>
      <c r="U146" s="215">
        <f>IF($L146='11 FORMULAS'!$D$53,D146-(D146*S146),D146)</f>
        <v>0</v>
      </c>
      <c r="V146" s="488"/>
      <c r="W146" s="491"/>
      <c r="X146" s="28"/>
    </row>
    <row r="147" spans="1:24" ht="29.65" hidden="1" customHeight="1" thickBot="1">
      <c r="A147" s="458"/>
      <c r="B147" s="462"/>
      <c r="C147" s="451"/>
      <c r="D147" s="454"/>
      <c r="E147" s="256">
        <v>6</v>
      </c>
      <c r="F147" s="243"/>
      <c r="G147" s="163"/>
      <c r="H147" s="163"/>
      <c r="I147" s="211" t="str">
        <f t="shared" si="4"/>
        <v xml:space="preserve">  </v>
      </c>
      <c r="J147" s="287"/>
      <c r="K147" s="215" t="str">
        <f>+IFERROR(VLOOKUP($J147,'11 FORMULAS'!$B$51:$C$53,2,0),"")</f>
        <v/>
      </c>
      <c r="L147" s="215" t="str">
        <f>+IFERROR(VLOOKUP($J147,'11 FORMULAS'!$B$51:$D$53,3,0),"")</f>
        <v/>
      </c>
      <c r="M147" s="253" t="s">
        <v>320</v>
      </c>
      <c r="N147" s="254">
        <f>+IFERROR(VLOOKUP($M147,'11 FORMULAS'!$B$54:$C$55,2,0),"")</f>
        <v>0.25</v>
      </c>
      <c r="O147" s="255" t="s">
        <v>321</v>
      </c>
      <c r="P147" s="255" t="s">
        <v>282</v>
      </c>
      <c r="Q147" s="255" t="s">
        <v>277</v>
      </c>
      <c r="R147" s="255" t="s">
        <v>322</v>
      </c>
      <c r="S147" s="215" t="str">
        <f t="shared" si="3"/>
        <v/>
      </c>
      <c r="T147" s="215">
        <f>IF($L147='11 FORMULAS'!$D$51,$C$10-($C$10*$S$10),$C$10)</f>
        <v>0.6</v>
      </c>
      <c r="U147" s="215">
        <f>IF($L147='11 FORMULAS'!$D$53,D147-(D147*S147),D147)</f>
        <v>0</v>
      </c>
      <c r="V147" s="489"/>
      <c r="W147" s="492"/>
      <c r="X147" s="28"/>
    </row>
    <row r="148" spans="1:24" ht="29.65" hidden="1" customHeight="1" thickBot="1">
      <c r="A148" s="455" t="str">
        <f>'2 IDENTIFICACIÓN'!A33</f>
        <v>R24</v>
      </c>
      <c r="B148" s="459" t="str">
        <f>+'2 IDENTIFICACIÓN'!J33</f>
        <v xml:space="preserve"> por  debido a </v>
      </c>
      <c r="C148" s="449" t="str">
        <f>+'3 PROBABIL E IMPACTO INHERENTE'!E33</f>
        <v/>
      </c>
      <c r="D148" s="452" t="str">
        <f>+'3 PROBABIL E IMPACTO INHERENTE'!M33</f>
        <v/>
      </c>
      <c r="E148" s="257">
        <v>1</v>
      </c>
      <c r="F148" s="241"/>
      <c r="G148" s="35"/>
      <c r="H148" s="35"/>
      <c r="I148" s="211" t="str">
        <f t="shared" si="4"/>
        <v xml:space="preserve">  </v>
      </c>
      <c r="J148" s="287"/>
      <c r="K148" s="215" t="str">
        <f>+IFERROR(VLOOKUP($J148,'11 FORMULAS'!$B$51:$C$53,2,0),"")</f>
        <v/>
      </c>
      <c r="L148" s="215" t="str">
        <f>+IFERROR(VLOOKUP($J148,'11 FORMULAS'!$B$51:$D$53,3,0),"")</f>
        <v/>
      </c>
      <c r="M148" s="253" t="s">
        <v>320</v>
      </c>
      <c r="N148" s="254">
        <f>+IFERROR(VLOOKUP($M148,'11 FORMULAS'!$B$54:$C$55,2,0),"")</f>
        <v>0.25</v>
      </c>
      <c r="O148" s="255" t="s">
        <v>321</v>
      </c>
      <c r="P148" s="255" t="s">
        <v>282</v>
      </c>
      <c r="Q148" s="255" t="s">
        <v>277</v>
      </c>
      <c r="R148" s="255" t="s">
        <v>322</v>
      </c>
      <c r="S148" s="215" t="str">
        <f t="shared" si="3"/>
        <v/>
      </c>
      <c r="T148" s="215">
        <f>IF($L148='11 FORMULAS'!$D$51,$C$10-($C$10*$S$10),$C$10)</f>
        <v>0.6</v>
      </c>
      <c r="U148" s="215" t="str">
        <f>IF($L148='11 FORMULAS'!$D$53,D148-(D148*S148),D148)</f>
        <v/>
      </c>
      <c r="V148" s="487">
        <f>+IF(T153="","",T153)</f>
        <v>0.6</v>
      </c>
      <c r="W148" s="490">
        <f>+IF(U153="","",U153)</f>
        <v>0</v>
      </c>
      <c r="X148" s="28"/>
    </row>
    <row r="149" spans="1:24" ht="29.65" hidden="1" customHeight="1" thickBot="1">
      <c r="A149" s="456"/>
      <c r="B149" s="460"/>
      <c r="C149" s="463"/>
      <c r="D149" s="464"/>
      <c r="E149" s="252">
        <v>2</v>
      </c>
      <c r="F149" s="239"/>
      <c r="G149" s="236"/>
      <c r="H149" s="236"/>
      <c r="I149" s="211" t="str">
        <f t="shared" si="4"/>
        <v xml:space="preserve">  </v>
      </c>
      <c r="J149" s="287"/>
      <c r="K149" s="215" t="str">
        <f>+IFERROR(VLOOKUP($J149,'11 FORMULAS'!$B$51:$C$53,2,0),"")</f>
        <v/>
      </c>
      <c r="L149" s="215" t="str">
        <f>+IFERROR(VLOOKUP($J149,'11 FORMULAS'!$B$51:$D$53,3,0),"")</f>
        <v/>
      </c>
      <c r="M149" s="253" t="s">
        <v>320</v>
      </c>
      <c r="N149" s="254">
        <f>+IFERROR(VLOOKUP($M149,'11 FORMULAS'!$B$54:$C$55,2,0),"")</f>
        <v>0.25</v>
      </c>
      <c r="O149" s="255" t="s">
        <v>321</v>
      </c>
      <c r="P149" s="255" t="s">
        <v>282</v>
      </c>
      <c r="Q149" s="255" t="s">
        <v>277</v>
      </c>
      <c r="R149" s="255" t="s">
        <v>322</v>
      </c>
      <c r="S149" s="215" t="str">
        <f t="shared" si="3"/>
        <v/>
      </c>
      <c r="T149" s="215">
        <f>IF($L149='11 FORMULAS'!$D$51,$C$10-($C$10*$S$10),$C$10)</f>
        <v>0.6</v>
      </c>
      <c r="U149" s="215">
        <f>IF($L149='11 FORMULAS'!$D$53,D149-(D149*S149),D149)</f>
        <v>0</v>
      </c>
      <c r="V149" s="495"/>
      <c r="W149" s="496"/>
      <c r="X149" s="28"/>
    </row>
    <row r="150" spans="1:24" ht="29.65" hidden="1" customHeight="1" thickBot="1">
      <c r="A150" s="456"/>
      <c r="B150" s="460"/>
      <c r="C150" s="463"/>
      <c r="D150" s="464"/>
      <c r="E150" s="252">
        <v>3</v>
      </c>
      <c r="F150" s="239"/>
      <c r="G150" s="236"/>
      <c r="H150" s="236"/>
      <c r="I150" s="211" t="str">
        <f t="shared" si="4"/>
        <v xml:space="preserve">  </v>
      </c>
      <c r="J150" s="287"/>
      <c r="K150" s="215" t="str">
        <f>+IFERROR(VLOOKUP($J150,'11 FORMULAS'!$B$51:$C$53,2,0),"")</f>
        <v/>
      </c>
      <c r="L150" s="215" t="str">
        <f>+IFERROR(VLOOKUP($J150,'11 FORMULAS'!$B$51:$D$53,3,0),"")</f>
        <v/>
      </c>
      <c r="M150" s="253" t="s">
        <v>320</v>
      </c>
      <c r="N150" s="254">
        <f>+IFERROR(VLOOKUP($M150,'11 FORMULAS'!$B$54:$C$55,2,0),"")</f>
        <v>0.25</v>
      </c>
      <c r="O150" s="255" t="s">
        <v>321</v>
      </c>
      <c r="P150" s="255" t="s">
        <v>282</v>
      </c>
      <c r="Q150" s="255" t="s">
        <v>277</v>
      </c>
      <c r="R150" s="255" t="s">
        <v>322</v>
      </c>
      <c r="S150" s="215" t="str">
        <f t="shared" si="3"/>
        <v/>
      </c>
      <c r="T150" s="215">
        <f>IF($L150='11 FORMULAS'!$D$51,$C$10-($C$10*$S$10),$C$10)</f>
        <v>0.6</v>
      </c>
      <c r="U150" s="215">
        <f>IF($L150='11 FORMULAS'!$D$53,D150-(D150*S150),D150)</f>
        <v>0</v>
      </c>
      <c r="V150" s="495"/>
      <c r="W150" s="496"/>
      <c r="X150" s="28"/>
    </row>
    <row r="151" spans="1:24" ht="29.65" hidden="1" customHeight="1" thickBot="1">
      <c r="A151" s="457"/>
      <c r="B151" s="461"/>
      <c r="C151" s="450"/>
      <c r="D151" s="453"/>
      <c r="E151" s="252">
        <v>4</v>
      </c>
      <c r="F151" s="240"/>
      <c r="G151" s="162"/>
      <c r="H151" s="162"/>
      <c r="I151" s="211" t="str">
        <f t="shared" si="4"/>
        <v xml:space="preserve">  </v>
      </c>
      <c r="J151" s="287"/>
      <c r="K151" s="215" t="str">
        <f>+IFERROR(VLOOKUP($J151,'11 FORMULAS'!$B$51:$C$53,2,0),"")</f>
        <v/>
      </c>
      <c r="L151" s="215" t="str">
        <f>+IFERROR(VLOOKUP($J151,'11 FORMULAS'!$B$51:$D$53,3,0),"")</f>
        <v/>
      </c>
      <c r="M151" s="253" t="s">
        <v>320</v>
      </c>
      <c r="N151" s="254">
        <f>+IFERROR(VLOOKUP($M151,'11 FORMULAS'!$B$54:$C$55,2,0),"")</f>
        <v>0.25</v>
      </c>
      <c r="O151" s="255" t="s">
        <v>321</v>
      </c>
      <c r="P151" s="255" t="s">
        <v>282</v>
      </c>
      <c r="Q151" s="255" t="s">
        <v>277</v>
      </c>
      <c r="R151" s="255" t="s">
        <v>322</v>
      </c>
      <c r="S151" s="215" t="str">
        <f t="shared" si="3"/>
        <v/>
      </c>
      <c r="T151" s="215">
        <f>IF($L151='11 FORMULAS'!$D$51,$C$10-($C$10*$S$10),$C$10)</f>
        <v>0.6</v>
      </c>
      <c r="U151" s="215">
        <f>IF($L151='11 FORMULAS'!$D$53,D151-(D151*S151),D151)</f>
        <v>0</v>
      </c>
      <c r="V151" s="488"/>
      <c r="W151" s="491"/>
      <c r="X151" s="28"/>
    </row>
    <row r="152" spans="1:24" ht="29.65" hidden="1" customHeight="1" thickBot="1">
      <c r="A152" s="457"/>
      <c r="B152" s="461"/>
      <c r="C152" s="450"/>
      <c r="D152" s="453"/>
      <c r="E152" s="252">
        <v>5</v>
      </c>
      <c r="F152" s="240"/>
      <c r="G152" s="162"/>
      <c r="H152" s="162"/>
      <c r="I152" s="211" t="str">
        <f t="shared" si="4"/>
        <v xml:space="preserve">  </v>
      </c>
      <c r="J152" s="287"/>
      <c r="K152" s="215" t="str">
        <f>+IFERROR(VLOOKUP($J152,'11 FORMULAS'!$B$51:$C$53,2,0),"")</f>
        <v/>
      </c>
      <c r="L152" s="215" t="str">
        <f>+IFERROR(VLOOKUP($J152,'11 FORMULAS'!$B$51:$D$53,3,0),"")</f>
        <v/>
      </c>
      <c r="M152" s="253" t="s">
        <v>320</v>
      </c>
      <c r="N152" s="254">
        <f>+IFERROR(VLOOKUP($M152,'11 FORMULAS'!$B$54:$C$55,2,0),"")</f>
        <v>0.25</v>
      </c>
      <c r="O152" s="255" t="s">
        <v>321</v>
      </c>
      <c r="P152" s="255" t="s">
        <v>282</v>
      </c>
      <c r="Q152" s="255" t="s">
        <v>277</v>
      </c>
      <c r="R152" s="255" t="s">
        <v>322</v>
      </c>
      <c r="S152" s="215" t="str">
        <f t="shared" si="3"/>
        <v/>
      </c>
      <c r="T152" s="215">
        <f>IF($L152='11 FORMULAS'!$D$51,$C$10-($C$10*$S$10),$C$10)</f>
        <v>0.6</v>
      </c>
      <c r="U152" s="215">
        <f>IF($L152='11 FORMULAS'!$D$53,D152-(D152*S152),D152)</f>
        <v>0</v>
      </c>
      <c r="V152" s="488"/>
      <c r="W152" s="491"/>
      <c r="X152" s="28"/>
    </row>
    <row r="153" spans="1:24" ht="29.65" hidden="1" customHeight="1" thickBot="1">
      <c r="A153" s="458"/>
      <c r="B153" s="462"/>
      <c r="C153" s="451"/>
      <c r="D153" s="454"/>
      <c r="E153" s="256">
        <v>6</v>
      </c>
      <c r="F153" s="243"/>
      <c r="G153" s="163"/>
      <c r="H153" s="163"/>
      <c r="I153" s="211" t="str">
        <f t="shared" si="4"/>
        <v xml:space="preserve">  </v>
      </c>
      <c r="J153" s="287"/>
      <c r="K153" s="215" t="str">
        <f>+IFERROR(VLOOKUP($J153,'11 FORMULAS'!$B$51:$C$53,2,0),"")</f>
        <v/>
      </c>
      <c r="L153" s="215" t="str">
        <f>+IFERROR(VLOOKUP($J153,'11 FORMULAS'!$B$51:$D$53,3,0),"")</f>
        <v/>
      </c>
      <c r="M153" s="253" t="s">
        <v>320</v>
      </c>
      <c r="N153" s="254">
        <f>+IFERROR(VLOOKUP($M153,'11 FORMULAS'!$B$54:$C$55,2,0),"")</f>
        <v>0.25</v>
      </c>
      <c r="O153" s="255" t="s">
        <v>321</v>
      </c>
      <c r="P153" s="255" t="s">
        <v>282</v>
      </c>
      <c r="Q153" s="255" t="s">
        <v>277</v>
      </c>
      <c r="R153" s="255" t="s">
        <v>322</v>
      </c>
      <c r="S153" s="215" t="str">
        <f t="shared" si="3"/>
        <v/>
      </c>
      <c r="T153" s="215">
        <f>IF($L153='11 FORMULAS'!$D$51,$C$10-($C$10*$S$10),$C$10)</f>
        <v>0.6</v>
      </c>
      <c r="U153" s="215">
        <f>IF($L153='11 FORMULAS'!$D$53,D153-(D153*S153),D153)</f>
        <v>0</v>
      </c>
      <c r="V153" s="489"/>
      <c r="W153" s="492"/>
      <c r="X153" s="28"/>
    </row>
    <row r="154" spans="1:24" ht="29.65" hidden="1" customHeight="1" thickBot="1">
      <c r="A154" s="455" t="str">
        <f>'2 IDENTIFICACIÓN'!A34</f>
        <v>R25</v>
      </c>
      <c r="B154" s="459" t="str">
        <f>+'2 IDENTIFICACIÓN'!J34</f>
        <v xml:space="preserve"> por  debido a </v>
      </c>
      <c r="C154" s="449" t="str">
        <f>+'3 PROBABIL E IMPACTO INHERENTE'!E34</f>
        <v/>
      </c>
      <c r="D154" s="452" t="str">
        <f>+'3 PROBABIL E IMPACTO INHERENTE'!M34</f>
        <v/>
      </c>
      <c r="E154" s="257">
        <v>1</v>
      </c>
      <c r="F154" s="241"/>
      <c r="G154" s="35"/>
      <c r="H154" s="35"/>
      <c r="I154" s="211" t="str">
        <f t="shared" si="4"/>
        <v xml:space="preserve">  </v>
      </c>
      <c r="J154" s="287"/>
      <c r="K154" s="215" t="str">
        <f>+IFERROR(VLOOKUP($J154,'11 FORMULAS'!$B$51:$C$53,2,0),"")</f>
        <v/>
      </c>
      <c r="L154" s="215" t="str">
        <f>+IFERROR(VLOOKUP($J154,'11 FORMULAS'!$B$51:$D$53,3,0),"")</f>
        <v/>
      </c>
      <c r="M154" s="253" t="s">
        <v>320</v>
      </c>
      <c r="N154" s="254">
        <f>+IFERROR(VLOOKUP($M154,'11 FORMULAS'!$B$54:$C$55,2,0),"")</f>
        <v>0.25</v>
      </c>
      <c r="O154" s="255" t="s">
        <v>321</v>
      </c>
      <c r="P154" s="255" t="s">
        <v>282</v>
      </c>
      <c r="Q154" s="255" t="s">
        <v>277</v>
      </c>
      <c r="R154" s="255" t="s">
        <v>322</v>
      </c>
      <c r="S154" s="215" t="str">
        <f t="shared" si="3"/>
        <v/>
      </c>
      <c r="T154" s="215">
        <f>IF($L154='11 FORMULAS'!$D$51,$C$10-($C$10*$S$10),$C$10)</f>
        <v>0.6</v>
      </c>
      <c r="U154" s="215" t="str">
        <f>IF($L154='11 FORMULAS'!$D$53,D154-(D154*S154),D154)</f>
        <v/>
      </c>
      <c r="V154" s="487">
        <f>+IF(T159="","",T159)</f>
        <v>0.6</v>
      </c>
      <c r="W154" s="490">
        <f>+IF(U159="","",U159)</f>
        <v>0</v>
      </c>
      <c r="X154" s="28"/>
    </row>
    <row r="155" spans="1:24" ht="29.65" hidden="1" customHeight="1" thickBot="1">
      <c r="A155" s="456"/>
      <c r="B155" s="460"/>
      <c r="C155" s="463"/>
      <c r="D155" s="464"/>
      <c r="E155" s="252">
        <v>2</v>
      </c>
      <c r="F155" s="239"/>
      <c r="G155" s="236"/>
      <c r="H155" s="236"/>
      <c r="I155" s="211" t="str">
        <f t="shared" si="4"/>
        <v xml:space="preserve">  </v>
      </c>
      <c r="J155" s="287"/>
      <c r="K155" s="215" t="str">
        <f>+IFERROR(VLOOKUP($J155,'11 FORMULAS'!$B$51:$C$53,2,0),"")</f>
        <v/>
      </c>
      <c r="L155" s="215" t="str">
        <f>+IFERROR(VLOOKUP($J155,'11 FORMULAS'!$B$51:$D$53,3,0),"")</f>
        <v/>
      </c>
      <c r="M155" s="253" t="s">
        <v>320</v>
      </c>
      <c r="N155" s="254">
        <f>+IFERROR(VLOOKUP($M155,'11 FORMULAS'!$B$54:$C$55,2,0),"")</f>
        <v>0.25</v>
      </c>
      <c r="O155" s="255" t="s">
        <v>321</v>
      </c>
      <c r="P155" s="255" t="s">
        <v>282</v>
      </c>
      <c r="Q155" s="255" t="s">
        <v>277</v>
      </c>
      <c r="R155" s="255" t="s">
        <v>322</v>
      </c>
      <c r="S155" s="215" t="str">
        <f t="shared" si="3"/>
        <v/>
      </c>
      <c r="T155" s="215">
        <f>IF($L155='11 FORMULAS'!$D$51,$C$10-($C$10*$S$10),$C$10)</f>
        <v>0.6</v>
      </c>
      <c r="U155" s="215">
        <f>IF($L155='11 FORMULAS'!$D$53,D155-(D155*S155),D155)</f>
        <v>0</v>
      </c>
      <c r="V155" s="495"/>
      <c r="W155" s="496"/>
      <c r="X155" s="28"/>
    </row>
    <row r="156" spans="1:24" ht="29.65" hidden="1" customHeight="1" thickBot="1">
      <c r="A156" s="456"/>
      <c r="B156" s="460"/>
      <c r="C156" s="463"/>
      <c r="D156" s="464"/>
      <c r="E156" s="252">
        <v>3</v>
      </c>
      <c r="F156" s="239"/>
      <c r="G156" s="236"/>
      <c r="H156" s="236"/>
      <c r="I156" s="211" t="str">
        <f t="shared" si="4"/>
        <v xml:space="preserve">  </v>
      </c>
      <c r="J156" s="287"/>
      <c r="K156" s="215" t="str">
        <f>+IFERROR(VLOOKUP($J156,'11 FORMULAS'!$B$51:$C$53,2,0),"")</f>
        <v/>
      </c>
      <c r="L156" s="215" t="str">
        <f>+IFERROR(VLOOKUP($J156,'11 FORMULAS'!$B$51:$D$53,3,0),"")</f>
        <v/>
      </c>
      <c r="M156" s="253" t="s">
        <v>320</v>
      </c>
      <c r="N156" s="254">
        <f>+IFERROR(VLOOKUP($M156,'11 FORMULAS'!$B$54:$C$55,2,0),"")</f>
        <v>0.25</v>
      </c>
      <c r="O156" s="255" t="s">
        <v>321</v>
      </c>
      <c r="P156" s="255" t="s">
        <v>282</v>
      </c>
      <c r="Q156" s="255" t="s">
        <v>277</v>
      </c>
      <c r="R156" s="255" t="s">
        <v>322</v>
      </c>
      <c r="S156" s="215" t="str">
        <f t="shared" si="3"/>
        <v/>
      </c>
      <c r="T156" s="215">
        <f>IF($L156='11 FORMULAS'!$D$51,$C$10-($C$10*$S$10),$C$10)</f>
        <v>0.6</v>
      </c>
      <c r="U156" s="215">
        <f>IF($L156='11 FORMULAS'!$D$53,D156-(D156*S156),D156)</f>
        <v>0</v>
      </c>
      <c r="V156" s="495"/>
      <c r="W156" s="496"/>
      <c r="X156" s="28"/>
    </row>
    <row r="157" spans="1:24" ht="29.65" hidden="1" customHeight="1" thickBot="1">
      <c r="A157" s="457"/>
      <c r="B157" s="461"/>
      <c r="C157" s="450"/>
      <c r="D157" s="453"/>
      <c r="E157" s="252">
        <v>4</v>
      </c>
      <c r="F157" s="240"/>
      <c r="G157" s="162"/>
      <c r="H157" s="162"/>
      <c r="I157" s="211" t="str">
        <f t="shared" si="4"/>
        <v xml:space="preserve">  </v>
      </c>
      <c r="J157" s="287"/>
      <c r="K157" s="215" t="str">
        <f>+IFERROR(VLOOKUP($J157,'11 FORMULAS'!$B$51:$C$53,2,0),"")</f>
        <v/>
      </c>
      <c r="L157" s="215" t="str">
        <f>+IFERROR(VLOOKUP($J157,'11 FORMULAS'!$B$51:$D$53,3,0),"")</f>
        <v/>
      </c>
      <c r="M157" s="253" t="s">
        <v>320</v>
      </c>
      <c r="N157" s="254">
        <f>+IFERROR(VLOOKUP($M157,'11 FORMULAS'!$B$54:$C$55,2,0),"")</f>
        <v>0.25</v>
      </c>
      <c r="O157" s="255" t="s">
        <v>321</v>
      </c>
      <c r="P157" s="255" t="s">
        <v>282</v>
      </c>
      <c r="Q157" s="255" t="s">
        <v>277</v>
      </c>
      <c r="R157" s="255" t="s">
        <v>322</v>
      </c>
      <c r="S157" s="215" t="str">
        <f t="shared" si="3"/>
        <v/>
      </c>
      <c r="T157" s="215">
        <f>IF($L157='11 FORMULAS'!$D$51,$C$10-($C$10*$S$10),$C$10)</f>
        <v>0.6</v>
      </c>
      <c r="U157" s="215">
        <f>IF($L157='11 FORMULAS'!$D$53,D157-(D157*S157),D157)</f>
        <v>0</v>
      </c>
      <c r="V157" s="488"/>
      <c r="W157" s="491"/>
      <c r="X157" s="28"/>
    </row>
    <row r="158" spans="1:24" ht="29.65" hidden="1" customHeight="1" thickBot="1">
      <c r="A158" s="457"/>
      <c r="B158" s="461"/>
      <c r="C158" s="450"/>
      <c r="D158" s="453"/>
      <c r="E158" s="252">
        <v>5</v>
      </c>
      <c r="F158" s="240"/>
      <c r="G158" s="162"/>
      <c r="H158" s="162"/>
      <c r="I158" s="211" t="str">
        <f t="shared" si="4"/>
        <v xml:space="preserve">  </v>
      </c>
      <c r="J158" s="287"/>
      <c r="K158" s="215" t="str">
        <f>+IFERROR(VLOOKUP($J158,'11 FORMULAS'!$B$51:$C$53,2,0),"")</f>
        <v/>
      </c>
      <c r="L158" s="215" t="str">
        <f>+IFERROR(VLOOKUP($J158,'11 FORMULAS'!$B$51:$D$53,3,0),"")</f>
        <v/>
      </c>
      <c r="M158" s="253" t="s">
        <v>320</v>
      </c>
      <c r="N158" s="254">
        <f>+IFERROR(VLOOKUP($M158,'11 FORMULAS'!$B$54:$C$55,2,0),"")</f>
        <v>0.25</v>
      </c>
      <c r="O158" s="255" t="s">
        <v>321</v>
      </c>
      <c r="P158" s="255" t="s">
        <v>282</v>
      </c>
      <c r="Q158" s="255" t="s">
        <v>277</v>
      </c>
      <c r="R158" s="255" t="s">
        <v>322</v>
      </c>
      <c r="S158" s="215" t="str">
        <f t="shared" si="3"/>
        <v/>
      </c>
      <c r="T158" s="215">
        <f>IF($L158='11 FORMULAS'!$D$51,$C$10-($C$10*$S$10),$C$10)</f>
        <v>0.6</v>
      </c>
      <c r="U158" s="215">
        <f>IF($L158='11 FORMULAS'!$D$53,D158-(D158*S158),D158)</f>
        <v>0</v>
      </c>
      <c r="V158" s="488"/>
      <c r="W158" s="491"/>
      <c r="X158" s="28"/>
    </row>
    <row r="159" spans="1:24" ht="29.65" hidden="1" customHeight="1" thickBot="1">
      <c r="A159" s="458"/>
      <c r="B159" s="462"/>
      <c r="C159" s="451"/>
      <c r="D159" s="454"/>
      <c r="E159" s="256">
        <v>6</v>
      </c>
      <c r="F159" s="243"/>
      <c r="G159" s="163"/>
      <c r="H159" s="163"/>
      <c r="I159" s="211" t="str">
        <f t="shared" si="4"/>
        <v xml:space="preserve">  </v>
      </c>
      <c r="J159" s="287"/>
      <c r="K159" s="215" t="str">
        <f>+IFERROR(VLOOKUP($J159,'11 FORMULAS'!$B$51:$C$53,2,0),"")</f>
        <v/>
      </c>
      <c r="L159" s="215" t="str">
        <f>+IFERROR(VLOOKUP($J159,'11 FORMULAS'!$B$51:$D$53,3,0),"")</f>
        <v/>
      </c>
      <c r="M159" s="253" t="s">
        <v>320</v>
      </c>
      <c r="N159" s="254">
        <f>+IFERROR(VLOOKUP($M159,'11 FORMULAS'!$B$54:$C$55,2,0),"")</f>
        <v>0.25</v>
      </c>
      <c r="O159" s="255" t="s">
        <v>321</v>
      </c>
      <c r="P159" s="255" t="s">
        <v>282</v>
      </c>
      <c r="Q159" s="255" t="s">
        <v>277</v>
      </c>
      <c r="R159" s="255" t="s">
        <v>322</v>
      </c>
      <c r="S159" s="215" t="str">
        <f t="shared" si="3"/>
        <v/>
      </c>
      <c r="T159" s="215">
        <f>IF($L159='11 FORMULAS'!$D$51,$C$10-($C$10*$S$10),$C$10)</f>
        <v>0.6</v>
      </c>
      <c r="U159" s="215">
        <f>IF($L159='11 FORMULAS'!$D$53,D159-(D159*S159),D159)</f>
        <v>0</v>
      </c>
      <c r="V159" s="489"/>
      <c r="W159" s="492"/>
      <c r="X159" s="28"/>
    </row>
    <row r="160" spans="1:24" ht="29.65" hidden="1" customHeight="1" thickBot="1">
      <c r="A160" s="455" t="str">
        <f>'2 IDENTIFICACIÓN'!A35</f>
        <v>R26</v>
      </c>
      <c r="B160" s="459" t="str">
        <f>+'2 IDENTIFICACIÓN'!J35</f>
        <v xml:space="preserve"> por  debido a </v>
      </c>
      <c r="C160" s="449" t="str">
        <f>+'3 PROBABIL E IMPACTO INHERENTE'!E35</f>
        <v/>
      </c>
      <c r="D160" s="452" t="str">
        <f>+'3 PROBABIL E IMPACTO INHERENTE'!M35</f>
        <v/>
      </c>
      <c r="E160" s="257">
        <v>1</v>
      </c>
      <c r="F160" s="241"/>
      <c r="G160" s="35"/>
      <c r="H160" s="35"/>
      <c r="I160" s="211" t="str">
        <f t="shared" si="4"/>
        <v xml:space="preserve">  </v>
      </c>
      <c r="J160" s="287"/>
      <c r="K160" s="215" t="str">
        <f>+IFERROR(VLOOKUP($J160,'11 FORMULAS'!$B$51:$C$53,2,0),"")</f>
        <v/>
      </c>
      <c r="L160" s="215" t="str">
        <f>+IFERROR(VLOOKUP($J160,'11 FORMULAS'!$B$51:$D$53,3,0),"")</f>
        <v/>
      </c>
      <c r="M160" s="253" t="s">
        <v>320</v>
      </c>
      <c r="N160" s="254">
        <f>+IFERROR(VLOOKUP($M160,'11 FORMULAS'!$B$54:$C$55,2,0),"")</f>
        <v>0.25</v>
      </c>
      <c r="O160" s="255" t="s">
        <v>321</v>
      </c>
      <c r="P160" s="255" t="s">
        <v>282</v>
      </c>
      <c r="Q160" s="255" t="s">
        <v>277</v>
      </c>
      <c r="R160" s="255" t="s">
        <v>322</v>
      </c>
      <c r="S160" s="215" t="str">
        <f t="shared" si="3"/>
        <v/>
      </c>
      <c r="T160" s="215">
        <f>IF($L160='11 FORMULAS'!$D$51,$C$10-($C$10*$S$10),$C$10)</f>
        <v>0.6</v>
      </c>
      <c r="U160" s="215" t="str">
        <f>IF($L160='11 FORMULAS'!$D$53,D160-(D160*S160),D160)</f>
        <v/>
      </c>
      <c r="V160" s="487">
        <f>+IF(T165="","",T165)</f>
        <v>0.6</v>
      </c>
      <c r="W160" s="490">
        <f>+IF(U165="","",U165)</f>
        <v>0</v>
      </c>
      <c r="X160" s="28"/>
    </row>
    <row r="161" spans="1:24" ht="29.65" hidden="1" customHeight="1" thickBot="1">
      <c r="A161" s="456"/>
      <c r="B161" s="460"/>
      <c r="C161" s="463"/>
      <c r="D161" s="464"/>
      <c r="E161" s="252">
        <v>2</v>
      </c>
      <c r="F161" s="239"/>
      <c r="G161" s="236"/>
      <c r="H161" s="236"/>
      <c r="I161" s="211" t="str">
        <f t="shared" si="4"/>
        <v xml:space="preserve">  </v>
      </c>
      <c r="J161" s="287"/>
      <c r="K161" s="215" t="str">
        <f>+IFERROR(VLOOKUP($J161,'11 FORMULAS'!$B$51:$C$53,2,0),"")</f>
        <v/>
      </c>
      <c r="L161" s="215" t="str">
        <f>+IFERROR(VLOOKUP($J161,'11 FORMULAS'!$B$51:$D$53,3,0),"")</f>
        <v/>
      </c>
      <c r="M161" s="253" t="s">
        <v>320</v>
      </c>
      <c r="N161" s="254">
        <f>+IFERROR(VLOOKUP($M161,'11 FORMULAS'!$B$54:$C$55,2,0),"")</f>
        <v>0.25</v>
      </c>
      <c r="O161" s="255" t="s">
        <v>321</v>
      </c>
      <c r="P161" s="255" t="s">
        <v>282</v>
      </c>
      <c r="Q161" s="255" t="s">
        <v>277</v>
      </c>
      <c r="R161" s="255" t="s">
        <v>322</v>
      </c>
      <c r="S161" s="215" t="str">
        <f t="shared" si="3"/>
        <v/>
      </c>
      <c r="T161" s="215">
        <f>IF($L161='11 FORMULAS'!$D$51,$C$10-($C$10*$S$10),$C$10)</f>
        <v>0.6</v>
      </c>
      <c r="U161" s="215">
        <f>IF($L161='11 FORMULAS'!$D$53,D161-(D161*S161),D161)</f>
        <v>0</v>
      </c>
      <c r="V161" s="495"/>
      <c r="W161" s="496"/>
      <c r="X161" s="28"/>
    </row>
    <row r="162" spans="1:24" ht="29.65" hidden="1" customHeight="1" thickBot="1">
      <c r="A162" s="456"/>
      <c r="B162" s="460"/>
      <c r="C162" s="463"/>
      <c r="D162" s="464"/>
      <c r="E162" s="252">
        <v>3</v>
      </c>
      <c r="F162" s="239"/>
      <c r="G162" s="236"/>
      <c r="H162" s="236"/>
      <c r="I162" s="211" t="str">
        <f t="shared" si="4"/>
        <v xml:space="preserve">  </v>
      </c>
      <c r="J162" s="287"/>
      <c r="K162" s="215" t="str">
        <f>+IFERROR(VLOOKUP($J162,'11 FORMULAS'!$B$51:$C$53,2,0),"")</f>
        <v/>
      </c>
      <c r="L162" s="215" t="str">
        <f>+IFERROR(VLOOKUP($J162,'11 FORMULAS'!$B$51:$D$53,3,0),"")</f>
        <v/>
      </c>
      <c r="M162" s="253" t="s">
        <v>320</v>
      </c>
      <c r="N162" s="254">
        <f>+IFERROR(VLOOKUP($M162,'11 FORMULAS'!$B$54:$C$55,2,0),"")</f>
        <v>0.25</v>
      </c>
      <c r="O162" s="255" t="s">
        <v>321</v>
      </c>
      <c r="P162" s="255" t="s">
        <v>282</v>
      </c>
      <c r="Q162" s="255" t="s">
        <v>277</v>
      </c>
      <c r="R162" s="255" t="s">
        <v>322</v>
      </c>
      <c r="S162" s="215" t="str">
        <f t="shared" si="3"/>
        <v/>
      </c>
      <c r="T162" s="215">
        <f>IF($L162='11 FORMULAS'!$D$51,$C$10-($C$10*$S$10),$C$10)</f>
        <v>0.6</v>
      </c>
      <c r="U162" s="215">
        <f>IF($L162='11 FORMULAS'!$D$53,D162-(D162*S162),D162)</f>
        <v>0</v>
      </c>
      <c r="V162" s="495"/>
      <c r="W162" s="496"/>
      <c r="X162" s="28"/>
    </row>
    <row r="163" spans="1:24" ht="29.65" hidden="1" customHeight="1" thickBot="1">
      <c r="A163" s="457"/>
      <c r="B163" s="461"/>
      <c r="C163" s="450"/>
      <c r="D163" s="453"/>
      <c r="E163" s="252">
        <v>4</v>
      </c>
      <c r="F163" s="240"/>
      <c r="G163" s="162"/>
      <c r="H163" s="162"/>
      <c r="I163" s="211" t="str">
        <f t="shared" si="4"/>
        <v xml:space="preserve">  </v>
      </c>
      <c r="J163" s="287"/>
      <c r="K163" s="215" t="str">
        <f>+IFERROR(VLOOKUP($J163,'11 FORMULAS'!$B$51:$C$53,2,0),"")</f>
        <v/>
      </c>
      <c r="L163" s="215" t="str">
        <f>+IFERROR(VLOOKUP($J163,'11 FORMULAS'!$B$51:$D$53,3,0),"")</f>
        <v/>
      </c>
      <c r="M163" s="253" t="s">
        <v>320</v>
      </c>
      <c r="N163" s="254">
        <f>+IFERROR(VLOOKUP($M163,'11 FORMULAS'!$B$54:$C$55,2,0),"")</f>
        <v>0.25</v>
      </c>
      <c r="O163" s="255" t="s">
        <v>321</v>
      </c>
      <c r="P163" s="255" t="s">
        <v>282</v>
      </c>
      <c r="Q163" s="255" t="s">
        <v>277</v>
      </c>
      <c r="R163" s="255" t="s">
        <v>322</v>
      </c>
      <c r="S163" s="215" t="str">
        <f t="shared" si="3"/>
        <v/>
      </c>
      <c r="T163" s="215">
        <f>IF($L163='11 FORMULAS'!$D$51,$C$10-($C$10*$S$10),$C$10)</f>
        <v>0.6</v>
      </c>
      <c r="U163" s="215">
        <f>IF($L163='11 FORMULAS'!$D$53,D163-(D163*S163),D163)</f>
        <v>0</v>
      </c>
      <c r="V163" s="488"/>
      <c r="W163" s="491"/>
      <c r="X163" s="28"/>
    </row>
    <row r="164" spans="1:24" ht="29.65" hidden="1" customHeight="1" thickBot="1">
      <c r="A164" s="457"/>
      <c r="B164" s="461"/>
      <c r="C164" s="450"/>
      <c r="D164" s="453"/>
      <c r="E164" s="252">
        <v>5</v>
      </c>
      <c r="F164" s="240"/>
      <c r="G164" s="162"/>
      <c r="H164" s="162"/>
      <c r="I164" s="211" t="str">
        <f t="shared" si="4"/>
        <v xml:space="preserve">  </v>
      </c>
      <c r="J164" s="287"/>
      <c r="K164" s="215" t="str">
        <f>+IFERROR(VLOOKUP($J164,'11 FORMULAS'!$B$51:$C$53,2,0),"")</f>
        <v/>
      </c>
      <c r="L164" s="215" t="str">
        <f>+IFERROR(VLOOKUP($J164,'11 FORMULAS'!$B$51:$D$53,3,0),"")</f>
        <v/>
      </c>
      <c r="M164" s="253" t="s">
        <v>320</v>
      </c>
      <c r="N164" s="254">
        <f>+IFERROR(VLOOKUP($M164,'11 FORMULAS'!$B$54:$C$55,2,0),"")</f>
        <v>0.25</v>
      </c>
      <c r="O164" s="255" t="s">
        <v>321</v>
      </c>
      <c r="P164" s="255" t="s">
        <v>282</v>
      </c>
      <c r="Q164" s="255" t="s">
        <v>277</v>
      </c>
      <c r="R164" s="255" t="s">
        <v>322</v>
      </c>
      <c r="S164" s="215" t="str">
        <f t="shared" si="3"/>
        <v/>
      </c>
      <c r="T164" s="215">
        <f>IF($L164='11 FORMULAS'!$D$51,$C$10-($C$10*$S$10),$C$10)</f>
        <v>0.6</v>
      </c>
      <c r="U164" s="215">
        <f>IF($L164='11 FORMULAS'!$D$53,D164-(D164*S164),D164)</f>
        <v>0</v>
      </c>
      <c r="V164" s="488"/>
      <c r="W164" s="491"/>
      <c r="X164" s="28"/>
    </row>
    <row r="165" spans="1:24" ht="29.65" hidden="1" customHeight="1" thickBot="1">
      <c r="A165" s="458"/>
      <c r="B165" s="462"/>
      <c r="C165" s="451"/>
      <c r="D165" s="454"/>
      <c r="E165" s="256">
        <v>6</v>
      </c>
      <c r="F165" s="243"/>
      <c r="G165" s="163"/>
      <c r="H165" s="163"/>
      <c r="I165" s="211" t="str">
        <f t="shared" si="4"/>
        <v xml:space="preserve">  </v>
      </c>
      <c r="J165" s="287"/>
      <c r="K165" s="215" t="str">
        <f>+IFERROR(VLOOKUP($J165,'11 FORMULAS'!$B$51:$C$53,2,0),"")</f>
        <v/>
      </c>
      <c r="L165" s="215" t="str">
        <f>+IFERROR(VLOOKUP($J165,'11 FORMULAS'!$B$51:$D$53,3,0),"")</f>
        <v/>
      </c>
      <c r="M165" s="253" t="s">
        <v>320</v>
      </c>
      <c r="N165" s="254">
        <f>+IFERROR(VLOOKUP($M165,'11 FORMULAS'!$B$54:$C$55,2,0),"")</f>
        <v>0.25</v>
      </c>
      <c r="O165" s="255" t="s">
        <v>321</v>
      </c>
      <c r="P165" s="255" t="s">
        <v>282</v>
      </c>
      <c r="Q165" s="255" t="s">
        <v>277</v>
      </c>
      <c r="R165" s="255" t="s">
        <v>322</v>
      </c>
      <c r="S165" s="215" t="str">
        <f t="shared" si="3"/>
        <v/>
      </c>
      <c r="T165" s="215">
        <f>IF($L165='11 FORMULAS'!$D$51,$C$10-($C$10*$S$10),$C$10)</f>
        <v>0.6</v>
      </c>
      <c r="U165" s="215">
        <f>IF($L165='11 FORMULAS'!$D$53,D165-(D165*S165),D165)</f>
        <v>0</v>
      </c>
      <c r="V165" s="489"/>
      <c r="W165" s="492"/>
      <c r="X165" s="28"/>
    </row>
    <row r="166" spans="1:24" ht="29.65" hidden="1" customHeight="1" thickBot="1">
      <c r="A166" s="455" t="str">
        <f>'2 IDENTIFICACIÓN'!A36</f>
        <v>R27</v>
      </c>
      <c r="B166" s="459" t="str">
        <f>+'2 IDENTIFICACIÓN'!J36</f>
        <v xml:space="preserve"> por  debido a </v>
      </c>
      <c r="C166" s="449" t="str">
        <f>+'3 PROBABIL E IMPACTO INHERENTE'!E36</f>
        <v/>
      </c>
      <c r="D166" s="452" t="str">
        <f>+'3 PROBABIL E IMPACTO INHERENTE'!M36</f>
        <v/>
      </c>
      <c r="E166" s="257">
        <v>1</v>
      </c>
      <c r="F166" s="241"/>
      <c r="G166" s="35"/>
      <c r="H166" s="35"/>
      <c r="I166" s="211" t="str">
        <f t="shared" si="4"/>
        <v xml:space="preserve">  </v>
      </c>
      <c r="J166" s="287"/>
      <c r="K166" s="215" t="str">
        <f>+IFERROR(VLOOKUP($J166,'11 FORMULAS'!$B$51:$C$53,2,0),"")</f>
        <v/>
      </c>
      <c r="L166" s="215" t="str">
        <f>+IFERROR(VLOOKUP($J166,'11 FORMULAS'!$B$51:$D$53,3,0),"")</f>
        <v/>
      </c>
      <c r="M166" s="253" t="s">
        <v>320</v>
      </c>
      <c r="N166" s="254">
        <f>+IFERROR(VLOOKUP($M166,'11 FORMULAS'!$B$54:$C$55,2,0),"")</f>
        <v>0.25</v>
      </c>
      <c r="O166" s="255" t="s">
        <v>321</v>
      </c>
      <c r="P166" s="255" t="s">
        <v>282</v>
      </c>
      <c r="Q166" s="255" t="s">
        <v>277</v>
      </c>
      <c r="R166" s="255" t="s">
        <v>322</v>
      </c>
      <c r="S166" s="215" t="str">
        <f t="shared" si="3"/>
        <v/>
      </c>
      <c r="T166" s="215">
        <f>IF($L166='11 FORMULAS'!$D$51,$C$10-($C$10*$S$10),$C$10)</f>
        <v>0.6</v>
      </c>
      <c r="U166" s="215" t="str">
        <f>IF($L166='11 FORMULAS'!$D$53,D166-(D166*S166),D166)</f>
        <v/>
      </c>
      <c r="V166" s="487">
        <f>+IF(T171="","",T171)</f>
        <v>0.6</v>
      </c>
      <c r="W166" s="490">
        <f>+IF(U171="","",U171)</f>
        <v>0</v>
      </c>
      <c r="X166" s="28"/>
    </row>
    <row r="167" spans="1:24" ht="29.65" hidden="1" customHeight="1" thickBot="1">
      <c r="A167" s="456"/>
      <c r="B167" s="460"/>
      <c r="C167" s="463"/>
      <c r="D167" s="464"/>
      <c r="E167" s="252">
        <v>2</v>
      </c>
      <c r="F167" s="239"/>
      <c r="G167" s="236"/>
      <c r="H167" s="236"/>
      <c r="I167" s="211" t="str">
        <f t="shared" si="4"/>
        <v xml:space="preserve">  </v>
      </c>
      <c r="J167" s="287"/>
      <c r="K167" s="215" t="str">
        <f>+IFERROR(VLOOKUP($J167,'11 FORMULAS'!$B$51:$C$53,2,0),"")</f>
        <v/>
      </c>
      <c r="L167" s="215" t="str">
        <f>+IFERROR(VLOOKUP($J167,'11 FORMULAS'!$B$51:$D$53,3,0),"")</f>
        <v/>
      </c>
      <c r="M167" s="253" t="s">
        <v>320</v>
      </c>
      <c r="N167" s="254">
        <f>+IFERROR(VLOOKUP($M167,'11 FORMULAS'!$B$54:$C$55,2,0),"")</f>
        <v>0.25</v>
      </c>
      <c r="O167" s="255" t="s">
        <v>321</v>
      </c>
      <c r="P167" s="255" t="s">
        <v>282</v>
      </c>
      <c r="Q167" s="255" t="s">
        <v>277</v>
      </c>
      <c r="R167" s="255" t="s">
        <v>322</v>
      </c>
      <c r="S167" s="215" t="str">
        <f t="shared" si="3"/>
        <v/>
      </c>
      <c r="T167" s="215">
        <f>IF($L167='11 FORMULAS'!$D$51,$C$10-($C$10*$S$10),$C$10)</f>
        <v>0.6</v>
      </c>
      <c r="U167" s="215">
        <f>IF($L167='11 FORMULAS'!$D$53,D167-(D167*S167),D167)</f>
        <v>0</v>
      </c>
      <c r="V167" s="495"/>
      <c r="W167" s="496"/>
      <c r="X167" s="28"/>
    </row>
    <row r="168" spans="1:24" ht="29.65" hidden="1" customHeight="1" thickBot="1">
      <c r="A168" s="456"/>
      <c r="B168" s="460"/>
      <c r="C168" s="463"/>
      <c r="D168" s="464"/>
      <c r="E168" s="252">
        <v>3</v>
      </c>
      <c r="F168" s="239"/>
      <c r="G168" s="236"/>
      <c r="H168" s="236"/>
      <c r="I168" s="211" t="str">
        <f t="shared" si="4"/>
        <v xml:space="preserve">  </v>
      </c>
      <c r="J168" s="287"/>
      <c r="K168" s="215" t="str">
        <f>+IFERROR(VLOOKUP($J168,'11 FORMULAS'!$B$51:$C$53,2,0),"")</f>
        <v/>
      </c>
      <c r="L168" s="215" t="str">
        <f>+IFERROR(VLOOKUP($J168,'11 FORMULAS'!$B$51:$D$53,3,0),"")</f>
        <v/>
      </c>
      <c r="M168" s="253" t="s">
        <v>320</v>
      </c>
      <c r="N168" s="254">
        <f>+IFERROR(VLOOKUP($M168,'11 FORMULAS'!$B$54:$C$55,2,0),"")</f>
        <v>0.25</v>
      </c>
      <c r="O168" s="255" t="s">
        <v>321</v>
      </c>
      <c r="P168" s="255" t="s">
        <v>282</v>
      </c>
      <c r="Q168" s="255" t="s">
        <v>277</v>
      </c>
      <c r="R168" s="255" t="s">
        <v>322</v>
      </c>
      <c r="S168" s="215" t="str">
        <f t="shared" si="3"/>
        <v/>
      </c>
      <c r="T168" s="215">
        <f>IF($L168='11 FORMULAS'!$D$51,$C$10-($C$10*$S$10),$C$10)</f>
        <v>0.6</v>
      </c>
      <c r="U168" s="215">
        <f>IF($L168='11 FORMULAS'!$D$53,D168-(D168*S168),D168)</f>
        <v>0</v>
      </c>
      <c r="V168" s="495"/>
      <c r="W168" s="496"/>
      <c r="X168" s="28"/>
    </row>
    <row r="169" spans="1:24" ht="29.65" hidden="1" customHeight="1" thickBot="1">
      <c r="A169" s="457"/>
      <c r="B169" s="461"/>
      <c r="C169" s="450"/>
      <c r="D169" s="453"/>
      <c r="E169" s="252">
        <v>4</v>
      </c>
      <c r="F169" s="240"/>
      <c r="G169" s="162"/>
      <c r="H169" s="162"/>
      <c r="I169" s="211" t="str">
        <f t="shared" si="4"/>
        <v xml:space="preserve">  </v>
      </c>
      <c r="J169" s="287"/>
      <c r="K169" s="215" t="str">
        <f>+IFERROR(VLOOKUP($J169,'11 FORMULAS'!$B$51:$C$53,2,0),"")</f>
        <v/>
      </c>
      <c r="L169" s="215" t="str">
        <f>+IFERROR(VLOOKUP($J169,'11 FORMULAS'!$B$51:$D$53,3,0),"")</f>
        <v/>
      </c>
      <c r="M169" s="253" t="s">
        <v>320</v>
      </c>
      <c r="N169" s="254">
        <f>+IFERROR(VLOOKUP($M169,'11 FORMULAS'!$B$54:$C$55,2,0),"")</f>
        <v>0.25</v>
      </c>
      <c r="O169" s="255" t="s">
        <v>321</v>
      </c>
      <c r="P169" s="255" t="s">
        <v>282</v>
      </c>
      <c r="Q169" s="255" t="s">
        <v>277</v>
      </c>
      <c r="R169" s="255" t="s">
        <v>322</v>
      </c>
      <c r="S169" s="215" t="str">
        <f t="shared" si="3"/>
        <v/>
      </c>
      <c r="T169" s="215">
        <f>IF($L169='11 FORMULAS'!$D$51,$C$10-($C$10*$S$10),$C$10)</f>
        <v>0.6</v>
      </c>
      <c r="U169" s="215">
        <f>IF($L169='11 FORMULAS'!$D$53,D169-(D169*S169),D169)</f>
        <v>0</v>
      </c>
      <c r="V169" s="488"/>
      <c r="W169" s="491"/>
      <c r="X169" s="28"/>
    </row>
    <row r="170" spans="1:24" ht="29.65" hidden="1" customHeight="1" thickBot="1">
      <c r="A170" s="457"/>
      <c r="B170" s="461"/>
      <c r="C170" s="450"/>
      <c r="D170" s="453"/>
      <c r="E170" s="252">
        <v>5</v>
      </c>
      <c r="F170" s="240"/>
      <c r="G170" s="162"/>
      <c r="H170" s="162"/>
      <c r="I170" s="211" t="str">
        <f t="shared" si="4"/>
        <v xml:space="preserve">  </v>
      </c>
      <c r="J170" s="287"/>
      <c r="K170" s="215" t="str">
        <f>+IFERROR(VLOOKUP($J170,'11 FORMULAS'!$B$51:$C$53,2,0),"")</f>
        <v/>
      </c>
      <c r="L170" s="215" t="str">
        <f>+IFERROR(VLOOKUP($J170,'11 FORMULAS'!$B$51:$D$53,3,0),"")</f>
        <v/>
      </c>
      <c r="M170" s="253" t="s">
        <v>320</v>
      </c>
      <c r="N170" s="254">
        <f>+IFERROR(VLOOKUP($M170,'11 FORMULAS'!$B$54:$C$55,2,0),"")</f>
        <v>0.25</v>
      </c>
      <c r="O170" s="255" t="s">
        <v>321</v>
      </c>
      <c r="P170" s="255" t="s">
        <v>282</v>
      </c>
      <c r="Q170" s="255" t="s">
        <v>277</v>
      </c>
      <c r="R170" s="255" t="s">
        <v>322</v>
      </c>
      <c r="S170" s="215" t="str">
        <f t="shared" si="3"/>
        <v/>
      </c>
      <c r="T170" s="215">
        <f>IF($L170='11 FORMULAS'!$D$51,$C$10-($C$10*$S$10),$C$10)</f>
        <v>0.6</v>
      </c>
      <c r="U170" s="215">
        <f>IF($L170='11 FORMULAS'!$D$53,D170-(D170*S170),D170)</f>
        <v>0</v>
      </c>
      <c r="V170" s="488"/>
      <c r="W170" s="491"/>
      <c r="X170" s="28"/>
    </row>
    <row r="171" spans="1:24" ht="29.65" hidden="1" customHeight="1" thickBot="1">
      <c r="A171" s="458"/>
      <c r="B171" s="462"/>
      <c r="C171" s="451"/>
      <c r="D171" s="454"/>
      <c r="E171" s="256">
        <v>6</v>
      </c>
      <c r="F171" s="243"/>
      <c r="G171" s="163"/>
      <c r="H171" s="163"/>
      <c r="I171" s="211" t="str">
        <f t="shared" si="4"/>
        <v xml:space="preserve">  </v>
      </c>
      <c r="J171" s="287"/>
      <c r="K171" s="215" t="str">
        <f>+IFERROR(VLOOKUP($J171,'11 FORMULAS'!$B$51:$C$53,2,0),"")</f>
        <v/>
      </c>
      <c r="L171" s="215" t="str">
        <f>+IFERROR(VLOOKUP($J171,'11 FORMULAS'!$B$51:$D$53,3,0),"")</f>
        <v/>
      </c>
      <c r="M171" s="253" t="s">
        <v>320</v>
      </c>
      <c r="N171" s="254">
        <f>+IFERROR(VLOOKUP($M171,'11 FORMULAS'!$B$54:$C$55,2,0),"")</f>
        <v>0.25</v>
      </c>
      <c r="O171" s="255" t="s">
        <v>321</v>
      </c>
      <c r="P171" s="255" t="s">
        <v>282</v>
      </c>
      <c r="Q171" s="255" t="s">
        <v>277</v>
      </c>
      <c r="R171" s="255" t="s">
        <v>322</v>
      </c>
      <c r="S171" s="215" t="str">
        <f t="shared" si="3"/>
        <v/>
      </c>
      <c r="T171" s="215">
        <f>IF($L171='11 FORMULAS'!$D$51,$C$10-($C$10*$S$10),$C$10)</f>
        <v>0.6</v>
      </c>
      <c r="U171" s="215">
        <f>IF($L171='11 FORMULAS'!$D$53,D171-(D171*S171),D171)</f>
        <v>0</v>
      </c>
      <c r="V171" s="489"/>
      <c r="W171" s="492"/>
      <c r="X171" s="28"/>
    </row>
    <row r="172" spans="1:24" ht="29.65" hidden="1" customHeight="1" thickBot="1">
      <c r="A172" s="455" t="str">
        <f>'2 IDENTIFICACIÓN'!A37</f>
        <v>R28</v>
      </c>
      <c r="B172" s="459" t="str">
        <f>+'2 IDENTIFICACIÓN'!J37</f>
        <v xml:space="preserve"> por  debido a </v>
      </c>
      <c r="C172" s="449" t="str">
        <f>+'3 PROBABIL E IMPACTO INHERENTE'!E37</f>
        <v/>
      </c>
      <c r="D172" s="452" t="str">
        <f>+'3 PROBABIL E IMPACTO INHERENTE'!M37</f>
        <v/>
      </c>
      <c r="E172" s="257">
        <v>1</v>
      </c>
      <c r="F172" s="241"/>
      <c r="G172" s="35"/>
      <c r="H172" s="35"/>
      <c r="I172" s="211" t="str">
        <f t="shared" si="4"/>
        <v xml:space="preserve">  </v>
      </c>
      <c r="J172" s="287"/>
      <c r="K172" s="215" t="str">
        <f>+IFERROR(VLOOKUP($J172,'11 FORMULAS'!$B$51:$C$53,2,0),"")</f>
        <v/>
      </c>
      <c r="L172" s="215" t="str">
        <f>+IFERROR(VLOOKUP($J172,'11 FORMULAS'!$B$51:$D$53,3,0),"")</f>
        <v/>
      </c>
      <c r="M172" s="253" t="s">
        <v>320</v>
      </c>
      <c r="N172" s="254">
        <f>+IFERROR(VLOOKUP($M172,'11 FORMULAS'!$B$54:$C$55,2,0),"")</f>
        <v>0.25</v>
      </c>
      <c r="O172" s="255" t="s">
        <v>321</v>
      </c>
      <c r="P172" s="255" t="s">
        <v>282</v>
      </c>
      <c r="Q172" s="255" t="s">
        <v>277</v>
      </c>
      <c r="R172" s="255" t="s">
        <v>322</v>
      </c>
      <c r="S172" s="215" t="str">
        <f t="shared" si="3"/>
        <v/>
      </c>
      <c r="T172" s="215">
        <f>IF($L172='11 FORMULAS'!$D$51,$C$10-($C$10*$S$10),$C$10)</f>
        <v>0.6</v>
      </c>
      <c r="U172" s="215" t="str">
        <f>IF($L172='11 FORMULAS'!$D$53,D172-(D172*S172),D172)</f>
        <v/>
      </c>
      <c r="V172" s="487">
        <f>+IF(T177="","",T177)</f>
        <v>0.6</v>
      </c>
      <c r="W172" s="490">
        <f>+IF(U177="","",U177)</f>
        <v>0</v>
      </c>
      <c r="X172" s="28"/>
    </row>
    <row r="173" spans="1:24" ht="29.65" hidden="1" customHeight="1" thickBot="1">
      <c r="A173" s="456"/>
      <c r="B173" s="460"/>
      <c r="C173" s="463"/>
      <c r="D173" s="464"/>
      <c r="E173" s="252">
        <v>2</v>
      </c>
      <c r="F173" s="239"/>
      <c r="G173" s="236"/>
      <c r="H173" s="236"/>
      <c r="I173" s="211" t="str">
        <f t="shared" si="4"/>
        <v xml:space="preserve">  </v>
      </c>
      <c r="J173" s="287"/>
      <c r="K173" s="215" t="str">
        <f>+IFERROR(VLOOKUP($J173,'11 FORMULAS'!$B$51:$C$53,2,0),"")</f>
        <v/>
      </c>
      <c r="L173" s="215" t="str">
        <f>+IFERROR(VLOOKUP($J173,'11 FORMULAS'!$B$51:$D$53,3,0),"")</f>
        <v/>
      </c>
      <c r="M173" s="253" t="s">
        <v>320</v>
      </c>
      <c r="N173" s="254">
        <f>+IFERROR(VLOOKUP($M173,'11 FORMULAS'!$B$54:$C$55,2,0),"")</f>
        <v>0.25</v>
      </c>
      <c r="O173" s="255" t="s">
        <v>321</v>
      </c>
      <c r="P173" s="255" t="s">
        <v>282</v>
      </c>
      <c r="Q173" s="255" t="s">
        <v>277</v>
      </c>
      <c r="R173" s="255" t="s">
        <v>322</v>
      </c>
      <c r="S173" s="215" t="str">
        <f t="shared" si="3"/>
        <v/>
      </c>
      <c r="T173" s="215">
        <f>IF($L173='11 FORMULAS'!$D$51,$C$10-($C$10*$S$10),$C$10)</f>
        <v>0.6</v>
      </c>
      <c r="U173" s="215">
        <f>IF($L173='11 FORMULAS'!$D$53,D173-(D173*S173),D173)</f>
        <v>0</v>
      </c>
      <c r="V173" s="495"/>
      <c r="W173" s="496"/>
      <c r="X173" s="28"/>
    </row>
    <row r="174" spans="1:24" ht="29.65" hidden="1" customHeight="1" thickBot="1">
      <c r="A174" s="456"/>
      <c r="B174" s="460"/>
      <c r="C174" s="463"/>
      <c r="D174" s="464"/>
      <c r="E174" s="252">
        <v>3</v>
      </c>
      <c r="F174" s="239"/>
      <c r="G174" s="236"/>
      <c r="H174" s="236"/>
      <c r="I174" s="211" t="str">
        <f t="shared" si="4"/>
        <v xml:space="preserve">  </v>
      </c>
      <c r="J174" s="287"/>
      <c r="K174" s="215" t="str">
        <f>+IFERROR(VLOOKUP($J174,'11 FORMULAS'!$B$51:$C$53,2,0),"")</f>
        <v/>
      </c>
      <c r="L174" s="215" t="str">
        <f>+IFERROR(VLOOKUP($J174,'11 FORMULAS'!$B$51:$D$53,3,0),"")</f>
        <v/>
      </c>
      <c r="M174" s="253" t="s">
        <v>320</v>
      </c>
      <c r="N174" s="254">
        <f>+IFERROR(VLOOKUP($M174,'11 FORMULAS'!$B$54:$C$55,2,0),"")</f>
        <v>0.25</v>
      </c>
      <c r="O174" s="255" t="s">
        <v>321</v>
      </c>
      <c r="P174" s="255" t="s">
        <v>282</v>
      </c>
      <c r="Q174" s="255" t="s">
        <v>277</v>
      </c>
      <c r="R174" s="255" t="s">
        <v>322</v>
      </c>
      <c r="S174" s="215" t="str">
        <f t="shared" si="3"/>
        <v/>
      </c>
      <c r="T174" s="215">
        <f>IF($L174='11 FORMULAS'!$D$51,$C$10-($C$10*$S$10),$C$10)</f>
        <v>0.6</v>
      </c>
      <c r="U174" s="215">
        <f>IF($L174='11 FORMULAS'!$D$53,D174-(D174*S174),D174)</f>
        <v>0</v>
      </c>
      <c r="V174" s="495"/>
      <c r="W174" s="496"/>
      <c r="X174" s="28"/>
    </row>
    <row r="175" spans="1:24" ht="29.65" hidden="1" customHeight="1" thickBot="1">
      <c r="A175" s="457"/>
      <c r="B175" s="461"/>
      <c r="C175" s="450"/>
      <c r="D175" s="453"/>
      <c r="E175" s="252">
        <v>4</v>
      </c>
      <c r="F175" s="240"/>
      <c r="G175" s="162"/>
      <c r="H175" s="162"/>
      <c r="I175" s="211" t="str">
        <f t="shared" si="4"/>
        <v xml:space="preserve">  </v>
      </c>
      <c r="J175" s="287"/>
      <c r="K175" s="215" t="str">
        <f>+IFERROR(VLOOKUP($J175,'11 FORMULAS'!$B$51:$C$53,2,0),"")</f>
        <v/>
      </c>
      <c r="L175" s="215" t="str">
        <f>+IFERROR(VLOOKUP($J175,'11 FORMULAS'!$B$51:$D$53,3,0),"")</f>
        <v/>
      </c>
      <c r="M175" s="253" t="s">
        <v>320</v>
      </c>
      <c r="N175" s="254">
        <f>+IFERROR(VLOOKUP($M175,'11 FORMULAS'!$B$54:$C$55,2,0),"")</f>
        <v>0.25</v>
      </c>
      <c r="O175" s="255" t="s">
        <v>321</v>
      </c>
      <c r="P175" s="255" t="s">
        <v>282</v>
      </c>
      <c r="Q175" s="255" t="s">
        <v>277</v>
      </c>
      <c r="R175" s="255" t="s">
        <v>322</v>
      </c>
      <c r="S175" s="215" t="str">
        <f t="shared" si="3"/>
        <v/>
      </c>
      <c r="T175" s="215">
        <f>IF($L175='11 FORMULAS'!$D$51,$C$10-($C$10*$S$10),$C$10)</f>
        <v>0.6</v>
      </c>
      <c r="U175" s="215">
        <f>IF($L175='11 FORMULAS'!$D$53,D175-(D175*S175),D175)</f>
        <v>0</v>
      </c>
      <c r="V175" s="488"/>
      <c r="W175" s="491"/>
      <c r="X175" s="28"/>
    </row>
    <row r="176" spans="1:24" ht="29.65" hidden="1" customHeight="1" thickBot="1">
      <c r="A176" s="457"/>
      <c r="B176" s="461"/>
      <c r="C176" s="450"/>
      <c r="D176" s="453"/>
      <c r="E176" s="252">
        <v>5</v>
      </c>
      <c r="F176" s="240"/>
      <c r="G176" s="162"/>
      <c r="H176" s="162"/>
      <c r="I176" s="211" t="str">
        <f t="shared" si="4"/>
        <v xml:space="preserve">  </v>
      </c>
      <c r="J176" s="287"/>
      <c r="K176" s="215" t="str">
        <f>+IFERROR(VLOOKUP($J176,'11 FORMULAS'!$B$51:$C$53,2,0),"")</f>
        <v/>
      </c>
      <c r="L176" s="215" t="str">
        <f>+IFERROR(VLOOKUP($J176,'11 FORMULAS'!$B$51:$D$53,3,0),"")</f>
        <v/>
      </c>
      <c r="M176" s="253" t="s">
        <v>320</v>
      </c>
      <c r="N176" s="254">
        <f>+IFERROR(VLOOKUP($M176,'11 FORMULAS'!$B$54:$C$55,2,0),"")</f>
        <v>0.25</v>
      </c>
      <c r="O176" s="255" t="s">
        <v>321</v>
      </c>
      <c r="P176" s="255" t="s">
        <v>282</v>
      </c>
      <c r="Q176" s="255" t="s">
        <v>277</v>
      </c>
      <c r="R176" s="255" t="s">
        <v>322</v>
      </c>
      <c r="S176" s="215" t="str">
        <f t="shared" si="3"/>
        <v/>
      </c>
      <c r="T176" s="215">
        <f>IF($L176='11 FORMULAS'!$D$51,$C$10-($C$10*$S$10),$C$10)</f>
        <v>0.6</v>
      </c>
      <c r="U176" s="215">
        <f>IF($L176='11 FORMULAS'!$D$53,D176-(D176*S176),D176)</f>
        <v>0</v>
      </c>
      <c r="V176" s="488"/>
      <c r="W176" s="491"/>
      <c r="X176" s="28"/>
    </row>
    <row r="177" spans="1:27" ht="29.65" hidden="1" customHeight="1" thickBot="1">
      <c r="A177" s="458"/>
      <c r="B177" s="462"/>
      <c r="C177" s="451"/>
      <c r="D177" s="454"/>
      <c r="E177" s="256">
        <v>6</v>
      </c>
      <c r="F177" s="243"/>
      <c r="G177" s="163"/>
      <c r="H177" s="163"/>
      <c r="I177" s="211" t="str">
        <f t="shared" si="4"/>
        <v xml:space="preserve">  </v>
      </c>
      <c r="J177" s="287"/>
      <c r="K177" s="215" t="str">
        <f>+IFERROR(VLOOKUP($J177,'11 FORMULAS'!$B$51:$C$53,2,0),"")</f>
        <v/>
      </c>
      <c r="L177" s="215" t="str">
        <f>+IFERROR(VLOOKUP($J177,'11 FORMULAS'!$B$51:$D$53,3,0),"")</f>
        <v/>
      </c>
      <c r="M177" s="253" t="s">
        <v>320</v>
      </c>
      <c r="N177" s="254">
        <f>+IFERROR(VLOOKUP($M177,'11 FORMULAS'!$B$54:$C$55,2,0),"")</f>
        <v>0.25</v>
      </c>
      <c r="O177" s="255" t="s">
        <v>321</v>
      </c>
      <c r="P177" s="255" t="s">
        <v>282</v>
      </c>
      <c r="Q177" s="255" t="s">
        <v>277</v>
      </c>
      <c r="R177" s="255" t="s">
        <v>322</v>
      </c>
      <c r="S177" s="215" t="str">
        <f t="shared" si="3"/>
        <v/>
      </c>
      <c r="T177" s="215">
        <f>IF($L177='11 FORMULAS'!$D$51,$C$10-($C$10*$S$10),$C$10)</f>
        <v>0.6</v>
      </c>
      <c r="U177" s="215">
        <f>IF($L177='11 FORMULAS'!$D$53,D177-(D177*S177),D177)</f>
        <v>0</v>
      </c>
      <c r="V177" s="489"/>
      <c r="W177" s="492"/>
      <c r="X177" s="28"/>
    </row>
    <row r="178" spans="1:27" ht="29.65" hidden="1" customHeight="1" thickBot="1">
      <c r="A178" s="455" t="str">
        <f>'2 IDENTIFICACIÓN'!A38</f>
        <v>R29</v>
      </c>
      <c r="B178" s="459" t="str">
        <f>+'2 IDENTIFICACIÓN'!J38</f>
        <v xml:space="preserve"> por  debido a </v>
      </c>
      <c r="C178" s="449" t="str">
        <f>+'3 PROBABIL E IMPACTO INHERENTE'!E38</f>
        <v/>
      </c>
      <c r="D178" s="452" t="str">
        <f>+'3 PROBABIL E IMPACTO INHERENTE'!M38</f>
        <v/>
      </c>
      <c r="E178" s="257">
        <v>1</v>
      </c>
      <c r="F178" s="241"/>
      <c r="G178" s="35"/>
      <c r="H178" s="35"/>
      <c r="I178" s="211" t="str">
        <f t="shared" si="4"/>
        <v xml:space="preserve">  </v>
      </c>
      <c r="J178" s="287"/>
      <c r="K178" s="215" t="str">
        <f>+IFERROR(VLOOKUP($J178,'11 FORMULAS'!$B$51:$C$53,2,0),"")</f>
        <v/>
      </c>
      <c r="L178" s="215" t="str">
        <f>+IFERROR(VLOOKUP($J178,'11 FORMULAS'!$B$51:$D$53,3,0),"")</f>
        <v/>
      </c>
      <c r="M178" s="253" t="s">
        <v>320</v>
      </c>
      <c r="N178" s="254">
        <f>+IFERROR(VLOOKUP($M178,'11 FORMULAS'!$B$54:$C$55,2,0),"")</f>
        <v>0.25</v>
      </c>
      <c r="O178" s="255" t="s">
        <v>321</v>
      </c>
      <c r="P178" s="255" t="s">
        <v>282</v>
      </c>
      <c r="Q178" s="255" t="s">
        <v>277</v>
      </c>
      <c r="R178" s="255" t="s">
        <v>322</v>
      </c>
      <c r="S178" s="215" t="str">
        <f t="shared" si="3"/>
        <v/>
      </c>
      <c r="T178" s="215">
        <f>IF($L178='11 FORMULAS'!$D$51,$C$10-($C$10*$S$10),$C$10)</f>
        <v>0.6</v>
      </c>
      <c r="U178" s="215" t="str">
        <f>IF($L178='11 FORMULAS'!$D$53,D178-(D178*S178),D178)</f>
        <v/>
      </c>
      <c r="V178" s="487">
        <f>+IF(T183="","",T183)</f>
        <v>0.6</v>
      </c>
      <c r="W178" s="490">
        <f>+IF(U183="","",U183)</f>
        <v>0</v>
      </c>
      <c r="X178" s="28"/>
    </row>
    <row r="179" spans="1:27" ht="29.65" hidden="1" customHeight="1" thickBot="1">
      <c r="A179" s="456"/>
      <c r="B179" s="460"/>
      <c r="C179" s="463"/>
      <c r="D179" s="464"/>
      <c r="E179" s="252">
        <v>2</v>
      </c>
      <c r="F179" s="239"/>
      <c r="G179" s="236"/>
      <c r="H179" s="236"/>
      <c r="I179" s="211" t="str">
        <f t="shared" si="4"/>
        <v xml:space="preserve">  </v>
      </c>
      <c r="J179" s="287"/>
      <c r="K179" s="215" t="str">
        <f>+IFERROR(VLOOKUP($J179,'11 FORMULAS'!$B$51:$C$53,2,0),"")</f>
        <v/>
      </c>
      <c r="L179" s="215" t="str">
        <f>+IFERROR(VLOOKUP($J179,'11 FORMULAS'!$B$51:$D$53,3,0),"")</f>
        <v/>
      </c>
      <c r="M179" s="253" t="s">
        <v>320</v>
      </c>
      <c r="N179" s="254">
        <f>+IFERROR(VLOOKUP($M179,'11 FORMULAS'!$B$54:$C$55,2,0),"")</f>
        <v>0.25</v>
      </c>
      <c r="O179" s="255" t="s">
        <v>321</v>
      </c>
      <c r="P179" s="255" t="s">
        <v>282</v>
      </c>
      <c r="Q179" s="255" t="s">
        <v>277</v>
      </c>
      <c r="R179" s="255" t="s">
        <v>322</v>
      </c>
      <c r="S179" s="215" t="str">
        <f t="shared" si="3"/>
        <v/>
      </c>
      <c r="T179" s="215">
        <f>IF($L179='11 FORMULAS'!$D$51,$C$10-($C$10*$S$10),$C$10)</f>
        <v>0.6</v>
      </c>
      <c r="U179" s="215">
        <f>IF($L179='11 FORMULAS'!$D$53,D179-(D179*S179),D179)</f>
        <v>0</v>
      </c>
      <c r="V179" s="495"/>
      <c r="W179" s="496"/>
      <c r="X179" s="28"/>
    </row>
    <row r="180" spans="1:27" ht="29.65" hidden="1" customHeight="1" thickBot="1">
      <c r="A180" s="456"/>
      <c r="B180" s="460"/>
      <c r="C180" s="463"/>
      <c r="D180" s="464"/>
      <c r="E180" s="252">
        <v>3</v>
      </c>
      <c r="F180" s="239"/>
      <c r="G180" s="236"/>
      <c r="H180" s="236"/>
      <c r="I180" s="211" t="str">
        <f t="shared" si="4"/>
        <v xml:space="preserve">  </v>
      </c>
      <c r="J180" s="287"/>
      <c r="K180" s="215" t="str">
        <f>+IFERROR(VLOOKUP($J180,'11 FORMULAS'!$B$51:$C$53,2,0),"")</f>
        <v/>
      </c>
      <c r="L180" s="215" t="str">
        <f>+IFERROR(VLOOKUP($J180,'11 FORMULAS'!$B$51:$D$53,3,0),"")</f>
        <v/>
      </c>
      <c r="M180" s="253" t="s">
        <v>320</v>
      </c>
      <c r="N180" s="254">
        <f>+IFERROR(VLOOKUP($M180,'11 FORMULAS'!$B$54:$C$55,2,0),"")</f>
        <v>0.25</v>
      </c>
      <c r="O180" s="255" t="s">
        <v>321</v>
      </c>
      <c r="P180" s="255" t="s">
        <v>282</v>
      </c>
      <c r="Q180" s="255" t="s">
        <v>277</v>
      </c>
      <c r="R180" s="255" t="s">
        <v>322</v>
      </c>
      <c r="S180" s="215" t="str">
        <f t="shared" si="3"/>
        <v/>
      </c>
      <c r="T180" s="215">
        <f>IF($L180='11 FORMULAS'!$D$51,$C$10-($C$10*$S$10),$C$10)</f>
        <v>0.6</v>
      </c>
      <c r="U180" s="215">
        <f>IF($L180='11 FORMULAS'!$D$53,D180-(D180*S180),D180)</f>
        <v>0</v>
      </c>
      <c r="V180" s="495"/>
      <c r="W180" s="496"/>
      <c r="X180" s="28"/>
    </row>
    <row r="181" spans="1:27" ht="29.65" hidden="1" customHeight="1" thickBot="1">
      <c r="A181" s="457"/>
      <c r="B181" s="461"/>
      <c r="C181" s="450"/>
      <c r="D181" s="453"/>
      <c r="E181" s="252">
        <v>4</v>
      </c>
      <c r="F181" s="240"/>
      <c r="G181" s="162"/>
      <c r="H181" s="162"/>
      <c r="I181" s="211" t="str">
        <f t="shared" si="4"/>
        <v xml:space="preserve">  </v>
      </c>
      <c r="J181" s="287"/>
      <c r="K181" s="215" t="str">
        <f>+IFERROR(VLOOKUP($J181,'11 FORMULAS'!$B$51:$C$53,2,0),"")</f>
        <v/>
      </c>
      <c r="L181" s="215" t="str">
        <f>+IFERROR(VLOOKUP($J181,'11 FORMULAS'!$B$51:$D$53,3,0),"")</f>
        <v/>
      </c>
      <c r="M181" s="253" t="s">
        <v>320</v>
      </c>
      <c r="N181" s="254">
        <f>+IFERROR(VLOOKUP($M181,'11 FORMULAS'!$B$54:$C$55,2,0),"")</f>
        <v>0.25</v>
      </c>
      <c r="O181" s="255" t="s">
        <v>321</v>
      </c>
      <c r="P181" s="255" t="s">
        <v>282</v>
      </c>
      <c r="Q181" s="255" t="s">
        <v>277</v>
      </c>
      <c r="R181" s="255" t="s">
        <v>322</v>
      </c>
      <c r="S181" s="215" t="str">
        <f t="shared" si="3"/>
        <v/>
      </c>
      <c r="T181" s="215">
        <f>IF($L181='11 FORMULAS'!$D$51,$C$10-($C$10*$S$10),$C$10)</f>
        <v>0.6</v>
      </c>
      <c r="U181" s="215">
        <f>IF($L181='11 FORMULAS'!$D$53,D181-(D181*S181),D181)</f>
        <v>0</v>
      </c>
      <c r="V181" s="488"/>
      <c r="W181" s="491"/>
      <c r="X181" s="28"/>
    </row>
    <row r="182" spans="1:27" ht="29.65" hidden="1" customHeight="1" thickBot="1">
      <c r="A182" s="457"/>
      <c r="B182" s="461"/>
      <c r="C182" s="450"/>
      <c r="D182" s="453"/>
      <c r="E182" s="252">
        <v>5</v>
      </c>
      <c r="F182" s="240"/>
      <c r="G182" s="162"/>
      <c r="H182" s="162"/>
      <c r="I182" s="211" t="str">
        <f t="shared" si="4"/>
        <v xml:space="preserve">  </v>
      </c>
      <c r="J182" s="287"/>
      <c r="K182" s="215" t="str">
        <f>+IFERROR(VLOOKUP($J182,'11 FORMULAS'!$B$51:$C$53,2,0),"")</f>
        <v/>
      </c>
      <c r="L182" s="215" t="str">
        <f>+IFERROR(VLOOKUP($J182,'11 FORMULAS'!$B$51:$D$53,3,0),"")</f>
        <v/>
      </c>
      <c r="M182" s="253" t="s">
        <v>320</v>
      </c>
      <c r="N182" s="254">
        <f>+IFERROR(VLOOKUP($M182,'11 FORMULAS'!$B$54:$C$55,2,0),"")</f>
        <v>0.25</v>
      </c>
      <c r="O182" s="255" t="s">
        <v>321</v>
      </c>
      <c r="P182" s="255" t="s">
        <v>282</v>
      </c>
      <c r="Q182" s="255" t="s">
        <v>277</v>
      </c>
      <c r="R182" s="255" t="s">
        <v>322</v>
      </c>
      <c r="S182" s="215" t="str">
        <f t="shared" si="3"/>
        <v/>
      </c>
      <c r="T182" s="215">
        <f>IF($L182='11 FORMULAS'!$D$51,$C$10-($C$10*$S$10),$C$10)</f>
        <v>0.6</v>
      </c>
      <c r="U182" s="215">
        <f>IF($L182='11 FORMULAS'!$D$53,D182-(D182*S182),D182)</f>
        <v>0</v>
      </c>
      <c r="V182" s="488"/>
      <c r="W182" s="491"/>
      <c r="X182" s="28"/>
    </row>
    <row r="183" spans="1:27" ht="29.65" hidden="1" customHeight="1" thickBot="1">
      <c r="A183" s="458"/>
      <c r="B183" s="462"/>
      <c r="C183" s="451"/>
      <c r="D183" s="454"/>
      <c r="E183" s="256">
        <v>6</v>
      </c>
      <c r="F183" s="243"/>
      <c r="G183" s="163"/>
      <c r="H183" s="163"/>
      <c r="I183" s="211" t="str">
        <f t="shared" si="4"/>
        <v xml:space="preserve">  </v>
      </c>
      <c r="J183" s="287"/>
      <c r="K183" s="215" t="str">
        <f>+IFERROR(VLOOKUP($J183,'11 FORMULAS'!$B$51:$C$53,2,0),"")</f>
        <v/>
      </c>
      <c r="L183" s="215" t="str">
        <f>+IFERROR(VLOOKUP($J183,'11 FORMULAS'!$B$51:$D$53,3,0),"")</f>
        <v/>
      </c>
      <c r="M183" s="253" t="s">
        <v>320</v>
      </c>
      <c r="N183" s="254">
        <f>+IFERROR(VLOOKUP($M183,'11 FORMULAS'!$B$54:$C$55,2,0),"")</f>
        <v>0.25</v>
      </c>
      <c r="O183" s="255" t="s">
        <v>321</v>
      </c>
      <c r="P183" s="255" t="s">
        <v>282</v>
      </c>
      <c r="Q183" s="255" t="s">
        <v>277</v>
      </c>
      <c r="R183" s="255" t="s">
        <v>322</v>
      </c>
      <c r="S183" s="215" t="str">
        <f t="shared" si="3"/>
        <v/>
      </c>
      <c r="T183" s="215">
        <f>IF($L183='11 FORMULAS'!$D$51,$C$10-($C$10*$S$10),$C$10)</f>
        <v>0.6</v>
      </c>
      <c r="U183" s="215">
        <f>IF($L183='11 FORMULAS'!$D$53,D183-(D183*S183),D183)</f>
        <v>0</v>
      </c>
      <c r="V183" s="489"/>
      <c r="W183" s="492"/>
      <c r="X183" s="28"/>
    </row>
    <row r="184" spans="1:27" ht="29.65" hidden="1" customHeight="1" thickBot="1">
      <c r="A184" s="455" t="str">
        <f>'2 IDENTIFICACIÓN'!A39</f>
        <v>R30</v>
      </c>
      <c r="B184" s="459" t="str">
        <f>+'2 IDENTIFICACIÓN'!J39</f>
        <v xml:space="preserve"> por  debido a </v>
      </c>
      <c r="C184" s="449" t="str">
        <f>+'3 PROBABIL E IMPACTO INHERENTE'!E39</f>
        <v/>
      </c>
      <c r="D184" s="452" t="str">
        <f>+'3 PROBABIL E IMPACTO INHERENTE'!M39</f>
        <v/>
      </c>
      <c r="E184" s="257">
        <v>1</v>
      </c>
      <c r="F184" s="241"/>
      <c r="G184" s="35"/>
      <c r="H184" s="35"/>
      <c r="I184" s="211" t="str">
        <f t="shared" si="2"/>
        <v xml:space="preserve">  </v>
      </c>
      <c r="J184" s="287"/>
      <c r="K184" s="215" t="str">
        <f>+IFERROR(VLOOKUP($J184,'11 FORMULAS'!$B$51:$C$53,2,0),"")</f>
        <v/>
      </c>
      <c r="L184" s="215" t="str">
        <f>+IFERROR(VLOOKUP($J184,'11 FORMULAS'!$B$51:$D$53,3,0),"")</f>
        <v/>
      </c>
      <c r="M184" s="253" t="s">
        <v>320</v>
      </c>
      <c r="N184" s="254">
        <f>+IFERROR(VLOOKUP($M184,'11 FORMULAS'!$B$54:$C$55,2,0),"")</f>
        <v>0.25</v>
      </c>
      <c r="O184" s="255" t="s">
        <v>321</v>
      </c>
      <c r="P184" s="255" t="s">
        <v>282</v>
      </c>
      <c r="Q184" s="255" t="s">
        <v>277</v>
      </c>
      <c r="R184" s="255" t="s">
        <v>322</v>
      </c>
      <c r="S184" s="215" t="str">
        <f t="shared" si="3"/>
        <v/>
      </c>
      <c r="T184" s="215">
        <f>IF($L184='11 FORMULAS'!$D$51,$C$10-($C$10*$S$10),$C$10)</f>
        <v>0.6</v>
      </c>
      <c r="U184" s="215" t="str">
        <f>IF($L184='11 FORMULAS'!$D$53,D184-(D184*S184),D184)</f>
        <v/>
      </c>
      <c r="V184" s="487">
        <f>+IF(T189="","",T189)</f>
        <v>0.6</v>
      </c>
      <c r="W184" s="490">
        <f>+IF(U189="","",U189)</f>
        <v>0</v>
      </c>
      <c r="X184" s="28"/>
      <c r="Y184" s="213"/>
      <c r="Z184" s="214"/>
      <c r="AA184" s="214"/>
    </row>
    <row r="185" spans="1:27" ht="29.65" hidden="1" customHeight="1" thickBot="1">
      <c r="A185" s="456"/>
      <c r="B185" s="460"/>
      <c r="C185" s="463"/>
      <c r="D185" s="464"/>
      <c r="E185" s="252">
        <v>2</v>
      </c>
      <c r="F185" s="239"/>
      <c r="G185" s="236"/>
      <c r="H185" s="236"/>
      <c r="I185" s="211" t="str">
        <f t="shared" si="2"/>
        <v xml:space="preserve">  </v>
      </c>
      <c r="J185" s="287"/>
      <c r="K185" s="215" t="str">
        <f>+IFERROR(VLOOKUP($J185,'11 FORMULAS'!$B$51:$C$53,2,0),"")</f>
        <v/>
      </c>
      <c r="L185" s="215" t="str">
        <f>+IFERROR(VLOOKUP($J185,'11 FORMULAS'!$B$51:$D$53,3,0),"")</f>
        <v/>
      </c>
      <c r="M185" s="253" t="s">
        <v>320</v>
      </c>
      <c r="N185" s="254">
        <f>+IFERROR(VLOOKUP($M185,'11 FORMULAS'!$B$54:$C$55,2,0),"")</f>
        <v>0.25</v>
      </c>
      <c r="O185" s="255" t="s">
        <v>321</v>
      </c>
      <c r="P185" s="255" t="s">
        <v>282</v>
      </c>
      <c r="Q185" s="255" t="s">
        <v>277</v>
      </c>
      <c r="R185" s="255" t="s">
        <v>322</v>
      </c>
      <c r="S185" s="215" t="str">
        <f t="shared" si="3"/>
        <v/>
      </c>
      <c r="T185" s="215">
        <f>IF($L185='11 FORMULAS'!$D$51,$C$10-($C$10*$S$10),$C$10)</f>
        <v>0.6</v>
      </c>
      <c r="U185" s="215">
        <f>IF($L185='11 FORMULAS'!$D$53,D185-(D185*S185),D185)</f>
        <v>0</v>
      </c>
      <c r="V185" s="495"/>
      <c r="W185" s="496"/>
      <c r="X185" s="28"/>
      <c r="Y185" s="213"/>
      <c r="Z185" s="214"/>
      <c r="AA185" s="214"/>
    </row>
    <row r="186" spans="1:27" ht="29.65" hidden="1" customHeight="1" thickBot="1">
      <c r="A186" s="456"/>
      <c r="B186" s="460"/>
      <c r="C186" s="463"/>
      <c r="D186" s="464"/>
      <c r="E186" s="252">
        <v>3</v>
      </c>
      <c r="F186" s="239"/>
      <c r="G186" s="236"/>
      <c r="H186" s="236"/>
      <c r="I186" s="211" t="str">
        <f t="shared" si="2"/>
        <v xml:space="preserve">  </v>
      </c>
      <c r="J186" s="287"/>
      <c r="K186" s="215" t="str">
        <f>+IFERROR(VLOOKUP($J186,'11 FORMULAS'!$B$51:$C$53,2,0),"")</f>
        <v/>
      </c>
      <c r="L186" s="215" t="str">
        <f>+IFERROR(VLOOKUP($J186,'11 FORMULAS'!$B$51:$D$53,3,0),"")</f>
        <v/>
      </c>
      <c r="M186" s="253" t="s">
        <v>274</v>
      </c>
      <c r="N186" s="254">
        <f>+IFERROR(VLOOKUP($M186,'11 FORMULAS'!$B$54:$C$55,2,0),"")</f>
        <v>0.15</v>
      </c>
      <c r="O186" s="255" t="s">
        <v>321</v>
      </c>
      <c r="P186" s="255" t="s">
        <v>282</v>
      </c>
      <c r="Q186" s="255" t="s">
        <v>277</v>
      </c>
      <c r="R186" s="255" t="s">
        <v>322</v>
      </c>
      <c r="S186" s="215" t="str">
        <f t="shared" si="3"/>
        <v/>
      </c>
      <c r="T186" s="215">
        <f>IF($L186='11 FORMULAS'!$D$51,$C$10-($C$10*$S$10),$C$10)</f>
        <v>0.6</v>
      </c>
      <c r="U186" s="215">
        <f>IF($L186='11 FORMULAS'!$D$53,D186-(D186*S186),D186)</f>
        <v>0</v>
      </c>
      <c r="V186" s="495"/>
      <c r="W186" s="496"/>
      <c r="X186" s="28"/>
      <c r="Y186" s="213"/>
      <c r="Z186" s="214"/>
      <c r="AA186" s="214"/>
    </row>
    <row r="187" spans="1:27" ht="29.65" hidden="1" customHeight="1" thickBot="1">
      <c r="A187" s="457"/>
      <c r="B187" s="461"/>
      <c r="C187" s="450"/>
      <c r="D187" s="453"/>
      <c r="E187" s="252">
        <v>4</v>
      </c>
      <c r="F187" s="240"/>
      <c r="G187" s="162"/>
      <c r="H187" s="162"/>
      <c r="I187" s="211" t="str">
        <f t="shared" si="2"/>
        <v xml:space="preserve">  </v>
      </c>
      <c r="J187" s="287"/>
      <c r="K187" s="215" t="str">
        <f>+IFERROR(VLOOKUP($J187,'11 FORMULAS'!$B$51:$C$53,2,0),"")</f>
        <v/>
      </c>
      <c r="L187" s="215" t="str">
        <f>+IFERROR(VLOOKUP($J187,'11 FORMULAS'!$B$51:$D$53,3,0),"")</f>
        <v/>
      </c>
      <c r="M187" s="253" t="s">
        <v>320</v>
      </c>
      <c r="N187" s="254">
        <f>+IFERROR(VLOOKUP($M187,'11 FORMULAS'!$B$54:$C$55,2,0),"")</f>
        <v>0.25</v>
      </c>
      <c r="O187" s="255" t="s">
        <v>321</v>
      </c>
      <c r="P187" s="255" t="s">
        <v>282</v>
      </c>
      <c r="Q187" s="255" t="s">
        <v>277</v>
      </c>
      <c r="R187" s="255" t="s">
        <v>322</v>
      </c>
      <c r="S187" s="215" t="str">
        <f t="shared" si="3"/>
        <v/>
      </c>
      <c r="T187" s="215">
        <f>IF($L187='11 FORMULAS'!$D$51,$C$10-($C$10*$S$10),$C$10)</f>
        <v>0.6</v>
      </c>
      <c r="U187" s="215">
        <f>IF($L187='11 FORMULAS'!$D$53,D187-(D187*S187),D187)</f>
        <v>0</v>
      </c>
      <c r="V187" s="488"/>
      <c r="W187" s="491"/>
      <c r="X187" s="28"/>
      <c r="Y187" s="213"/>
      <c r="Z187" s="214"/>
      <c r="AA187" s="214"/>
    </row>
    <row r="188" spans="1:27" ht="29.65" hidden="1" customHeight="1" thickBot="1">
      <c r="A188" s="457"/>
      <c r="B188" s="461"/>
      <c r="C188" s="450"/>
      <c r="D188" s="453"/>
      <c r="E188" s="252">
        <v>5</v>
      </c>
      <c r="F188" s="240"/>
      <c r="G188" s="162"/>
      <c r="H188" s="162"/>
      <c r="I188" s="211" t="str">
        <f t="shared" si="2"/>
        <v xml:space="preserve">  </v>
      </c>
      <c r="J188" s="287"/>
      <c r="K188" s="215" t="str">
        <f>+IFERROR(VLOOKUP($J188,'11 FORMULAS'!$B$51:$C$53,2,0),"")</f>
        <v/>
      </c>
      <c r="L188" s="215" t="str">
        <f>+IFERROR(VLOOKUP($J188,'11 FORMULAS'!$B$51:$D$53,3,0),"")</f>
        <v/>
      </c>
      <c r="M188" s="253" t="s">
        <v>320</v>
      </c>
      <c r="N188" s="254">
        <f>+IFERROR(VLOOKUP($M188,'11 FORMULAS'!$B$54:$C$55,2,0),"")</f>
        <v>0.25</v>
      </c>
      <c r="O188" s="255" t="s">
        <v>321</v>
      </c>
      <c r="P188" s="255" t="s">
        <v>282</v>
      </c>
      <c r="Q188" s="255" t="s">
        <v>277</v>
      </c>
      <c r="R188" s="255" t="s">
        <v>322</v>
      </c>
      <c r="S188" s="215" t="str">
        <f t="shared" si="3"/>
        <v/>
      </c>
      <c r="T188" s="215">
        <f>IF($L188='11 FORMULAS'!$D$51,$C$10-($C$10*$S$10),$C$10)</f>
        <v>0.6</v>
      </c>
      <c r="U188" s="215">
        <f>IF($L188='11 FORMULAS'!$D$53,D188-(D188*S188),D188)</f>
        <v>0</v>
      </c>
      <c r="V188" s="488"/>
      <c r="W188" s="491"/>
      <c r="X188" s="28"/>
      <c r="Y188" s="213"/>
      <c r="Z188" s="214"/>
      <c r="AA188" s="214"/>
    </row>
    <row r="189" spans="1:27" ht="29.65" hidden="1" customHeight="1" thickBot="1">
      <c r="A189" s="458"/>
      <c r="B189" s="462"/>
      <c r="C189" s="451"/>
      <c r="D189" s="454"/>
      <c r="E189" s="256">
        <v>6</v>
      </c>
      <c r="F189" s="243"/>
      <c r="G189" s="163"/>
      <c r="H189" s="163"/>
      <c r="I189" s="211" t="str">
        <f t="shared" si="2"/>
        <v xml:space="preserve">  </v>
      </c>
      <c r="J189" s="287"/>
      <c r="K189" s="215" t="str">
        <f>+IFERROR(VLOOKUP($J189,'11 FORMULAS'!$B$51:$C$53,2,0),"")</f>
        <v/>
      </c>
      <c r="L189" s="215" t="str">
        <f>+IFERROR(VLOOKUP($J189,'11 FORMULAS'!$B$51:$D$53,3,0),"")</f>
        <v/>
      </c>
      <c r="M189" s="253" t="s">
        <v>320</v>
      </c>
      <c r="N189" s="254">
        <f>+IFERROR(VLOOKUP($M189,'11 FORMULAS'!$B$54:$C$55,2,0),"")</f>
        <v>0.25</v>
      </c>
      <c r="O189" s="255" t="s">
        <v>321</v>
      </c>
      <c r="P189" s="255" t="s">
        <v>282</v>
      </c>
      <c r="Q189" s="255" t="s">
        <v>277</v>
      </c>
      <c r="R189" s="255" t="s">
        <v>322</v>
      </c>
      <c r="S189" s="215" t="str">
        <f t="shared" si="3"/>
        <v/>
      </c>
      <c r="T189" s="215">
        <f>IF($L189='11 FORMULAS'!$D$51,$C$10-($C$10*$S$10),$C$10)</f>
        <v>0.6</v>
      </c>
      <c r="U189" s="215">
        <f>IF($L189='11 FORMULAS'!$D$53,D189-(D189*S189),D189)</f>
        <v>0</v>
      </c>
      <c r="V189" s="489"/>
      <c r="W189" s="492"/>
      <c r="X189" s="28"/>
    </row>
    <row r="190" spans="1:27" ht="14.45" thickBot="1">
      <c r="A190" s="28"/>
      <c r="B190" s="28"/>
      <c r="C190" s="28"/>
      <c r="D190" s="28"/>
      <c r="E190" s="28"/>
      <c r="F190" s="28"/>
      <c r="G190" s="28"/>
      <c r="H190" s="28"/>
      <c r="I190" s="28"/>
      <c r="J190" s="28"/>
      <c r="K190" s="216"/>
      <c r="L190" s="216"/>
      <c r="M190" s="28"/>
      <c r="N190" s="216"/>
      <c r="O190" s="216"/>
      <c r="P190" s="216"/>
      <c r="Q190" s="216"/>
      <c r="R190" s="216"/>
      <c r="X190" s="28"/>
    </row>
    <row r="191" spans="1:27" ht="15" thickTop="1" thickBot="1">
      <c r="A191" s="337" t="s">
        <v>84</v>
      </c>
      <c r="B191" s="337"/>
      <c r="C191" s="337"/>
      <c r="D191" s="337"/>
      <c r="E191" s="337"/>
      <c r="F191" s="337"/>
      <c r="G191" s="337"/>
      <c r="H191" s="28"/>
      <c r="I191" s="28"/>
      <c r="J191" s="28"/>
      <c r="K191" s="216"/>
      <c r="L191" s="216"/>
      <c r="M191" s="28"/>
      <c r="N191" s="216"/>
      <c r="O191" s="216"/>
      <c r="P191" s="216"/>
      <c r="Q191" s="216"/>
      <c r="R191" s="216"/>
      <c r="X191" s="28"/>
    </row>
    <row r="192" spans="1:27" ht="15" thickTop="1" thickBot="1">
      <c r="A192" s="318" t="s">
        <v>85</v>
      </c>
      <c r="B192" s="337" t="s">
        <v>86</v>
      </c>
      <c r="C192" s="337"/>
      <c r="D192" s="337" t="s">
        <v>87</v>
      </c>
      <c r="E192" s="337"/>
      <c r="F192" s="337" t="s">
        <v>88</v>
      </c>
      <c r="G192" s="337"/>
      <c r="H192" s="28"/>
      <c r="I192" s="28"/>
      <c r="J192" s="28"/>
      <c r="K192" s="216"/>
      <c r="L192" s="216"/>
      <c r="M192" s="28"/>
      <c r="N192" s="216"/>
      <c r="O192" s="216"/>
      <c r="P192" s="216"/>
      <c r="Q192" s="216"/>
      <c r="R192" s="216"/>
      <c r="X192" s="28"/>
    </row>
    <row r="193" spans="1:7" ht="115.15" customHeight="1" thickTop="1" thickBot="1">
      <c r="A193" s="319" t="s">
        <v>89</v>
      </c>
      <c r="B193" s="338">
        <v>46163</v>
      </c>
      <c r="C193" s="338"/>
      <c r="D193" s="339" t="s">
        <v>90</v>
      </c>
      <c r="E193" s="339"/>
      <c r="F193" s="340" t="s">
        <v>91</v>
      </c>
      <c r="G193" s="340"/>
    </row>
    <row r="194" spans="1:7" ht="14.45" thickTop="1">
      <c r="A194" s="28"/>
      <c r="B194" s="28"/>
      <c r="C194" s="28"/>
      <c r="D194" s="28"/>
      <c r="E194" s="28"/>
      <c r="F194" s="28"/>
      <c r="G194" s="28"/>
    </row>
  </sheetData>
  <sheetProtection formatCells="0" formatColumns="0" formatRows="0" sort="0" autoFilter="0" pivotTables="0"/>
  <autoFilter ref="A9:X189" xr:uid="{00000000-0009-0000-0000-000005000000}"/>
  <dataConsolidate/>
  <mergeCells count="203">
    <mergeCell ref="V154:V159"/>
    <mergeCell ref="W154:W159"/>
    <mergeCell ref="V160:V165"/>
    <mergeCell ref="W160:W165"/>
    <mergeCell ref="V166:V171"/>
    <mergeCell ref="W166:W171"/>
    <mergeCell ref="V172:V177"/>
    <mergeCell ref="W172:W177"/>
    <mergeCell ref="V178:V183"/>
    <mergeCell ref="W178:W183"/>
    <mergeCell ref="C154:C159"/>
    <mergeCell ref="D154:D159"/>
    <mergeCell ref="C160:C165"/>
    <mergeCell ref="D160:D165"/>
    <mergeCell ref="C166:C171"/>
    <mergeCell ref="D166:D171"/>
    <mergeCell ref="C172:C177"/>
    <mergeCell ref="D172:D177"/>
    <mergeCell ref="C178:C183"/>
    <mergeCell ref="D178:D183"/>
    <mergeCell ref="C124:C129"/>
    <mergeCell ref="D124:D129"/>
    <mergeCell ref="C130:C135"/>
    <mergeCell ref="D130:D135"/>
    <mergeCell ref="C136:C141"/>
    <mergeCell ref="D136:D141"/>
    <mergeCell ref="C142:C147"/>
    <mergeCell ref="D142:D147"/>
    <mergeCell ref="C148:C153"/>
    <mergeCell ref="D148:D153"/>
    <mergeCell ref="A172:A177"/>
    <mergeCell ref="A178:A183"/>
    <mergeCell ref="B130:B135"/>
    <mergeCell ref="B136:B141"/>
    <mergeCell ref="B142:B147"/>
    <mergeCell ref="B148:B153"/>
    <mergeCell ref="B154:B159"/>
    <mergeCell ref="B160:B165"/>
    <mergeCell ref="B166:B171"/>
    <mergeCell ref="B172:B177"/>
    <mergeCell ref="B178:B183"/>
    <mergeCell ref="A124:A129"/>
    <mergeCell ref="B124:B129"/>
    <mergeCell ref="A130:A135"/>
    <mergeCell ref="A136:A141"/>
    <mergeCell ref="A142:A147"/>
    <mergeCell ref="A148:A153"/>
    <mergeCell ref="A154:A159"/>
    <mergeCell ref="A160:A165"/>
    <mergeCell ref="A166:A171"/>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22:V27"/>
    <mergeCell ref="W22:W27"/>
    <mergeCell ref="V28:V33"/>
    <mergeCell ref="W28:W33"/>
    <mergeCell ref="V10:V15"/>
    <mergeCell ref="W10:W15"/>
    <mergeCell ref="V16:V21"/>
    <mergeCell ref="W16:W21"/>
    <mergeCell ref="V58:V63"/>
    <mergeCell ref="W58:W63"/>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B10:B15"/>
    <mergeCell ref="A28:A33"/>
    <mergeCell ref="B28:B33"/>
    <mergeCell ref="C28:C33"/>
    <mergeCell ref="D28:D33"/>
    <mergeCell ref="A16:A21"/>
    <mergeCell ref="B16:B21"/>
    <mergeCell ref="C16:C21"/>
    <mergeCell ref="D16:D21"/>
    <mergeCell ref="A22:A27"/>
    <mergeCell ref="B22:B27"/>
    <mergeCell ref="C22:C27"/>
    <mergeCell ref="D22:D27"/>
    <mergeCell ref="S6:S8"/>
    <mergeCell ref="T6:T8"/>
    <mergeCell ref="U6:U8"/>
    <mergeCell ref="A8:A9"/>
    <mergeCell ref="B8:B9"/>
    <mergeCell ref="E8:E9"/>
    <mergeCell ref="J8:N8"/>
    <mergeCell ref="F8:H8"/>
    <mergeCell ref="O8:R8"/>
    <mergeCell ref="J7:R7"/>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72" operator="between">
      <formula>$Z$11</formula>
      <formula>$AA$11</formula>
    </cfRule>
    <cfRule type="cellIs" dxfId="182" priority="371" operator="between">
      <formula>$Z$10</formula>
      <formula>$AA$10</formula>
    </cfRule>
    <cfRule type="cellIs" dxfId="181" priority="370" operator="between">
      <formula>$Z$9</formula>
      <formula>$AA$9</formula>
    </cfRule>
    <cfRule type="cellIs" dxfId="180" priority="369" operator="between">
      <formula>$Z$8</formula>
      <formula>$AA$8</formula>
    </cfRule>
    <cfRule type="cellIs" dxfId="179" priority="373" operator="between">
      <formula>$Z$12</formula>
      <formula>$AA$12</formula>
    </cfRule>
  </conditionalFormatting>
  <conditionalFormatting sqref="C124:D126">
    <cfRule type="cellIs" dxfId="178" priority="99" operator="between">
      <formula>$Z$11</formula>
      <formula>$AA$11</formula>
    </cfRule>
    <cfRule type="cellIs" dxfId="177" priority="100" operator="between">
      <formula>$Z$12</formula>
      <formula>$AA$12</formula>
    </cfRule>
    <cfRule type="cellIs" dxfId="176" priority="98" operator="between">
      <formula>$Z$10</formula>
      <formula>$AA$10</formula>
    </cfRule>
    <cfRule type="cellIs" dxfId="175" priority="97" operator="between">
      <formula>$Z$9</formula>
      <formula>$AA$9</formula>
    </cfRule>
    <cfRule type="cellIs" dxfId="174" priority="96" operator="between">
      <formula>$Z$8</formula>
      <formula>$AA$8</formula>
    </cfRule>
  </conditionalFormatting>
  <conditionalFormatting sqref="C130:D132">
    <cfRule type="cellIs" dxfId="173" priority="93" operator="between">
      <formula>$Z$10</formula>
      <formula>$AA$10</formula>
    </cfRule>
    <cfRule type="cellIs" dxfId="172" priority="95" operator="between">
      <formula>$Z$12</formula>
      <formula>$AA$12</formula>
    </cfRule>
    <cfRule type="cellIs" dxfId="171" priority="94" operator="between">
      <formula>$Z$11</formula>
      <formula>$AA$11</formula>
    </cfRule>
    <cfRule type="cellIs" dxfId="170" priority="92" operator="between">
      <formula>$Z$9</formula>
      <formula>$AA$9</formula>
    </cfRule>
    <cfRule type="cellIs" dxfId="169" priority="91" operator="between">
      <formula>$Z$8</formula>
      <formula>$AA$8</formula>
    </cfRule>
  </conditionalFormatting>
  <conditionalFormatting sqref="C136:D138">
    <cfRule type="cellIs" dxfId="168" priority="90" operator="between">
      <formula>$Z$12</formula>
      <formula>$AA$12</formula>
    </cfRule>
    <cfRule type="cellIs" dxfId="167" priority="89" operator="between">
      <formula>$Z$11</formula>
      <formula>$AA$11</formula>
    </cfRule>
    <cfRule type="cellIs" dxfId="166" priority="88" operator="between">
      <formula>$Z$10</formula>
      <formula>$AA$10</formula>
    </cfRule>
    <cfRule type="cellIs" dxfId="165" priority="87" operator="between">
      <formula>$Z$9</formula>
      <formula>$AA$9</formula>
    </cfRule>
    <cfRule type="cellIs" dxfId="164" priority="86" operator="between">
      <formula>$Z$8</formula>
      <formula>$AA$8</formula>
    </cfRule>
  </conditionalFormatting>
  <conditionalFormatting sqref="C142:D144">
    <cfRule type="cellIs" dxfId="163" priority="81" operator="between">
      <formula>$Z$8</formula>
      <formula>$AA$8</formula>
    </cfRule>
    <cfRule type="cellIs" dxfId="162" priority="85" operator="between">
      <formula>$Z$12</formula>
      <formula>$AA$12</formula>
    </cfRule>
    <cfRule type="cellIs" dxfId="161" priority="84" operator="between">
      <formula>$Z$11</formula>
      <formula>$AA$11</formula>
    </cfRule>
    <cfRule type="cellIs" dxfId="160" priority="83" operator="between">
      <formula>$Z$10</formula>
      <formula>$AA$10</formula>
    </cfRule>
    <cfRule type="cellIs" dxfId="159" priority="82" operator="between">
      <formula>$Z$9</formula>
      <formula>$AA$9</formula>
    </cfRule>
  </conditionalFormatting>
  <conditionalFormatting sqref="C148:D150">
    <cfRule type="cellIs" dxfId="158" priority="80" operator="between">
      <formula>$Z$12</formula>
      <formula>$AA$12</formula>
    </cfRule>
    <cfRule type="cellIs" dxfId="157" priority="79" operator="between">
      <formula>$Z$11</formula>
      <formula>$AA$11</formula>
    </cfRule>
    <cfRule type="cellIs" dxfId="156" priority="78" operator="between">
      <formula>$Z$10</formula>
      <formula>$AA$10</formula>
    </cfRule>
    <cfRule type="cellIs" dxfId="155" priority="77" operator="between">
      <formula>$Z$9</formula>
      <formula>$AA$9</formula>
    </cfRule>
    <cfRule type="cellIs" dxfId="154" priority="76" operator="between">
      <formula>$Z$8</formula>
      <formula>$AA$8</formula>
    </cfRule>
  </conditionalFormatting>
  <conditionalFormatting sqref="C154:D156">
    <cfRule type="cellIs" dxfId="153" priority="75" operator="between">
      <formula>$Z$12</formula>
      <formula>$AA$12</formula>
    </cfRule>
    <cfRule type="cellIs" dxfId="152" priority="74" operator="between">
      <formula>$Z$11</formula>
      <formula>$AA$11</formula>
    </cfRule>
    <cfRule type="cellIs" dxfId="151" priority="73" operator="between">
      <formula>$Z$10</formula>
      <formula>$AA$10</formula>
    </cfRule>
    <cfRule type="cellIs" dxfId="150" priority="72" operator="between">
      <formula>$Z$9</formula>
      <formula>$AA$9</formula>
    </cfRule>
    <cfRule type="cellIs" dxfId="149" priority="71" operator="between">
      <formula>$Z$8</formula>
      <formula>$AA$8</formula>
    </cfRule>
  </conditionalFormatting>
  <conditionalFormatting sqref="C160:D162">
    <cfRule type="cellIs" dxfId="148" priority="70" operator="between">
      <formula>$Z$12</formula>
      <formula>$AA$12</formula>
    </cfRule>
    <cfRule type="cellIs" dxfId="147" priority="69" operator="between">
      <formula>$Z$11</formula>
      <formula>$AA$11</formula>
    </cfRule>
    <cfRule type="cellIs" dxfId="146" priority="68" operator="between">
      <formula>$Z$10</formula>
      <formula>$AA$10</formula>
    </cfRule>
    <cfRule type="cellIs" dxfId="145" priority="67" operator="between">
      <formula>$Z$9</formula>
      <formula>$AA$9</formula>
    </cfRule>
    <cfRule type="cellIs" dxfId="144" priority="66" operator="between">
      <formula>$Z$8</formula>
      <formula>$AA$8</formula>
    </cfRule>
  </conditionalFormatting>
  <conditionalFormatting sqref="C166:D168">
    <cfRule type="cellIs" dxfId="143" priority="65" operator="between">
      <formula>$Z$12</formula>
      <formula>$AA$12</formula>
    </cfRule>
    <cfRule type="cellIs" dxfId="142" priority="64" operator="between">
      <formula>$Z$11</formula>
      <formula>$AA$11</formula>
    </cfRule>
    <cfRule type="cellIs" dxfId="141" priority="63" operator="between">
      <formula>$Z$10</formula>
      <formula>$AA$10</formula>
    </cfRule>
    <cfRule type="cellIs" dxfId="140" priority="62" operator="between">
      <formula>$Z$9</formula>
      <formula>$AA$9</formula>
    </cfRule>
    <cfRule type="cellIs" dxfId="139" priority="61" operator="between">
      <formula>$Z$8</formula>
      <formula>$AA$8</formula>
    </cfRule>
  </conditionalFormatting>
  <conditionalFormatting sqref="C172:D174">
    <cfRule type="cellIs" dxfId="138" priority="60" operator="between">
      <formula>$Z$12</formula>
      <formula>$AA$12</formula>
    </cfRule>
    <cfRule type="cellIs" dxfId="137" priority="59" operator="between">
      <formula>$Z$11</formula>
      <formula>$AA$11</formula>
    </cfRule>
    <cfRule type="cellIs" dxfId="136" priority="58" operator="between">
      <formula>$Z$10</formula>
      <formula>$AA$10</formula>
    </cfRule>
    <cfRule type="cellIs" dxfId="135" priority="57" operator="between">
      <formula>$Z$9</formula>
      <formula>$AA$9</formula>
    </cfRule>
    <cfRule type="cellIs" dxfId="134" priority="56" operator="between">
      <formula>$Z$8</formula>
      <formula>$AA$8</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50" operator="between">
      <formula>$Z$12</formula>
      <formula>$AA$12</formula>
    </cfRule>
    <cfRule type="cellIs" dxfId="127" priority="49" operator="between">
      <formula>$Z$11</formula>
      <formula>$AA$11</formula>
    </cfRule>
    <cfRule type="cellIs" dxfId="126" priority="48" operator="between">
      <formula>$Z$10</formula>
      <formula>$AA$10</formula>
    </cfRule>
    <cfRule type="cellIs" dxfId="125" priority="47" operator="between">
      <formula>$Z$9</formula>
      <formula>$AA$9</formula>
    </cfRule>
    <cfRule type="cellIs" dxfId="124" priority="46" operator="between">
      <formula>$Z$8</formula>
      <formula>$AA$8</formula>
    </cfRule>
  </conditionalFormatting>
  <conditionalFormatting sqref="V130:W132">
    <cfRule type="cellIs" dxfId="123" priority="45" operator="between">
      <formula>$Z$12</formula>
      <formula>$AA$12</formula>
    </cfRule>
    <cfRule type="cellIs" dxfId="122" priority="44" operator="between">
      <formula>$Z$11</formula>
      <formula>$AA$11</formula>
    </cfRule>
    <cfRule type="cellIs" dxfId="121" priority="43" operator="between">
      <formula>$Z$10</formula>
      <formula>$AA$10</formula>
    </cfRule>
    <cfRule type="cellIs" dxfId="120" priority="42" operator="between">
      <formula>$Z$9</formula>
      <formula>$AA$9</formula>
    </cfRule>
    <cfRule type="cellIs" dxfId="119" priority="41" operator="between">
      <formula>$Z$8</formula>
      <formula>$AA$8</formula>
    </cfRule>
  </conditionalFormatting>
  <conditionalFormatting sqref="V136:W138">
    <cfRule type="cellIs" dxfId="118" priority="40" operator="between">
      <formula>$Z$12</formula>
      <formula>$AA$12</formula>
    </cfRule>
    <cfRule type="cellIs" dxfId="117" priority="39" operator="between">
      <formula>$Z$11</formula>
      <formula>$AA$11</formula>
    </cfRule>
    <cfRule type="cellIs" dxfId="116" priority="38" operator="between">
      <formula>$Z$10</formula>
      <formula>$AA$10</formula>
    </cfRule>
    <cfRule type="cellIs" dxfId="115" priority="37" operator="between">
      <formula>$Z$9</formula>
      <formula>$AA$9</formula>
    </cfRule>
    <cfRule type="cellIs" dxfId="114" priority="36" operator="between">
      <formula>$Z$8</formula>
      <formula>$AA$8</formula>
    </cfRule>
  </conditionalFormatting>
  <conditionalFormatting sqref="V142:W144">
    <cfRule type="cellIs" dxfId="113" priority="35" operator="between">
      <formula>$Z$12</formula>
      <formula>$AA$12</formula>
    </cfRule>
    <cfRule type="cellIs" dxfId="112" priority="34" operator="between">
      <formula>$Z$11</formula>
      <formula>$AA$11</formula>
    </cfRule>
    <cfRule type="cellIs" dxfId="111" priority="33" operator="between">
      <formula>$Z$10</formula>
      <formula>$AA$10</formula>
    </cfRule>
    <cfRule type="cellIs" dxfId="110" priority="32" operator="between">
      <formula>$Z$9</formula>
      <formula>$AA$9</formula>
    </cfRule>
    <cfRule type="cellIs" dxfId="109" priority="31" operator="between">
      <formula>$Z$8</formula>
      <formula>$AA$8</formula>
    </cfRule>
  </conditionalFormatting>
  <conditionalFormatting sqref="V148:W150">
    <cfRule type="cellIs" dxfId="108" priority="30" operator="between">
      <formula>$Z$12</formula>
      <formula>$AA$12</formula>
    </cfRule>
    <cfRule type="cellIs" dxfId="107" priority="29" operator="between">
      <formula>$Z$11</formula>
      <formula>$AA$11</formula>
    </cfRule>
    <cfRule type="cellIs" dxfId="106" priority="28" operator="between">
      <formula>$Z$10</formula>
      <formula>$AA$10</formula>
    </cfRule>
    <cfRule type="cellIs" dxfId="105" priority="27" operator="between">
      <formula>$Z$9</formula>
      <formula>$AA$9</formula>
    </cfRule>
    <cfRule type="cellIs" dxfId="104" priority="26" operator="between">
      <formula>$Z$8</formula>
      <formula>$AA$8</formula>
    </cfRule>
  </conditionalFormatting>
  <conditionalFormatting sqref="V154:W156">
    <cfRule type="cellIs" dxfId="103" priority="25" operator="between">
      <formula>$Z$12</formula>
      <formula>$AA$12</formula>
    </cfRule>
    <cfRule type="cellIs" dxfId="102" priority="24" operator="between">
      <formula>$Z$11</formula>
      <formula>$AA$11</formula>
    </cfRule>
    <cfRule type="cellIs" dxfId="101" priority="23" operator="between">
      <formula>$Z$10</formula>
      <formula>$AA$10</formula>
    </cfRule>
    <cfRule type="cellIs" dxfId="100" priority="22" operator="between">
      <formula>$Z$9</formula>
      <formula>$AA$9</formula>
    </cfRule>
    <cfRule type="cellIs" dxfId="99" priority="21" operator="between">
      <formula>$Z$8</formula>
      <formula>$AA$8</formula>
    </cfRule>
  </conditionalFormatting>
  <conditionalFormatting sqref="V160:W162">
    <cfRule type="cellIs" dxfId="98" priority="20" operator="between">
      <formula>$Z$12</formula>
      <formula>$AA$12</formula>
    </cfRule>
    <cfRule type="cellIs" dxfId="97" priority="19" operator="between">
      <formula>$Z$11</formula>
      <formula>$AA$11</formula>
    </cfRule>
    <cfRule type="cellIs" dxfId="96" priority="18" operator="between">
      <formula>$Z$10</formula>
      <formula>$AA$10</formula>
    </cfRule>
    <cfRule type="cellIs" dxfId="95" priority="17" operator="between">
      <formula>$Z$9</formula>
      <formula>$AA$9</formula>
    </cfRule>
    <cfRule type="cellIs" dxfId="94" priority="16" operator="between">
      <formula>$Z$8</formula>
      <formula>$AA$8</formula>
    </cfRule>
  </conditionalFormatting>
  <conditionalFormatting sqref="V166:W168">
    <cfRule type="cellIs" dxfId="93" priority="15" operator="between">
      <formula>$Z$12</formula>
      <formula>$AA$12</formula>
    </cfRule>
    <cfRule type="cellIs" dxfId="92" priority="14" operator="between">
      <formula>$Z$11</formula>
      <formula>$AA$11</formula>
    </cfRule>
    <cfRule type="cellIs" dxfId="91" priority="12" operator="between">
      <formula>$Z$9</formula>
      <formula>$AA$9</formula>
    </cfRule>
    <cfRule type="cellIs" dxfId="90" priority="11" operator="between">
      <formula>$Z$8</formula>
      <formula>$AA$8</formula>
    </cfRule>
    <cfRule type="cellIs" dxfId="89" priority="13" operator="between">
      <formula>$Z$10</formula>
      <formula>$AA$10</formula>
    </cfRule>
  </conditionalFormatting>
  <conditionalFormatting sqref="V172:W174">
    <cfRule type="cellIs" dxfId="88" priority="10" operator="between">
      <formula>$Z$12</formula>
      <formula>$AA$12</formula>
    </cfRule>
    <cfRule type="cellIs" dxfId="87" priority="9" operator="between">
      <formula>$Z$11</formula>
      <formula>$AA$11</formula>
    </cfRule>
    <cfRule type="cellIs" dxfId="86" priority="8" operator="between">
      <formula>$Z$10</formula>
      <formula>$AA$10</formula>
    </cfRule>
    <cfRule type="cellIs" dxfId="85" priority="6" operator="between">
      <formula>$Z$8</formula>
      <formula>$AA$8</formula>
    </cfRule>
    <cfRule type="cellIs" dxfId="84" priority="7" operator="between">
      <formula>$Z$9</formula>
      <formula>$AA$9</formula>
    </cfRule>
  </conditionalFormatting>
  <conditionalFormatting sqref="V178:W180">
    <cfRule type="cellIs" dxfId="83" priority="1" operator="between">
      <formula>$Z$8</formula>
      <formula>$AA$8</formula>
    </cfRule>
    <cfRule type="cellIs" dxfId="82" priority="5" operator="between">
      <formula>$Z$12</formula>
      <formula>$AA$12</formula>
    </cfRule>
    <cfRule type="cellIs" dxfId="81" priority="4" operator="between">
      <formula>$Z$11</formula>
      <formula>$AA$11</formula>
    </cfRule>
    <cfRule type="cellIs" dxfId="80" priority="3" operator="between">
      <formula>$Z$10</formula>
      <formula>$AA$10</formula>
    </cfRule>
    <cfRule type="cellIs" dxfId="79" priority="2" operator="between">
      <formula>$Z$9</formula>
      <formula>$AA$9</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defaultColWidth="10.7109375" defaultRowHeight="13.15"/>
  <cols>
    <col min="1" max="1" width="35.42578125" style="102" customWidth="1"/>
    <col min="2" max="2" width="47.28515625" style="102" customWidth="1"/>
    <col min="3" max="3" width="42.42578125" style="102" customWidth="1"/>
    <col min="4" max="4" width="34.42578125" style="102" customWidth="1"/>
    <col min="5" max="5" width="27.28515625" style="102" customWidth="1"/>
    <col min="6" max="6" width="45.42578125" style="102" customWidth="1"/>
    <col min="7" max="7" width="22.28515625" style="102" customWidth="1"/>
    <col min="8" max="8" width="20.7109375" style="102" customWidth="1"/>
    <col min="9" max="9" width="46.28515625" style="102" customWidth="1"/>
    <col min="10" max="10" width="10.7109375" style="102"/>
    <col min="11" max="11" width="20.7109375" style="102" customWidth="1"/>
    <col min="12" max="12" width="14.42578125" style="102" customWidth="1"/>
    <col min="13" max="14" width="21" style="102" customWidth="1"/>
    <col min="15" max="16" width="10.7109375" style="102"/>
    <col min="17" max="17" width="14.7109375" style="102" customWidth="1"/>
    <col min="18" max="18" width="10.7109375" style="102"/>
    <col min="19" max="19" width="16.42578125" style="102" customWidth="1"/>
    <col min="20" max="20" width="10.7109375" style="102"/>
    <col min="21" max="21" width="30.28515625" style="102" customWidth="1"/>
    <col min="22" max="16384" width="10.7109375" style="102"/>
  </cols>
  <sheetData>
    <row r="1" spans="1:23" ht="25.5" customHeight="1">
      <c r="A1" s="504" t="s">
        <v>334</v>
      </c>
      <c r="B1" s="504"/>
      <c r="E1" s="503" t="s">
        <v>335</v>
      </c>
      <c r="F1" s="503"/>
      <c r="G1" s="503"/>
      <c r="H1" s="503"/>
    </row>
    <row r="2" spans="1:23" ht="49.15" customHeight="1">
      <c r="B2" s="113" t="s">
        <v>107</v>
      </c>
      <c r="C2" s="113"/>
      <c r="E2" s="502" t="s">
        <v>258</v>
      </c>
      <c r="F2" s="502"/>
      <c r="G2" s="502"/>
      <c r="H2" s="502"/>
      <c r="I2" s="502"/>
      <c r="K2" s="502" t="s">
        <v>336</v>
      </c>
      <c r="L2" s="502"/>
      <c r="M2" s="502"/>
      <c r="N2" s="502"/>
      <c r="P2" s="502" t="s">
        <v>53</v>
      </c>
      <c r="Q2" s="502"/>
      <c r="S2" s="103" t="s">
        <v>71</v>
      </c>
      <c r="U2" s="103" t="s">
        <v>337</v>
      </c>
      <c r="W2" s="53" t="s">
        <v>338</v>
      </c>
    </row>
    <row r="3" spans="1:23" ht="28.15" thickBot="1">
      <c r="A3" s="104" t="s">
        <v>339</v>
      </c>
      <c r="B3" s="113" t="s">
        <v>339</v>
      </c>
      <c r="C3" s="113" t="s">
        <v>107</v>
      </c>
      <c r="E3" s="105" t="s">
        <v>49</v>
      </c>
      <c r="F3" s="105" t="s">
        <v>51</v>
      </c>
      <c r="H3" s="105" t="s">
        <v>54</v>
      </c>
      <c r="I3" s="105" t="s">
        <v>56</v>
      </c>
      <c r="K3" s="103" t="s">
        <v>264</v>
      </c>
      <c r="L3" s="103" t="s">
        <v>265</v>
      </c>
      <c r="M3" s="103" t="s">
        <v>340</v>
      </c>
      <c r="N3" s="103" t="s">
        <v>341</v>
      </c>
      <c r="P3" s="109" t="s">
        <v>49</v>
      </c>
      <c r="Q3" s="109" t="s">
        <v>342</v>
      </c>
      <c r="S3" s="104" t="s">
        <v>343</v>
      </c>
      <c r="U3" s="11" t="s">
        <v>344</v>
      </c>
      <c r="W3" s="36" t="s">
        <v>345</v>
      </c>
    </row>
    <row r="4" spans="1:23" ht="39.6">
      <c r="A4" s="112" t="s">
        <v>346</v>
      </c>
      <c r="B4" s="115" t="s">
        <v>346</v>
      </c>
      <c r="C4" s="126" t="s">
        <v>347</v>
      </c>
      <c r="E4" s="104" t="s">
        <v>273</v>
      </c>
      <c r="F4" s="106">
        <v>0.25</v>
      </c>
      <c r="H4" s="104" t="s">
        <v>320</v>
      </c>
      <c r="I4" s="106">
        <v>0.25</v>
      </c>
      <c r="K4" s="219" t="s">
        <v>275</v>
      </c>
      <c r="L4" s="104" t="s">
        <v>348</v>
      </c>
      <c r="M4" s="104" t="s">
        <v>277</v>
      </c>
      <c r="N4" s="104" t="s">
        <v>278</v>
      </c>
      <c r="P4" s="104" t="s">
        <v>273</v>
      </c>
      <c r="Q4" s="143" t="s">
        <v>211</v>
      </c>
      <c r="S4" s="104" t="s">
        <v>349</v>
      </c>
      <c r="U4" s="11" t="s">
        <v>350</v>
      </c>
      <c r="W4" s="36" t="s">
        <v>351</v>
      </c>
    </row>
    <row r="5" spans="1:23" ht="79.900000000000006" thickBot="1">
      <c r="A5" s="112" t="s">
        <v>352</v>
      </c>
      <c r="B5" s="119"/>
      <c r="C5" s="127"/>
      <c r="E5" s="104" t="s">
        <v>353</v>
      </c>
      <c r="F5" s="106">
        <v>0.15</v>
      </c>
      <c r="H5" s="104" t="s">
        <v>274</v>
      </c>
      <c r="I5" s="106">
        <v>0.15</v>
      </c>
      <c r="K5" s="219" t="s">
        <v>321</v>
      </c>
      <c r="L5" s="104" t="s">
        <v>354</v>
      </c>
      <c r="M5" s="104" t="s">
        <v>355</v>
      </c>
      <c r="N5" s="104" t="s">
        <v>356</v>
      </c>
      <c r="P5" s="104" t="s">
        <v>353</v>
      </c>
      <c r="Q5" s="143" t="s">
        <v>211</v>
      </c>
      <c r="S5" s="104" t="s">
        <v>357</v>
      </c>
      <c r="U5" s="11" t="s">
        <v>358</v>
      </c>
      <c r="W5" s="36" t="s">
        <v>359</v>
      </c>
    </row>
    <row r="6" spans="1:23" ht="27.6">
      <c r="A6" s="112" t="s">
        <v>360</v>
      </c>
      <c r="B6" s="121" t="s">
        <v>352</v>
      </c>
      <c r="C6" s="128" t="s">
        <v>361</v>
      </c>
      <c r="E6" s="104" t="s">
        <v>362</v>
      </c>
      <c r="F6" s="106">
        <v>0.1</v>
      </c>
      <c r="H6" s="104"/>
      <c r="I6" s="104"/>
      <c r="K6" s="219" t="s">
        <v>363</v>
      </c>
      <c r="L6" s="104"/>
      <c r="M6" s="104"/>
      <c r="N6" s="104" t="s">
        <v>364</v>
      </c>
      <c r="P6" s="104" t="s">
        <v>362</v>
      </c>
      <c r="Q6" s="143" t="s">
        <v>241</v>
      </c>
      <c r="S6" s="104" t="s">
        <v>365</v>
      </c>
      <c r="U6" s="11" t="s">
        <v>366</v>
      </c>
      <c r="W6" s="104"/>
    </row>
    <row r="7" spans="1:23" ht="13.9" thickBot="1">
      <c r="A7" s="112" t="s">
        <v>367</v>
      </c>
      <c r="B7" s="119"/>
      <c r="C7" s="127"/>
      <c r="E7" s="104"/>
      <c r="F7" s="106"/>
      <c r="P7" s="107"/>
      <c r="S7" s="104" t="s">
        <v>368</v>
      </c>
    </row>
    <row r="8" spans="1:23">
      <c r="A8" s="112" t="s">
        <v>369</v>
      </c>
      <c r="B8" s="121" t="s">
        <v>360</v>
      </c>
      <c r="C8" s="128" t="s">
        <v>166</v>
      </c>
      <c r="S8" s="104"/>
    </row>
    <row r="9" spans="1:23" ht="27" thickBot="1">
      <c r="A9" s="112" t="s">
        <v>370</v>
      </c>
      <c r="B9" s="123"/>
      <c r="C9" s="127"/>
    </row>
    <row r="10" spans="1:23">
      <c r="A10" s="112" t="s">
        <v>371</v>
      </c>
      <c r="B10" s="121" t="s">
        <v>367</v>
      </c>
      <c r="C10" s="128" t="s">
        <v>372</v>
      </c>
    </row>
    <row r="11" spans="1:23" ht="14.25" customHeight="1" thickBot="1">
      <c r="A11" s="114"/>
      <c r="B11" s="119"/>
      <c r="C11" s="127"/>
    </row>
    <row r="12" spans="1:23" ht="14.25" customHeight="1">
      <c r="B12" s="121" t="s">
        <v>369</v>
      </c>
      <c r="C12" s="122" t="s">
        <v>347</v>
      </c>
    </row>
    <row r="13" spans="1:23" ht="14.25" customHeight="1">
      <c r="A13" s="217" t="s">
        <v>112</v>
      </c>
      <c r="B13" s="118"/>
      <c r="C13" s="117" t="s">
        <v>361</v>
      </c>
    </row>
    <row r="14" spans="1:23" ht="14.25" customHeight="1">
      <c r="A14" s="218" t="s">
        <v>119</v>
      </c>
      <c r="B14" s="116"/>
      <c r="C14" s="117" t="s">
        <v>166</v>
      </c>
    </row>
    <row r="15" spans="1:23" ht="14.25" customHeight="1">
      <c r="A15" s="218" t="s">
        <v>144</v>
      </c>
      <c r="B15" s="116"/>
      <c r="C15" s="117" t="s">
        <v>372</v>
      </c>
    </row>
    <row r="16" spans="1:23" ht="14.25" customHeight="1">
      <c r="A16" s="218" t="s">
        <v>373</v>
      </c>
      <c r="B16" s="116"/>
      <c r="C16" s="117" t="s">
        <v>374</v>
      </c>
    </row>
    <row r="17" spans="1:5" ht="14.25" customHeight="1" thickBot="1">
      <c r="A17" s="218" t="s">
        <v>375</v>
      </c>
      <c r="B17" s="119"/>
      <c r="C17" s="120"/>
    </row>
    <row r="18" spans="1:5">
      <c r="A18" s="218" t="s">
        <v>376</v>
      </c>
      <c r="B18" s="121" t="s">
        <v>370</v>
      </c>
      <c r="C18" s="122" t="s">
        <v>347</v>
      </c>
    </row>
    <row r="19" spans="1:5" ht="14.25" customHeight="1">
      <c r="B19" s="116"/>
      <c r="C19" s="117" t="s">
        <v>361</v>
      </c>
    </row>
    <row r="20" spans="1:5" ht="14.25" customHeight="1">
      <c r="B20" s="116"/>
      <c r="C20" s="117" t="s">
        <v>166</v>
      </c>
    </row>
    <row r="21" spans="1:5" ht="14.25" customHeight="1">
      <c r="B21" s="116"/>
      <c r="C21" s="117" t="s">
        <v>372</v>
      </c>
    </row>
    <row r="22" spans="1:5" ht="14.25" customHeight="1">
      <c r="B22" s="116"/>
      <c r="C22" s="117" t="s">
        <v>374</v>
      </c>
    </row>
    <row r="23" spans="1:5" ht="14.25" customHeight="1" thickBot="1">
      <c r="B23" s="123"/>
      <c r="C23" s="124"/>
    </row>
    <row r="24" spans="1:5" ht="14.25" customHeight="1">
      <c r="B24" s="121" t="s">
        <v>371</v>
      </c>
      <c r="C24" s="122" t="s">
        <v>374</v>
      </c>
    </row>
    <row r="25" spans="1:5" ht="14.25" customHeight="1">
      <c r="B25" s="116"/>
      <c r="C25" s="117" t="s">
        <v>361</v>
      </c>
    </row>
    <row r="26" spans="1:5" ht="14.25" customHeight="1" thickBot="1">
      <c r="B26" s="119"/>
      <c r="C26" s="120"/>
    </row>
    <row r="30" spans="1:5">
      <c r="A30" s="217"/>
      <c r="B30" s="217"/>
      <c r="C30" s="217"/>
      <c r="D30" s="217"/>
      <c r="E30" s="217"/>
    </row>
    <row r="31" spans="1:5" ht="26.45">
      <c r="A31" s="102" t="s">
        <v>119</v>
      </c>
      <c r="B31" s="102" t="s">
        <v>144</v>
      </c>
      <c r="C31" s="102" t="s">
        <v>377</v>
      </c>
      <c r="D31" s="102" t="s">
        <v>168</v>
      </c>
      <c r="E31" s="102" t="s">
        <v>378</v>
      </c>
    </row>
    <row r="32" spans="1:5" ht="26.45">
      <c r="A32" s="226" t="s">
        <v>131</v>
      </c>
      <c r="B32" s="102" t="s">
        <v>149</v>
      </c>
      <c r="C32" s="102" t="s">
        <v>379</v>
      </c>
      <c r="D32" s="102" t="s">
        <v>380</v>
      </c>
      <c r="E32" s="102" t="s">
        <v>380</v>
      </c>
    </row>
    <row r="33" spans="1:9" ht="26.45">
      <c r="A33" s="226" t="s">
        <v>120</v>
      </c>
      <c r="B33" s="102" t="s">
        <v>145</v>
      </c>
      <c r="C33" s="102" t="s">
        <v>381</v>
      </c>
      <c r="D33" s="102" t="s">
        <v>169</v>
      </c>
      <c r="E33" s="102" t="s">
        <v>169</v>
      </c>
    </row>
    <row r="34" spans="1:9" ht="26.45">
      <c r="A34" s="226" t="s">
        <v>124</v>
      </c>
      <c r="B34" s="102" t="s">
        <v>382</v>
      </c>
      <c r="C34" s="102" t="s">
        <v>383</v>
      </c>
      <c r="D34" s="102" t="s">
        <v>384</v>
      </c>
      <c r="E34" s="102" t="s">
        <v>384</v>
      </c>
    </row>
    <row r="35" spans="1:9" ht="26.45">
      <c r="B35" s="102" t="s">
        <v>385</v>
      </c>
    </row>
    <row r="37" spans="1:9">
      <c r="H37" s="102" t="s">
        <v>108</v>
      </c>
      <c r="I37" s="102" t="s">
        <v>386</v>
      </c>
    </row>
    <row r="38" spans="1:9" ht="105.6">
      <c r="A38" s="232" t="s">
        <v>117</v>
      </c>
      <c r="B38" s="232" t="s">
        <v>387</v>
      </c>
      <c r="C38" s="232" t="s">
        <v>166</v>
      </c>
      <c r="D38" s="232" t="s">
        <v>388</v>
      </c>
      <c r="E38" s="232" t="s">
        <v>374</v>
      </c>
      <c r="F38" s="232" t="s">
        <v>389</v>
      </c>
      <c r="H38" s="102" t="s">
        <v>117</v>
      </c>
      <c r="I38" s="102" t="s">
        <v>390</v>
      </c>
    </row>
    <row r="39" spans="1:9" ht="66">
      <c r="A39" s="228" t="s">
        <v>118</v>
      </c>
      <c r="B39" s="229" t="s">
        <v>391</v>
      </c>
      <c r="C39" s="229" t="s">
        <v>392</v>
      </c>
      <c r="D39" s="228" t="s">
        <v>393</v>
      </c>
      <c r="E39" s="228" t="s">
        <v>394</v>
      </c>
      <c r="F39" s="230" t="s">
        <v>395</v>
      </c>
      <c r="H39" s="102" t="s">
        <v>387</v>
      </c>
      <c r="I39" s="102" t="s">
        <v>396</v>
      </c>
    </row>
    <row r="40" spans="1:9" ht="39.6">
      <c r="A40" s="228" t="s">
        <v>397</v>
      </c>
      <c r="B40" s="229" t="s">
        <v>398</v>
      </c>
      <c r="C40" s="229" t="s">
        <v>173</v>
      </c>
      <c r="D40" s="231" t="s">
        <v>399</v>
      </c>
      <c r="E40" s="231" t="s">
        <v>400</v>
      </c>
      <c r="F40" s="228" t="s">
        <v>401</v>
      </c>
      <c r="H40" s="102" t="s">
        <v>166</v>
      </c>
      <c r="I40" s="102" t="s">
        <v>402</v>
      </c>
    </row>
    <row r="41" spans="1:9" ht="26.45">
      <c r="A41" s="228" t="s">
        <v>403</v>
      </c>
      <c r="B41" s="229" t="s">
        <v>404</v>
      </c>
      <c r="C41" s="229" t="s">
        <v>405</v>
      </c>
      <c r="D41" s="231" t="s">
        <v>406</v>
      </c>
      <c r="E41" s="231" t="s">
        <v>407</v>
      </c>
      <c r="F41" s="231" t="s">
        <v>408</v>
      </c>
      <c r="H41" s="102" t="s">
        <v>388</v>
      </c>
      <c r="I41" s="102" t="s">
        <v>409</v>
      </c>
    </row>
    <row r="42" spans="1:9" ht="27.6">
      <c r="A42" s="228" t="s">
        <v>410</v>
      </c>
      <c r="B42" s="229" t="s">
        <v>411</v>
      </c>
      <c r="C42" s="229" t="s">
        <v>167</v>
      </c>
      <c r="D42" s="231" t="s">
        <v>412</v>
      </c>
      <c r="E42" s="231" t="s">
        <v>413</v>
      </c>
      <c r="F42" s="231" t="s">
        <v>414</v>
      </c>
      <c r="H42" s="102" t="s">
        <v>374</v>
      </c>
      <c r="I42" s="102" t="s">
        <v>415</v>
      </c>
    </row>
    <row r="43" spans="1:9" ht="26.45">
      <c r="A43" s="228" t="s">
        <v>416</v>
      </c>
      <c r="B43" s="227"/>
      <c r="C43" s="227"/>
      <c r="D43" s="231" t="s">
        <v>417</v>
      </c>
      <c r="E43" s="227"/>
      <c r="F43" s="227"/>
      <c r="H43" s="102" t="s">
        <v>389</v>
      </c>
      <c r="I43" s="102" t="s">
        <v>418</v>
      </c>
    </row>
    <row r="44" spans="1:9" ht="27.6">
      <c r="A44" s="228" t="s">
        <v>419</v>
      </c>
      <c r="B44" s="227"/>
      <c r="C44" s="227"/>
      <c r="D44" s="227"/>
      <c r="E44" s="227"/>
      <c r="F44" s="227"/>
    </row>
    <row r="45" spans="1:9" ht="41.45">
      <c r="A45" s="228" t="s">
        <v>420</v>
      </c>
      <c r="B45" s="227"/>
      <c r="C45" s="227"/>
      <c r="D45" s="227"/>
      <c r="E45" s="227"/>
      <c r="F45" s="227"/>
    </row>
    <row r="46" spans="1:9" ht="27.6">
      <c r="A46" s="228" t="s">
        <v>159</v>
      </c>
      <c r="B46" s="227"/>
      <c r="C46" s="227"/>
      <c r="D46" s="227"/>
      <c r="E46" s="227"/>
      <c r="F46" s="227"/>
    </row>
    <row r="47" spans="1:9" ht="27.6">
      <c r="A47" s="228" t="s">
        <v>421</v>
      </c>
      <c r="B47" s="227"/>
      <c r="C47" s="227"/>
      <c r="D47" s="227"/>
      <c r="E47" s="227"/>
      <c r="F47" s="227"/>
    </row>
    <row r="50" spans="1:4">
      <c r="A50" s="497" t="s">
        <v>422</v>
      </c>
      <c r="B50" s="498"/>
      <c r="C50" s="234" t="s">
        <v>423</v>
      </c>
      <c r="D50" s="234" t="s">
        <v>424</v>
      </c>
    </row>
    <row r="51" spans="1:4" ht="13.9">
      <c r="A51" s="505" t="s">
        <v>425</v>
      </c>
      <c r="B51" s="233" t="s">
        <v>273</v>
      </c>
      <c r="C51" s="235">
        <v>0.25</v>
      </c>
      <c r="D51" s="235" t="s">
        <v>211</v>
      </c>
    </row>
    <row r="52" spans="1:4" ht="13.9">
      <c r="A52" s="506"/>
      <c r="B52" s="233" t="s">
        <v>353</v>
      </c>
      <c r="C52" s="235">
        <v>0.15</v>
      </c>
      <c r="D52" s="235" t="s">
        <v>211</v>
      </c>
    </row>
    <row r="53" spans="1:4" ht="13.9">
      <c r="A53" s="507"/>
      <c r="B53" s="233" t="s">
        <v>362</v>
      </c>
      <c r="C53" s="235">
        <v>0.1</v>
      </c>
      <c r="D53" s="235" t="s">
        <v>241</v>
      </c>
    </row>
    <row r="54" spans="1:4" ht="13.9">
      <c r="A54" s="233" t="s">
        <v>426</v>
      </c>
      <c r="B54" s="233" t="s">
        <v>320</v>
      </c>
      <c r="C54" s="235">
        <v>0.25</v>
      </c>
    </row>
    <row r="55" spans="1:4" ht="23.45">
      <c r="A55" s="233" t="s">
        <v>427</v>
      </c>
      <c r="B55" s="233" t="s">
        <v>274</v>
      </c>
      <c r="C55" s="235">
        <v>0.15</v>
      </c>
    </row>
    <row r="58" spans="1:4" ht="14.45">
      <c r="A58" t="s">
        <v>428</v>
      </c>
      <c r="B58"/>
      <c r="C58"/>
    </row>
    <row r="59" spans="1:4">
      <c r="A59" s="497" t="s">
        <v>422</v>
      </c>
      <c r="B59" s="498"/>
      <c r="C59" s="238" t="s">
        <v>386</v>
      </c>
    </row>
    <row r="60" spans="1:4" ht="80.650000000000006" customHeight="1">
      <c r="A60" s="499" t="s">
        <v>264</v>
      </c>
      <c r="B60" s="228" t="s">
        <v>275</v>
      </c>
      <c r="C60" s="228" t="s">
        <v>429</v>
      </c>
    </row>
    <row r="61" spans="1:4" ht="34.5" customHeight="1">
      <c r="A61" s="500"/>
      <c r="B61" s="228" t="s">
        <v>321</v>
      </c>
      <c r="C61" s="228" t="s">
        <v>430</v>
      </c>
    </row>
    <row r="62" spans="1:4" ht="34.5" customHeight="1">
      <c r="A62" s="501"/>
      <c r="B62" s="228" t="s">
        <v>363</v>
      </c>
      <c r="C62" s="228" t="s">
        <v>431</v>
      </c>
    </row>
    <row r="63" spans="1:4" ht="12.75" customHeight="1">
      <c r="A63" s="228" t="s">
        <v>265</v>
      </c>
      <c r="B63" s="228" t="s">
        <v>432</v>
      </c>
      <c r="C63" s="228" t="s">
        <v>433</v>
      </c>
    </row>
    <row r="64" spans="1:4" ht="13.9">
      <c r="A64" s="228"/>
      <c r="B64" s="228" t="s">
        <v>282</v>
      </c>
      <c r="C64" s="228"/>
    </row>
    <row r="65" spans="1:3" ht="13.9">
      <c r="A65" s="228"/>
      <c r="B65" s="228" t="s">
        <v>434</v>
      </c>
      <c r="C65" s="228"/>
    </row>
    <row r="66" spans="1:3" ht="13.9">
      <c r="A66" s="228"/>
      <c r="B66" s="228" t="s">
        <v>292</v>
      </c>
      <c r="C66" s="228"/>
    </row>
    <row r="67" spans="1:3" ht="13.9">
      <c r="A67" s="228"/>
      <c r="B67" s="228" t="s">
        <v>313</v>
      </c>
      <c r="C67" s="228"/>
    </row>
    <row r="68" spans="1:3" ht="13.9">
      <c r="A68" s="228"/>
      <c r="B68" s="228" t="s">
        <v>276</v>
      </c>
      <c r="C68" s="228"/>
    </row>
    <row r="69" spans="1:3" ht="13.9">
      <c r="A69" s="228"/>
      <c r="B69" s="228" t="s">
        <v>435</v>
      </c>
      <c r="C69" s="228"/>
    </row>
    <row r="70" spans="1:3" ht="12.75" customHeight="1">
      <c r="A70" s="228" t="s">
        <v>436</v>
      </c>
      <c r="B70" s="228" t="s">
        <v>277</v>
      </c>
      <c r="C70" s="228" t="s">
        <v>437</v>
      </c>
    </row>
    <row r="71" spans="1:3" ht="13.9">
      <c r="A71" s="228"/>
      <c r="B71" s="228" t="s">
        <v>355</v>
      </c>
      <c r="C71" s="228"/>
    </row>
    <row r="72" spans="1:3" ht="25.15">
      <c r="A72" s="228" t="s">
        <v>438</v>
      </c>
      <c r="B72" s="228" t="s">
        <v>278</v>
      </c>
      <c r="C72" s="228" t="s">
        <v>439</v>
      </c>
    </row>
    <row r="73" spans="1:3" ht="69" customHeight="1">
      <c r="A73" s="228"/>
      <c r="B73" s="228" t="s">
        <v>322</v>
      </c>
      <c r="C73" s="228" t="s">
        <v>440</v>
      </c>
    </row>
    <row r="74" spans="1:3" ht="34.5" customHeight="1">
      <c r="A74" s="228"/>
      <c r="B74" s="228" t="s">
        <v>364</v>
      </c>
      <c r="C74" s="228" t="s">
        <v>441</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D10" sqref="D10"/>
    </sheetView>
  </sheetViews>
  <sheetFormatPr defaultColWidth="0" defaultRowHeight="13.15" zeroHeight="1"/>
  <cols>
    <col min="1" max="1" width="11.42578125" style="51" customWidth="1"/>
    <col min="2" max="2" width="36.5703125" style="51" customWidth="1"/>
    <col min="3" max="3" width="13.42578125" style="51" customWidth="1"/>
    <col min="4" max="4" width="13" style="51" customWidth="1"/>
    <col min="5" max="5" width="16.42578125" style="51" customWidth="1"/>
    <col min="6" max="6" width="13.42578125" style="51" customWidth="1"/>
    <col min="7" max="7" width="29.7109375" style="51" bestFit="1" customWidth="1"/>
    <col min="8" max="8" width="10.28515625" style="51" bestFit="1" customWidth="1"/>
    <col min="9" max="9" width="11.5703125" style="51" customWidth="1"/>
    <col min="10" max="10" width="29" style="51" bestFit="1" customWidth="1"/>
    <col min="11" max="11" width="15.42578125" style="51" customWidth="1"/>
    <col min="12" max="15" width="12.42578125" style="51" customWidth="1"/>
    <col min="16" max="16" width="3.7109375" style="51" customWidth="1"/>
    <col min="17" max="17" width="4.7109375" style="51" customWidth="1"/>
    <col min="18" max="18" width="5.7109375" style="51" bestFit="1" customWidth="1"/>
    <col min="19" max="24" width="14" style="51" customWidth="1"/>
    <col min="25" max="25" width="11.42578125" style="51" customWidth="1"/>
    <col min="26" max="29" width="11.42578125" style="51" hidden="1" customWidth="1"/>
    <col min="30" max="30" width="5.42578125" style="51" hidden="1" customWidth="1"/>
    <col min="31" max="31" width="26.7109375" style="51" hidden="1" customWidth="1"/>
    <col min="32" max="36" width="22.71093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19.899999999999999" customHeight="1" thickTop="1">
      <c r="A1" s="360"/>
      <c r="B1" s="341" t="s">
        <v>92</v>
      </c>
      <c r="C1" s="342"/>
      <c r="D1" s="342"/>
      <c r="E1" s="342"/>
      <c r="F1" s="342"/>
      <c r="G1" s="342"/>
      <c r="H1" s="342"/>
      <c r="I1" s="343"/>
      <c r="J1" s="310" t="s">
        <v>93</v>
      </c>
      <c r="K1" s="311"/>
      <c r="L1" s="260"/>
    </row>
    <row r="2" spans="1:38" s="4" customFormat="1" ht="19.899999999999999" customHeight="1">
      <c r="A2" s="361"/>
      <c r="B2" s="344"/>
      <c r="C2" s="345"/>
      <c r="D2" s="345"/>
      <c r="E2" s="345"/>
      <c r="F2" s="345"/>
      <c r="G2" s="345"/>
      <c r="H2" s="345"/>
      <c r="I2" s="346"/>
      <c r="J2" s="312" t="s">
        <v>94</v>
      </c>
      <c r="K2" s="313"/>
      <c r="L2" s="260"/>
    </row>
    <row r="3" spans="1:38" s="3" customFormat="1" ht="16.149999999999999" thickBot="1">
      <c r="A3" s="362"/>
      <c r="B3" s="347" t="s">
        <v>95</v>
      </c>
      <c r="C3" s="348"/>
      <c r="D3" s="348"/>
      <c r="E3" s="348"/>
      <c r="F3" s="348"/>
      <c r="G3" s="348"/>
      <c r="H3" s="348"/>
      <c r="I3" s="349"/>
      <c r="J3" s="314" t="s">
        <v>96</v>
      </c>
      <c r="K3" s="315"/>
      <c r="L3" s="261"/>
    </row>
    <row r="4" spans="1:38" s="3" customFormat="1" ht="16.899999999999999" customHeight="1" thickTop="1">
      <c r="A4" s="351"/>
      <c r="B4" s="352"/>
      <c r="C4" s="352"/>
      <c r="D4" s="352"/>
      <c r="E4" s="352"/>
      <c r="F4" s="352"/>
      <c r="G4" s="352"/>
      <c r="H4" s="352"/>
      <c r="I4" s="352"/>
      <c r="J4" s="352"/>
      <c r="K4" s="353"/>
    </row>
    <row r="5" spans="1:38" s="28" customFormat="1" ht="27" customHeight="1">
      <c r="A5" s="108" t="s">
        <v>97</v>
      </c>
      <c r="B5" s="272" t="str">
        <f>'2 IDENTIFICACIÓN'!B5</f>
        <v>ALCALDIA DE BUCARAMANGA</v>
      </c>
      <c r="C5" s="291"/>
      <c r="D5" s="291"/>
      <c r="E5" s="288"/>
      <c r="F5" s="251" t="s">
        <v>99</v>
      </c>
      <c r="G5" s="272" t="str">
        <f>'2 IDENTIFICACIÓN'!G5</f>
        <v>SEGURIDAD, PROTECCIÓN Y CONVIVENCIA CIUDADANA</v>
      </c>
      <c r="H5" s="288"/>
      <c r="I5" s="251" t="s">
        <v>101</v>
      </c>
      <c r="J5" s="286">
        <f>'2 IDENTIFICACIÓN'!J5</f>
        <v>2026</v>
      </c>
      <c r="K5" s="292"/>
    </row>
    <row r="6" spans="1:38" s="28" customFormat="1" ht="14.45" thickBot="1">
      <c r="A6" s="263"/>
      <c r="B6" s="7"/>
      <c r="C6" s="7"/>
      <c r="D6" s="7"/>
      <c r="E6" s="7"/>
      <c r="F6" s="263"/>
      <c r="G6" s="168"/>
      <c r="H6" s="168"/>
      <c r="I6" s="168"/>
      <c r="J6" s="168"/>
      <c r="K6" s="168"/>
      <c r="S6" s="293"/>
      <c r="T6" s="293"/>
      <c r="U6" s="293"/>
    </row>
    <row r="7" spans="1:38" s="293" customFormat="1" ht="13.9" thickBot="1">
      <c r="D7" s="39"/>
      <c r="E7" s="289"/>
      <c r="F7" s="39"/>
      <c r="I7" s="444" t="s">
        <v>442</v>
      </c>
      <c r="J7" s="445"/>
      <c r="K7" s="445"/>
      <c r="L7" s="445"/>
      <c r="M7" s="445"/>
      <c r="N7" s="445"/>
      <c r="O7" s="446"/>
      <c r="R7" s="294"/>
      <c r="S7" s="295"/>
      <c r="T7" s="440" t="s">
        <v>241</v>
      </c>
      <c r="U7" s="440"/>
      <c r="V7" s="440"/>
      <c r="W7" s="440"/>
      <c r="X7" s="441"/>
      <c r="AF7" s="38"/>
      <c r="AG7" s="38"/>
      <c r="AH7" s="38"/>
      <c r="AI7" s="38"/>
      <c r="AJ7" s="38"/>
    </row>
    <row r="8" spans="1:38">
      <c r="A8" s="43"/>
      <c r="B8" s="43"/>
      <c r="C8" s="43"/>
      <c r="D8" s="43"/>
      <c r="E8" s="437" t="s">
        <v>443</v>
      </c>
      <c r="F8" s="437"/>
      <c r="G8" s="437"/>
      <c r="H8" s="43"/>
      <c r="I8" s="296"/>
      <c r="J8" s="297"/>
      <c r="K8" s="440" t="s">
        <v>241</v>
      </c>
      <c r="L8" s="440"/>
      <c r="M8" s="440"/>
      <c r="N8" s="440"/>
      <c r="O8" s="441"/>
      <c r="P8" s="43"/>
      <c r="R8" s="298"/>
      <c r="T8" s="48">
        <v>0.2</v>
      </c>
      <c r="U8" s="48">
        <v>0.4</v>
      </c>
      <c r="V8" s="48">
        <v>0.6</v>
      </c>
      <c r="W8" s="48">
        <v>0.8</v>
      </c>
      <c r="X8" s="49">
        <v>1</v>
      </c>
      <c r="Y8" s="299"/>
      <c r="Z8" s="299"/>
      <c r="AA8" s="299"/>
      <c r="AB8" s="299"/>
      <c r="AC8" s="299"/>
      <c r="AD8" s="299"/>
      <c r="AE8" s="299"/>
    </row>
    <row r="9" spans="1:38" ht="40.15" customHeight="1">
      <c r="A9" s="53" t="s">
        <v>200</v>
      </c>
      <c r="B9" s="53" t="s">
        <v>244</v>
      </c>
      <c r="C9" s="53" t="s">
        <v>444</v>
      </c>
      <c r="D9" s="53" t="s">
        <v>444</v>
      </c>
      <c r="E9" s="53" t="s">
        <v>211</v>
      </c>
      <c r="F9" s="53" t="s">
        <v>241</v>
      </c>
      <c r="G9" s="53" t="s">
        <v>445</v>
      </c>
      <c r="H9" s="43"/>
      <c r="I9" s="298"/>
      <c r="J9" s="53"/>
      <c r="K9" s="56" t="s">
        <v>218</v>
      </c>
      <c r="L9" s="56" t="s">
        <v>225</v>
      </c>
      <c r="M9" s="56" t="s">
        <v>231</v>
      </c>
      <c r="N9" s="56" t="s">
        <v>235</v>
      </c>
      <c r="O9" s="57" t="s">
        <v>238</v>
      </c>
      <c r="P9" s="43"/>
      <c r="R9" s="298"/>
      <c r="S9" s="258"/>
      <c r="T9" s="59" t="s">
        <v>218</v>
      </c>
      <c r="U9" s="59" t="s">
        <v>225</v>
      </c>
      <c r="V9" s="59" t="s">
        <v>231</v>
      </c>
      <c r="W9" s="59" t="s">
        <v>235</v>
      </c>
      <c r="X9" s="60" t="s">
        <v>238</v>
      </c>
      <c r="AA9" s="299"/>
      <c r="AB9" s="299"/>
      <c r="AC9" s="300"/>
      <c r="AD9" s="300"/>
      <c r="AE9" s="300"/>
      <c r="AF9" s="300"/>
      <c r="AG9" s="300"/>
      <c r="AH9" s="300"/>
      <c r="AI9" s="300"/>
      <c r="AJ9" s="300"/>
      <c r="AK9" s="300"/>
      <c r="AL9" s="300"/>
    </row>
    <row r="10" spans="1:38" ht="93" customHeight="1">
      <c r="A10" s="62" t="str">
        <f>'2 IDENTIFICACIÓN'!A10</f>
        <v>R1</v>
      </c>
      <c r="B10" s="258" t="str">
        <f>+'2 IDENTIFICACIÓN'!J10</f>
        <v>Posibilidad de afectación reputacional por  posibles investigaciones y sanciones disciplinarias por entes de control, debido a  incumplimiento de la Ley 594 del 2000 en los documentos generados por la Secretaría del Interior</v>
      </c>
      <c r="C10" s="89">
        <f>+'5 VALORACIÓN DEL CONTROL'!T15</f>
        <v>0.6</v>
      </c>
      <c r="D10" s="64">
        <f>+'5 VALORACIÓN DEL CONTROL'!U15</f>
        <v>0.6</v>
      </c>
      <c r="E10" s="64" t="str">
        <f>+IF(C10=0,"",IF(C10&lt;=$R$14,$S$14,IF(C10&lt;=$R$13,$S$13,IF(C10&lt;=$R$12,$S$12,IF(C10&lt;=$R$11,$S$11,IF(C10&lt;=$R$10,$S$10,""))))))</f>
        <v>Media</v>
      </c>
      <c r="F10" s="64" t="str">
        <f>+IF(D10=0,"",IF(D10&lt;=$T$8,$T$9,IF(D10&lt;=$U$8,$U$9,IF(D10&lt;=$V$8,$V$9,IF(D10&lt;=$W$8,$W$9,IF(D10&lt;=$X$8,$X$9,""))))))</f>
        <v>Moderado</v>
      </c>
      <c r="G10" s="258"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I10" s="442" t="s">
        <v>211</v>
      </c>
      <c r="J10" s="56" t="s">
        <v>236</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508" t="s">
        <v>211</v>
      </c>
      <c r="R10" s="68">
        <v>1</v>
      </c>
      <c r="S10" s="59" t="s">
        <v>236</v>
      </c>
      <c r="T10" s="66" t="s">
        <v>245</v>
      </c>
      <c r="U10" s="66" t="s">
        <v>245</v>
      </c>
      <c r="V10" s="66" t="s">
        <v>245</v>
      </c>
      <c r="W10" s="66" t="s">
        <v>245</v>
      </c>
      <c r="X10" s="67" t="s">
        <v>246</v>
      </c>
      <c r="AA10" s="299"/>
      <c r="AB10" s="299"/>
      <c r="AC10" s="300"/>
      <c r="AD10" s="300"/>
      <c r="AE10" s="300"/>
      <c r="AF10" s="69"/>
      <c r="AG10" s="69"/>
      <c r="AH10" s="69"/>
      <c r="AI10" s="69"/>
      <c r="AJ10" s="69"/>
      <c r="AK10" s="300"/>
      <c r="AL10" s="300"/>
    </row>
    <row r="11" spans="1:38" ht="93" customHeight="1">
      <c r="A11" s="62" t="str">
        <f>'2 IDENTIFICACIÓN'!A11</f>
        <v>R2</v>
      </c>
      <c r="B11" s="258" t="str">
        <f>+'2 IDENTIFICACIÓN'!J11</f>
        <v>Posibilidad de afectación económica y reputacional por  investigaciones y sanciones por entes de control,  debido a   la demora en los procesos de contratación y presupuestal  relacionados con la atención de niños, niñas y adolescentes en período de restablecimiento de derechos (hogar de paso), incumpliendo la Ley 1098 de 2006.</v>
      </c>
      <c r="C11" s="89">
        <f>+'5 VALORACIÓN DEL CONTROL'!T21</f>
        <v>0.6</v>
      </c>
      <c r="D11" s="64">
        <f>+'5 VALORACIÓN DEL CONTROL'!U21</f>
        <v>0.8</v>
      </c>
      <c r="E11" s="64" t="str">
        <f t="shared" ref="E11:E39" si="0">+IF(C11=0,"",IF(C11&lt;=$R$14,$S$14,IF(C11&lt;=$R$13,$S$13,IF(C11&lt;=$R$12,$S$12,IF(C11&lt;=$R$11,$S$11,IF(C11&lt;=$R$10,$S$10,""))))))</f>
        <v>Media</v>
      </c>
      <c r="F11" s="64" t="str">
        <f t="shared" ref="F11:F39" si="1">+IF(D11=0,"",IF(D11&lt;=$T$8,$T$9,IF(D11&lt;=$U$8,$U$9,IF(D11&lt;=$V$8,$V$9,IF(D11&lt;=$W$8,$W$9,IF(D11&lt;=$X$8,$X$9,""))))))</f>
        <v>Mayor</v>
      </c>
      <c r="G11" s="258"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Alto</v>
      </c>
      <c r="I11" s="442"/>
      <c r="J11" s="56" t="s">
        <v>233</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508"/>
      <c r="R11" s="68">
        <v>0.8</v>
      </c>
      <c r="S11" s="59" t="s">
        <v>233</v>
      </c>
      <c r="T11" s="70" t="s">
        <v>231</v>
      </c>
      <c r="U11" s="70" t="s">
        <v>231</v>
      </c>
      <c r="V11" s="66" t="s">
        <v>245</v>
      </c>
      <c r="W11" s="66" t="s">
        <v>245</v>
      </c>
      <c r="X11" s="67" t="s">
        <v>246</v>
      </c>
      <c r="AA11" s="299"/>
      <c r="AB11" s="299"/>
      <c r="AC11" s="300"/>
      <c r="AD11" s="301"/>
      <c r="AE11" s="72"/>
      <c r="AF11" s="69"/>
      <c r="AG11" s="69"/>
      <c r="AH11" s="69"/>
      <c r="AI11" s="69"/>
      <c r="AJ11" s="69"/>
      <c r="AK11" s="300"/>
      <c r="AL11" s="300"/>
    </row>
    <row r="12" spans="1:38" ht="93" customHeight="1">
      <c r="A12" s="62" t="str">
        <f>'2 IDENTIFICACIÓN'!A12</f>
        <v>R3</v>
      </c>
      <c r="B12" s="258" t="str">
        <f>+'2 IDENTIFICACIÓN'!J12</f>
        <v>Posibilidad de afectación reputacional por  debilidades en la planeación, gestión y ejecución de las obligaciones contractuales por parte de las unidades gestoras,  debido a  deficiencias en la supervisión y ejecución oportuna de los procesos contractuales producto de la constitución de reservas presupuestales.</v>
      </c>
      <c r="C12" s="89">
        <f>+'5 VALORACIÓN DEL CONTROL'!T27</f>
        <v>0.6</v>
      </c>
      <c r="D12" s="64">
        <f>+'5 VALORACIÓN DEL CONTROL'!U27</f>
        <v>1</v>
      </c>
      <c r="E12" s="64" t="str">
        <f t="shared" si="0"/>
        <v>Media</v>
      </c>
      <c r="F12" s="64" t="str">
        <f t="shared" si="1"/>
        <v>Catastrófico</v>
      </c>
      <c r="G12" s="258"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Extremo</v>
      </c>
      <c r="I12" s="442"/>
      <c r="J12" s="56" t="s">
        <v>229</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R11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R9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R1    R5  R7      R13    R17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 R2      R8    R12  R14 R15 R16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R3   R6              </v>
      </c>
      <c r="Q12" s="508"/>
      <c r="R12" s="68">
        <v>0.6</v>
      </c>
      <c r="S12" s="59" t="s">
        <v>229</v>
      </c>
      <c r="T12" s="70" t="s">
        <v>231</v>
      </c>
      <c r="U12" s="70" t="s">
        <v>231</v>
      </c>
      <c r="V12" s="70" t="s">
        <v>231</v>
      </c>
      <c r="W12" s="66" t="s">
        <v>245</v>
      </c>
      <c r="X12" s="67" t="s">
        <v>246</v>
      </c>
      <c r="AA12" s="299"/>
      <c r="AB12" s="299"/>
      <c r="AC12" s="300"/>
      <c r="AD12" s="301"/>
      <c r="AE12" s="72"/>
      <c r="AF12" s="69"/>
      <c r="AG12" s="69"/>
      <c r="AH12" s="69"/>
      <c r="AI12" s="69"/>
      <c r="AJ12" s="73"/>
      <c r="AK12" s="300"/>
      <c r="AL12" s="300"/>
    </row>
    <row r="13" spans="1:38" ht="93" customHeight="1">
      <c r="A13" s="62" t="str">
        <f>'2 IDENTIFICACIÓN'!A13</f>
        <v>R4</v>
      </c>
      <c r="B13" s="258" t="str">
        <f>+'2 IDENTIFICACIÓN'!J13</f>
        <v>Posibilidad de afectación económica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v>
      </c>
      <c r="C13" s="89">
        <f>+'5 VALORACIÓN DEL CONTROL'!T33</f>
        <v>0.4</v>
      </c>
      <c r="D13" s="64">
        <f>+'5 VALORACIÓN DEL CONTROL'!U33</f>
        <v>0.8</v>
      </c>
      <c r="E13" s="64" t="str">
        <f t="shared" si="0"/>
        <v>Baja</v>
      </c>
      <c r="F13" s="64" t="str">
        <f t="shared" si="1"/>
        <v>Mayor</v>
      </c>
      <c r="G13" s="258"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Alto</v>
      </c>
      <c r="I13" s="442"/>
      <c r="J13" s="56" t="s">
        <v>223</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R4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R10          </v>
      </c>
      <c r="Q13" s="508"/>
      <c r="R13" s="68">
        <v>0.4</v>
      </c>
      <c r="S13" s="59" t="s">
        <v>223</v>
      </c>
      <c r="T13" s="74" t="s">
        <v>247</v>
      </c>
      <c r="U13" s="70" t="s">
        <v>231</v>
      </c>
      <c r="V13" s="70" t="s">
        <v>231</v>
      </c>
      <c r="W13" s="66" t="s">
        <v>245</v>
      </c>
      <c r="X13" s="67" t="s">
        <v>246</v>
      </c>
      <c r="AA13" s="299"/>
      <c r="AB13" s="299"/>
      <c r="AC13" s="300"/>
      <c r="AD13" s="301"/>
      <c r="AE13" s="72"/>
      <c r="AF13" s="69"/>
      <c r="AG13" s="69"/>
      <c r="AH13" s="69"/>
      <c r="AI13" s="73"/>
      <c r="AJ13" s="69"/>
      <c r="AK13" s="300"/>
      <c r="AL13" s="300"/>
    </row>
    <row r="14" spans="1:38" ht="93" customHeight="1" thickBot="1">
      <c r="A14" s="62" t="str">
        <f>'2 IDENTIFICACIÓN'!A14</f>
        <v>R5</v>
      </c>
      <c r="B14" s="258" t="str">
        <f>+'2 IDENTIFICACIÓN'!J14</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4" s="89">
        <f>+'5 VALORACIÓN DEL CONTROL'!T39</f>
        <v>0.6</v>
      </c>
      <c r="D14" s="64">
        <f>+'5 VALORACIÓN DEL CONTROL'!U39</f>
        <v>0.6</v>
      </c>
      <c r="E14" s="64" t="str">
        <f t="shared" si="0"/>
        <v>Media</v>
      </c>
      <c r="F14" s="64" t="str">
        <f t="shared" si="1"/>
        <v>Moderado</v>
      </c>
      <c r="G14" s="258" t="str">
        <f t="shared" si="2"/>
        <v>Moderado</v>
      </c>
      <c r="I14" s="443"/>
      <c r="J14" s="75" t="s">
        <v>216</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508"/>
      <c r="R14" s="80">
        <v>0.2</v>
      </c>
      <c r="S14" s="81" t="s">
        <v>216</v>
      </c>
      <c r="T14" s="76" t="s">
        <v>247</v>
      </c>
      <c r="U14" s="76" t="s">
        <v>247</v>
      </c>
      <c r="V14" s="77" t="s">
        <v>231</v>
      </c>
      <c r="W14" s="78" t="s">
        <v>245</v>
      </c>
      <c r="X14" s="79" t="s">
        <v>246</v>
      </c>
      <c r="AA14" s="299"/>
      <c r="AB14" s="299"/>
      <c r="AC14" s="300"/>
      <c r="AD14" s="301"/>
      <c r="AE14" s="72"/>
      <c r="AF14" s="69"/>
      <c r="AG14" s="69"/>
      <c r="AH14" s="69"/>
      <c r="AI14" s="69"/>
      <c r="AJ14" s="69"/>
      <c r="AK14" s="300"/>
      <c r="AL14" s="300"/>
    </row>
    <row r="15" spans="1:38" ht="93" customHeight="1">
      <c r="A15" s="62" t="str">
        <f>'2 IDENTIFICACIÓN'!A15</f>
        <v>R6</v>
      </c>
      <c r="B15" s="258" t="str">
        <f>+'2 IDENTIFICACIÓN'!J15</f>
        <v>Posibilidad de afectación económica y reputacional por investigaciones y sanciones disciplinarias por entes de control,  debido a la falta de seguimiento al cumplimiento de metas del Plan de Desarrollo Municipal programadas para la vigencia.</v>
      </c>
      <c r="C15" s="89">
        <f>+'5 VALORACIÓN DEL CONTROL'!T45</f>
        <v>0.6</v>
      </c>
      <c r="D15" s="64">
        <f>+'5 VALORACIÓN DEL CONTROL'!U45</f>
        <v>1</v>
      </c>
      <c r="E15" s="64" t="str">
        <f t="shared" si="0"/>
        <v>Media</v>
      </c>
      <c r="F15" s="64" t="str">
        <f t="shared" si="1"/>
        <v>Catastrófico</v>
      </c>
      <c r="G15" s="258" t="str">
        <f t="shared" si="2"/>
        <v>Extremo</v>
      </c>
      <c r="AA15" s="299"/>
      <c r="AB15" s="299"/>
      <c r="AC15" s="300"/>
      <c r="AD15" s="301"/>
      <c r="AE15" s="72"/>
      <c r="AF15" s="69"/>
      <c r="AG15" s="69"/>
      <c r="AH15" s="69"/>
      <c r="AI15" s="69"/>
      <c r="AJ15" s="69"/>
      <c r="AK15" s="300"/>
      <c r="AL15" s="300"/>
    </row>
    <row r="16" spans="1:38" ht="93" customHeight="1">
      <c r="A16" s="62" t="str">
        <f>'2 IDENTIFICACIÓN'!A16</f>
        <v>R7</v>
      </c>
      <c r="B16" s="258" t="str">
        <f>+'2 IDENTIFICACIÓN'!J16</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6" s="89">
        <f>+'5 VALORACIÓN DEL CONTROL'!T51</f>
        <v>0.6</v>
      </c>
      <c r="D16" s="64">
        <f>+'5 VALORACIÓN DEL CONTROL'!U51</f>
        <v>0.6</v>
      </c>
      <c r="E16" s="64" t="str">
        <f t="shared" si="0"/>
        <v>Media</v>
      </c>
      <c r="F16" s="64" t="str">
        <f t="shared" si="1"/>
        <v>Moderado</v>
      </c>
      <c r="G16" s="258" t="str">
        <f t="shared" si="2"/>
        <v>Moderado</v>
      </c>
      <c r="T16" s="53" t="s">
        <v>248</v>
      </c>
      <c r="V16" s="299"/>
      <c r="W16" s="299"/>
      <c r="X16" s="299"/>
      <c r="Y16" s="299"/>
      <c r="Z16" s="299"/>
      <c r="AA16" s="299"/>
      <c r="AB16" s="299"/>
      <c r="AC16" s="300"/>
      <c r="AD16" s="301"/>
      <c r="AE16" s="300"/>
      <c r="AF16" s="72"/>
      <c r="AG16" s="72"/>
      <c r="AH16" s="72"/>
      <c r="AI16" s="72"/>
      <c r="AJ16" s="72"/>
      <c r="AK16" s="300"/>
      <c r="AL16" s="300"/>
    </row>
    <row r="17" spans="1:38" ht="93" customHeight="1">
      <c r="A17" s="62" t="str">
        <f>'2 IDENTIFICACIÓN'!A17</f>
        <v>R8</v>
      </c>
      <c r="B17" s="258" t="str">
        <f>+'2 IDENTIFICACIÓN'!J17</f>
        <v>Posibilidad  de efecto dañoso sobre bienes de uso público por   pérdida, extravío, hurto, robo o declaratoria de bienes muebles faltantes  de la entidad, debido a  la deficiencias en la aplicación de los procedimientos de actualización, custodia y control de inventarios institucionales.</v>
      </c>
      <c r="C17" s="89">
        <f>+'5 VALORACIÓN DEL CONTROL'!T57</f>
        <v>0.6</v>
      </c>
      <c r="D17" s="64">
        <f>+'5 VALORACIÓN DEL CONTROL'!U57</f>
        <v>0.8</v>
      </c>
      <c r="E17" s="64" t="str">
        <f t="shared" si="0"/>
        <v>Media</v>
      </c>
      <c r="F17" s="64" t="str">
        <f t="shared" si="1"/>
        <v>Mayor</v>
      </c>
      <c r="G17" s="258" t="str">
        <f t="shared" si="2"/>
        <v>Alto</v>
      </c>
      <c r="T17" s="83" t="s">
        <v>246</v>
      </c>
      <c r="V17" s="299"/>
      <c r="W17" s="299"/>
      <c r="X17" s="299"/>
      <c r="Y17" s="299"/>
      <c r="Z17" s="299"/>
      <c r="AA17" s="299"/>
      <c r="AB17" s="299"/>
      <c r="AC17" s="300"/>
      <c r="AD17" s="300"/>
      <c r="AE17" s="300"/>
      <c r="AF17" s="69"/>
      <c r="AG17" s="69"/>
      <c r="AH17" s="69"/>
      <c r="AI17" s="69"/>
      <c r="AJ17" s="69"/>
      <c r="AK17" s="300"/>
      <c r="AL17" s="300"/>
    </row>
    <row r="18" spans="1:38" ht="93" customHeight="1">
      <c r="A18" s="62" t="str">
        <f>'2 IDENTIFICACIÓN'!A18</f>
        <v>R9</v>
      </c>
      <c r="B18" s="258" t="str">
        <f>+'2 IDENTIFICACIÓN'!J18</f>
        <v>Posibilidad  de efecto dañoso sobre el recurso público por pago de sanción e intereses moratorios,  debido a trámite inoportuno a los requerimientos de los entes de control y vigilancia, de acuerdo con sus lineamientos y términos de ley.</v>
      </c>
      <c r="C18" s="89">
        <f>+'5 VALORACIÓN DEL CONTROL'!T63</f>
        <v>0.6</v>
      </c>
      <c r="D18" s="64">
        <f>+'5 VALORACIÓN DEL CONTROL'!U63</f>
        <v>0.4</v>
      </c>
      <c r="E18" s="64" t="str">
        <f t="shared" si="0"/>
        <v>Media</v>
      </c>
      <c r="F18" s="64" t="str">
        <f t="shared" si="1"/>
        <v>Menor</v>
      </c>
      <c r="G18" s="258" t="str">
        <f t="shared" si="2"/>
        <v>Moderado</v>
      </c>
      <c r="T18" s="66" t="s">
        <v>245</v>
      </c>
      <c r="U18" s="299"/>
      <c r="V18" s="299"/>
      <c r="W18" s="299"/>
      <c r="X18" s="299"/>
      <c r="Y18" s="299"/>
      <c r="Z18" s="299"/>
      <c r="AA18" s="299"/>
      <c r="AB18" s="299"/>
      <c r="AC18" s="300"/>
      <c r="AD18" s="300"/>
      <c r="AE18" s="300"/>
      <c r="AF18" s="69"/>
      <c r="AG18" s="69"/>
      <c r="AH18" s="69"/>
      <c r="AI18" s="69"/>
      <c r="AJ18" s="69"/>
      <c r="AK18" s="300"/>
      <c r="AL18" s="300"/>
    </row>
    <row r="19" spans="1:38" ht="93" customHeight="1">
      <c r="A19" s="62" t="str">
        <f>'2 IDENTIFICACIÓN'!A19</f>
        <v>R10</v>
      </c>
      <c r="B19" s="258" t="str">
        <f>+'2 IDENTIFICACIÓN'!J19</f>
        <v>Posibilidad  de efecto dañoso sobre el recurso público por  incumplimiento en las obligaciones del contratado, debido a a la deficiencias en la elaboración de especificaciones técnicas y seguimiento de los contratos e interventoría de la Entidad.</v>
      </c>
      <c r="C19" s="89">
        <f>+'5 VALORACIÓN DEL CONTROL'!T69</f>
        <v>0.4</v>
      </c>
      <c r="D19" s="64">
        <f>+'5 VALORACIÓN DEL CONTROL'!U69</f>
        <v>1</v>
      </c>
      <c r="E19" s="64" t="str">
        <f t="shared" si="0"/>
        <v>Baja</v>
      </c>
      <c r="F19" s="64" t="str">
        <f t="shared" si="1"/>
        <v>Catastrófico</v>
      </c>
      <c r="G19" s="258" t="str">
        <f t="shared" si="2"/>
        <v>Extremo</v>
      </c>
      <c r="S19" s="302"/>
      <c r="T19" s="70" t="s">
        <v>231</v>
      </c>
      <c r="U19" s="302"/>
      <c r="V19" s="302"/>
      <c r="W19" s="302"/>
      <c r="X19" s="302"/>
      <c r="Y19" s="302"/>
      <c r="Z19" s="302"/>
      <c r="AA19" s="302"/>
      <c r="AB19" s="302"/>
      <c r="AC19" s="300"/>
      <c r="AD19" s="300"/>
      <c r="AE19" s="303"/>
      <c r="AF19" s="303"/>
      <c r="AG19" s="303"/>
      <c r="AH19" s="303"/>
      <c r="AI19" s="303"/>
      <c r="AJ19" s="303"/>
      <c r="AK19" s="300"/>
      <c r="AL19" s="300"/>
    </row>
    <row r="20" spans="1:38" ht="93" customHeight="1">
      <c r="A20" s="62" t="str">
        <f>'2 IDENTIFICACIÓN'!A20</f>
        <v>R11</v>
      </c>
      <c r="B20" s="258" t="str">
        <f>+'2 IDENTIFICACIÓN'!J20</f>
        <v>Posibilidad  de efecto dañoso sobre el recurso público por el pago de costas procesales derivadas de fallos judiciales dentro de las acciones populares a cargo de la Secretaría de Interior  en contra del ente territorial, debido a al incumplimiento de disposiciones normativas y obligaciones legales aplicables.</v>
      </c>
      <c r="C20" s="89">
        <f>+'5 VALORACIÓN DEL CONTROL'!T75</f>
        <v>0.6</v>
      </c>
      <c r="D20" s="64">
        <f>+'5 VALORACIÓN DEL CONTROL'!U75</f>
        <v>0.2</v>
      </c>
      <c r="E20" s="64" t="str">
        <f t="shared" si="0"/>
        <v>Media</v>
      </c>
      <c r="F20" s="64" t="str">
        <f t="shared" si="1"/>
        <v>Leve</v>
      </c>
      <c r="G20" s="258" t="str">
        <f t="shared" si="2"/>
        <v>Moderado</v>
      </c>
      <c r="S20" s="302"/>
      <c r="T20" s="74" t="s">
        <v>247</v>
      </c>
      <c r="AA20" s="302"/>
      <c r="AB20" s="302"/>
      <c r="AC20" s="300"/>
      <c r="AD20" s="300"/>
      <c r="AE20" s="300"/>
      <c r="AF20" s="69"/>
      <c r="AG20" s="69"/>
      <c r="AH20" s="69"/>
      <c r="AI20" s="69"/>
      <c r="AJ20" s="69"/>
      <c r="AK20" s="300"/>
      <c r="AL20" s="300"/>
    </row>
    <row r="21" spans="1:38" ht="93" customHeight="1">
      <c r="A21" s="62" t="str">
        <f>'2 IDENTIFICACIÓN'!A21</f>
        <v>R12</v>
      </c>
      <c r="B21" s="258" t="str">
        <f>+'2 IDENTIFICACIÓN'!J21</f>
        <v>Posibilidad  de efecto dañoso sobre el recurso público por  incumplimientos en la gestión contractual durante las etapas precontractual, contractual y postcontractual,  debido a a debilidades en la aplicación y verificación de los requisitos y lineamientos establecidos en la normatividad vigente.</v>
      </c>
      <c r="C21" s="89">
        <f>+'5 VALORACIÓN DEL CONTROL'!T81</f>
        <v>0.6</v>
      </c>
      <c r="D21" s="64">
        <f>+'5 VALORACIÓN DEL CONTROL'!U81</f>
        <v>0.8</v>
      </c>
      <c r="E21" s="64" t="str">
        <f t="shared" si="0"/>
        <v>Media</v>
      </c>
      <c r="F21" s="64" t="str">
        <f t="shared" si="1"/>
        <v>Mayor</v>
      </c>
      <c r="G21" s="258" t="str">
        <f t="shared" si="2"/>
        <v>Alto</v>
      </c>
      <c r="Q21" s="304"/>
      <c r="R21" s="304"/>
      <c r="S21" s="302"/>
      <c r="AA21" s="302"/>
      <c r="AB21" s="302"/>
      <c r="AC21" s="300"/>
      <c r="AD21" s="300"/>
      <c r="AE21" s="300"/>
      <c r="AF21" s="69"/>
      <c r="AG21" s="69"/>
      <c r="AH21" s="69"/>
      <c r="AI21" s="69"/>
      <c r="AJ21" s="69"/>
      <c r="AK21" s="300"/>
      <c r="AL21" s="300"/>
    </row>
    <row r="22" spans="1:38" ht="93" customHeight="1">
      <c r="A22" s="62" t="str">
        <f>'2 IDENTIFICACIÓN'!A22</f>
        <v>R13</v>
      </c>
      <c r="B22" s="258" t="str">
        <f>+'2 IDENTIFICACIÓN'!J22</f>
        <v>Posibilidad de afectación económica por   investigaciones, sanciones y/o condenas promovidas por entes de control,  debido a al Incumplimiento en la cobertura de las garantías que amparan los riesgos definidos en la etapa precontractual de acuerdo al Manual de Contratación M-GJ-1140-170-001</v>
      </c>
      <c r="C22" s="89">
        <f>+'5 VALORACIÓN DEL CONTROL'!T87</f>
        <v>0.6</v>
      </c>
      <c r="D22" s="64">
        <f>+'5 VALORACIÓN DEL CONTROL'!U87</f>
        <v>0.6</v>
      </c>
      <c r="E22" s="64" t="str">
        <f t="shared" si="0"/>
        <v>Media</v>
      </c>
      <c r="F22" s="64" t="str">
        <f t="shared" si="1"/>
        <v>Moderado</v>
      </c>
      <c r="G22" s="258" t="str">
        <f t="shared" si="2"/>
        <v>Moderado</v>
      </c>
      <c r="Q22" s="304"/>
      <c r="R22" s="304"/>
      <c r="S22" s="305"/>
      <c r="AA22" s="302"/>
      <c r="AB22" s="302"/>
      <c r="AC22" s="300"/>
      <c r="AD22" s="69"/>
      <c r="AE22" s="69"/>
      <c r="AF22" s="69"/>
      <c r="AG22" s="69"/>
      <c r="AH22" s="69"/>
      <c r="AI22" s="69"/>
      <c r="AJ22" s="69"/>
      <c r="AK22" s="300"/>
      <c r="AL22" s="300"/>
    </row>
    <row r="23" spans="1:38" ht="93" customHeight="1">
      <c r="A23" s="62" t="str">
        <f>'2 IDENTIFICACIÓN'!A23</f>
        <v>R14</v>
      </c>
      <c r="B23" s="258" t="str">
        <f>+'2 IDENTIFICACIÓN'!J23</f>
        <v>Posibilidad de pérdida reputacional por  corrupción mediante la solicitud, ofrecimiento, recepción o aceptación de dádivas, beneficios o incentivos indebidos, a nombre propio o de terceros,  debido a  la  alterar, influir o favorecer alguna de las partes dentro de los procesos policivos adelantados por la Secretaría del Interior</v>
      </c>
      <c r="C23" s="89">
        <f>+'5 VALORACIÓN DEL CONTROL'!T93</f>
        <v>0.6</v>
      </c>
      <c r="D23" s="64">
        <f>+'5 VALORACIÓN DEL CONTROL'!U93</f>
        <v>0.8</v>
      </c>
      <c r="E23" s="64" t="str">
        <f t="shared" si="0"/>
        <v>Media</v>
      </c>
      <c r="F23" s="64" t="str">
        <f t="shared" si="1"/>
        <v>Mayor</v>
      </c>
      <c r="G23" s="258" t="str">
        <f t="shared" si="2"/>
        <v>Alto</v>
      </c>
      <c r="Q23" s="304"/>
      <c r="R23" s="304"/>
      <c r="AC23" s="300"/>
      <c r="AD23" s="306"/>
      <c r="AE23" s="306"/>
      <c r="AF23" s="306"/>
      <c r="AG23" s="306"/>
      <c r="AH23" s="306"/>
      <c r="AI23" s="306"/>
      <c r="AJ23" s="69"/>
      <c r="AK23" s="300"/>
      <c r="AL23" s="300"/>
    </row>
    <row r="24" spans="1:38" ht="93" customHeight="1">
      <c r="A24" s="62" t="str">
        <f>'2 IDENTIFICACIÓN'!A24</f>
        <v>R15</v>
      </c>
      <c r="B24" s="258" t="str">
        <f>+'2 IDENTIFICACIÓN'!J24</f>
        <v>Posibilidad de pérdida reputacional por  soborno entrante en los procesos administrativos de la Comisaría de Familia, al recibir o solicitar dádivas o beneficios a nombre propio o de terceros,  debido a  favorecimiento indebido a alguna de las partes en los procesos de la Comisaría de familia adscrita a la Secretaría del Interior.</v>
      </c>
      <c r="C24" s="89">
        <f>+'5 VALORACIÓN DEL CONTROL'!T99</f>
        <v>0.6</v>
      </c>
      <c r="D24" s="64">
        <f>+'5 VALORACIÓN DEL CONTROL'!U99</f>
        <v>0.8</v>
      </c>
      <c r="E24" s="64" t="str">
        <f t="shared" si="0"/>
        <v>Media</v>
      </c>
      <c r="F24" s="64" t="str">
        <f t="shared" si="1"/>
        <v>Mayor</v>
      </c>
      <c r="G24" s="258" t="str">
        <f t="shared" si="2"/>
        <v>Alto</v>
      </c>
      <c r="Q24" s="304"/>
      <c r="R24" s="304"/>
      <c r="AC24" s="300"/>
      <c r="AD24" s="69"/>
      <c r="AE24" s="69"/>
      <c r="AF24" s="69"/>
      <c r="AG24" s="69"/>
      <c r="AH24" s="69"/>
      <c r="AI24" s="69"/>
      <c r="AJ24" s="69"/>
      <c r="AK24" s="300"/>
      <c r="AL24" s="300"/>
    </row>
    <row r="25" spans="1:38" ht="93" customHeight="1">
      <c r="A25" s="62" t="str">
        <f>'2 IDENTIFICACIÓN'!A25</f>
        <v>R16</v>
      </c>
      <c r="B25" s="258" t="str">
        <f>+'2 IDENTIFICACIÓN'!J25</f>
        <v>Posibilidad de pérdida reputacional por  Corrupcion  entrante en el proceso de contratación de la Secretaría del Interior, al recibir o solicitar dádivas o beneficios a nombre propio o de terceros, debido a   favorecimiento indebido a alguna de las partes en los procesos de adjudicación de contratos.</v>
      </c>
      <c r="C25" s="89">
        <f>+'5 VALORACIÓN DEL CONTROL'!T105</f>
        <v>0.6</v>
      </c>
      <c r="D25" s="64">
        <f>+'5 VALORACIÓN DEL CONTROL'!U105</f>
        <v>0.8</v>
      </c>
      <c r="E25" s="64" t="str">
        <f t="shared" si="0"/>
        <v>Media</v>
      </c>
      <c r="F25" s="64" t="str">
        <f t="shared" si="1"/>
        <v>Mayor</v>
      </c>
      <c r="G25" s="258" t="str">
        <f t="shared" si="2"/>
        <v>Alto</v>
      </c>
      <c r="AC25" s="300"/>
      <c r="AD25" s="69"/>
      <c r="AE25" s="69"/>
      <c r="AF25" s="69"/>
      <c r="AG25" s="69"/>
      <c r="AH25" s="69"/>
      <c r="AI25" s="69"/>
      <c r="AJ25" s="69"/>
      <c r="AK25" s="300"/>
      <c r="AL25" s="300"/>
    </row>
    <row r="26" spans="1:38" ht="93" customHeight="1">
      <c r="A26" s="62" t="str">
        <f>'2 IDENTIFICACIÓN'!A26</f>
        <v>R17</v>
      </c>
      <c r="B26" s="258" t="str">
        <f>+'2 IDENTIFICACIÓN'!J26</f>
        <v>Posibilidad de pérdida reputacional por  ocupación o desarrollo urbanístico no controlado en zonas intervenidas con obras de mitigación del riesgo, debido a  deficiencias en el seguimiento de las actuaciones policivas y en la articulación interinstitucional para la atención de denuncias, reportes o alertas relacionadas con presuntas infracciones urbanísticas.</v>
      </c>
      <c r="C26" s="89">
        <f>+'5 VALORACIÓN DEL CONTROL'!T111</f>
        <v>0.6</v>
      </c>
      <c r="D26" s="64">
        <f>+'5 VALORACIÓN DEL CONTROL'!U111</f>
        <v>0.6</v>
      </c>
      <c r="E26" s="64" t="str">
        <f t="shared" si="0"/>
        <v>Media</v>
      </c>
      <c r="F26" s="64" t="str">
        <f t="shared" si="1"/>
        <v>Moderado</v>
      </c>
      <c r="G26" s="258" t="str">
        <f t="shared" si="2"/>
        <v>Moderado</v>
      </c>
    </row>
    <row r="27" spans="1:38" ht="93" customHeight="1">
      <c r="A27" s="62" t="str">
        <f>'2 IDENTIFICACIÓN'!A27</f>
        <v>R18</v>
      </c>
      <c r="B27" s="258" t="str">
        <f>+'2 IDENTIFICACIÓN'!J27</f>
        <v xml:space="preserve"> por  debido a </v>
      </c>
      <c r="C27" s="89">
        <f>+'5 VALORACIÓN DEL CONTROL'!T117</f>
        <v>0.6</v>
      </c>
      <c r="D27" s="64">
        <f>+'5 VALORACIÓN DEL CONTROL'!U117</f>
        <v>0</v>
      </c>
      <c r="E27" s="64" t="str">
        <f t="shared" si="0"/>
        <v>Media</v>
      </c>
      <c r="F27" s="64" t="str">
        <f t="shared" si="1"/>
        <v/>
      </c>
      <c r="G27" s="258" t="b">
        <f t="shared" si="2"/>
        <v>0</v>
      </c>
    </row>
    <row r="28" spans="1:38" ht="93" customHeight="1">
      <c r="A28" s="62" t="str">
        <f>'2 IDENTIFICACIÓN'!A28</f>
        <v>R19</v>
      </c>
      <c r="B28" s="258" t="str">
        <f>+'2 IDENTIFICACIÓN'!J28</f>
        <v xml:space="preserve"> por  debido a </v>
      </c>
      <c r="C28" s="89">
        <f>+'5 VALORACIÓN DEL CONTROL'!T123</f>
        <v>0.6</v>
      </c>
      <c r="D28" s="64">
        <f>+'5 VALORACIÓN DEL CONTROL'!U123</f>
        <v>0</v>
      </c>
      <c r="E28" s="64" t="str">
        <f t="shared" si="0"/>
        <v>Media</v>
      </c>
      <c r="F28" s="64" t="str">
        <f t="shared" si="1"/>
        <v/>
      </c>
      <c r="G28" s="258" t="b">
        <f t="shared" si="2"/>
        <v>0</v>
      </c>
    </row>
    <row r="29" spans="1:38" ht="93" customHeight="1">
      <c r="A29" s="62" t="str">
        <f>'2 IDENTIFICACIÓN'!A29</f>
        <v>R20</v>
      </c>
      <c r="B29" s="258" t="str">
        <f>+'2 IDENTIFICACIÓN'!J29</f>
        <v xml:space="preserve"> por  debido a </v>
      </c>
      <c r="C29" s="89">
        <f>+'5 VALORACIÓN DEL CONTROL'!T129</f>
        <v>0.6</v>
      </c>
      <c r="D29" s="64">
        <f>+'5 VALORACIÓN DEL CONTROL'!U129</f>
        <v>0</v>
      </c>
      <c r="E29" s="64" t="str">
        <f t="shared" si="0"/>
        <v>Media</v>
      </c>
      <c r="F29" s="64" t="str">
        <f t="shared" si="1"/>
        <v/>
      </c>
      <c r="G29" s="258" t="b">
        <f t="shared" si="2"/>
        <v>0</v>
      </c>
    </row>
    <row r="30" spans="1:38" ht="93" customHeight="1">
      <c r="A30" s="62" t="str">
        <f>'2 IDENTIFICACIÓN'!A30</f>
        <v>R21</v>
      </c>
      <c r="B30" s="258" t="str">
        <f>+'2 IDENTIFICACIÓN'!J30</f>
        <v xml:space="preserve"> por  debido a </v>
      </c>
      <c r="C30" s="89">
        <f>+'5 VALORACIÓN DEL CONTROL'!T135</f>
        <v>0.6</v>
      </c>
      <c r="D30" s="64">
        <f>+'5 VALORACIÓN DEL CONTROL'!U135</f>
        <v>0</v>
      </c>
      <c r="E30" s="64" t="str">
        <f t="shared" si="0"/>
        <v>Media</v>
      </c>
      <c r="F30" s="64" t="str">
        <f t="shared" si="1"/>
        <v/>
      </c>
      <c r="G30" s="258" t="b">
        <f t="shared" si="2"/>
        <v>0</v>
      </c>
    </row>
    <row r="31" spans="1:38" ht="93" customHeight="1">
      <c r="A31" s="62" t="str">
        <f>'2 IDENTIFICACIÓN'!A31</f>
        <v>R22</v>
      </c>
      <c r="B31" s="258" t="str">
        <f>+'2 IDENTIFICACIÓN'!J31</f>
        <v xml:space="preserve"> por  debido a </v>
      </c>
      <c r="C31" s="89">
        <f>+'5 VALORACIÓN DEL CONTROL'!T141</f>
        <v>0.6</v>
      </c>
      <c r="D31" s="64">
        <f>+'5 VALORACIÓN DEL CONTROL'!U141</f>
        <v>0</v>
      </c>
      <c r="E31" s="64" t="str">
        <f t="shared" si="0"/>
        <v>Media</v>
      </c>
      <c r="F31" s="64" t="str">
        <f t="shared" si="1"/>
        <v/>
      </c>
      <c r="G31" s="258" t="b">
        <f t="shared" si="2"/>
        <v>0</v>
      </c>
    </row>
    <row r="32" spans="1:38" ht="93" customHeight="1">
      <c r="A32" s="62" t="str">
        <f>'2 IDENTIFICACIÓN'!A32</f>
        <v>R23</v>
      </c>
      <c r="B32" s="258" t="str">
        <f>+'2 IDENTIFICACIÓN'!J32</f>
        <v xml:space="preserve"> por  debido a </v>
      </c>
      <c r="C32" s="89">
        <f>+'5 VALORACIÓN DEL CONTROL'!T147</f>
        <v>0.6</v>
      </c>
      <c r="D32" s="64">
        <f>+'5 VALORACIÓN DEL CONTROL'!U147</f>
        <v>0</v>
      </c>
      <c r="E32" s="64" t="str">
        <f t="shared" si="0"/>
        <v>Media</v>
      </c>
      <c r="F32" s="64" t="str">
        <f t="shared" si="1"/>
        <v/>
      </c>
      <c r="G32" s="258" t="b">
        <f t="shared" si="2"/>
        <v>0</v>
      </c>
    </row>
    <row r="33" spans="1:7" ht="93" customHeight="1">
      <c r="A33" s="62" t="str">
        <f>'2 IDENTIFICACIÓN'!A33</f>
        <v>R24</v>
      </c>
      <c r="B33" s="258" t="str">
        <f>+'2 IDENTIFICACIÓN'!J33</f>
        <v xml:space="preserve"> por  debido a </v>
      </c>
      <c r="C33" s="89">
        <f>+'5 VALORACIÓN DEL CONTROL'!T153</f>
        <v>0.6</v>
      </c>
      <c r="D33" s="64">
        <f>+'5 VALORACIÓN DEL CONTROL'!U153</f>
        <v>0</v>
      </c>
      <c r="E33" s="64" t="str">
        <f t="shared" si="0"/>
        <v>Media</v>
      </c>
      <c r="F33" s="64" t="str">
        <f t="shared" si="1"/>
        <v/>
      </c>
      <c r="G33" s="258" t="b">
        <f t="shared" si="2"/>
        <v>0</v>
      </c>
    </row>
    <row r="34" spans="1:7" ht="93" customHeight="1">
      <c r="A34" s="62" t="str">
        <f>'2 IDENTIFICACIÓN'!A34</f>
        <v>R25</v>
      </c>
      <c r="B34" s="258" t="str">
        <f>+'2 IDENTIFICACIÓN'!J34</f>
        <v xml:space="preserve"> por  debido a </v>
      </c>
      <c r="C34" s="89">
        <f>+'5 VALORACIÓN DEL CONTROL'!T159</f>
        <v>0.6</v>
      </c>
      <c r="D34" s="64">
        <f>+'5 VALORACIÓN DEL CONTROL'!U159</f>
        <v>0</v>
      </c>
      <c r="E34" s="64" t="str">
        <f t="shared" si="0"/>
        <v>Media</v>
      </c>
      <c r="F34" s="64" t="str">
        <f t="shared" si="1"/>
        <v/>
      </c>
      <c r="G34" s="258" t="b">
        <f t="shared" si="2"/>
        <v>0</v>
      </c>
    </row>
    <row r="35" spans="1:7" ht="93" customHeight="1">
      <c r="A35" s="62" t="str">
        <f>'2 IDENTIFICACIÓN'!A35</f>
        <v>R26</v>
      </c>
      <c r="B35" s="258" t="str">
        <f>+'2 IDENTIFICACIÓN'!J35</f>
        <v xml:space="preserve"> por  debido a </v>
      </c>
      <c r="C35" s="89">
        <f>+'5 VALORACIÓN DEL CONTROL'!T165</f>
        <v>0.6</v>
      </c>
      <c r="D35" s="64">
        <f>+'5 VALORACIÓN DEL CONTROL'!U165</f>
        <v>0</v>
      </c>
      <c r="E35" s="64" t="str">
        <f t="shared" si="0"/>
        <v>Media</v>
      </c>
      <c r="F35" s="64" t="str">
        <f t="shared" si="1"/>
        <v/>
      </c>
      <c r="G35" s="258" t="b">
        <f t="shared" si="2"/>
        <v>0</v>
      </c>
    </row>
    <row r="36" spans="1:7" ht="93" customHeight="1">
      <c r="A36" s="62" t="str">
        <f>'2 IDENTIFICACIÓN'!A36</f>
        <v>R27</v>
      </c>
      <c r="B36" s="258" t="str">
        <f>+'2 IDENTIFICACIÓN'!J36</f>
        <v xml:space="preserve"> por  debido a </v>
      </c>
      <c r="C36" s="89">
        <f>+'5 VALORACIÓN DEL CONTROL'!T171</f>
        <v>0.6</v>
      </c>
      <c r="D36" s="64">
        <f>+'5 VALORACIÓN DEL CONTROL'!U171</f>
        <v>0</v>
      </c>
      <c r="E36" s="64" t="str">
        <f t="shared" si="0"/>
        <v>Media</v>
      </c>
      <c r="F36" s="64" t="str">
        <f t="shared" si="1"/>
        <v/>
      </c>
      <c r="G36" s="258" t="b">
        <f t="shared" si="2"/>
        <v>0</v>
      </c>
    </row>
    <row r="37" spans="1:7" ht="93" customHeight="1">
      <c r="A37" s="62" t="str">
        <f>'2 IDENTIFICACIÓN'!A37</f>
        <v>R28</v>
      </c>
      <c r="B37" s="258" t="str">
        <f>+'2 IDENTIFICACIÓN'!J37</f>
        <v xml:space="preserve"> por  debido a </v>
      </c>
      <c r="C37" s="89">
        <f>+'5 VALORACIÓN DEL CONTROL'!T177</f>
        <v>0.6</v>
      </c>
      <c r="D37" s="64">
        <f>+'5 VALORACIÓN DEL CONTROL'!U177</f>
        <v>0</v>
      </c>
      <c r="E37" s="64" t="str">
        <f t="shared" si="0"/>
        <v>Media</v>
      </c>
      <c r="F37" s="64" t="str">
        <f t="shared" si="1"/>
        <v/>
      </c>
      <c r="G37" s="258" t="b">
        <f t="shared" si="2"/>
        <v>0</v>
      </c>
    </row>
    <row r="38" spans="1:7" ht="93" customHeight="1">
      <c r="A38" s="62" t="str">
        <f>'2 IDENTIFICACIÓN'!A38</f>
        <v>R29</v>
      </c>
      <c r="B38" s="258" t="str">
        <f>+'2 IDENTIFICACIÓN'!J38</f>
        <v xml:space="preserve"> por  debido a </v>
      </c>
      <c r="C38" s="89">
        <f>+'5 VALORACIÓN DEL CONTROL'!T183</f>
        <v>0.6</v>
      </c>
      <c r="D38" s="64">
        <f>+'5 VALORACIÓN DEL CONTROL'!U183</f>
        <v>0</v>
      </c>
      <c r="E38" s="64" t="str">
        <f t="shared" si="0"/>
        <v>Media</v>
      </c>
      <c r="F38" s="64" t="str">
        <f t="shared" si="1"/>
        <v/>
      </c>
      <c r="G38" s="258" t="b">
        <f t="shared" si="2"/>
        <v>0</v>
      </c>
    </row>
    <row r="39" spans="1:7" ht="93" customHeight="1">
      <c r="A39" s="62" t="str">
        <f>'2 IDENTIFICACIÓN'!A39</f>
        <v>R30</v>
      </c>
      <c r="B39" s="258" t="str">
        <f>+'2 IDENTIFICACIÓN'!J39</f>
        <v xml:space="preserve"> por  debido a </v>
      </c>
      <c r="C39" s="89">
        <f>+'5 VALORACIÓN DEL CONTROL'!T189</f>
        <v>0.6</v>
      </c>
      <c r="D39" s="64">
        <f>+'5 VALORACIÓN DEL CONTROL'!U189</f>
        <v>0</v>
      </c>
      <c r="E39" s="64" t="str">
        <f t="shared" si="0"/>
        <v>Media</v>
      </c>
      <c r="F39" s="64" t="str">
        <f t="shared" si="1"/>
        <v/>
      </c>
      <c r="G39" s="258" t="b">
        <f t="shared" si="2"/>
        <v>0</v>
      </c>
    </row>
    <row r="40" spans="1:7" ht="13.9" thickBot="1">
      <c r="C40" s="145"/>
      <c r="D40" s="146"/>
      <c r="E40" s="146"/>
      <c r="F40" s="146"/>
    </row>
    <row r="41" spans="1:7" ht="14.45" thickTop="1" thickBot="1">
      <c r="A41" s="337" t="s">
        <v>84</v>
      </c>
      <c r="B41" s="337"/>
      <c r="C41" s="337"/>
      <c r="D41" s="337"/>
      <c r="E41" s="337"/>
      <c r="F41" s="337"/>
      <c r="G41" s="337"/>
    </row>
    <row r="42" spans="1:7" ht="14.45" thickTop="1" thickBot="1">
      <c r="A42" s="318" t="s">
        <v>85</v>
      </c>
      <c r="B42" s="337" t="s">
        <v>86</v>
      </c>
      <c r="C42" s="337"/>
      <c r="D42" s="337" t="s">
        <v>87</v>
      </c>
      <c r="E42" s="337"/>
      <c r="F42" s="337" t="s">
        <v>88</v>
      </c>
      <c r="G42" s="337"/>
    </row>
    <row r="43" spans="1:7" ht="78.400000000000006" customHeight="1" thickTop="1" thickBot="1">
      <c r="A43" s="319" t="s">
        <v>89</v>
      </c>
      <c r="B43" s="338">
        <v>46163</v>
      </c>
      <c r="C43" s="338"/>
      <c r="D43" s="339" t="s">
        <v>90</v>
      </c>
      <c r="E43" s="339"/>
      <c r="F43" s="340" t="s">
        <v>91</v>
      </c>
      <c r="G43" s="340"/>
    </row>
    <row r="44" spans="1:7" ht="39" hidden="1" customHeight="1"/>
    <row r="45" spans="1:7" ht="19.5" hidden="1" customHeight="1"/>
    <row r="46" spans="1:7" ht="19.5" hidden="1" customHeight="1"/>
    <row r="47" spans="1:7" ht="19.5" hidden="1" customHeight="1"/>
    <row r="48" spans="1:7" ht="19.5" hidden="1" customHeight="1"/>
    <row r="49" ht="19.5" hidden="1" customHeight="1"/>
  </sheetData>
  <sheetProtection formatCells="0" formatColumns="0" formatRows="0" sort="0" autoFilter="0" pivotTables="0"/>
  <dataConsolidate/>
  <mergeCells count="17">
    <mergeCell ref="T7:X7"/>
    <mergeCell ref="E8:G8"/>
    <mergeCell ref="K8:O8"/>
    <mergeCell ref="I10:I14"/>
    <mergeCell ref="Q10:Q14"/>
    <mergeCell ref="I7:O7"/>
    <mergeCell ref="A41:G41"/>
    <mergeCell ref="A4:K4"/>
    <mergeCell ref="A1:A3"/>
    <mergeCell ref="B1:I2"/>
    <mergeCell ref="B3:I3"/>
    <mergeCell ref="B43:C43"/>
    <mergeCell ref="D43:E43"/>
    <mergeCell ref="F43:G43"/>
    <mergeCell ref="B42:C42"/>
    <mergeCell ref="D42:E42"/>
    <mergeCell ref="F42:G42"/>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defaultColWidth="0" defaultRowHeight="13.15" zeroHeight="1"/>
  <cols>
    <col min="1" max="1" width="11.42578125" style="46" customWidth="1"/>
    <col min="2" max="2" width="30.7109375" style="51" bestFit="1" customWidth="1"/>
    <col min="3" max="4" width="15.42578125" style="51" customWidth="1"/>
    <col min="5" max="6" width="15.42578125" style="90" customWidth="1"/>
    <col min="7" max="7" width="29" style="51" bestFit="1" customWidth="1"/>
    <col min="8" max="8" width="3.7109375" style="51" customWidth="1"/>
    <col min="9" max="9" width="11.28515625" style="51" bestFit="1" customWidth="1"/>
    <col min="10" max="10" width="30.7109375" style="51" bestFit="1" customWidth="1"/>
    <col min="11" max="11" width="19.28515625" style="51" customWidth="1"/>
    <col min="12" max="15" width="12.42578125" style="51" customWidth="1"/>
    <col min="16" max="16" width="3.7109375" style="51" customWidth="1"/>
    <col min="17" max="17" width="4.7109375" style="46" hidden="1" customWidth="1"/>
    <col min="18" max="18" width="6.28515625" style="46" hidden="1" customWidth="1"/>
    <col min="19" max="24" width="14" style="46" hidden="1" customWidth="1"/>
    <col min="25" max="29" width="11.42578125" style="46" customWidth="1"/>
    <col min="30" max="30" width="5.42578125" style="46" bestFit="1" customWidth="1"/>
    <col min="31" max="31" width="26.7109375" style="46" customWidth="1"/>
    <col min="32" max="32" width="22.7109375" style="51" customWidth="1"/>
    <col min="33" max="36" width="22.71093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19.899999999999999" customHeight="1" thickTop="1">
      <c r="A1" s="360"/>
      <c r="B1" s="341" t="s">
        <v>92</v>
      </c>
      <c r="C1" s="342"/>
      <c r="D1" s="342"/>
      <c r="E1" s="342"/>
      <c r="F1" s="342"/>
      <c r="G1" s="342"/>
      <c r="H1" s="342"/>
      <c r="I1" s="343"/>
      <c r="J1" s="310" t="s">
        <v>93</v>
      </c>
      <c r="K1" s="311"/>
      <c r="L1" s="260"/>
    </row>
    <row r="2" spans="1:38" s="4" customFormat="1" ht="19.899999999999999" customHeight="1">
      <c r="A2" s="361"/>
      <c r="B2" s="344"/>
      <c r="C2" s="345"/>
      <c r="D2" s="345"/>
      <c r="E2" s="345"/>
      <c r="F2" s="345"/>
      <c r="G2" s="345"/>
      <c r="H2" s="345"/>
      <c r="I2" s="346"/>
      <c r="J2" s="312" t="s">
        <v>94</v>
      </c>
      <c r="K2" s="313"/>
      <c r="L2" s="260"/>
    </row>
    <row r="3" spans="1:38" s="3" customFormat="1" ht="16.149999999999999" thickBot="1">
      <c r="A3" s="362"/>
      <c r="B3" s="347" t="s">
        <v>95</v>
      </c>
      <c r="C3" s="348"/>
      <c r="D3" s="348"/>
      <c r="E3" s="348"/>
      <c r="F3" s="348"/>
      <c r="G3" s="348"/>
      <c r="H3" s="348"/>
      <c r="I3" s="349"/>
      <c r="J3" s="314" t="s">
        <v>96</v>
      </c>
      <c r="K3" s="315"/>
      <c r="L3" s="261"/>
    </row>
    <row r="4" spans="1:38" s="3" customFormat="1" ht="16.899999999999999" customHeight="1" thickTop="1">
      <c r="A4" s="351"/>
      <c r="B4" s="352"/>
      <c r="C4" s="352"/>
      <c r="D4" s="352"/>
      <c r="E4" s="352"/>
      <c r="F4" s="352"/>
      <c r="G4" s="352"/>
      <c r="H4" s="352"/>
      <c r="I4" s="352"/>
      <c r="J4" s="352"/>
      <c r="K4" s="353"/>
    </row>
    <row r="5" spans="1:38" s="4" customFormat="1" ht="27" customHeight="1">
      <c r="A5" s="12" t="s">
        <v>97</v>
      </c>
      <c r="B5" s="266" t="str">
        <f>'2 IDENTIFICACIÓN'!B5</f>
        <v>ALCALDIA DE BUCARAMANGA</v>
      </c>
      <c r="C5" s="267"/>
      <c r="D5" s="267"/>
      <c r="E5" s="268"/>
      <c r="F5" s="251" t="s">
        <v>99</v>
      </c>
      <c r="G5" s="266" t="str">
        <f>'2 IDENTIFICACIÓN'!G5</f>
        <v>SEGURIDAD, PROTECCIÓN Y CONVIVENCIA CIUDADANA</v>
      </c>
      <c r="H5" s="268"/>
      <c r="I5" s="251" t="s">
        <v>101</v>
      </c>
      <c r="J5" s="269">
        <f>'2 IDENTIFICACIÓN'!J5</f>
        <v>2026</v>
      </c>
      <c r="K5" s="270"/>
    </row>
    <row r="6" spans="1:38" s="4" customFormat="1" ht="14.45" thickBot="1">
      <c r="A6" s="165"/>
      <c r="B6" s="262"/>
      <c r="C6" s="262"/>
      <c r="D6" s="262"/>
      <c r="E6" s="262"/>
      <c r="F6" s="263"/>
      <c r="G6" s="264"/>
      <c r="H6" s="264"/>
      <c r="I6" s="264"/>
      <c r="J6" s="264"/>
      <c r="K6" s="264"/>
      <c r="S6" s="37"/>
      <c r="T6" s="37"/>
      <c r="U6" s="37"/>
    </row>
    <row r="7" spans="1:38" s="37" customFormat="1" ht="13.9" thickBot="1">
      <c r="A7" s="509" t="s">
        <v>240</v>
      </c>
      <c r="B7" s="510"/>
      <c r="C7" s="510"/>
      <c r="D7" s="510"/>
      <c r="E7" s="510"/>
      <c r="F7" s="510"/>
      <c r="G7" s="511"/>
      <c r="I7" s="509" t="s">
        <v>442</v>
      </c>
      <c r="J7" s="510"/>
      <c r="K7" s="510"/>
      <c r="L7" s="510"/>
      <c r="M7" s="510"/>
      <c r="N7" s="510"/>
      <c r="O7" s="511"/>
      <c r="R7" s="41"/>
      <c r="S7" s="42"/>
      <c r="T7" s="440" t="s">
        <v>241</v>
      </c>
      <c r="U7" s="440"/>
      <c r="V7" s="440"/>
      <c r="W7" s="440"/>
      <c r="X7" s="441"/>
      <c r="AF7" s="38"/>
      <c r="AG7" s="38"/>
      <c r="AH7" s="38"/>
      <c r="AI7" s="38"/>
      <c r="AJ7" s="38"/>
    </row>
    <row r="8" spans="1:38">
      <c r="A8" s="44"/>
      <c r="B8" s="45"/>
      <c r="C8" s="440" t="s">
        <v>241</v>
      </c>
      <c r="D8" s="440"/>
      <c r="E8" s="440"/>
      <c r="F8" s="440"/>
      <c r="G8" s="441"/>
      <c r="H8" s="43"/>
      <c r="I8" s="44"/>
      <c r="J8" s="45"/>
      <c r="K8" s="440" t="s">
        <v>241</v>
      </c>
      <c r="L8" s="440"/>
      <c r="M8" s="440"/>
      <c r="N8" s="440"/>
      <c r="O8" s="441"/>
      <c r="P8" s="43"/>
      <c r="R8" s="47"/>
      <c r="T8" s="48">
        <v>0.2</v>
      </c>
      <c r="U8" s="48">
        <v>0.4</v>
      </c>
      <c r="V8" s="48">
        <v>0.6</v>
      </c>
      <c r="W8" s="48">
        <v>0.8</v>
      </c>
      <c r="X8" s="49">
        <v>1</v>
      </c>
      <c r="Y8" s="50"/>
      <c r="Z8" s="50"/>
      <c r="AA8" s="50"/>
      <c r="AB8" s="50"/>
      <c r="AC8" s="50"/>
      <c r="AD8" s="50"/>
      <c r="AE8" s="50"/>
    </row>
    <row r="9" spans="1:38">
      <c r="A9" s="47"/>
      <c r="B9" s="55"/>
      <c r="C9" s="56" t="s">
        <v>218</v>
      </c>
      <c r="D9" s="56" t="s">
        <v>225</v>
      </c>
      <c r="E9" s="56" t="s">
        <v>231</v>
      </c>
      <c r="F9" s="56" t="s">
        <v>235</v>
      </c>
      <c r="G9" s="57" t="s">
        <v>238</v>
      </c>
      <c r="H9" s="43"/>
      <c r="I9" s="47"/>
      <c r="J9" s="55"/>
      <c r="K9" s="56" t="s">
        <v>218</v>
      </c>
      <c r="L9" s="56" t="s">
        <v>225</v>
      </c>
      <c r="M9" s="56" t="s">
        <v>231</v>
      </c>
      <c r="N9" s="56" t="s">
        <v>235</v>
      </c>
      <c r="O9" s="57" t="s">
        <v>238</v>
      </c>
      <c r="P9" s="43"/>
      <c r="R9" s="47"/>
      <c r="S9" s="58"/>
      <c r="T9" s="59" t="s">
        <v>218</v>
      </c>
      <c r="U9" s="59" t="s">
        <v>225</v>
      </c>
      <c r="V9" s="59" t="s">
        <v>231</v>
      </c>
      <c r="W9" s="59" t="s">
        <v>235</v>
      </c>
      <c r="X9" s="60" t="s">
        <v>238</v>
      </c>
      <c r="AA9" s="50"/>
      <c r="AB9" s="50"/>
      <c r="AC9" s="61"/>
      <c r="AD9" s="61"/>
      <c r="AE9" s="61"/>
      <c r="AF9" s="61"/>
      <c r="AG9" s="61"/>
      <c r="AH9" s="61"/>
      <c r="AI9" s="61"/>
      <c r="AJ9" s="61"/>
      <c r="AK9" s="61"/>
      <c r="AL9" s="61"/>
    </row>
    <row r="10" spans="1:38" ht="55.5" customHeight="1">
      <c r="A10" s="442" t="s">
        <v>211</v>
      </c>
      <c r="B10" s="56" t="s">
        <v>236</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42" t="s">
        <v>211</v>
      </c>
      <c r="J10" s="56" t="s">
        <v>236</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508" t="s">
        <v>211</v>
      </c>
      <c r="R10" s="68">
        <v>1</v>
      </c>
      <c r="S10" s="59" t="s">
        <v>236</v>
      </c>
      <c r="T10" s="66" t="s">
        <v>245</v>
      </c>
      <c r="U10" s="66" t="s">
        <v>245</v>
      </c>
      <c r="V10" s="66" t="s">
        <v>245</v>
      </c>
      <c r="W10" s="66" t="s">
        <v>245</v>
      </c>
      <c r="X10" s="67" t="s">
        <v>246</v>
      </c>
      <c r="AA10" s="50"/>
      <c r="AB10" s="50"/>
      <c r="AC10" s="61"/>
      <c r="AD10" s="61"/>
      <c r="AE10" s="61"/>
      <c r="AF10" s="69"/>
      <c r="AG10" s="69"/>
      <c r="AH10" s="69"/>
      <c r="AI10" s="69"/>
      <c r="AJ10" s="69"/>
      <c r="AK10" s="61"/>
      <c r="AL10" s="61"/>
    </row>
    <row r="11" spans="1:38" ht="55.5" customHeight="1">
      <c r="A11" s="442"/>
      <c r="B11" s="56" t="s">
        <v>233</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42"/>
      <c r="J11" s="56" t="s">
        <v>233</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508"/>
      <c r="R11" s="68">
        <v>0.8</v>
      </c>
      <c r="S11" s="59" t="s">
        <v>233</v>
      </c>
      <c r="T11" s="70" t="s">
        <v>231</v>
      </c>
      <c r="U11" s="70" t="s">
        <v>231</v>
      </c>
      <c r="V11" s="66" t="s">
        <v>245</v>
      </c>
      <c r="W11" s="66" t="s">
        <v>245</v>
      </c>
      <c r="X11" s="67" t="s">
        <v>246</v>
      </c>
      <c r="AA11" s="50"/>
      <c r="AB11" s="50"/>
      <c r="AC11" s="61"/>
      <c r="AD11" s="71"/>
      <c r="AE11" s="72"/>
      <c r="AF11" s="69"/>
      <c r="AG11" s="69"/>
      <c r="AH11" s="69"/>
      <c r="AI11" s="69"/>
      <c r="AJ11" s="69"/>
      <c r="AK11" s="61"/>
      <c r="AL11" s="61"/>
    </row>
    <row r="12" spans="1:38" ht="55.5" customHeight="1">
      <c r="A12" s="442"/>
      <c r="B12" s="56" t="s">
        <v>229</v>
      </c>
      <c r="C12" s="70" t="str">
        <f>+'4 MAPA CALOR INHERENTE'!I12</f>
        <v xml:space="preserve">          R11         </v>
      </c>
      <c r="D12" s="70" t="str">
        <f>+'4 MAPA CALOR INHERENTE'!J12</f>
        <v xml:space="preserve">        R9           </v>
      </c>
      <c r="E12" s="70" t="str">
        <f>+'4 MAPA CALOR INHERENTE'!K12</f>
        <v xml:space="preserve">R1    R5  R7      R13    R17   </v>
      </c>
      <c r="F12" s="66" t="str">
        <f>+'4 MAPA CALOR INHERENTE'!L12</f>
        <v xml:space="preserve"> R2      R8    R12  R14 R15 R16    </v>
      </c>
      <c r="G12" s="67" t="str">
        <f>+'4 MAPA CALOR INHERENTE'!M12</f>
        <v xml:space="preserve">  R3   R6              </v>
      </c>
      <c r="H12" s="65"/>
      <c r="I12" s="442"/>
      <c r="J12" s="56" t="s">
        <v>229</v>
      </c>
      <c r="K12" s="70" t="str">
        <f>+'6 MAPA CALOR RESIDUAL'!K12</f>
        <v xml:space="preserve">          R11         </v>
      </c>
      <c r="L12" s="70" t="str">
        <f>+'6 MAPA CALOR RESIDUAL'!L12</f>
        <v xml:space="preserve">        R9           </v>
      </c>
      <c r="M12" s="70" t="str">
        <f>+'6 MAPA CALOR RESIDUAL'!M12</f>
        <v xml:space="preserve">R1    R5  R7      R13    R17   </v>
      </c>
      <c r="N12" s="66" t="str">
        <f>+'6 MAPA CALOR RESIDUAL'!N12</f>
        <v xml:space="preserve"> R2      R8    R12  R14 R15 R16    </v>
      </c>
      <c r="O12" s="67" t="str">
        <f>+'6 MAPA CALOR RESIDUAL'!O12</f>
        <v xml:space="preserve">  R3   R6              </v>
      </c>
      <c r="P12" s="65"/>
      <c r="Q12" s="508"/>
      <c r="R12" s="68">
        <v>0.6</v>
      </c>
      <c r="S12" s="59" t="s">
        <v>229</v>
      </c>
      <c r="T12" s="70" t="s">
        <v>231</v>
      </c>
      <c r="U12" s="70" t="s">
        <v>231</v>
      </c>
      <c r="V12" s="70" t="s">
        <v>231</v>
      </c>
      <c r="W12" s="66" t="s">
        <v>245</v>
      </c>
      <c r="X12" s="67" t="s">
        <v>246</v>
      </c>
      <c r="AA12" s="50"/>
      <c r="AB12" s="50"/>
      <c r="AC12" s="61"/>
      <c r="AD12" s="71"/>
      <c r="AE12" s="72"/>
      <c r="AF12" s="69"/>
      <c r="AG12" s="69"/>
      <c r="AH12" s="69"/>
      <c r="AI12" s="69"/>
      <c r="AJ12" s="73"/>
      <c r="AK12" s="61"/>
      <c r="AL12" s="61"/>
    </row>
    <row r="13" spans="1:38" ht="55.5" customHeight="1">
      <c r="A13" s="442"/>
      <c r="B13" s="56" t="s">
        <v>223</v>
      </c>
      <c r="C13" s="74" t="str">
        <f>+'4 MAPA CALOR INHERENTE'!I13</f>
        <v xml:space="preserve">                   </v>
      </c>
      <c r="D13" s="70" t="str">
        <f>+'4 MAPA CALOR INHERENTE'!J13</f>
        <v xml:space="preserve">                   </v>
      </c>
      <c r="E13" s="70" t="str">
        <f>+'4 MAPA CALOR INHERENTE'!K13</f>
        <v xml:space="preserve">                   </v>
      </c>
      <c r="F13" s="66" t="str">
        <f>+'4 MAPA CALOR INHERENTE'!L13</f>
        <v xml:space="preserve">   R4                </v>
      </c>
      <c r="G13" s="67" t="str">
        <f>+'4 MAPA CALOR INHERENTE'!M13</f>
        <v xml:space="preserve">         R10          </v>
      </c>
      <c r="H13" s="65"/>
      <c r="I13" s="442"/>
      <c r="J13" s="56" t="s">
        <v>223</v>
      </c>
      <c r="K13" s="74" t="str">
        <f>+'6 MAPA CALOR RESIDUAL'!K13</f>
        <v xml:space="preserve">                   </v>
      </c>
      <c r="L13" s="70" t="str">
        <f>+'6 MAPA CALOR RESIDUAL'!L13</f>
        <v xml:space="preserve">                   </v>
      </c>
      <c r="M13" s="70" t="str">
        <f>+'6 MAPA CALOR RESIDUAL'!M13</f>
        <v xml:space="preserve">                   </v>
      </c>
      <c r="N13" s="66" t="str">
        <f>+'6 MAPA CALOR RESIDUAL'!N13</f>
        <v xml:space="preserve">   R4                </v>
      </c>
      <c r="O13" s="67" t="str">
        <f>+'6 MAPA CALOR RESIDUAL'!O13</f>
        <v xml:space="preserve">         R10          </v>
      </c>
      <c r="P13" s="65"/>
      <c r="Q13" s="508"/>
      <c r="R13" s="68">
        <v>0.4</v>
      </c>
      <c r="S13" s="59" t="s">
        <v>223</v>
      </c>
      <c r="T13" s="74" t="s">
        <v>247</v>
      </c>
      <c r="U13" s="70" t="s">
        <v>231</v>
      </c>
      <c r="V13" s="70" t="s">
        <v>231</v>
      </c>
      <c r="W13" s="66" t="s">
        <v>245</v>
      </c>
      <c r="X13" s="67" t="s">
        <v>246</v>
      </c>
      <c r="AA13" s="50"/>
      <c r="AB13" s="50"/>
      <c r="AC13" s="61"/>
      <c r="AD13" s="71"/>
      <c r="AE13" s="72"/>
      <c r="AF13" s="69"/>
      <c r="AG13" s="69"/>
      <c r="AH13" s="69"/>
      <c r="AI13" s="73"/>
      <c r="AJ13" s="69"/>
      <c r="AK13" s="61"/>
      <c r="AL13" s="61"/>
    </row>
    <row r="14" spans="1:38" ht="55.5" customHeight="1" thickBot="1">
      <c r="A14" s="443"/>
      <c r="B14" s="75" t="s">
        <v>216</v>
      </c>
      <c r="C14" s="76" t="str">
        <f>+'4 MAPA CALOR INHERENTE'!I14</f>
        <v xml:space="preserve">                   </v>
      </c>
      <c r="D14" s="76" t="str">
        <f>+'4 MAPA CALOR INHERENTE'!J14</f>
        <v xml:space="preserve">                   </v>
      </c>
      <c r="E14" s="77" t="str">
        <f>+'4 MAPA CALOR INHERENTE'!K14</f>
        <v xml:space="preserve">                   </v>
      </c>
      <c r="F14" s="78" t="str">
        <f>+'4 MAPA CALOR INHERENTE'!L14</f>
        <v xml:space="preserve">                   </v>
      </c>
      <c r="G14" s="79" t="str">
        <f>+'4 MAPA CALOR INHERENTE'!M14</f>
        <v xml:space="preserve">                   </v>
      </c>
      <c r="H14" s="65"/>
      <c r="I14" s="443"/>
      <c r="J14" s="75" t="s">
        <v>216</v>
      </c>
      <c r="K14" s="76" t="str">
        <f>+'6 MAPA CALOR RESIDUAL'!K14</f>
        <v xml:space="preserve">                   </v>
      </c>
      <c r="L14" s="76" t="str">
        <f>+'6 MAPA CALOR RESIDUAL'!L14</f>
        <v xml:space="preserve">                   </v>
      </c>
      <c r="M14" s="77" t="str">
        <f>+'6 MAPA CALOR RESIDUAL'!M14</f>
        <v xml:space="preserve">                   </v>
      </c>
      <c r="N14" s="78" t="str">
        <f>+'6 MAPA CALOR RESIDUAL'!N14</f>
        <v xml:space="preserve">                   </v>
      </c>
      <c r="O14" s="79" t="str">
        <f>+'6 MAPA CALOR RESIDUAL'!O14</f>
        <v xml:space="preserve">                   </v>
      </c>
      <c r="P14" s="65"/>
      <c r="Q14" s="508"/>
      <c r="R14" s="80">
        <v>0.2</v>
      </c>
      <c r="S14" s="81" t="s">
        <v>216</v>
      </c>
      <c r="T14" s="76" t="s">
        <v>247</v>
      </c>
      <c r="U14" s="76" t="s">
        <v>247</v>
      </c>
      <c r="V14" s="77" t="s">
        <v>231</v>
      </c>
      <c r="W14" s="78" t="s">
        <v>245</v>
      </c>
      <c r="X14" s="79" t="s">
        <v>246</v>
      </c>
      <c r="AA14" s="50"/>
      <c r="AB14" s="50"/>
      <c r="AC14" s="61"/>
      <c r="AD14" s="71"/>
      <c r="AE14" s="72"/>
      <c r="AF14" s="69"/>
      <c r="AG14" s="69"/>
      <c r="AH14" s="69"/>
      <c r="AI14" s="82"/>
      <c r="AJ14" s="69"/>
      <c r="AK14" s="61"/>
      <c r="AL14" s="61"/>
    </row>
    <row r="15" spans="1:38">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6.45">
      <c r="A16" s="51"/>
      <c r="B16" s="65"/>
      <c r="C16" s="145"/>
      <c r="D16" s="146"/>
      <c r="E16" s="147"/>
      <c r="F16" s="147"/>
      <c r="G16" s="65"/>
      <c r="H16" s="65"/>
      <c r="I16" s="65"/>
      <c r="J16" s="65"/>
      <c r="K16" s="65"/>
      <c r="L16" s="65"/>
      <c r="M16" s="65"/>
      <c r="N16" s="65"/>
      <c r="O16" s="65"/>
      <c r="P16" s="65"/>
      <c r="T16" s="53" t="s">
        <v>248</v>
      </c>
      <c r="V16" s="50"/>
      <c r="W16" s="50"/>
      <c r="X16" s="50"/>
      <c r="Y16" s="50"/>
      <c r="Z16" s="50"/>
      <c r="AA16" s="50"/>
      <c r="AB16" s="50"/>
      <c r="AC16" s="61"/>
      <c r="AD16" s="71"/>
      <c r="AE16" s="61"/>
      <c r="AF16" s="72"/>
      <c r="AG16" s="72"/>
      <c r="AH16" s="72"/>
      <c r="AI16" s="72"/>
      <c r="AJ16" s="72"/>
      <c r="AK16" s="61"/>
      <c r="AL16" s="61"/>
    </row>
    <row r="17" spans="1:38">
      <c r="A17" s="51"/>
      <c r="B17" s="65"/>
      <c r="C17" s="145"/>
      <c r="D17" s="146"/>
      <c r="E17" s="147"/>
      <c r="F17" s="147"/>
      <c r="G17" s="65"/>
      <c r="H17" s="65"/>
      <c r="I17" s="65"/>
      <c r="J17" s="65"/>
      <c r="K17" s="65"/>
      <c r="L17" s="65"/>
      <c r="M17" s="65"/>
      <c r="N17" s="65"/>
      <c r="O17" s="65"/>
      <c r="P17" s="65"/>
      <c r="T17" s="83" t="s">
        <v>246</v>
      </c>
      <c r="V17" s="50"/>
      <c r="W17" s="50"/>
      <c r="X17" s="50"/>
      <c r="Y17" s="50"/>
      <c r="Z17" s="50"/>
      <c r="AA17" s="50"/>
      <c r="AB17" s="50"/>
      <c r="AC17" s="61"/>
      <c r="AD17" s="61"/>
      <c r="AE17" s="61"/>
      <c r="AF17" s="69"/>
      <c r="AG17" s="69"/>
      <c r="AH17" s="69"/>
      <c r="AI17" s="69"/>
      <c r="AJ17" s="69"/>
      <c r="AK17" s="61"/>
      <c r="AL17" s="61"/>
    </row>
    <row r="18" spans="1:38">
      <c r="A18" s="51"/>
      <c r="B18" s="65"/>
      <c r="C18" s="145"/>
      <c r="D18" s="146"/>
      <c r="E18" s="147"/>
      <c r="F18" s="147"/>
      <c r="G18" s="65"/>
      <c r="H18" s="65"/>
      <c r="I18" s="65"/>
      <c r="J18" s="65"/>
      <c r="K18" s="65"/>
      <c r="L18" s="65"/>
      <c r="M18" s="65"/>
      <c r="N18" s="65"/>
      <c r="O18" s="65"/>
      <c r="P18" s="65"/>
      <c r="T18" s="66" t="s">
        <v>245</v>
      </c>
      <c r="U18" s="50"/>
      <c r="V18" s="50"/>
      <c r="W18" s="50"/>
      <c r="X18" s="50"/>
      <c r="Y18" s="50"/>
      <c r="Z18" s="50"/>
      <c r="AA18" s="50"/>
      <c r="AB18" s="50"/>
      <c r="AC18" s="61"/>
      <c r="AD18" s="61"/>
      <c r="AE18" s="61"/>
      <c r="AF18" s="69"/>
      <c r="AG18" s="69"/>
      <c r="AH18" s="69"/>
      <c r="AI18" s="69"/>
      <c r="AJ18" s="69"/>
      <c r="AK18" s="61"/>
      <c r="AL18" s="61"/>
    </row>
    <row r="19" spans="1:38">
      <c r="A19" s="51"/>
      <c r="B19" s="65"/>
      <c r="C19" s="145"/>
      <c r="D19" s="146"/>
      <c r="E19" s="147"/>
      <c r="F19" s="147"/>
      <c r="G19" s="65"/>
      <c r="H19" s="65"/>
      <c r="I19" s="65"/>
      <c r="J19" s="65"/>
      <c r="K19" s="65"/>
      <c r="L19" s="65"/>
      <c r="M19" s="65"/>
      <c r="N19" s="65"/>
      <c r="O19" s="65"/>
      <c r="P19" s="65"/>
      <c r="S19" s="84"/>
      <c r="T19" s="70" t="s">
        <v>231</v>
      </c>
      <c r="U19" s="84"/>
      <c r="V19" s="84"/>
      <c r="W19" s="84"/>
      <c r="X19" s="84"/>
      <c r="Y19" s="84"/>
      <c r="Z19" s="84"/>
      <c r="AA19" s="84"/>
      <c r="AB19" s="84"/>
      <c r="AC19" s="61"/>
      <c r="AD19" s="61"/>
      <c r="AE19" s="85"/>
      <c r="AF19" s="85"/>
      <c r="AG19" s="85"/>
      <c r="AH19" s="85"/>
      <c r="AI19" s="85"/>
      <c r="AJ19" s="85"/>
      <c r="AK19" s="61"/>
      <c r="AL19" s="61"/>
    </row>
    <row r="20" spans="1:38">
      <c r="A20" s="51"/>
      <c r="B20" s="65"/>
      <c r="C20" s="145"/>
      <c r="D20" s="146"/>
      <c r="E20" s="147"/>
      <c r="F20" s="147"/>
      <c r="G20" s="65"/>
      <c r="H20" s="65"/>
      <c r="I20" s="65"/>
      <c r="J20" s="65"/>
      <c r="K20" s="65"/>
      <c r="L20" s="65"/>
      <c r="M20" s="65"/>
      <c r="N20" s="65"/>
      <c r="O20" s="65"/>
      <c r="P20" s="65"/>
      <c r="S20" s="84"/>
      <c r="T20" s="74" t="s">
        <v>247</v>
      </c>
      <c r="AA20" s="84"/>
      <c r="AB20" s="84"/>
      <c r="AC20" s="61"/>
      <c r="AD20" s="61"/>
      <c r="AE20" s="61"/>
      <c r="AF20" s="69"/>
      <c r="AG20" s="69"/>
      <c r="AH20" s="69"/>
      <c r="AI20" s="69"/>
      <c r="AJ20" s="69"/>
      <c r="AK20" s="61"/>
      <c r="AL20" s="61"/>
    </row>
    <row r="21" spans="1:38">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c r="A26" s="51"/>
      <c r="B26" s="65"/>
      <c r="C26" s="145"/>
      <c r="D26" s="146"/>
      <c r="E26" s="147"/>
      <c r="F26" s="147"/>
      <c r="G26" s="65"/>
      <c r="H26" s="65"/>
      <c r="I26" s="65"/>
      <c r="J26" s="65"/>
      <c r="K26" s="65"/>
      <c r="L26" s="65"/>
      <c r="M26" s="65"/>
      <c r="N26" s="65"/>
      <c r="O26" s="65"/>
      <c r="P26" s="65"/>
    </row>
    <row r="27" spans="1:38">
      <c r="A27" s="51"/>
      <c r="B27" s="65"/>
      <c r="C27" s="145"/>
      <c r="D27" s="146"/>
      <c r="E27" s="147"/>
      <c r="F27" s="147"/>
      <c r="G27" s="65"/>
      <c r="H27" s="65"/>
      <c r="I27" s="65"/>
      <c r="J27" s="65"/>
      <c r="K27" s="65"/>
      <c r="L27" s="65"/>
      <c r="M27" s="65"/>
      <c r="N27" s="65"/>
      <c r="O27" s="65"/>
      <c r="P27" s="65"/>
    </row>
    <row r="28" spans="1:38">
      <c r="A28" s="51"/>
      <c r="B28" s="65"/>
      <c r="C28" s="145"/>
      <c r="D28" s="146"/>
      <c r="E28" s="147"/>
      <c r="F28" s="147"/>
      <c r="G28" s="65"/>
      <c r="H28" s="65"/>
      <c r="I28" s="65"/>
      <c r="J28" s="65"/>
      <c r="K28" s="65"/>
      <c r="L28" s="65"/>
      <c r="M28" s="65"/>
      <c r="N28" s="65"/>
      <c r="O28" s="65"/>
      <c r="P28" s="65"/>
    </row>
    <row r="29" spans="1:38">
      <c r="A29" s="51"/>
      <c r="B29" s="65"/>
      <c r="C29" s="145"/>
      <c r="D29" s="146"/>
      <c r="E29" s="147"/>
      <c r="F29" s="147"/>
      <c r="G29" s="65"/>
      <c r="H29" s="65"/>
      <c r="I29" s="65"/>
      <c r="J29" s="65"/>
      <c r="K29" s="65"/>
      <c r="L29" s="65"/>
      <c r="M29" s="65"/>
      <c r="N29" s="65"/>
      <c r="O29" s="65"/>
      <c r="P29" s="65"/>
    </row>
    <row r="30" spans="1:38" ht="14.65" customHeight="1">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c r="B36" s="46"/>
      <c r="D36" s="46"/>
      <c r="G36" s="46"/>
      <c r="H36" s="46"/>
      <c r="I36" s="46"/>
      <c r="J36" s="46"/>
      <c r="K36" s="46"/>
      <c r="L36" s="46"/>
      <c r="M36" s="46"/>
      <c r="N36" s="46"/>
      <c r="O36" s="46"/>
      <c r="P36" s="46"/>
      <c r="AA36" s="51"/>
      <c r="AB36" s="51"/>
      <c r="AC36" s="51"/>
      <c r="AD36" s="51"/>
      <c r="AE36" s="51"/>
      <c r="AF36" s="46"/>
      <c r="AG36" s="46"/>
      <c r="AH36" s="46"/>
      <c r="AI36" s="46"/>
      <c r="AJ36" s="46"/>
    </row>
    <row r="37" spans="2:36"/>
    <row r="38" spans="2:36"/>
    <row r="39" spans="2:36"/>
    <row r="40" spans="2:36"/>
    <row r="41" spans="2:36"/>
    <row r="42" spans="2:36"/>
    <row r="43" spans="2:36"/>
    <row r="44" spans="2:36"/>
    <row r="45" spans="2:36"/>
    <row r="46" spans="2:36"/>
    <row r="47" spans="2:36"/>
    <row r="48" spans="2:36"/>
    <row r="49"/>
    <row r="50"/>
    <row r="51"/>
    <row r="52"/>
    <row r="53"/>
    <row r="54"/>
    <row r="55"/>
    <row r="56"/>
    <row r="57"/>
    <row r="58"/>
    <row r="59"/>
    <row r="60"/>
    <row r="61"/>
    <row r="62"/>
    <row r="63"/>
    <row r="64"/>
    <row r="65" spans="1:7"/>
    <row r="66" spans="1:7"/>
    <row r="67" spans="1:7"/>
    <row r="68" spans="1:7"/>
    <row r="69" spans="1:7" ht="13.9" thickBot="1"/>
    <row r="70" spans="1:7" ht="14.45" thickTop="1" thickBot="1">
      <c r="A70" s="337" t="s">
        <v>84</v>
      </c>
      <c r="B70" s="337"/>
      <c r="C70" s="337"/>
      <c r="D70" s="337"/>
      <c r="E70" s="337"/>
      <c r="F70" s="337"/>
      <c r="G70" s="337"/>
    </row>
    <row r="71" spans="1:7" ht="14.45" thickTop="1" thickBot="1">
      <c r="A71" s="318" t="s">
        <v>85</v>
      </c>
      <c r="B71" s="337" t="s">
        <v>86</v>
      </c>
      <c r="C71" s="337"/>
      <c r="D71" s="337" t="s">
        <v>87</v>
      </c>
      <c r="E71" s="337"/>
      <c r="F71" s="337" t="s">
        <v>88</v>
      </c>
      <c r="G71" s="337"/>
    </row>
    <row r="72" spans="1:7" ht="59.65" customHeight="1" thickTop="1" thickBot="1">
      <c r="A72" s="319" t="s">
        <v>89</v>
      </c>
      <c r="B72" s="338">
        <v>46163</v>
      </c>
      <c r="C72" s="338"/>
      <c r="D72" s="339" t="s">
        <v>90</v>
      </c>
      <c r="E72" s="339"/>
      <c r="F72" s="340" t="s">
        <v>91</v>
      </c>
      <c r="G72" s="340"/>
    </row>
  </sheetData>
  <sheetProtection formatCells="0" formatColumns="0" formatRows="0" sort="0" autoFilter="0" pivotTables="0"/>
  <dataConsolidate/>
  <mergeCells count="19">
    <mergeCell ref="A1:A3"/>
    <mergeCell ref="B1:I2"/>
    <mergeCell ref="B3:I3"/>
    <mergeCell ref="T7:X7"/>
    <mergeCell ref="K8:O8"/>
    <mergeCell ref="A4:K4"/>
    <mergeCell ref="I10:I14"/>
    <mergeCell ref="Q10:Q14"/>
    <mergeCell ref="A7:G7"/>
    <mergeCell ref="C8:G8"/>
    <mergeCell ref="A10:A14"/>
    <mergeCell ref="I7:O7"/>
    <mergeCell ref="A70:G70"/>
    <mergeCell ref="B71:C71"/>
    <mergeCell ref="D71:E71"/>
    <mergeCell ref="F71:G71"/>
    <mergeCell ref="B72:C72"/>
    <mergeCell ref="D72:E72"/>
    <mergeCell ref="F72:G72"/>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50"/>
  <sheetViews>
    <sheetView showGridLines="0" tabSelected="1" topLeftCell="N21" zoomScale="70" zoomScaleNormal="70" workbookViewId="0">
      <selection activeCell="S23" sqref="S23"/>
    </sheetView>
  </sheetViews>
  <sheetFormatPr defaultColWidth="0" defaultRowHeight="13.15"/>
  <cols>
    <col min="1" max="1" width="11.42578125" style="51" customWidth="1"/>
    <col min="2" max="2" width="46.42578125" style="51" customWidth="1"/>
    <col min="3" max="4" width="14.28515625" style="51" customWidth="1"/>
    <col min="5" max="5" width="16.42578125" style="51" customWidth="1"/>
    <col min="6" max="6" width="16.7109375" style="51" customWidth="1"/>
    <col min="7" max="7" width="29" style="51" bestFit="1" customWidth="1"/>
    <col min="8" max="8" width="15.42578125" style="51" customWidth="1"/>
    <col min="9" max="9" width="13" style="51" customWidth="1"/>
    <col min="10" max="10" width="30" style="51" bestFit="1" customWidth="1"/>
    <col min="11" max="11" width="14.7109375" style="51" customWidth="1"/>
    <col min="12" max="12" width="14.28515625" style="51" customWidth="1"/>
    <col min="13" max="13" width="16.7109375" style="51" customWidth="1"/>
    <col min="14" max="14" width="15.42578125" style="51" customWidth="1"/>
    <col min="15" max="16" width="16.42578125" style="51" customWidth="1"/>
    <col min="17" max="17" width="48.5703125" style="51" customWidth="1"/>
    <col min="18" max="18" width="38.28515625" style="51" customWidth="1"/>
    <col min="19" max="19" width="35.5703125" style="51" customWidth="1"/>
    <col min="20" max="20" width="20.7109375" style="51" customWidth="1"/>
    <col min="21" max="21" width="10.85546875" style="92" bestFit="1" customWidth="1"/>
    <col min="22" max="22" width="15.42578125" style="92" customWidth="1"/>
    <col min="23" max="24" width="15.42578125" style="51" customWidth="1"/>
    <col min="25" max="25" width="4.7109375" style="51" customWidth="1"/>
    <col min="26" max="26" width="10.5703125" style="5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7109375" style="51" hidden="1" customWidth="1"/>
    <col min="40" max="44" width="22.71093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19.899999999999999" customHeight="1" thickTop="1">
      <c r="A1" s="360"/>
      <c r="B1" s="341" t="s">
        <v>92</v>
      </c>
      <c r="C1" s="342"/>
      <c r="D1" s="342"/>
      <c r="E1" s="342"/>
      <c r="F1" s="342"/>
      <c r="G1" s="342"/>
      <c r="H1" s="342"/>
      <c r="I1" s="343"/>
      <c r="J1" s="310" t="s">
        <v>93</v>
      </c>
      <c r="K1" s="311"/>
      <c r="L1" s="260"/>
    </row>
    <row r="2" spans="1:46" s="4" customFormat="1" ht="19.899999999999999" customHeight="1">
      <c r="A2" s="361"/>
      <c r="B2" s="344"/>
      <c r="C2" s="345"/>
      <c r="D2" s="345"/>
      <c r="E2" s="345"/>
      <c r="F2" s="345"/>
      <c r="G2" s="345"/>
      <c r="H2" s="345"/>
      <c r="I2" s="346"/>
      <c r="J2" s="312" t="s">
        <v>94</v>
      </c>
      <c r="K2" s="313"/>
      <c r="L2" s="260"/>
    </row>
    <row r="3" spans="1:46" s="3" customFormat="1" ht="16.149999999999999" thickBot="1">
      <c r="A3" s="362"/>
      <c r="B3" s="347" t="s">
        <v>95</v>
      </c>
      <c r="C3" s="348"/>
      <c r="D3" s="348"/>
      <c r="E3" s="348"/>
      <c r="F3" s="348"/>
      <c r="G3" s="348"/>
      <c r="H3" s="348"/>
      <c r="I3" s="349"/>
      <c r="J3" s="314" t="s">
        <v>96</v>
      </c>
      <c r="K3" s="315"/>
      <c r="L3" s="261"/>
    </row>
    <row r="4" spans="1:46" s="3" customFormat="1" ht="16.899999999999999" customHeight="1" thickTop="1">
      <c r="A4" s="351"/>
      <c r="B4" s="352"/>
      <c r="C4" s="352"/>
      <c r="D4" s="352"/>
      <c r="E4" s="352"/>
      <c r="F4" s="352"/>
      <c r="G4" s="352"/>
      <c r="H4" s="352"/>
      <c r="I4" s="352"/>
      <c r="J4" s="352"/>
      <c r="K4" s="353"/>
    </row>
    <row r="5" spans="1:46" s="28" customFormat="1" ht="27" customHeight="1">
      <c r="A5" s="108" t="s">
        <v>97</v>
      </c>
      <c r="B5" s="290" t="str">
        <f>'2 IDENTIFICACIÓN'!B5</f>
        <v>ALCALDIA DE BUCARAMANGA</v>
      </c>
      <c r="C5" s="291"/>
      <c r="D5" s="291"/>
      <c r="E5" s="288"/>
      <c r="F5" s="251" t="s">
        <v>99</v>
      </c>
      <c r="G5" s="290" t="str">
        <f>'2 IDENTIFICACIÓN'!G5</f>
        <v>SEGURIDAD, PROTECCIÓN Y CONVIVENCIA CIUDADANA</v>
      </c>
      <c r="H5" s="288"/>
      <c r="I5" s="251" t="s">
        <v>101</v>
      </c>
      <c r="J5" s="286">
        <f>'2 IDENTIFICACIÓN'!J5</f>
        <v>2026</v>
      </c>
      <c r="K5" s="292"/>
    </row>
    <row r="6" spans="1:46" s="28" customFormat="1" ht="13.9">
      <c r="A6" s="263"/>
      <c r="B6" s="7"/>
      <c r="C6" s="7"/>
      <c r="D6" s="7"/>
      <c r="E6" s="7"/>
      <c r="F6" s="263"/>
      <c r="G6" s="168"/>
      <c r="H6" s="168"/>
      <c r="I6" s="168"/>
      <c r="J6" s="168"/>
      <c r="K6" s="168"/>
      <c r="T6" s="293"/>
      <c r="U6" s="293"/>
      <c r="V6" s="293"/>
    </row>
    <row r="7" spans="1:46" ht="14.65" customHeight="1">
      <c r="A7" s="43"/>
      <c r="B7" s="43"/>
      <c r="C7" s="43"/>
      <c r="D7" s="43"/>
      <c r="E7" s="437" t="s">
        <v>242</v>
      </c>
      <c r="F7" s="437"/>
      <c r="G7" s="437"/>
      <c r="H7" s="43"/>
      <c r="I7" s="43"/>
      <c r="J7" s="437" t="s">
        <v>443</v>
      </c>
      <c r="K7" s="437"/>
      <c r="L7" s="437"/>
      <c r="M7" s="43"/>
      <c r="N7" s="43"/>
      <c r="O7" s="43"/>
      <c r="P7" s="43"/>
      <c r="Q7" s="437" t="s">
        <v>446</v>
      </c>
      <c r="R7" s="437"/>
      <c r="S7" s="437"/>
      <c r="T7" s="437"/>
      <c r="U7" s="437"/>
      <c r="V7" s="437"/>
      <c r="W7" s="43"/>
      <c r="X7" s="43"/>
      <c r="Z7" s="298"/>
      <c r="AB7" s="48">
        <v>0.2</v>
      </c>
      <c r="AC7" s="48">
        <v>0.4</v>
      </c>
      <c r="AD7" s="48">
        <v>0.6</v>
      </c>
      <c r="AE7" s="48">
        <v>0.8</v>
      </c>
      <c r="AF7" s="49">
        <v>1</v>
      </c>
      <c r="AG7" s="299"/>
      <c r="AH7" s="299"/>
      <c r="AI7" s="299"/>
      <c r="AJ7" s="299"/>
      <c r="AK7" s="299"/>
      <c r="AL7" s="299"/>
      <c r="AM7" s="299"/>
    </row>
    <row r="8" spans="1:46" ht="39.6">
      <c r="A8" s="53" t="s">
        <v>243</v>
      </c>
      <c r="B8" s="53" t="s">
        <v>244</v>
      </c>
      <c r="C8" s="53" t="s">
        <v>447</v>
      </c>
      <c r="D8" s="53" t="s">
        <v>448</v>
      </c>
      <c r="E8" s="53" t="s">
        <v>198</v>
      </c>
      <c r="F8" s="53" t="s">
        <v>199</v>
      </c>
      <c r="G8" s="54" t="s">
        <v>69</v>
      </c>
      <c r="H8" s="53" t="s">
        <v>449</v>
      </c>
      <c r="I8" s="53" t="s">
        <v>450</v>
      </c>
      <c r="J8" s="53" t="s">
        <v>198</v>
      </c>
      <c r="K8" s="53" t="s">
        <v>199</v>
      </c>
      <c r="L8" s="53" t="s">
        <v>69</v>
      </c>
      <c r="M8" s="53" t="s">
        <v>73</v>
      </c>
      <c r="N8" s="53" t="s">
        <v>71</v>
      </c>
      <c r="O8" s="53" t="s">
        <v>451</v>
      </c>
      <c r="P8" s="53" t="s">
        <v>452</v>
      </c>
      <c r="Q8" s="53" t="s">
        <v>47</v>
      </c>
      <c r="R8" s="53" t="s">
        <v>453</v>
      </c>
      <c r="S8" s="53" t="s">
        <v>454</v>
      </c>
      <c r="T8" s="53" t="s">
        <v>455</v>
      </c>
      <c r="U8" s="91" t="s">
        <v>456</v>
      </c>
      <c r="V8" s="91" t="s">
        <v>457</v>
      </c>
      <c r="W8" s="43"/>
      <c r="X8" s="43"/>
      <c r="Z8" s="298"/>
      <c r="AA8" s="258"/>
      <c r="AB8" s="59" t="s">
        <v>218</v>
      </c>
      <c r="AC8" s="59" t="s">
        <v>225</v>
      </c>
      <c r="AD8" s="59" t="s">
        <v>231</v>
      </c>
      <c r="AE8" s="59" t="s">
        <v>235</v>
      </c>
      <c r="AF8" s="60" t="s">
        <v>238</v>
      </c>
      <c r="AI8" s="299"/>
      <c r="AJ8" s="299"/>
      <c r="AK8" s="300"/>
      <c r="AL8" s="300"/>
      <c r="AM8" s="300"/>
      <c r="AN8" s="300"/>
      <c r="AO8" s="300"/>
      <c r="AP8" s="300"/>
      <c r="AQ8" s="300"/>
      <c r="AR8" s="300"/>
      <c r="AS8" s="300"/>
      <c r="AT8" s="300"/>
    </row>
    <row r="9" spans="1:46" ht="93" customHeight="1">
      <c r="A9" s="521" t="str">
        <f>'2 IDENTIFICACIÓN'!A10</f>
        <v>R1</v>
      </c>
      <c r="B9" s="512" t="str">
        <f>+'2 IDENTIFICACIÓN'!J10</f>
        <v>Posibilidad de afectación reputacional por  posibles investigaciones y sanciones disciplinarias por entes de control, debido a  incumplimiento de la Ley 594 del 2000 en los documentos generados por la Secretaría del Interior</v>
      </c>
      <c r="C9" s="519">
        <f>+'3 PROBABIL E IMPACTO INHERENTE'!E10</f>
        <v>0.6</v>
      </c>
      <c r="D9" s="519">
        <f>+'3 PROBABIL E IMPACTO INHERENTE'!M10</f>
        <v>0.6</v>
      </c>
      <c r="E9" s="516" t="str">
        <f>+'4 MAPA CALOR INHERENTE'!C10</f>
        <v>Media</v>
      </c>
      <c r="F9" s="516" t="str">
        <f>+'4 MAPA CALOR INHERENTE'!D10</f>
        <v>Moderado</v>
      </c>
      <c r="G9" s="512" t="str">
        <f>+'4 MAPA CALOR INHERENTE'!E10</f>
        <v>Moderado</v>
      </c>
      <c r="H9" s="519">
        <f>+'6 MAPA CALOR RESIDUAL'!C10</f>
        <v>0.6</v>
      </c>
      <c r="I9" s="516">
        <f>+'6 MAPA CALOR RESIDUAL'!D10</f>
        <v>0.6</v>
      </c>
      <c r="J9" s="516" t="str">
        <f>+'6 MAPA CALOR RESIDUAL'!E10</f>
        <v>Media</v>
      </c>
      <c r="K9" s="516" t="str">
        <f>+'6 MAPA CALOR RESIDUAL'!F10</f>
        <v>Moderado</v>
      </c>
      <c r="L9" s="512" t="str">
        <f>+'6 MAPA CALOR RESIDUAL'!G10</f>
        <v>Moderado</v>
      </c>
      <c r="M9" s="512" t="str">
        <f t="shared" ref="M9:M43" si="0">+IF($N9="","",IF($N9=$AC$20,$AD$20,IF($N9=$AC$23,$AD$23)))</f>
        <v>Requiere Plan de Acción</v>
      </c>
      <c r="N9" s="512" t="str">
        <f t="shared" ref="N9:N32" si="1">+IF(L9="","",IF(OR(L9=$AB$20,L9=$AB$21,L9=$AB$22),$AC$20,IF(L9=$AB$23,$AC$23)))</f>
        <v>Reducir_mitigar_Transferir_Evitar</v>
      </c>
      <c r="O9" s="517" t="s">
        <v>458</v>
      </c>
      <c r="P9" s="512" t="str">
        <f t="shared" ref="P9:P43" si="2">+IF($M9="","",IF($M9=$AD$23,$AC$23,$O9))</f>
        <v>Reducir_Mitigar</v>
      </c>
      <c r="Q9" s="514" t="str">
        <f>'5 VALORACIÓN DEL CONTROL'!I10</f>
        <v>El Área de Archivo de la Secretaría de Interior  aplica los lineamientos y procedimientos establecidos para la organización, inventario, conservación y transferencias documentales, de conformidad con las Tablas de Retención Documental, Tablas de Valoración Documental y las directrices emitidas por el Archivo General de la Nación.</v>
      </c>
      <c r="R9" s="332" t="s">
        <v>459</v>
      </c>
      <c r="S9" s="333" t="s">
        <v>460</v>
      </c>
      <c r="T9" s="333" t="s">
        <v>461</v>
      </c>
      <c r="U9" s="334">
        <v>46143</v>
      </c>
      <c r="V9" s="334">
        <v>46371</v>
      </c>
      <c r="Y9" s="523" t="s">
        <v>211</v>
      </c>
      <c r="Z9" s="68">
        <v>1</v>
      </c>
      <c r="AA9" s="59" t="s">
        <v>236</v>
      </c>
      <c r="AB9" s="66" t="s">
        <v>245</v>
      </c>
      <c r="AC9" s="66" t="s">
        <v>245</v>
      </c>
      <c r="AD9" s="66" t="s">
        <v>245</v>
      </c>
      <c r="AE9" s="66" t="s">
        <v>245</v>
      </c>
      <c r="AF9" s="67" t="s">
        <v>246</v>
      </c>
      <c r="AI9" s="299"/>
      <c r="AJ9" s="299"/>
      <c r="AK9" s="300"/>
      <c r="AL9" s="300"/>
      <c r="AM9" s="300"/>
      <c r="AN9" s="69"/>
      <c r="AO9" s="69"/>
      <c r="AP9" s="69"/>
      <c r="AQ9" s="69"/>
      <c r="AR9" s="69"/>
      <c r="AS9" s="300"/>
      <c r="AT9" s="300"/>
    </row>
    <row r="10" spans="1:46" ht="93" customHeight="1">
      <c r="A10" s="529"/>
      <c r="B10" s="526"/>
      <c r="C10" s="530"/>
      <c r="D10" s="530"/>
      <c r="E10" s="484"/>
      <c r="F10" s="484"/>
      <c r="G10" s="526"/>
      <c r="H10" s="530"/>
      <c r="I10" s="484"/>
      <c r="J10" s="484"/>
      <c r="K10" s="484"/>
      <c r="L10" s="526"/>
      <c r="M10" s="526"/>
      <c r="N10" s="526"/>
      <c r="O10" s="527"/>
      <c r="P10" s="526"/>
      <c r="Q10" s="528"/>
      <c r="R10" s="332" t="s">
        <v>462</v>
      </c>
      <c r="S10" s="333" t="s">
        <v>463</v>
      </c>
      <c r="T10" s="333" t="s">
        <v>461</v>
      </c>
      <c r="U10" s="334">
        <v>46143</v>
      </c>
      <c r="V10" s="334">
        <v>46371</v>
      </c>
      <c r="Y10" s="524"/>
      <c r="Z10" s="68"/>
      <c r="AA10" s="59"/>
      <c r="AB10" s="66"/>
      <c r="AC10" s="66"/>
      <c r="AD10" s="66"/>
      <c r="AE10" s="66"/>
      <c r="AF10" s="67"/>
      <c r="AI10" s="299"/>
      <c r="AJ10" s="299"/>
      <c r="AK10" s="300"/>
      <c r="AL10" s="300"/>
      <c r="AM10" s="300"/>
      <c r="AN10" s="69"/>
      <c r="AO10" s="69"/>
      <c r="AP10" s="69"/>
      <c r="AQ10" s="69"/>
      <c r="AR10" s="69"/>
      <c r="AS10" s="300"/>
      <c r="AT10" s="300"/>
    </row>
    <row r="11" spans="1:46" ht="93" customHeight="1">
      <c r="A11" s="522"/>
      <c r="B11" s="513"/>
      <c r="C11" s="520"/>
      <c r="D11" s="520"/>
      <c r="E11" s="463"/>
      <c r="F11" s="463"/>
      <c r="G11" s="513"/>
      <c r="H11" s="520"/>
      <c r="I11" s="463"/>
      <c r="J11" s="463"/>
      <c r="K11" s="463"/>
      <c r="L11" s="513"/>
      <c r="M11" s="513"/>
      <c r="N11" s="513"/>
      <c r="O11" s="518"/>
      <c r="P11" s="513"/>
      <c r="Q11" s="515"/>
      <c r="R11" s="333" t="s">
        <v>464</v>
      </c>
      <c r="S11" s="333" t="s">
        <v>465</v>
      </c>
      <c r="T11" s="333" t="s">
        <v>461</v>
      </c>
      <c r="U11" s="334">
        <v>46143</v>
      </c>
      <c r="V11" s="334">
        <v>46371</v>
      </c>
      <c r="Y11" s="524"/>
      <c r="Z11" s="68"/>
      <c r="AA11" s="59"/>
      <c r="AB11" s="66"/>
      <c r="AC11" s="66"/>
      <c r="AD11" s="66"/>
      <c r="AE11" s="66"/>
      <c r="AF11" s="67"/>
      <c r="AI11" s="299"/>
      <c r="AJ11" s="299"/>
      <c r="AK11" s="300"/>
      <c r="AL11" s="300"/>
      <c r="AM11" s="300"/>
      <c r="AN11" s="69"/>
      <c r="AO11" s="69"/>
      <c r="AP11" s="69"/>
      <c r="AQ11" s="69"/>
      <c r="AR11" s="69"/>
      <c r="AS11" s="300"/>
      <c r="AT11" s="300"/>
    </row>
    <row r="12" spans="1:46" ht="93" customHeight="1">
      <c r="A12" s="521" t="str">
        <f>'2 IDENTIFICACIÓN'!A11</f>
        <v>R2</v>
      </c>
      <c r="B12" s="512" t="str">
        <f>+'2 IDENTIFICACIÓN'!J11</f>
        <v>Posibilidad de afectación económica y reputacional por  investigaciones y sanciones por entes de control,  debido a   la demora en los procesos de contratación y presupuestal  relacionados con la atención de niños, niñas y adolescentes en período de restablecimiento de derechos (hogar de paso), incumpliendo la Ley 1098 de 2006.</v>
      </c>
      <c r="C12" s="519">
        <f>+'3 PROBABIL E IMPACTO INHERENTE'!E11</f>
        <v>0.6</v>
      </c>
      <c r="D12" s="519">
        <f>+'3 PROBABIL E IMPACTO INHERENTE'!M11</f>
        <v>0.8</v>
      </c>
      <c r="E12" s="516" t="str">
        <f>+'4 MAPA CALOR INHERENTE'!C11</f>
        <v>Media</v>
      </c>
      <c r="F12" s="516" t="str">
        <f>+'4 MAPA CALOR INHERENTE'!D11</f>
        <v>Mayor</v>
      </c>
      <c r="G12" s="512" t="str">
        <f>+'4 MAPA CALOR INHERENTE'!E11</f>
        <v>Alto</v>
      </c>
      <c r="H12" s="519">
        <f>+'5 VALORACIÓN DEL CONTROL'!T21</f>
        <v>0.6</v>
      </c>
      <c r="I12" s="516">
        <f>+'5 VALORACIÓN DEL CONTROL'!U21</f>
        <v>0.8</v>
      </c>
      <c r="J12" s="516" t="str">
        <f t="shared" ref="J12:J32" si="3">+IF(H12=0,"",IF(H12&lt;=$Z$17,$AA$17,IF(H12&lt;=$Z$16,$AA$16,IF(H12&lt;=$Z$15,$AA$15,IF(H12&lt;=$Z$12,$AA$12,IF(H12&lt;=$Z$9,$AA$9,""))))))</f>
        <v>Media</v>
      </c>
      <c r="K12" s="516" t="str">
        <f t="shared" ref="K12:K32" si="4">+IF(I12=0,"",IF(I12&lt;=$AB$7,$AB$8,IF(I12&lt;=$AC$7,$AC$8,IF(I12&lt;=$AD$7,$AD$8,IF(I12&lt;=$AE$7,$AE$8,IF(I12&lt;=$AF$7,$AF$8,""))))))</f>
        <v>Mayor</v>
      </c>
      <c r="L12" s="512" t="str">
        <f t="shared" ref="L12:L32" si="5">+IF(J12=$AA$9,IF(K12=$AB$8,$AB$9,IF(K12=$AC$8,$AC$9,IF(K12=$AD$8,$AD$9,IF(K12=$AE$8,$AE$9,IF(K12=$AF$8,$AF$9))))),IF(J12=$AA$12,IF(K12=$AB$8,$AB$12,IF(K12=$AC$8,$AC$12,IF(K12=$AD$8,$AD$12,IF(K12=$AE$8,$AE$12,IF(K12=$AF$8,$AF$12))))),IF(J12=$AA$15,IF(K12=$AB$8,$AB$15,IF(K12=$AC$8,$AC$15,IF(K12=$AD$8,$AD$15,IF(K12=$AE$8,$AE$15,IF(K12=$AF$8,$AF$15))))),IF(J12=$AA$16,IF(K12=$AB$8,$AB$16,IF(K12=$AC$8,$AC$16,IF(K12=$AD$8,$AD$16,IF(K12=$AE$8,$AE$16,IF(K12=$AF$8,$AF$16))))),IF(J12=$AA$17,IF(K12=$AB$8,$AB$17,IF(K12=$AC$8,$AC$17,IF(K12=$AD$8,$AD$17,IF(K12=$AE$8,$AE$17,IF(K12=$AF$8,$AF$17))))),"")))))</f>
        <v>Alto</v>
      </c>
      <c r="M12" s="512" t="str">
        <f t="shared" si="0"/>
        <v>Requiere Plan de Acción</v>
      </c>
      <c r="N12" s="512" t="str">
        <f t="shared" si="1"/>
        <v>Reducir_mitigar_Transferir_Evitar</v>
      </c>
      <c r="O12" s="517" t="s">
        <v>458</v>
      </c>
      <c r="P12" s="512" t="str">
        <f t="shared" si="2"/>
        <v>Reducir_Mitigar</v>
      </c>
      <c r="Q12" s="307" t="str">
        <f>'5 VALORACIÓN DEL CONTROL'!I16</f>
        <v>El supervisor designado, verifica la atención integral en el hogar de paso a los niños, niñas y adolescentes, remitidos por las comisarías de familia ajustado a la normatividad vigente.</v>
      </c>
      <c r="R12" s="332" t="s">
        <v>466</v>
      </c>
      <c r="S12" s="259" t="s">
        <v>467</v>
      </c>
      <c r="T12" s="334" t="s">
        <v>468</v>
      </c>
      <c r="U12" s="334">
        <v>46143</v>
      </c>
      <c r="V12" s="334">
        <v>46371</v>
      </c>
      <c r="Y12" s="524"/>
      <c r="Z12" s="68">
        <v>0.8</v>
      </c>
      <c r="AA12" s="59" t="s">
        <v>233</v>
      </c>
      <c r="AB12" s="70" t="s">
        <v>231</v>
      </c>
      <c r="AC12" s="70" t="s">
        <v>231</v>
      </c>
      <c r="AD12" s="66" t="s">
        <v>245</v>
      </c>
      <c r="AE12" s="66" t="s">
        <v>245</v>
      </c>
      <c r="AF12" s="67" t="s">
        <v>246</v>
      </c>
      <c r="AI12" s="299"/>
      <c r="AJ12" s="299"/>
      <c r="AK12" s="300"/>
      <c r="AL12" s="301"/>
      <c r="AM12" s="72"/>
      <c r="AN12" s="69"/>
      <c r="AO12" s="69"/>
      <c r="AP12" s="69"/>
      <c r="AQ12" s="69"/>
      <c r="AR12" s="69"/>
      <c r="AS12" s="300"/>
      <c r="AT12" s="300"/>
    </row>
    <row r="13" spans="1:46" ht="93" customHeight="1">
      <c r="A13" s="529"/>
      <c r="B13" s="526"/>
      <c r="C13" s="530"/>
      <c r="D13" s="530"/>
      <c r="E13" s="484"/>
      <c r="F13" s="484"/>
      <c r="G13" s="526"/>
      <c r="H13" s="530"/>
      <c r="I13" s="484"/>
      <c r="J13" s="484"/>
      <c r="K13" s="484"/>
      <c r="L13" s="526"/>
      <c r="M13" s="526"/>
      <c r="N13" s="526"/>
      <c r="O13" s="527"/>
      <c r="P13" s="526"/>
      <c r="Q13" s="514" t="str">
        <f>'5 VALORACIÓN DEL CONTROL'!I17</f>
        <v>El secretario del Interior y su equipo de trabajo del área de proyectos y contratación, verifica los procesos prioritarios que continúan para la próxima vigencia, por medio de un seguimiento.</v>
      </c>
      <c r="R13" s="332" t="s">
        <v>469</v>
      </c>
      <c r="S13" s="259" t="s">
        <v>470</v>
      </c>
      <c r="T13" s="333" t="s">
        <v>471</v>
      </c>
      <c r="U13" s="334">
        <v>46204</v>
      </c>
      <c r="V13" s="334">
        <v>46295</v>
      </c>
      <c r="Y13" s="524"/>
      <c r="Z13" s="68"/>
      <c r="AA13" s="59"/>
      <c r="AB13" s="70"/>
      <c r="AC13" s="70"/>
      <c r="AD13" s="66"/>
      <c r="AE13" s="66"/>
      <c r="AF13" s="67"/>
      <c r="AI13" s="299"/>
      <c r="AJ13" s="299"/>
      <c r="AK13" s="300"/>
      <c r="AL13" s="301"/>
      <c r="AM13" s="72"/>
      <c r="AN13" s="69"/>
      <c r="AO13" s="69"/>
      <c r="AP13" s="69"/>
      <c r="AQ13" s="69"/>
      <c r="AR13" s="69"/>
      <c r="AS13" s="300"/>
      <c r="AT13" s="300"/>
    </row>
    <row r="14" spans="1:46" ht="93" customHeight="1">
      <c r="A14" s="522"/>
      <c r="B14" s="513"/>
      <c r="C14" s="520"/>
      <c r="D14" s="520"/>
      <c r="E14" s="463"/>
      <c r="F14" s="463"/>
      <c r="G14" s="513"/>
      <c r="H14" s="520"/>
      <c r="I14" s="463"/>
      <c r="J14" s="463"/>
      <c r="K14" s="463"/>
      <c r="L14" s="513"/>
      <c r="M14" s="513"/>
      <c r="N14" s="513"/>
      <c r="O14" s="518"/>
      <c r="P14" s="513"/>
      <c r="Q14" s="515"/>
      <c r="R14" s="332" t="s">
        <v>472</v>
      </c>
      <c r="S14" s="259" t="s">
        <v>473</v>
      </c>
      <c r="T14" s="333" t="s">
        <v>471</v>
      </c>
      <c r="U14" s="334">
        <v>46204</v>
      </c>
      <c r="V14" s="334">
        <v>46295</v>
      </c>
      <c r="Y14" s="524"/>
      <c r="Z14" s="68"/>
      <c r="AA14" s="59"/>
      <c r="AB14" s="70"/>
      <c r="AC14" s="70"/>
      <c r="AD14" s="66"/>
      <c r="AE14" s="66"/>
      <c r="AF14" s="67"/>
      <c r="AI14" s="299"/>
      <c r="AJ14" s="299"/>
      <c r="AK14" s="300"/>
      <c r="AL14" s="301"/>
      <c r="AM14" s="72"/>
      <c r="AN14" s="69"/>
      <c r="AO14" s="69"/>
      <c r="AP14" s="69"/>
      <c r="AQ14" s="69"/>
      <c r="AR14" s="69"/>
      <c r="AS14" s="300"/>
      <c r="AT14" s="300"/>
    </row>
    <row r="15" spans="1:46" ht="150.6" customHeight="1">
      <c r="A15" s="62" t="str">
        <f>'2 IDENTIFICACIÓN'!A12</f>
        <v>R3</v>
      </c>
      <c r="B15" s="258" t="str">
        <f>+'2 IDENTIFICACIÓN'!J12</f>
        <v>Posibilidad de afectación reputacional por  debilidades en la planeación, gestión y ejecución de las obligaciones contractuales por parte de las unidades gestoras,  debido a  deficiencias en la supervisión y ejecución oportuna de los procesos contractuales producto de la constitución de reservas presupuestales.</v>
      </c>
      <c r="C15" s="89">
        <f>+'3 PROBABIL E IMPACTO INHERENTE'!E12</f>
        <v>0.6</v>
      </c>
      <c r="D15" s="89">
        <f>+'3 PROBABIL E IMPACTO INHERENTE'!M12</f>
        <v>1</v>
      </c>
      <c r="E15" s="64" t="str">
        <f>+'4 MAPA CALOR INHERENTE'!C12</f>
        <v>Media</v>
      </c>
      <c r="F15" s="64" t="str">
        <f>+'4 MAPA CALOR INHERENTE'!D12</f>
        <v>Catastrófico</v>
      </c>
      <c r="G15" s="258" t="str">
        <f>+'4 MAPA CALOR INHERENTE'!E12</f>
        <v>Extremo</v>
      </c>
      <c r="H15" s="89">
        <f>+'5 VALORACIÓN DEL CONTROL'!T27</f>
        <v>0.6</v>
      </c>
      <c r="I15" s="64">
        <f>+'5 VALORACIÓN DEL CONTROL'!U27</f>
        <v>1</v>
      </c>
      <c r="J15" s="64" t="str">
        <f t="shared" si="3"/>
        <v>Media</v>
      </c>
      <c r="K15" s="64" t="str">
        <f t="shared" si="4"/>
        <v>Catastrófico</v>
      </c>
      <c r="L15" s="258" t="str">
        <f>+IF(J15=$AA$9,IF(K15=$AB$8,$AB$9,IF(K15=$AC$8,$AC$9,IF(K15=$AD$8,$AD$9,IF(K15=$AE$8,$AE$9,IF(K15=$AF$8,$AF$9))))),IF(J15=$AA$12,IF(K15=$AB$8,$AB$12,IF(K15=$AC$8,$AC$12,IF(K15=$AD$8,$AD$12,IF(K15=$AE$8,$AE$12,IF(K15=$AF$8,$AF$12))))),IF(J15=$AA$15,IF(K15=$AB$8,$AB$15,IF(K15=$AC$8,$AC$15,IF(K15=$AD$8,$AD$15,IF(K15=$AE$8,$AE$15,IF(K15=$AF$8,$AF$15))))),IF(J15=$AA$16,IF(K15=$AB$8,$AB$16,IF(K15=$AC$8,$AC$16,IF(K15=$AD$8,$AD$16,IF(K15=$AE$8,$AE$16,IF(K15=$AF$8,$AF$16))))),IF(J15=$AA$17,IF(K15=$AB$8,$AB$17,IF(K15=$AC$8,$AC$17,IF(K15=$AD$8,$AD$17,IF(K15=$AE$8,$AE$17,IF(K15=$AF$8,$AF$17))))),"")))))</f>
        <v>Extremo</v>
      </c>
      <c r="M15" s="258" t="str">
        <f t="shared" si="0"/>
        <v>Requiere Plan de Acción</v>
      </c>
      <c r="N15" s="258" t="str">
        <f t="shared" si="1"/>
        <v>Reducir_mitigar_Transferir_Evitar</v>
      </c>
      <c r="O15" s="259" t="s">
        <v>458</v>
      </c>
      <c r="P15" s="258" t="str">
        <f t="shared" si="2"/>
        <v>Reducir_Mitigar</v>
      </c>
      <c r="Q15" s="307" t="str">
        <f>'5 VALORACIÓN DEL CONTROL'!I22</f>
        <v>El Secretario del Interior, el equipo de contratación y el profesional de presupuesto de la Secretaría del Interior, realizan seguimiento trimestral a la ejecución física, contractual y presupuestal de las obligaciones de la dependencia,   con el fin de controlar saldos pendientes de pago y prevenir la constitución de reservas presupuestales.</v>
      </c>
      <c r="R15" s="259" t="s">
        <v>474</v>
      </c>
      <c r="S15" s="259" t="s">
        <v>475</v>
      </c>
      <c r="T15" s="259" t="s">
        <v>471</v>
      </c>
      <c r="U15" s="308">
        <v>46174</v>
      </c>
      <c r="V15" s="308">
        <v>46356</v>
      </c>
      <c r="Y15" s="524"/>
      <c r="Z15" s="68">
        <v>0.6</v>
      </c>
      <c r="AA15" s="59" t="s">
        <v>229</v>
      </c>
      <c r="AB15" s="70" t="s">
        <v>231</v>
      </c>
      <c r="AC15" s="70" t="s">
        <v>231</v>
      </c>
      <c r="AD15" s="70" t="s">
        <v>231</v>
      </c>
      <c r="AE15" s="66" t="s">
        <v>245</v>
      </c>
      <c r="AF15" s="67" t="s">
        <v>246</v>
      </c>
      <c r="AI15" s="299"/>
      <c r="AJ15" s="299"/>
      <c r="AK15" s="300"/>
      <c r="AL15" s="301"/>
      <c r="AM15" s="72"/>
      <c r="AN15" s="69"/>
      <c r="AO15" s="69"/>
      <c r="AP15" s="69"/>
      <c r="AQ15" s="69"/>
      <c r="AR15" s="73"/>
      <c r="AS15" s="300"/>
      <c r="AT15" s="300"/>
    </row>
    <row r="16" spans="1:46" ht="93" customHeight="1">
      <c r="A16" s="62" t="str">
        <f>'2 IDENTIFICACIÓN'!A13</f>
        <v>R4</v>
      </c>
      <c r="B16" s="258" t="str">
        <f>+'2 IDENTIFICACIÓN'!J13</f>
        <v>Posibilidad de afectación económica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v>
      </c>
      <c r="C16" s="89">
        <f>+'3 PROBABIL E IMPACTO INHERENTE'!E13</f>
        <v>0.4</v>
      </c>
      <c r="D16" s="89">
        <f>+'3 PROBABIL E IMPACTO INHERENTE'!M13</f>
        <v>0.8</v>
      </c>
      <c r="E16" s="64" t="str">
        <f>+'4 MAPA CALOR INHERENTE'!C13</f>
        <v>Baja</v>
      </c>
      <c r="F16" s="64" t="str">
        <f>+'4 MAPA CALOR INHERENTE'!D13</f>
        <v>Mayor</v>
      </c>
      <c r="G16" s="258" t="str">
        <f>+'4 MAPA CALOR INHERENTE'!E13</f>
        <v>Alto</v>
      </c>
      <c r="H16" s="89">
        <f>+'5 VALORACIÓN DEL CONTROL'!T33</f>
        <v>0.4</v>
      </c>
      <c r="I16" s="64">
        <f>+'5 VALORACIÓN DEL CONTROL'!U33</f>
        <v>0.8</v>
      </c>
      <c r="J16" s="64" t="str">
        <f t="shared" si="3"/>
        <v>Baja</v>
      </c>
      <c r="K16" s="64" t="str">
        <f t="shared" si="4"/>
        <v>Mayor</v>
      </c>
      <c r="L16" s="258" t="str">
        <f t="shared" si="5"/>
        <v>Alto</v>
      </c>
      <c r="M16" s="258" t="str">
        <f t="shared" si="0"/>
        <v>Requiere Plan de Acción</v>
      </c>
      <c r="N16" s="258" t="str">
        <f t="shared" si="1"/>
        <v>Reducir_mitigar_Transferir_Evitar</v>
      </c>
      <c r="O16" s="259" t="s">
        <v>458</v>
      </c>
      <c r="P16" s="258" t="str">
        <f t="shared" si="2"/>
        <v>Reducir_Mitigar</v>
      </c>
      <c r="Q16" s="307" t="str">
        <f>'5 VALORACIÓN DEL CONTROL'!I28</f>
        <v xml:space="preserve">La persona encargada identifica los pasivos exigibles y/o vigencias expiradas de la Secretaría del Interior, y verifica el cumplimentó de la Resolución 193 de 2016 de la Contaduría General de la Nación, para realizar la acción de depuración </v>
      </c>
      <c r="R16" s="259" t="s">
        <v>476</v>
      </c>
      <c r="S16" s="259" t="s">
        <v>477</v>
      </c>
      <c r="T16" s="259" t="s">
        <v>478</v>
      </c>
      <c r="U16" s="308">
        <v>46204</v>
      </c>
      <c r="V16" s="308">
        <v>46371</v>
      </c>
      <c r="Y16" s="524"/>
      <c r="Z16" s="68">
        <v>0.4</v>
      </c>
      <c r="AA16" s="59" t="s">
        <v>223</v>
      </c>
      <c r="AB16" s="74" t="s">
        <v>247</v>
      </c>
      <c r="AC16" s="70" t="s">
        <v>231</v>
      </c>
      <c r="AD16" s="70" t="s">
        <v>231</v>
      </c>
      <c r="AE16" s="66" t="s">
        <v>245</v>
      </c>
      <c r="AF16" s="67" t="s">
        <v>246</v>
      </c>
      <c r="AI16" s="299"/>
      <c r="AJ16" s="299"/>
      <c r="AK16" s="300"/>
      <c r="AL16" s="301"/>
      <c r="AM16" s="72"/>
      <c r="AN16" s="69"/>
      <c r="AO16" s="69"/>
      <c r="AP16" s="69"/>
      <c r="AQ16" s="73"/>
      <c r="AR16" s="69"/>
      <c r="AS16" s="300"/>
      <c r="AT16" s="300"/>
    </row>
    <row r="17" spans="1:46" ht="136.9" customHeight="1" thickBot="1">
      <c r="A17" s="62" t="str">
        <f>'2 IDENTIFICACIÓN'!A14</f>
        <v>R5</v>
      </c>
      <c r="B17" s="258" t="str">
        <f>+'2 IDENTIFICACIÓN'!J14</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7" s="89">
        <f>+'3 PROBABIL E IMPACTO INHERENTE'!E14</f>
        <v>0.6</v>
      </c>
      <c r="D17" s="89">
        <f>+'3 PROBABIL E IMPACTO INHERENTE'!M14</f>
        <v>0.6</v>
      </c>
      <c r="E17" s="64" t="str">
        <f>+'4 MAPA CALOR INHERENTE'!C14</f>
        <v>Media</v>
      </c>
      <c r="F17" s="64" t="str">
        <f>+'4 MAPA CALOR INHERENTE'!D14</f>
        <v>Moderado</v>
      </c>
      <c r="G17" s="258" t="str">
        <f>+'4 MAPA CALOR INHERENTE'!E14</f>
        <v>Moderado</v>
      </c>
      <c r="H17" s="89">
        <f>+'5 VALORACIÓN DEL CONTROL'!T39</f>
        <v>0.6</v>
      </c>
      <c r="I17" s="64">
        <f>+'5 VALORACIÓN DEL CONTROL'!U39</f>
        <v>0.6</v>
      </c>
      <c r="J17" s="64" t="str">
        <f t="shared" si="3"/>
        <v>Media</v>
      </c>
      <c r="K17" s="64" t="str">
        <f t="shared" si="4"/>
        <v>Moderado</v>
      </c>
      <c r="L17" s="258" t="str">
        <f t="shared" si="5"/>
        <v>Moderado</v>
      </c>
      <c r="M17" s="258" t="str">
        <f t="shared" si="0"/>
        <v>Requiere Plan de Acción</v>
      </c>
      <c r="N17" s="258" t="str">
        <f t="shared" si="1"/>
        <v>Reducir_mitigar_Transferir_Evitar</v>
      </c>
      <c r="O17" s="259" t="s">
        <v>458</v>
      </c>
      <c r="P17" s="258" t="str">
        <f t="shared" si="2"/>
        <v>Reducir_Mitigar</v>
      </c>
      <c r="Q17" s="307" t="str">
        <f>'5 VALORACIÓN DEL CONTROL'!I34</f>
        <v>El líder del proceso y el profesional encargado  revisa las acciones correctivas establecidas y plasmadas en los Planes de Mejoramiento de auditorías internas y externas suscritos,  a través de seguimientos con los responsables de su cumplimiento</v>
      </c>
      <c r="R17" s="259" t="s">
        <v>479</v>
      </c>
      <c r="S17" s="259" t="s">
        <v>480</v>
      </c>
      <c r="T17" s="259" t="s">
        <v>481</v>
      </c>
      <c r="U17" s="308">
        <v>46023</v>
      </c>
      <c r="V17" s="308">
        <v>46371</v>
      </c>
      <c r="Y17" s="525"/>
      <c r="Z17" s="80">
        <v>0.2</v>
      </c>
      <c r="AA17" s="81" t="s">
        <v>216</v>
      </c>
      <c r="AB17" s="76" t="s">
        <v>247</v>
      </c>
      <c r="AC17" s="76" t="s">
        <v>247</v>
      </c>
      <c r="AD17" s="77" t="s">
        <v>231</v>
      </c>
      <c r="AE17" s="78" t="s">
        <v>245</v>
      </c>
      <c r="AF17" s="79" t="s">
        <v>246</v>
      </c>
      <c r="AI17" s="299"/>
      <c r="AJ17" s="299"/>
      <c r="AK17" s="300"/>
      <c r="AL17" s="301"/>
      <c r="AM17" s="72"/>
      <c r="AN17" s="69"/>
      <c r="AO17" s="69"/>
      <c r="AP17" s="69"/>
      <c r="AQ17" s="69"/>
      <c r="AR17" s="69"/>
      <c r="AS17" s="300"/>
      <c r="AT17" s="300"/>
    </row>
    <row r="18" spans="1:46" ht="111" customHeight="1">
      <c r="A18" s="62" t="str">
        <f>'2 IDENTIFICACIÓN'!A15</f>
        <v>R6</v>
      </c>
      <c r="B18" s="258" t="str">
        <f>+'2 IDENTIFICACIÓN'!J15</f>
        <v>Posibilidad de afectación económica y reputacional por investigaciones y sanciones disciplinarias por entes de control,  debido a la falta de seguimiento al cumplimiento de metas del Plan de Desarrollo Municipal programadas para la vigencia.</v>
      </c>
      <c r="C18" s="89">
        <f>+'3 PROBABIL E IMPACTO INHERENTE'!E15</f>
        <v>0.6</v>
      </c>
      <c r="D18" s="89">
        <f>+'3 PROBABIL E IMPACTO INHERENTE'!M15</f>
        <v>1</v>
      </c>
      <c r="E18" s="64" t="str">
        <f>+'4 MAPA CALOR INHERENTE'!C15</f>
        <v>Media</v>
      </c>
      <c r="F18" s="64" t="str">
        <f>+'4 MAPA CALOR INHERENTE'!D15</f>
        <v>Catastrófico</v>
      </c>
      <c r="G18" s="258" t="str">
        <f>+'4 MAPA CALOR INHERENTE'!E15</f>
        <v>Extremo</v>
      </c>
      <c r="H18" s="89">
        <f>+'5 VALORACIÓN DEL CONTROL'!T45</f>
        <v>0.6</v>
      </c>
      <c r="I18" s="64">
        <f>+'5 VALORACIÓN DEL CONTROL'!U45</f>
        <v>1</v>
      </c>
      <c r="J18" s="64" t="str">
        <f t="shared" si="3"/>
        <v>Media</v>
      </c>
      <c r="K18" s="64" t="str">
        <f t="shared" si="4"/>
        <v>Catastrófico</v>
      </c>
      <c r="L18" s="258" t="str">
        <f t="shared" si="5"/>
        <v>Extremo</v>
      </c>
      <c r="M18" s="258" t="str">
        <f t="shared" si="0"/>
        <v>Requiere Plan de Acción</v>
      </c>
      <c r="N18" s="258" t="str">
        <f t="shared" si="1"/>
        <v>Reducir_mitigar_Transferir_Evitar</v>
      </c>
      <c r="O18" s="259" t="s">
        <v>458</v>
      </c>
      <c r="P18" s="258" t="str">
        <f t="shared" si="2"/>
        <v>Reducir_Mitigar</v>
      </c>
      <c r="Q18" s="307" t="str">
        <f>'5 VALORACIÓN DEL CONTROL'!I40</f>
        <v>La Secretaría del Interior verifica el avance en el cumplimiento físico de las metas y la ejecución de los recursos financieros del Plan de Desarrollo Municipal 2026-2027,  mediante seguimiento periódico, con el fin de gestionar oportunamente la apropiación de recursos y la solicitud de vigencias futuras que garanticen el cumplimiento de las metas programadas para la vigencia</v>
      </c>
      <c r="R18" s="259" t="s">
        <v>482</v>
      </c>
      <c r="S18" s="259" t="s">
        <v>483</v>
      </c>
      <c r="T18" s="259" t="s">
        <v>484</v>
      </c>
      <c r="U18" s="308">
        <v>46174</v>
      </c>
      <c r="V18" s="308">
        <v>46021</v>
      </c>
      <c r="AI18" s="299"/>
      <c r="AJ18" s="299"/>
      <c r="AK18" s="300"/>
      <c r="AL18" s="301"/>
      <c r="AM18" s="72"/>
      <c r="AN18" s="69"/>
      <c r="AO18" s="69"/>
      <c r="AP18" s="69"/>
      <c r="AQ18" s="69"/>
      <c r="AR18" s="69"/>
      <c r="AS18" s="300"/>
      <c r="AT18" s="300"/>
    </row>
    <row r="19" spans="1:46" ht="93" customHeight="1">
      <c r="A19" s="62" t="str">
        <f>'2 IDENTIFICACIÓN'!A16</f>
        <v>R7</v>
      </c>
      <c r="B19" s="258" t="str">
        <f>+'2 IDENTIFICACIÓN'!J16</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9" s="89">
        <f>+'3 PROBABIL E IMPACTO INHERENTE'!E16</f>
        <v>0.6</v>
      </c>
      <c r="D19" s="89">
        <f>+'3 PROBABIL E IMPACTO INHERENTE'!M16</f>
        <v>0.6</v>
      </c>
      <c r="E19" s="64" t="str">
        <f>+'4 MAPA CALOR INHERENTE'!C16</f>
        <v>Media</v>
      </c>
      <c r="F19" s="64" t="str">
        <f>+'4 MAPA CALOR INHERENTE'!D16</f>
        <v>Moderado</v>
      </c>
      <c r="G19" s="258" t="str">
        <f>+'4 MAPA CALOR INHERENTE'!E16</f>
        <v>Moderado</v>
      </c>
      <c r="H19" s="89">
        <f>+'5 VALORACIÓN DEL CONTROL'!T51</f>
        <v>0.6</v>
      </c>
      <c r="I19" s="64">
        <f>+'5 VALORACIÓN DEL CONTROL'!U51</f>
        <v>0.6</v>
      </c>
      <c r="J19" s="64" t="str">
        <f t="shared" si="3"/>
        <v>Media</v>
      </c>
      <c r="K19" s="64" t="str">
        <f t="shared" si="4"/>
        <v>Moderado</v>
      </c>
      <c r="L19" s="258" t="str">
        <f t="shared" si="5"/>
        <v>Moderado</v>
      </c>
      <c r="M19" s="258" t="str">
        <f t="shared" si="0"/>
        <v>Requiere Plan de Acción</v>
      </c>
      <c r="N19" s="258" t="str">
        <f t="shared" si="1"/>
        <v>Reducir_mitigar_Transferir_Evitar</v>
      </c>
      <c r="O19" s="259" t="s">
        <v>458</v>
      </c>
      <c r="P19" s="258" t="str">
        <f t="shared" si="2"/>
        <v>Reducir_Mitigar</v>
      </c>
      <c r="Q19" s="307" t="str">
        <f>'5 VALORACIÓN DEL CONTROL'!I46</f>
        <v>El profesional asignado por el líder del proceso revisa la información sujeta a publicación, de acuerdo con lo establecido en la Resolución 1519 de 2020 y sus anexos,  y verifica su publicación y actualización en la página web institucional.</v>
      </c>
      <c r="R19" s="333" t="s">
        <v>485</v>
      </c>
      <c r="S19" s="259" t="s">
        <v>486</v>
      </c>
      <c r="T19" s="333" t="s">
        <v>487</v>
      </c>
      <c r="U19" s="334">
        <v>46023</v>
      </c>
      <c r="V19" s="334">
        <v>46371</v>
      </c>
      <c r="AB19" s="53" t="s">
        <v>248</v>
      </c>
      <c r="AC19" s="53" t="s">
        <v>71</v>
      </c>
      <c r="AD19" s="53" t="s">
        <v>73</v>
      </c>
      <c r="AF19" s="258" t="s">
        <v>488</v>
      </c>
      <c r="AG19" s="299"/>
      <c r="AH19" s="299"/>
      <c r="AI19" s="299"/>
      <c r="AJ19" s="299"/>
      <c r="AK19" s="300"/>
      <c r="AL19" s="301"/>
      <c r="AM19" s="300"/>
      <c r="AN19" s="72"/>
      <c r="AO19" s="72"/>
      <c r="AP19" s="72"/>
      <c r="AQ19" s="72"/>
      <c r="AR19" s="72"/>
      <c r="AS19" s="300"/>
      <c r="AT19" s="300"/>
    </row>
    <row r="20" spans="1:46" ht="93" customHeight="1">
      <c r="A20" s="62" t="str">
        <f>'2 IDENTIFICACIÓN'!A17</f>
        <v>R8</v>
      </c>
      <c r="B20" s="258" t="str">
        <f>+'2 IDENTIFICACIÓN'!J17</f>
        <v>Posibilidad  de efecto dañoso sobre bienes de uso público por   pérdida, extravío, hurto, robo o declaratoria de bienes muebles faltantes  de la entidad, debido a  la deficiencias en la aplicación de los procedimientos de actualización, custodia y control de inventarios institucionales.</v>
      </c>
      <c r="C20" s="89">
        <f>+'3 PROBABIL E IMPACTO INHERENTE'!E17</f>
        <v>0.6</v>
      </c>
      <c r="D20" s="89">
        <f>+'3 PROBABIL E IMPACTO INHERENTE'!M17</f>
        <v>0.8</v>
      </c>
      <c r="E20" s="64" t="str">
        <f>+'4 MAPA CALOR INHERENTE'!C17</f>
        <v>Media</v>
      </c>
      <c r="F20" s="64" t="str">
        <f>+'4 MAPA CALOR INHERENTE'!D17</f>
        <v>Mayor</v>
      </c>
      <c r="G20" s="258" t="str">
        <f>+'4 MAPA CALOR INHERENTE'!E17</f>
        <v>Alto</v>
      </c>
      <c r="H20" s="89">
        <f>+'5 VALORACIÓN DEL CONTROL'!T57</f>
        <v>0.6</v>
      </c>
      <c r="I20" s="64">
        <f>+'5 VALORACIÓN DEL CONTROL'!U57</f>
        <v>0.8</v>
      </c>
      <c r="J20" s="64" t="str">
        <f t="shared" si="3"/>
        <v>Media</v>
      </c>
      <c r="K20" s="64" t="str">
        <f t="shared" si="4"/>
        <v>Mayor</v>
      </c>
      <c r="L20" s="258" t="str">
        <f t="shared" si="5"/>
        <v>Alto</v>
      </c>
      <c r="M20" s="258" t="str">
        <f t="shared" si="0"/>
        <v>Requiere Plan de Acción</v>
      </c>
      <c r="N20" s="258" t="str">
        <f t="shared" si="1"/>
        <v>Reducir_mitigar_Transferir_Evitar</v>
      </c>
      <c r="O20" s="259" t="s">
        <v>458</v>
      </c>
      <c r="P20" s="258" t="str">
        <f t="shared" si="2"/>
        <v>Reducir_Mitigar</v>
      </c>
      <c r="Q20" s="307" t="str">
        <f>'5 VALORACIÓN DEL CONTROL'!I52</f>
        <v>El servidor público verifica el inventario de bienes muebles asignados a su cargo, de acuerdo con el formato ESTADO ACTUAL DEL INVENTARIO RESUMIDO DEL SERVIDOR PÚBLICO F-INV-8500-238,37-015 reportado por el área de Inventarios</v>
      </c>
      <c r="R20" s="332" t="s">
        <v>489</v>
      </c>
      <c r="S20" s="332" t="s">
        <v>490</v>
      </c>
      <c r="T20" s="332" t="s">
        <v>491</v>
      </c>
      <c r="U20" s="335">
        <v>46023</v>
      </c>
      <c r="V20" s="335">
        <v>46371</v>
      </c>
      <c r="AB20" s="83" t="s">
        <v>246</v>
      </c>
      <c r="AC20" s="258" t="s">
        <v>488</v>
      </c>
      <c r="AD20" s="258" t="s">
        <v>492</v>
      </c>
      <c r="AE20" s="299"/>
      <c r="AF20" s="309" t="s">
        <v>458</v>
      </c>
      <c r="AI20" s="299"/>
      <c r="AJ20" s="299"/>
      <c r="AK20" s="300"/>
      <c r="AL20" s="300"/>
      <c r="AM20" s="300"/>
      <c r="AN20" s="69"/>
      <c r="AO20" s="69"/>
      <c r="AP20" s="69"/>
      <c r="AQ20" s="69"/>
      <c r="AR20" s="69"/>
      <c r="AS20" s="300"/>
      <c r="AT20" s="300"/>
    </row>
    <row r="21" spans="1:46" ht="93" customHeight="1">
      <c r="A21" s="62" t="str">
        <f>'2 IDENTIFICACIÓN'!A18</f>
        <v>R9</v>
      </c>
      <c r="B21" s="258" t="str">
        <f>+'2 IDENTIFICACIÓN'!J18</f>
        <v>Posibilidad  de efecto dañoso sobre el recurso público por pago de sanción e intereses moratorios,  debido a trámite inoportuno a los requerimientos de los entes de control y vigilancia, de acuerdo con sus lineamientos y términos de ley.</v>
      </c>
      <c r="C21" s="89">
        <f>+'3 PROBABIL E IMPACTO INHERENTE'!E18</f>
        <v>0.6</v>
      </c>
      <c r="D21" s="89">
        <f>+'3 PROBABIL E IMPACTO INHERENTE'!M18</f>
        <v>0.4</v>
      </c>
      <c r="E21" s="64" t="str">
        <f>+'4 MAPA CALOR INHERENTE'!C18</f>
        <v>Media</v>
      </c>
      <c r="F21" s="64" t="str">
        <f>+'4 MAPA CALOR INHERENTE'!D18</f>
        <v>Menor</v>
      </c>
      <c r="G21" s="258" t="str">
        <f>+'4 MAPA CALOR INHERENTE'!E18</f>
        <v>Moderado</v>
      </c>
      <c r="H21" s="89">
        <f>+'5 VALORACIÓN DEL CONTROL'!T63</f>
        <v>0.6</v>
      </c>
      <c r="I21" s="64">
        <f>+'5 VALORACIÓN DEL CONTROL'!U63</f>
        <v>0.4</v>
      </c>
      <c r="J21" s="64" t="str">
        <f t="shared" si="3"/>
        <v>Media</v>
      </c>
      <c r="K21" s="64" t="str">
        <f t="shared" si="4"/>
        <v>Menor</v>
      </c>
      <c r="L21" s="258" t="str">
        <f t="shared" si="5"/>
        <v>Moderado</v>
      </c>
      <c r="M21" s="258" t="str">
        <f t="shared" si="0"/>
        <v>Requiere Plan de Acción</v>
      </c>
      <c r="N21" s="258" t="str">
        <f t="shared" si="1"/>
        <v>Reducir_mitigar_Transferir_Evitar</v>
      </c>
      <c r="O21" s="259" t="s">
        <v>458</v>
      </c>
      <c r="P21" s="258" t="str">
        <f t="shared" si="2"/>
        <v>Reducir_Mitigar</v>
      </c>
      <c r="Q21" s="307" t="str">
        <f>'5 VALORACIÓN DEL CONTROL'!I58</f>
        <v>La persona encargada verifica el cumplimiento de los términos establecidos para la atención de los requerimientos de los entes de control y vigilancia asignados a la Secretaría del Interior, a través del seguimiento y validación de las fechas de vencimiento y respuesta registradas en los mecanismos institucionales de control y seguimiento, identificando alertas frente a posibles incumplimientos.</v>
      </c>
      <c r="R21" s="259" t="s">
        <v>493</v>
      </c>
      <c r="S21" s="259" t="s">
        <v>494</v>
      </c>
      <c r="T21" s="259" t="s">
        <v>495</v>
      </c>
      <c r="U21" s="308">
        <v>46023</v>
      </c>
      <c r="V21" s="308">
        <v>46371</v>
      </c>
      <c r="AB21" s="66" t="s">
        <v>245</v>
      </c>
      <c r="AC21" s="258" t="s">
        <v>488</v>
      </c>
      <c r="AD21" s="258" t="s">
        <v>492</v>
      </c>
      <c r="AE21" s="299"/>
      <c r="AF21" s="309" t="s">
        <v>496</v>
      </c>
      <c r="AG21" s="299"/>
      <c r="AH21" s="299"/>
      <c r="AI21" s="299"/>
      <c r="AJ21" s="299"/>
      <c r="AK21" s="300"/>
      <c r="AL21" s="300"/>
      <c r="AM21" s="300"/>
      <c r="AN21" s="69"/>
      <c r="AO21" s="69"/>
      <c r="AP21" s="69"/>
      <c r="AQ21" s="69"/>
      <c r="AR21" s="69"/>
      <c r="AS21" s="300"/>
      <c r="AT21" s="300"/>
    </row>
    <row r="22" spans="1:46" ht="93" customHeight="1">
      <c r="A22" s="62" t="str">
        <f>'2 IDENTIFICACIÓN'!A19</f>
        <v>R10</v>
      </c>
      <c r="B22" s="258" t="str">
        <f>+'2 IDENTIFICACIÓN'!J19</f>
        <v>Posibilidad  de efecto dañoso sobre el recurso público por  incumplimiento en las obligaciones del contratado, debido a a la deficiencias en la elaboración de especificaciones técnicas y seguimiento de los contratos e interventoría de la Entidad.</v>
      </c>
      <c r="C22" s="89">
        <f>+'3 PROBABIL E IMPACTO INHERENTE'!E19</f>
        <v>0.4</v>
      </c>
      <c r="D22" s="89">
        <f>+'3 PROBABIL E IMPACTO INHERENTE'!M19</f>
        <v>1</v>
      </c>
      <c r="E22" s="64" t="str">
        <f>+'4 MAPA CALOR INHERENTE'!C19</f>
        <v>Baja</v>
      </c>
      <c r="F22" s="64" t="str">
        <f>+'4 MAPA CALOR INHERENTE'!D19</f>
        <v>Catastrófico</v>
      </c>
      <c r="G22" s="258" t="str">
        <f>+'4 MAPA CALOR INHERENTE'!E19</f>
        <v>Extremo</v>
      </c>
      <c r="H22" s="89">
        <f>+'5 VALORACIÓN DEL CONTROL'!T69</f>
        <v>0.4</v>
      </c>
      <c r="I22" s="64">
        <f>+'5 VALORACIÓN DEL CONTROL'!U69</f>
        <v>1</v>
      </c>
      <c r="J22" s="64" t="str">
        <f t="shared" si="3"/>
        <v>Baja</v>
      </c>
      <c r="K22" s="64" t="str">
        <f t="shared" si="4"/>
        <v>Catastrófico</v>
      </c>
      <c r="L22" s="258" t="str">
        <f t="shared" si="5"/>
        <v>Extremo</v>
      </c>
      <c r="M22" s="258" t="str">
        <f t="shared" si="0"/>
        <v>Requiere Plan de Acción</v>
      </c>
      <c r="N22" s="258" t="str">
        <f t="shared" si="1"/>
        <v>Reducir_mitigar_Transferir_Evitar</v>
      </c>
      <c r="O22" s="259" t="s">
        <v>458</v>
      </c>
      <c r="P22" s="258" t="str">
        <f t="shared" si="2"/>
        <v>Reducir_Mitigar</v>
      </c>
      <c r="Q22" s="307" t="str">
        <f>'5 VALORACIÓN DEL CONTROL'!I64</f>
        <v>Los profesionales encargados de la formulación de proyectos y el equipo de contratación verifican las especificaciones técnicas y obligaciones contractuales de los procesos de contratación de la Secretaría del Interior,  conforme a la normatividad vigente, con el fin de prevenir incumplimientos y afectaciones a los recursos públicos.</v>
      </c>
      <c r="R22" s="259" t="s">
        <v>497</v>
      </c>
      <c r="S22" s="259" t="s">
        <v>498</v>
      </c>
      <c r="T22" s="259" t="s">
        <v>495</v>
      </c>
      <c r="U22" s="308">
        <v>46023</v>
      </c>
      <c r="V22" s="308">
        <v>46371</v>
      </c>
      <c r="AA22" s="302"/>
      <c r="AB22" s="70" t="s">
        <v>231</v>
      </c>
      <c r="AC22" s="258" t="s">
        <v>488</v>
      </c>
      <c r="AD22" s="258" t="s">
        <v>492</v>
      </c>
      <c r="AE22" s="302"/>
      <c r="AF22" s="309" t="s">
        <v>368</v>
      </c>
      <c r="AG22" s="302"/>
      <c r="AH22" s="302"/>
      <c r="AI22" s="302"/>
      <c r="AJ22" s="302"/>
      <c r="AK22" s="300"/>
      <c r="AL22" s="300"/>
      <c r="AM22" s="303"/>
      <c r="AN22" s="303"/>
      <c r="AO22" s="303"/>
      <c r="AP22" s="303"/>
      <c r="AQ22" s="303"/>
      <c r="AR22" s="303"/>
      <c r="AS22" s="300"/>
      <c r="AT22" s="300"/>
    </row>
    <row r="23" spans="1:46" ht="93" customHeight="1">
      <c r="A23" s="62" t="str">
        <f>'2 IDENTIFICACIÓN'!A20</f>
        <v>R11</v>
      </c>
      <c r="B23" s="258" t="str">
        <f>+'2 IDENTIFICACIÓN'!J20</f>
        <v>Posibilidad  de efecto dañoso sobre el recurso público por el pago de costas procesales derivadas de fallos judiciales dentro de las acciones populares a cargo de la Secretaría de Interior  en contra del ente territorial, debido a al incumplimiento de disposiciones normativas y obligaciones legales aplicables.</v>
      </c>
      <c r="C23" s="89">
        <f>+'3 PROBABIL E IMPACTO INHERENTE'!E20</f>
        <v>0.6</v>
      </c>
      <c r="D23" s="89">
        <f>+'3 PROBABIL E IMPACTO INHERENTE'!M20</f>
        <v>0.2</v>
      </c>
      <c r="E23" s="64" t="str">
        <f>+'4 MAPA CALOR INHERENTE'!C20</f>
        <v>Media</v>
      </c>
      <c r="F23" s="64" t="str">
        <f>+'4 MAPA CALOR INHERENTE'!D20</f>
        <v>Leve</v>
      </c>
      <c r="G23" s="258" t="str">
        <f>+'4 MAPA CALOR INHERENTE'!E20</f>
        <v>Moderado</v>
      </c>
      <c r="H23" s="89">
        <f>+'5 VALORACIÓN DEL CONTROL'!T75</f>
        <v>0.6</v>
      </c>
      <c r="I23" s="64">
        <f>+'5 VALORACIÓN DEL CONTROL'!U75</f>
        <v>0.2</v>
      </c>
      <c r="J23" s="64" t="str">
        <f t="shared" si="3"/>
        <v>Media</v>
      </c>
      <c r="K23" s="64" t="str">
        <f t="shared" si="4"/>
        <v>Leve</v>
      </c>
      <c r="L23" s="258" t="str">
        <f t="shared" si="5"/>
        <v>Moderado</v>
      </c>
      <c r="M23" s="258" t="str">
        <f t="shared" si="0"/>
        <v>Requiere Plan de Acción</v>
      </c>
      <c r="N23" s="258" t="str">
        <f t="shared" si="1"/>
        <v>Reducir_mitigar_Transferir_Evitar</v>
      </c>
      <c r="O23" s="259" t="s">
        <v>458</v>
      </c>
      <c r="P23" s="258" t="str">
        <f t="shared" si="2"/>
        <v>Reducir_Mitigar</v>
      </c>
      <c r="Q23" s="307" t="str">
        <f>'5 VALORACIÓN DEL CONTROL'!I70</f>
        <v>El apoderado judicial  verifica el cumplimiento de las obligaciones relacionadas con el pago de costas procesales derivadas de las acciones populares a cargo de la Secretaría del Interior, a través de la revisión y seguimiento de los trámites y requisitos establecidos en la normatividad vigente y el procedimiento institucional aplicable.</v>
      </c>
      <c r="R23" s="259" t="s">
        <v>499</v>
      </c>
      <c r="S23" s="259" t="s">
        <v>500</v>
      </c>
      <c r="T23" s="259" t="s">
        <v>501</v>
      </c>
      <c r="U23" s="308">
        <v>46174</v>
      </c>
      <c r="V23" s="308">
        <v>46371</v>
      </c>
      <c r="AA23" s="302"/>
      <c r="AB23" s="74" t="s">
        <v>247</v>
      </c>
      <c r="AC23" s="258" t="s">
        <v>365</v>
      </c>
      <c r="AD23" s="258" t="s">
        <v>502</v>
      </c>
      <c r="AI23" s="302"/>
      <c r="AJ23" s="302"/>
      <c r="AK23" s="300"/>
      <c r="AL23" s="300"/>
      <c r="AM23" s="300"/>
      <c r="AN23" s="69"/>
      <c r="AO23" s="69"/>
      <c r="AP23" s="69"/>
      <c r="AQ23" s="69"/>
      <c r="AR23" s="69"/>
      <c r="AS23" s="300"/>
      <c r="AT23" s="300"/>
    </row>
    <row r="24" spans="1:46" ht="93" customHeight="1">
      <c r="A24" s="62" t="str">
        <f>'2 IDENTIFICACIÓN'!A21</f>
        <v>R12</v>
      </c>
      <c r="B24" s="258" t="str">
        <f>+'2 IDENTIFICACIÓN'!J21</f>
        <v>Posibilidad  de efecto dañoso sobre el recurso público por  incumplimientos en la gestión contractual durante las etapas precontractual, contractual y postcontractual,  debido a a debilidades en la aplicación y verificación de los requisitos y lineamientos establecidos en la normatividad vigente.</v>
      </c>
      <c r="C24" s="89">
        <f>+'3 PROBABIL E IMPACTO INHERENTE'!E21</f>
        <v>0.6</v>
      </c>
      <c r="D24" s="89">
        <f>+'3 PROBABIL E IMPACTO INHERENTE'!M21</f>
        <v>0.8</v>
      </c>
      <c r="E24" s="64" t="str">
        <f>+'4 MAPA CALOR INHERENTE'!C21</f>
        <v>Media</v>
      </c>
      <c r="F24" s="64" t="str">
        <f>+'4 MAPA CALOR INHERENTE'!D21</f>
        <v>Mayor</v>
      </c>
      <c r="G24" s="258" t="str">
        <f>+'4 MAPA CALOR INHERENTE'!E21</f>
        <v>Alto</v>
      </c>
      <c r="H24" s="89">
        <f>+'5 VALORACIÓN DEL CONTROL'!T81</f>
        <v>0.6</v>
      </c>
      <c r="I24" s="64">
        <f>+'5 VALORACIÓN DEL CONTROL'!U81</f>
        <v>0.8</v>
      </c>
      <c r="J24" s="64" t="str">
        <f t="shared" si="3"/>
        <v>Media</v>
      </c>
      <c r="K24" s="64" t="str">
        <f t="shared" si="4"/>
        <v>Mayor</v>
      </c>
      <c r="L24" s="258" t="str">
        <f t="shared" si="5"/>
        <v>Alto</v>
      </c>
      <c r="M24" s="258" t="str">
        <f t="shared" si="0"/>
        <v>Requiere Plan de Acción</v>
      </c>
      <c r="N24" s="258" t="str">
        <f t="shared" si="1"/>
        <v>Reducir_mitigar_Transferir_Evitar</v>
      </c>
      <c r="O24" s="259" t="s">
        <v>458</v>
      </c>
      <c r="P24" s="258" t="str">
        <f t="shared" si="2"/>
        <v>Reducir_Mitigar</v>
      </c>
      <c r="Q24" s="307" t="str">
        <f>'5 VALORACIÓN DEL CONTROL'!I76</f>
        <v>Los profesionales encargados de la contratación y/o supervisores designados  revisa el cumplimiento de las normas vigentes en las diferentes etapas de contratación (precontractual, contractual y postcontractual), de los procesos celebrados por la Secretaría del Interior diferentes a contratos de prestación de servicios</v>
      </c>
      <c r="R24" s="259" t="s">
        <v>503</v>
      </c>
      <c r="S24" s="259" t="s">
        <v>504</v>
      </c>
      <c r="T24" s="259" t="s">
        <v>505</v>
      </c>
      <c r="U24" s="308">
        <v>46023</v>
      </c>
      <c r="V24" s="308">
        <v>46371</v>
      </c>
      <c r="Y24" s="304"/>
      <c r="Z24" s="304"/>
      <c r="AA24" s="302"/>
      <c r="AB24" s="144"/>
      <c r="AI24" s="302"/>
      <c r="AJ24" s="302"/>
      <c r="AK24" s="300"/>
      <c r="AL24" s="300"/>
      <c r="AM24" s="300"/>
      <c r="AN24" s="69"/>
      <c r="AO24" s="69"/>
      <c r="AP24" s="69"/>
      <c r="AQ24" s="69"/>
      <c r="AR24" s="69"/>
      <c r="AS24" s="300"/>
      <c r="AT24" s="300"/>
    </row>
    <row r="25" spans="1:46" ht="93" customHeight="1">
      <c r="A25" s="62" t="str">
        <f>'2 IDENTIFICACIÓN'!A22</f>
        <v>R13</v>
      </c>
      <c r="B25" s="258" t="str">
        <f>+'2 IDENTIFICACIÓN'!J22</f>
        <v>Posibilidad de afectación económica por   investigaciones, sanciones y/o condenas promovidas por entes de control,  debido a al Incumplimiento en la cobertura de las garantías que amparan los riesgos definidos en la etapa precontractual de acuerdo al Manual de Contratación M-GJ-1140-170-001</v>
      </c>
      <c r="C25" s="89">
        <f>+'3 PROBABIL E IMPACTO INHERENTE'!E22</f>
        <v>0.6</v>
      </c>
      <c r="D25" s="89">
        <f>+'3 PROBABIL E IMPACTO INHERENTE'!M22</f>
        <v>0.6</v>
      </c>
      <c r="E25" s="64" t="str">
        <f>+'4 MAPA CALOR INHERENTE'!C22</f>
        <v>Media</v>
      </c>
      <c r="F25" s="64" t="str">
        <f>+'4 MAPA CALOR INHERENTE'!D22</f>
        <v>Moderado</v>
      </c>
      <c r="G25" s="258" t="str">
        <f>+'4 MAPA CALOR INHERENTE'!E22</f>
        <v>Moderado</v>
      </c>
      <c r="H25" s="89">
        <f>+'5 VALORACIÓN DEL CONTROL'!T87</f>
        <v>0.6</v>
      </c>
      <c r="I25" s="64">
        <f>+'5 VALORACIÓN DEL CONTROL'!U87</f>
        <v>0.6</v>
      </c>
      <c r="J25" s="64" t="str">
        <f t="shared" si="3"/>
        <v>Media</v>
      </c>
      <c r="K25" s="64" t="str">
        <f t="shared" si="4"/>
        <v>Moderado</v>
      </c>
      <c r="L25" s="258" t="str">
        <f t="shared" si="5"/>
        <v>Moderado</v>
      </c>
      <c r="M25" s="258" t="str">
        <f t="shared" si="0"/>
        <v>Requiere Plan de Acción</v>
      </c>
      <c r="N25" s="258" t="str">
        <f t="shared" si="1"/>
        <v>Reducir_mitigar_Transferir_Evitar</v>
      </c>
      <c r="O25" s="259" t="s">
        <v>458</v>
      </c>
      <c r="P25" s="258" t="str">
        <f t="shared" si="2"/>
        <v>Reducir_Mitigar</v>
      </c>
      <c r="Q25" s="307" t="str">
        <f>'5 VALORACIÓN DEL CONTROL'!I82</f>
        <v>La persona encargada por el ordenador del gasto realizará la verificación de los amparos exigidos en los contratos suscritos en la Secretaría del Interior, dando aplicación al Manual de Contratación M-GJ-1140-170-001.</v>
      </c>
      <c r="R25" s="259" t="s">
        <v>506</v>
      </c>
      <c r="S25" s="259" t="s">
        <v>504</v>
      </c>
      <c r="T25" s="259" t="s">
        <v>507</v>
      </c>
      <c r="U25" s="308">
        <v>46023</v>
      </c>
      <c r="V25" s="308">
        <v>46371</v>
      </c>
      <c r="Y25" s="304"/>
      <c r="Z25" s="304"/>
      <c r="AA25" s="305"/>
      <c r="AI25" s="302"/>
      <c r="AJ25" s="302"/>
      <c r="AK25" s="300"/>
      <c r="AL25" s="69"/>
      <c r="AM25" s="69"/>
      <c r="AN25" s="69"/>
      <c r="AO25" s="69"/>
      <c r="AP25" s="69"/>
      <c r="AQ25" s="69"/>
      <c r="AR25" s="69"/>
      <c r="AS25" s="300"/>
      <c r="AT25" s="300"/>
    </row>
    <row r="26" spans="1:46" ht="93" customHeight="1">
      <c r="A26" s="62" t="str">
        <f>'2 IDENTIFICACIÓN'!A23</f>
        <v>R14</v>
      </c>
      <c r="B26" s="258" t="str">
        <f>+'2 IDENTIFICACIÓN'!J23</f>
        <v>Posibilidad de pérdida reputacional por  corrupción mediante la solicitud, ofrecimiento, recepción o aceptación de dádivas, beneficios o incentivos indebidos, a nombre propio o de terceros,  debido a  la  alterar, influir o favorecer alguna de las partes dentro de los procesos policivos adelantados por la Secretaría del Interior</v>
      </c>
      <c r="C26" s="89">
        <f>+'3 PROBABIL E IMPACTO INHERENTE'!E23</f>
        <v>0.6</v>
      </c>
      <c r="D26" s="89">
        <f>+'3 PROBABIL E IMPACTO INHERENTE'!M23</f>
        <v>0.8</v>
      </c>
      <c r="E26" s="64" t="str">
        <f>+'4 MAPA CALOR INHERENTE'!C23</f>
        <v>Media</v>
      </c>
      <c r="F26" s="64" t="str">
        <f>+'4 MAPA CALOR INHERENTE'!D23</f>
        <v>Mayor</v>
      </c>
      <c r="G26" s="258" t="str">
        <f>+'4 MAPA CALOR INHERENTE'!E23</f>
        <v>Alto</v>
      </c>
      <c r="H26" s="89">
        <f>+'5 VALORACIÓN DEL CONTROL'!T93</f>
        <v>0.6</v>
      </c>
      <c r="I26" s="64">
        <f>+'5 VALORACIÓN DEL CONTROL'!U93</f>
        <v>0.8</v>
      </c>
      <c r="J26" s="64" t="str">
        <f t="shared" si="3"/>
        <v>Media</v>
      </c>
      <c r="K26" s="64" t="str">
        <f t="shared" si="4"/>
        <v>Mayor</v>
      </c>
      <c r="L26" s="258" t="str">
        <f t="shared" si="5"/>
        <v>Alto</v>
      </c>
      <c r="M26" s="258" t="str">
        <f t="shared" si="0"/>
        <v>Requiere Plan de Acción</v>
      </c>
      <c r="N26" s="258" t="str">
        <f t="shared" si="1"/>
        <v>Reducir_mitigar_Transferir_Evitar</v>
      </c>
      <c r="O26" s="259" t="s">
        <v>458</v>
      </c>
      <c r="P26" s="258" t="str">
        <f t="shared" si="2"/>
        <v>Reducir_Mitigar</v>
      </c>
      <c r="Q26" s="307" t="str">
        <f>'5 VALORACIÓN DEL CONTROL'!I88</f>
        <v>El Profesional Articulador del Área de Inspecciones de Convivencia y Paz de la Secretaría del Interior verifica y consolida las quejas recepcionadas por presuntos actos de corrupción relacionados con los procesos policivos adelantados por la dependencia, mediante la revisión del cumplimiento de los procedimientos establecidos, con el fin de garantizar la transparencia e imparcialidad en las actuaciones administrativas, de manera trimestral o cuando se presenten novedades.</v>
      </c>
      <c r="R26" s="259" t="s">
        <v>508</v>
      </c>
      <c r="S26" s="259" t="s">
        <v>509</v>
      </c>
      <c r="T26" s="259" t="s">
        <v>510</v>
      </c>
      <c r="U26" s="308">
        <v>46174</v>
      </c>
      <c r="V26" s="308">
        <v>46356</v>
      </c>
      <c r="Y26" s="304"/>
      <c r="Z26" s="304"/>
      <c r="AK26" s="300"/>
      <c r="AL26" s="306"/>
      <c r="AM26" s="306"/>
      <c r="AN26" s="306"/>
      <c r="AO26" s="306"/>
      <c r="AP26" s="306"/>
      <c r="AQ26" s="306"/>
      <c r="AR26" s="69"/>
      <c r="AS26" s="300"/>
      <c r="AT26" s="300"/>
    </row>
    <row r="27" spans="1:46" ht="93" customHeight="1">
      <c r="A27" s="62" t="str">
        <f>'2 IDENTIFICACIÓN'!A24</f>
        <v>R15</v>
      </c>
      <c r="B27" s="258" t="str">
        <f>+'2 IDENTIFICACIÓN'!J24</f>
        <v>Posibilidad de pérdida reputacional por  soborno entrante en los procesos administrativos de la Comisaría de Familia, al recibir o solicitar dádivas o beneficios a nombre propio o de terceros,  debido a  favorecimiento indebido a alguna de las partes en los procesos de la Comisaría de familia adscrita a la Secretaría del Interior.</v>
      </c>
      <c r="C27" s="89">
        <f>+'3 PROBABIL E IMPACTO INHERENTE'!E24</f>
        <v>0.6</v>
      </c>
      <c r="D27" s="89">
        <f>+'3 PROBABIL E IMPACTO INHERENTE'!M24</f>
        <v>0.8</v>
      </c>
      <c r="E27" s="64" t="str">
        <f>+'4 MAPA CALOR INHERENTE'!C24</f>
        <v>Media</v>
      </c>
      <c r="F27" s="64" t="str">
        <f>+'4 MAPA CALOR INHERENTE'!D24</f>
        <v>Mayor</v>
      </c>
      <c r="G27" s="258" t="str">
        <f>+'4 MAPA CALOR INHERENTE'!E24</f>
        <v>Alto</v>
      </c>
      <c r="H27" s="89">
        <f>+'5 VALORACIÓN DEL CONTROL'!T99</f>
        <v>0.6</v>
      </c>
      <c r="I27" s="64">
        <f>+'5 VALORACIÓN DEL CONTROL'!U99</f>
        <v>0.8</v>
      </c>
      <c r="J27" s="64" t="str">
        <f t="shared" si="3"/>
        <v>Media</v>
      </c>
      <c r="K27" s="64" t="str">
        <f t="shared" si="4"/>
        <v>Mayor</v>
      </c>
      <c r="L27" s="258" t="str">
        <f t="shared" si="5"/>
        <v>Alto</v>
      </c>
      <c r="M27" s="258" t="str">
        <f t="shared" si="0"/>
        <v>Requiere Plan de Acción</v>
      </c>
      <c r="N27" s="258" t="str">
        <f t="shared" si="1"/>
        <v>Reducir_mitigar_Transferir_Evitar</v>
      </c>
      <c r="O27" s="259" t="s">
        <v>458</v>
      </c>
      <c r="P27" s="258" t="str">
        <f t="shared" si="2"/>
        <v>Reducir_Mitigar</v>
      </c>
      <c r="Q27" s="307" t="str">
        <f>'5 VALORACIÓN DEL CONTROL'!I94</f>
        <v>El Profesional Articulador del Área de Comisaría de Familia de la Secretaría del Interior verifica y consolida las quejas recepcionadas por presuntos actos de corrupción relacionados con los procesos adelantados por las Comisarías de Familia, mediante la revisión del cumplimiento de los procedimientos establecidos, con el fin de garantizar la transparencia e imparcialidad en las actuaciones administrativas, de manera trimestral o cuando se presenten novedades.</v>
      </c>
      <c r="R27" s="259" t="s">
        <v>508</v>
      </c>
      <c r="S27" s="259" t="s">
        <v>477</v>
      </c>
      <c r="T27" s="259" t="s">
        <v>511</v>
      </c>
      <c r="U27" s="308">
        <v>46174</v>
      </c>
      <c r="V27" s="308">
        <v>46356</v>
      </c>
      <c r="Y27" s="304"/>
      <c r="Z27" s="304"/>
      <c r="AK27" s="300"/>
      <c r="AL27" s="69"/>
      <c r="AM27" s="69"/>
      <c r="AN27" s="69"/>
      <c r="AO27" s="69"/>
      <c r="AP27" s="69"/>
      <c r="AQ27" s="69"/>
      <c r="AR27" s="69"/>
      <c r="AS27" s="300"/>
      <c r="AT27" s="300"/>
    </row>
    <row r="28" spans="1:46" ht="93" customHeight="1">
      <c r="A28" s="62" t="str">
        <f>'2 IDENTIFICACIÓN'!A25</f>
        <v>R16</v>
      </c>
      <c r="B28" s="258" t="str">
        <f>+'2 IDENTIFICACIÓN'!J25</f>
        <v>Posibilidad de pérdida reputacional por  Corrupcion  entrante en el proceso de contratación de la Secretaría del Interior, al recibir o solicitar dádivas o beneficios a nombre propio o de terceros, debido a   favorecimiento indebido a alguna de las partes en los procesos de adjudicación de contratos.</v>
      </c>
      <c r="C28" s="89">
        <f>+'3 PROBABIL E IMPACTO INHERENTE'!E25</f>
        <v>0.6</v>
      </c>
      <c r="D28" s="89">
        <f>+'3 PROBABIL E IMPACTO INHERENTE'!M25</f>
        <v>0.8</v>
      </c>
      <c r="E28" s="64" t="str">
        <f>+'4 MAPA CALOR INHERENTE'!C25</f>
        <v>Media</v>
      </c>
      <c r="F28" s="64" t="str">
        <f>+'4 MAPA CALOR INHERENTE'!D25</f>
        <v>Mayor</v>
      </c>
      <c r="G28" s="258" t="str">
        <f>+'4 MAPA CALOR INHERENTE'!E25</f>
        <v>Alto</v>
      </c>
      <c r="H28" s="89">
        <f>+'5 VALORACIÓN DEL CONTROL'!T105</f>
        <v>0.6</v>
      </c>
      <c r="I28" s="64">
        <f>+'5 VALORACIÓN DEL CONTROL'!U105</f>
        <v>0.8</v>
      </c>
      <c r="J28" s="64" t="str">
        <f t="shared" si="3"/>
        <v>Media</v>
      </c>
      <c r="K28" s="64" t="str">
        <f t="shared" si="4"/>
        <v>Mayor</v>
      </c>
      <c r="L28" s="258" t="str">
        <f t="shared" si="5"/>
        <v>Alto</v>
      </c>
      <c r="M28" s="258" t="str">
        <f t="shared" si="0"/>
        <v>Requiere Plan de Acción</v>
      </c>
      <c r="N28" s="258" t="str">
        <f t="shared" si="1"/>
        <v>Reducir_mitigar_Transferir_Evitar</v>
      </c>
      <c r="O28" s="259" t="s">
        <v>458</v>
      </c>
      <c r="P28" s="258" t="str">
        <f t="shared" si="2"/>
        <v>Reducir_Mitigar</v>
      </c>
      <c r="Q28" s="307" t="str">
        <f>'5 VALORACIÓN DEL CONTROL'!I100</f>
        <v>El profesional articulador del Area de contratación de la Secretaría del Interior,  Verifica que todos los procesos en la etapa precontractual tengan la viabilidad jurídica y técnica que   emite la Secretaría Jurídica,  para continuar con la correspondiente publicación en la plataforma SECOP.</v>
      </c>
      <c r="R28" s="259" t="s">
        <v>512</v>
      </c>
      <c r="S28" s="259" t="s">
        <v>513</v>
      </c>
      <c r="T28" s="259" t="s">
        <v>514</v>
      </c>
      <c r="U28" s="308">
        <v>46023</v>
      </c>
      <c r="V28" s="308">
        <v>46371</v>
      </c>
      <c r="AK28" s="300"/>
      <c r="AL28" s="69"/>
      <c r="AM28" s="69"/>
      <c r="AN28" s="69"/>
      <c r="AO28" s="69"/>
      <c r="AP28" s="69"/>
      <c r="AQ28" s="69"/>
      <c r="AR28" s="69"/>
      <c r="AS28" s="300"/>
      <c r="AT28" s="300"/>
    </row>
    <row r="29" spans="1:46" ht="93" customHeight="1">
      <c r="A29" s="521" t="str">
        <f>'2 IDENTIFICACIÓN'!A26</f>
        <v>R17</v>
      </c>
      <c r="B29" s="512" t="str">
        <f>+'2 IDENTIFICACIÓN'!J26</f>
        <v>Posibilidad de pérdida reputacional por  ocupación o desarrollo urbanístico no controlado en zonas intervenidas con obras de mitigación del riesgo, debido a  deficiencias en el seguimiento de las actuaciones policivas y en la articulación interinstitucional para la atención de denuncias, reportes o alertas relacionadas con presuntas infracciones urbanísticas.</v>
      </c>
      <c r="C29" s="519">
        <f>+'3 PROBABIL E IMPACTO INHERENTE'!E26</f>
        <v>0.6</v>
      </c>
      <c r="D29" s="519">
        <f>+'3 PROBABIL E IMPACTO INHERENTE'!M26</f>
        <v>0.6</v>
      </c>
      <c r="E29" s="516" t="str">
        <f>+'4 MAPA CALOR INHERENTE'!C26</f>
        <v>Media</v>
      </c>
      <c r="F29" s="516" t="str">
        <f>+'4 MAPA CALOR INHERENTE'!D26</f>
        <v>Moderado</v>
      </c>
      <c r="G29" s="512" t="str">
        <f>+'4 MAPA CALOR INHERENTE'!E26</f>
        <v>Moderado</v>
      </c>
      <c r="H29" s="519">
        <f>+'5 VALORACIÓN DEL CONTROL'!T111</f>
        <v>0.6</v>
      </c>
      <c r="I29" s="516">
        <f>+'5 VALORACIÓN DEL CONTROL'!U111</f>
        <v>0.6</v>
      </c>
      <c r="J29" s="516" t="str">
        <f t="shared" si="3"/>
        <v>Media</v>
      </c>
      <c r="K29" s="516" t="str">
        <f t="shared" si="4"/>
        <v>Moderado</v>
      </c>
      <c r="L29" s="512" t="str">
        <f t="shared" si="5"/>
        <v>Moderado</v>
      </c>
      <c r="M29" s="512" t="str">
        <f t="shared" si="0"/>
        <v>Requiere Plan de Acción</v>
      </c>
      <c r="N29" s="512" t="str">
        <f t="shared" si="1"/>
        <v>Reducir_mitigar_Transferir_Evitar</v>
      </c>
      <c r="O29" s="517" t="s">
        <v>458</v>
      </c>
      <c r="P29" s="512" t="str">
        <f t="shared" si="2"/>
        <v>Reducir_Mitigar</v>
      </c>
      <c r="Q29" s="514" t="str">
        <f>'5 VALORACIÓN DEL CONTROL'!I106</f>
        <v>El profesional responsable del proceso y las Inspecciones de Convivencia y Paz adscritas a la Secretaría del Interior, realizan seguimiento y articulación interinstitucional a las actuaciones relacionadas con presuntas infracciones urbanísticas en zonas intervenidas con obras de mitigación del riesgo, de manera trimestral o cuando se presenten novedades.</v>
      </c>
      <c r="R29" s="259" t="s">
        <v>515</v>
      </c>
      <c r="S29" s="259" t="s">
        <v>516</v>
      </c>
      <c r="T29" s="259" t="s">
        <v>517</v>
      </c>
      <c r="U29" s="308">
        <v>46160</v>
      </c>
      <c r="V29" s="308">
        <v>46356</v>
      </c>
    </row>
    <row r="30" spans="1:46" ht="93" customHeight="1">
      <c r="A30" s="522"/>
      <c r="B30" s="513"/>
      <c r="C30" s="520"/>
      <c r="D30" s="520"/>
      <c r="E30" s="463"/>
      <c r="F30" s="463"/>
      <c r="G30" s="513"/>
      <c r="H30" s="520"/>
      <c r="I30" s="463"/>
      <c r="J30" s="463"/>
      <c r="K30" s="463"/>
      <c r="L30" s="513"/>
      <c r="M30" s="513"/>
      <c r="N30" s="513"/>
      <c r="O30" s="518"/>
      <c r="P30" s="513"/>
      <c r="Q30" s="515"/>
      <c r="R30" s="259" t="s">
        <v>518</v>
      </c>
      <c r="S30" s="259" t="s">
        <v>516</v>
      </c>
      <c r="T30" s="259" t="s">
        <v>517</v>
      </c>
      <c r="U30" s="308">
        <v>46160</v>
      </c>
      <c r="V30" s="308">
        <v>46356</v>
      </c>
    </row>
    <row r="31" spans="1:46" ht="93" hidden="1" customHeight="1">
      <c r="A31" s="62" t="str">
        <f>'2 IDENTIFICACIÓN'!A27</f>
        <v>R18</v>
      </c>
      <c r="B31" s="258" t="str">
        <f>+'2 IDENTIFICACIÓN'!J27</f>
        <v xml:space="preserve"> por  debido a </v>
      </c>
      <c r="C31" s="89" t="str">
        <f>+'3 PROBABIL E IMPACTO INHERENTE'!E27</f>
        <v/>
      </c>
      <c r="D31" s="89" t="str">
        <f>+'3 PROBABIL E IMPACTO INHERENTE'!M27</f>
        <v/>
      </c>
      <c r="E31" s="64" t="str">
        <f>+'4 MAPA CALOR INHERENTE'!C27</f>
        <v/>
      </c>
      <c r="F31" s="64" t="str">
        <f>+'4 MAPA CALOR INHERENTE'!D27</f>
        <v/>
      </c>
      <c r="G31" s="258" t="str">
        <f>+'4 MAPA CALOR INHERENTE'!E27</f>
        <v/>
      </c>
      <c r="H31" s="89">
        <f>+'5 VALORACIÓN DEL CONTROL'!T117</f>
        <v>0.6</v>
      </c>
      <c r="I31" s="64">
        <f>+'5 VALORACIÓN DEL CONTROL'!U117</f>
        <v>0</v>
      </c>
      <c r="J31" s="64" t="str">
        <f t="shared" si="3"/>
        <v>Media</v>
      </c>
      <c r="K31" s="64" t="str">
        <f t="shared" si="4"/>
        <v/>
      </c>
      <c r="L31" s="258" t="b">
        <f t="shared" si="5"/>
        <v>0</v>
      </c>
      <c r="M31" s="258" t="b">
        <f t="shared" si="0"/>
        <v>0</v>
      </c>
      <c r="N31" s="258" t="b">
        <f t="shared" si="1"/>
        <v>0</v>
      </c>
      <c r="O31" s="259"/>
      <c r="P31" s="258">
        <f t="shared" si="2"/>
        <v>0</v>
      </c>
      <c r="Q31" s="307" t="str">
        <f>'5 VALORACIÓN DEL CONTROL'!I27</f>
        <v xml:space="preserve">  </v>
      </c>
      <c r="R31" s="259"/>
      <c r="S31" s="259"/>
      <c r="T31" s="259"/>
      <c r="U31" s="308"/>
      <c r="V31" s="308"/>
    </row>
    <row r="32" spans="1:46" ht="93" hidden="1" customHeight="1">
      <c r="A32" s="62" t="str">
        <f>'2 IDENTIFICACIÓN'!A28</f>
        <v>R19</v>
      </c>
      <c r="B32" s="258" t="str">
        <f>+'2 IDENTIFICACIÓN'!J28</f>
        <v xml:space="preserve"> por  debido a </v>
      </c>
      <c r="C32" s="89" t="str">
        <f>+'3 PROBABIL E IMPACTO INHERENTE'!E28</f>
        <v/>
      </c>
      <c r="D32" s="89" t="str">
        <f>+'3 PROBABIL E IMPACTO INHERENTE'!M28</f>
        <v/>
      </c>
      <c r="E32" s="64" t="str">
        <f>+'4 MAPA CALOR INHERENTE'!C28</f>
        <v/>
      </c>
      <c r="F32" s="64" t="str">
        <f>+'4 MAPA CALOR INHERENTE'!D28</f>
        <v/>
      </c>
      <c r="G32" s="258" t="str">
        <f>+'4 MAPA CALOR INHERENTE'!E28</f>
        <v/>
      </c>
      <c r="H32" s="89">
        <f>+'5 VALORACIÓN DEL CONTROL'!T123</f>
        <v>0.6</v>
      </c>
      <c r="I32" s="64">
        <f>+'5 VALORACIÓN DEL CONTROL'!U123</f>
        <v>0</v>
      </c>
      <c r="J32" s="64" t="str">
        <f t="shared" si="3"/>
        <v>Media</v>
      </c>
      <c r="K32" s="64" t="str">
        <f t="shared" si="4"/>
        <v/>
      </c>
      <c r="L32" s="258" t="b">
        <f t="shared" si="5"/>
        <v>0</v>
      </c>
      <c r="M32" s="258" t="b">
        <f t="shared" si="0"/>
        <v>0</v>
      </c>
      <c r="N32" s="258" t="b">
        <f t="shared" si="1"/>
        <v>0</v>
      </c>
      <c r="O32" s="259"/>
      <c r="P32" s="258">
        <f t="shared" si="2"/>
        <v>0</v>
      </c>
      <c r="Q32" s="307" t="str">
        <f>'5 VALORACIÓN DEL CONTROL'!I28</f>
        <v xml:space="preserve">La persona encargada identifica los pasivos exigibles y/o vigencias expiradas de la Secretaría del Interior, y verifica el cumplimentó de la Resolución 193 de 2016 de la Contaduría General de la Nación, para realizar la acción de depuración </v>
      </c>
      <c r="R32" s="259"/>
      <c r="S32" s="259"/>
      <c r="T32" s="259"/>
      <c r="U32" s="308"/>
      <c r="V32" s="308"/>
    </row>
    <row r="33" spans="1:22" ht="93" hidden="1" customHeight="1">
      <c r="A33" s="62" t="str">
        <f>'2 IDENTIFICACIÓN'!A29</f>
        <v>R20</v>
      </c>
      <c r="B33" s="258" t="str">
        <f>+'2 IDENTIFICACIÓN'!J29</f>
        <v xml:space="preserve"> por  debido a </v>
      </c>
      <c r="C33" s="89" t="str">
        <f>+'3 PROBABIL E IMPACTO INHERENTE'!E29</f>
        <v/>
      </c>
      <c r="D33" s="89" t="str">
        <f>+'3 PROBABIL E IMPACTO INHERENTE'!M29</f>
        <v/>
      </c>
      <c r="E33" s="64" t="str">
        <f>+'4 MAPA CALOR INHERENTE'!C29</f>
        <v/>
      </c>
      <c r="F33" s="64" t="str">
        <f>+'4 MAPA CALOR INHERENTE'!D29</f>
        <v/>
      </c>
      <c r="G33" s="258" t="str">
        <f>+'4 MAPA CALOR INHERENTE'!E29</f>
        <v/>
      </c>
      <c r="H33" s="89">
        <f>+'5 VALORACIÓN DEL CONTROL'!T124</f>
        <v>0.6</v>
      </c>
      <c r="I33" s="64" t="str">
        <f>+'5 VALORACIÓN DEL CONTROL'!U124</f>
        <v/>
      </c>
      <c r="J33" s="64" t="str">
        <f t="shared" ref="J33:J43" si="6">+IF(H33=0,"",IF(H33&lt;=$Z$17,$AA$17,IF(H33&lt;=$Z$16,$AA$16,IF(H33&lt;=$Z$15,$AA$15,IF(H33&lt;=$Z$12,$AA$12,IF(H33&lt;=$Z$9,$AA$9,""))))))</f>
        <v>Media</v>
      </c>
      <c r="K33" s="64" t="str">
        <f t="shared" ref="K33:K43" si="7">+IF(I33=0,"",IF(I33&lt;=$AB$7,$AB$8,IF(I33&lt;=$AC$7,$AC$8,IF(I33&lt;=$AD$7,$AD$8,IF(I33&lt;=$AE$7,$AE$8,IF(I33&lt;=$AF$7,$AF$8,""))))))</f>
        <v/>
      </c>
      <c r="L33" s="258" t="b">
        <f t="shared" ref="L33:L43" si="8">+IF(J33=$AA$9,IF(K33=$AB$8,$AB$9,IF(K33=$AC$8,$AC$9,IF(K33=$AD$8,$AD$9,IF(K33=$AE$8,$AE$9,IF(K33=$AF$8,$AF$9))))),IF(J33=$AA$12,IF(K33=$AB$8,$AB$12,IF(K33=$AC$8,$AC$12,IF(K33=$AD$8,$AD$12,IF(K33=$AE$8,$AE$12,IF(K33=$AF$8,$AF$12))))),IF(J33=$AA$15,IF(K33=$AB$8,$AB$15,IF(K33=$AC$8,$AC$15,IF(K33=$AD$8,$AD$15,IF(K33=$AE$8,$AE$15,IF(K33=$AF$8,$AF$15))))),IF(J33=$AA$16,IF(K33=$AB$8,$AB$16,IF(K33=$AC$8,$AC$16,IF(K33=$AD$8,$AD$16,IF(K33=$AE$8,$AE$16,IF(K33=$AF$8,$AF$16))))),IF(J33=$AA$17,IF(K33=$AB$8,$AB$17,IF(K33=$AC$8,$AC$17,IF(K33=$AD$8,$AD$17,IF(K33=$AE$8,$AE$17,IF(K33=$AF$8,$AF$17))))),"")))))</f>
        <v>0</v>
      </c>
      <c r="M33" s="258" t="b">
        <f t="shared" si="0"/>
        <v>0</v>
      </c>
      <c r="N33" s="258" t="b">
        <f t="shared" ref="N33:N43" si="9">+IF(L33="","",IF(OR(L33=$AB$20,L33=$AB$21,L33=$AB$22),$AC$20,IF(L33=$AB$23,$AC$23)))</f>
        <v>0</v>
      </c>
      <c r="O33" s="259"/>
      <c r="P33" s="258">
        <f t="shared" si="2"/>
        <v>0</v>
      </c>
      <c r="Q33" s="307" t="str">
        <f>'5 VALORACIÓN DEL CONTROL'!I29</f>
        <v xml:space="preserve">  </v>
      </c>
      <c r="R33" s="259"/>
      <c r="S33" s="259"/>
      <c r="T33" s="259"/>
      <c r="U33" s="308"/>
      <c r="V33" s="308"/>
    </row>
    <row r="34" spans="1:22" ht="93" hidden="1" customHeight="1">
      <c r="A34" s="62" t="str">
        <f>'2 IDENTIFICACIÓN'!A30</f>
        <v>R21</v>
      </c>
      <c r="B34" s="258" t="str">
        <f>+'2 IDENTIFICACIÓN'!J30</f>
        <v xml:space="preserve"> por  debido a </v>
      </c>
      <c r="C34" s="89" t="str">
        <f>+'3 PROBABIL E IMPACTO INHERENTE'!E30</f>
        <v/>
      </c>
      <c r="D34" s="89" t="str">
        <f>+'3 PROBABIL E IMPACTO INHERENTE'!M30</f>
        <v/>
      </c>
      <c r="E34" s="64" t="str">
        <f>+'4 MAPA CALOR INHERENTE'!C30</f>
        <v/>
      </c>
      <c r="F34" s="64" t="str">
        <f>+'4 MAPA CALOR INHERENTE'!D30</f>
        <v/>
      </c>
      <c r="G34" s="258" t="str">
        <f>+'4 MAPA CALOR INHERENTE'!E30</f>
        <v/>
      </c>
      <c r="H34" s="89">
        <f>+'5 VALORACIÓN DEL CONTROL'!T125</f>
        <v>0.6</v>
      </c>
      <c r="I34" s="64">
        <f>+'5 VALORACIÓN DEL CONTROL'!U125</f>
        <v>0</v>
      </c>
      <c r="J34" s="64" t="str">
        <f t="shared" si="6"/>
        <v>Media</v>
      </c>
      <c r="K34" s="64" t="str">
        <f t="shared" si="7"/>
        <v/>
      </c>
      <c r="L34" s="258" t="b">
        <f t="shared" si="8"/>
        <v>0</v>
      </c>
      <c r="M34" s="258" t="b">
        <f t="shared" si="0"/>
        <v>0</v>
      </c>
      <c r="N34" s="258" t="b">
        <f t="shared" si="9"/>
        <v>0</v>
      </c>
      <c r="O34" s="259"/>
      <c r="P34" s="258">
        <f t="shared" si="2"/>
        <v>0</v>
      </c>
      <c r="Q34" s="307" t="str">
        <f>'5 VALORACIÓN DEL CONTROL'!I30</f>
        <v xml:space="preserve">  </v>
      </c>
      <c r="R34" s="259"/>
      <c r="S34" s="259"/>
      <c r="T34" s="259"/>
      <c r="U34" s="308"/>
      <c r="V34" s="308"/>
    </row>
    <row r="35" spans="1:22" ht="93" hidden="1" customHeight="1">
      <c r="A35" s="62" t="str">
        <f>'2 IDENTIFICACIÓN'!A31</f>
        <v>R22</v>
      </c>
      <c r="B35" s="258" t="str">
        <f>+'2 IDENTIFICACIÓN'!J31</f>
        <v xml:space="preserve"> por  debido a </v>
      </c>
      <c r="C35" s="89" t="str">
        <f>+'3 PROBABIL E IMPACTO INHERENTE'!E31</f>
        <v/>
      </c>
      <c r="D35" s="89" t="str">
        <f>+'3 PROBABIL E IMPACTO INHERENTE'!M31</f>
        <v/>
      </c>
      <c r="E35" s="64" t="str">
        <f>+'4 MAPA CALOR INHERENTE'!C31</f>
        <v/>
      </c>
      <c r="F35" s="64" t="str">
        <f>+'4 MAPA CALOR INHERENTE'!D31</f>
        <v/>
      </c>
      <c r="G35" s="258" t="str">
        <f>+'4 MAPA CALOR INHERENTE'!E31</f>
        <v/>
      </c>
      <c r="H35" s="89">
        <f>+'5 VALORACIÓN DEL CONTROL'!T126</f>
        <v>0.6</v>
      </c>
      <c r="I35" s="64">
        <f>+'5 VALORACIÓN DEL CONTROL'!U126</f>
        <v>0</v>
      </c>
      <c r="J35" s="64" t="str">
        <f t="shared" si="6"/>
        <v>Media</v>
      </c>
      <c r="K35" s="64" t="str">
        <f t="shared" si="7"/>
        <v/>
      </c>
      <c r="L35" s="258" t="b">
        <f t="shared" si="8"/>
        <v>0</v>
      </c>
      <c r="M35" s="258" t="b">
        <f t="shared" si="0"/>
        <v>0</v>
      </c>
      <c r="N35" s="258" t="b">
        <f t="shared" si="9"/>
        <v>0</v>
      </c>
      <c r="O35" s="259"/>
      <c r="P35" s="258">
        <f t="shared" si="2"/>
        <v>0</v>
      </c>
      <c r="Q35" s="307" t="str">
        <f>'5 VALORACIÓN DEL CONTROL'!I31</f>
        <v xml:space="preserve">  </v>
      </c>
      <c r="R35" s="259"/>
      <c r="S35" s="259"/>
      <c r="T35" s="259"/>
      <c r="U35" s="308"/>
      <c r="V35" s="308"/>
    </row>
    <row r="36" spans="1:22" ht="93" hidden="1" customHeight="1">
      <c r="A36" s="62" t="str">
        <f>'2 IDENTIFICACIÓN'!A32</f>
        <v>R23</v>
      </c>
      <c r="B36" s="258" t="str">
        <f>+'2 IDENTIFICACIÓN'!J32</f>
        <v xml:space="preserve"> por  debido a </v>
      </c>
      <c r="C36" s="89" t="str">
        <f>+'3 PROBABIL E IMPACTO INHERENTE'!E32</f>
        <v/>
      </c>
      <c r="D36" s="89" t="str">
        <f>+'3 PROBABIL E IMPACTO INHERENTE'!M32</f>
        <v/>
      </c>
      <c r="E36" s="64" t="str">
        <f>+'4 MAPA CALOR INHERENTE'!C32</f>
        <v/>
      </c>
      <c r="F36" s="64" t="str">
        <f>+'4 MAPA CALOR INHERENTE'!D32</f>
        <v/>
      </c>
      <c r="G36" s="258" t="str">
        <f>+'4 MAPA CALOR INHERENTE'!E32</f>
        <v/>
      </c>
      <c r="H36" s="89">
        <f>+'5 VALORACIÓN DEL CONTROL'!T127</f>
        <v>0.6</v>
      </c>
      <c r="I36" s="64">
        <f>+'5 VALORACIÓN DEL CONTROL'!U127</f>
        <v>0</v>
      </c>
      <c r="J36" s="64" t="str">
        <f t="shared" si="6"/>
        <v>Media</v>
      </c>
      <c r="K36" s="64" t="str">
        <f t="shared" si="7"/>
        <v/>
      </c>
      <c r="L36" s="258" t="b">
        <f t="shared" si="8"/>
        <v>0</v>
      </c>
      <c r="M36" s="258" t="b">
        <f t="shared" si="0"/>
        <v>0</v>
      </c>
      <c r="N36" s="258" t="b">
        <f t="shared" si="9"/>
        <v>0</v>
      </c>
      <c r="O36" s="259"/>
      <c r="P36" s="258">
        <f t="shared" si="2"/>
        <v>0</v>
      </c>
      <c r="Q36" s="307" t="str">
        <f>'5 VALORACIÓN DEL CONTROL'!I32</f>
        <v xml:space="preserve">  </v>
      </c>
      <c r="R36" s="259"/>
      <c r="S36" s="259"/>
      <c r="T36" s="259"/>
      <c r="U36" s="308"/>
      <c r="V36" s="308"/>
    </row>
    <row r="37" spans="1:22" ht="93" hidden="1" customHeight="1">
      <c r="A37" s="62" t="str">
        <f>'2 IDENTIFICACIÓN'!A33</f>
        <v>R24</v>
      </c>
      <c r="B37" s="258" t="str">
        <f>+'2 IDENTIFICACIÓN'!J33</f>
        <v xml:space="preserve"> por  debido a </v>
      </c>
      <c r="C37" s="89" t="str">
        <f>+'3 PROBABIL E IMPACTO INHERENTE'!E33</f>
        <v/>
      </c>
      <c r="D37" s="89" t="str">
        <f>+'3 PROBABIL E IMPACTO INHERENTE'!M33</f>
        <v/>
      </c>
      <c r="E37" s="64" t="str">
        <f>+'4 MAPA CALOR INHERENTE'!C33</f>
        <v/>
      </c>
      <c r="F37" s="64" t="str">
        <f>+'4 MAPA CALOR INHERENTE'!D33</f>
        <v/>
      </c>
      <c r="G37" s="258" t="str">
        <f>+'4 MAPA CALOR INHERENTE'!E33</f>
        <v/>
      </c>
      <c r="H37" s="89">
        <f>+'5 VALORACIÓN DEL CONTROL'!T128</f>
        <v>0.6</v>
      </c>
      <c r="I37" s="64">
        <f>+'5 VALORACIÓN DEL CONTROL'!U128</f>
        <v>0</v>
      </c>
      <c r="J37" s="64" t="str">
        <f t="shared" si="6"/>
        <v>Media</v>
      </c>
      <c r="K37" s="64" t="str">
        <f t="shared" si="7"/>
        <v/>
      </c>
      <c r="L37" s="258" t="b">
        <f t="shared" si="8"/>
        <v>0</v>
      </c>
      <c r="M37" s="258" t="b">
        <f t="shared" si="0"/>
        <v>0</v>
      </c>
      <c r="N37" s="258" t="b">
        <f t="shared" si="9"/>
        <v>0</v>
      </c>
      <c r="O37" s="259"/>
      <c r="P37" s="258">
        <f t="shared" si="2"/>
        <v>0</v>
      </c>
      <c r="Q37" s="307" t="str">
        <f>'5 VALORACIÓN DEL CONTROL'!I33</f>
        <v xml:space="preserve">  </v>
      </c>
      <c r="R37" s="259"/>
      <c r="S37" s="259"/>
      <c r="T37" s="259"/>
      <c r="U37" s="308"/>
      <c r="V37" s="308"/>
    </row>
    <row r="38" spans="1:22" ht="93" hidden="1" customHeight="1">
      <c r="A38" s="62" t="str">
        <f>'2 IDENTIFICACIÓN'!A34</f>
        <v>R25</v>
      </c>
      <c r="B38" s="258" t="str">
        <f>+'2 IDENTIFICACIÓN'!J34</f>
        <v xml:space="preserve"> por  debido a </v>
      </c>
      <c r="C38" s="89" t="str">
        <f>+'3 PROBABIL E IMPACTO INHERENTE'!E34</f>
        <v/>
      </c>
      <c r="D38" s="89" t="str">
        <f>+'3 PROBABIL E IMPACTO INHERENTE'!M34</f>
        <v/>
      </c>
      <c r="E38" s="64" t="str">
        <f>+'4 MAPA CALOR INHERENTE'!C34</f>
        <v/>
      </c>
      <c r="F38" s="64" t="str">
        <f>+'4 MAPA CALOR INHERENTE'!D34</f>
        <v/>
      </c>
      <c r="G38" s="258" t="str">
        <f>+'4 MAPA CALOR INHERENTE'!E34</f>
        <v/>
      </c>
      <c r="H38" s="89">
        <f>+'5 VALORACIÓN DEL CONTROL'!T129</f>
        <v>0.6</v>
      </c>
      <c r="I38" s="64">
        <f>+'5 VALORACIÓN DEL CONTROL'!U129</f>
        <v>0</v>
      </c>
      <c r="J38" s="64" t="str">
        <f t="shared" si="6"/>
        <v>Media</v>
      </c>
      <c r="K38" s="64" t="str">
        <f t="shared" si="7"/>
        <v/>
      </c>
      <c r="L38" s="258" t="b">
        <f t="shared" si="8"/>
        <v>0</v>
      </c>
      <c r="M38" s="258" t="b">
        <f t="shared" si="0"/>
        <v>0</v>
      </c>
      <c r="N38" s="258" t="b">
        <f t="shared" si="9"/>
        <v>0</v>
      </c>
      <c r="O38" s="259"/>
      <c r="P38" s="258">
        <f t="shared" si="2"/>
        <v>0</v>
      </c>
      <c r="Q38" s="307" t="str">
        <f>'5 VALORACIÓN DEL CONTROL'!I34</f>
        <v>El líder del proceso y el profesional encargado  revisa las acciones correctivas establecidas y plasmadas en los Planes de Mejoramiento de auditorías internas y externas suscritos,  a través de seguimientos con los responsables de su cumplimiento</v>
      </c>
      <c r="R38" s="259"/>
      <c r="S38" s="259"/>
      <c r="T38" s="259"/>
      <c r="U38" s="308"/>
      <c r="V38" s="308"/>
    </row>
    <row r="39" spans="1:22" ht="93" hidden="1" customHeight="1">
      <c r="A39" s="62" t="str">
        <f>'2 IDENTIFICACIÓN'!A35</f>
        <v>R26</v>
      </c>
      <c r="B39" s="258" t="str">
        <f>+'2 IDENTIFICACIÓN'!J35</f>
        <v xml:space="preserve"> por  debido a </v>
      </c>
      <c r="C39" s="89" t="str">
        <f>+'3 PROBABIL E IMPACTO INHERENTE'!E35</f>
        <v/>
      </c>
      <c r="D39" s="89" t="str">
        <f>+'3 PROBABIL E IMPACTO INHERENTE'!M35</f>
        <v/>
      </c>
      <c r="E39" s="64" t="str">
        <f>+'4 MAPA CALOR INHERENTE'!C35</f>
        <v/>
      </c>
      <c r="F39" s="64" t="str">
        <f>+'4 MAPA CALOR INHERENTE'!D35</f>
        <v/>
      </c>
      <c r="G39" s="258" t="str">
        <f>+'4 MAPA CALOR INHERENTE'!E35</f>
        <v/>
      </c>
      <c r="H39" s="89">
        <f>+'5 VALORACIÓN DEL CONTROL'!T130</f>
        <v>0.6</v>
      </c>
      <c r="I39" s="64" t="str">
        <f>+'5 VALORACIÓN DEL CONTROL'!U130</f>
        <v/>
      </c>
      <c r="J39" s="64" t="str">
        <f t="shared" si="6"/>
        <v>Media</v>
      </c>
      <c r="K39" s="64" t="str">
        <f t="shared" si="7"/>
        <v/>
      </c>
      <c r="L39" s="258" t="b">
        <f t="shared" si="8"/>
        <v>0</v>
      </c>
      <c r="M39" s="258" t="b">
        <f t="shared" si="0"/>
        <v>0</v>
      </c>
      <c r="N39" s="258" t="b">
        <f t="shared" si="9"/>
        <v>0</v>
      </c>
      <c r="O39" s="259"/>
      <c r="P39" s="258">
        <f t="shared" si="2"/>
        <v>0</v>
      </c>
      <c r="Q39" s="307" t="str">
        <f>'5 VALORACIÓN DEL CONTROL'!I35</f>
        <v xml:space="preserve">  </v>
      </c>
      <c r="R39" s="259"/>
      <c r="S39" s="259"/>
      <c r="T39" s="259"/>
      <c r="U39" s="308"/>
      <c r="V39" s="308"/>
    </row>
    <row r="40" spans="1:22" ht="93" hidden="1" customHeight="1">
      <c r="A40" s="62" t="str">
        <f>'2 IDENTIFICACIÓN'!A36</f>
        <v>R27</v>
      </c>
      <c r="B40" s="258" t="str">
        <f>+'2 IDENTIFICACIÓN'!J36</f>
        <v xml:space="preserve"> por  debido a </v>
      </c>
      <c r="C40" s="89" t="str">
        <f>+'3 PROBABIL E IMPACTO INHERENTE'!E36</f>
        <v/>
      </c>
      <c r="D40" s="89" t="str">
        <f>+'3 PROBABIL E IMPACTO INHERENTE'!M36</f>
        <v/>
      </c>
      <c r="E40" s="64" t="str">
        <f>+'4 MAPA CALOR INHERENTE'!C36</f>
        <v/>
      </c>
      <c r="F40" s="64" t="str">
        <f>+'4 MAPA CALOR INHERENTE'!D36</f>
        <v/>
      </c>
      <c r="G40" s="258" t="str">
        <f>+'4 MAPA CALOR INHERENTE'!E36</f>
        <v/>
      </c>
      <c r="H40" s="89">
        <f>+'5 VALORACIÓN DEL CONTROL'!T131</f>
        <v>0.6</v>
      </c>
      <c r="I40" s="64">
        <f>+'5 VALORACIÓN DEL CONTROL'!U131</f>
        <v>0</v>
      </c>
      <c r="J40" s="64" t="str">
        <f t="shared" si="6"/>
        <v>Media</v>
      </c>
      <c r="K40" s="64" t="str">
        <f t="shared" si="7"/>
        <v/>
      </c>
      <c r="L40" s="258" t="b">
        <f t="shared" si="8"/>
        <v>0</v>
      </c>
      <c r="M40" s="258" t="b">
        <f t="shared" si="0"/>
        <v>0</v>
      </c>
      <c r="N40" s="258" t="b">
        <f t="shared" si="9"/>
        <v>0</v>
      </c>
      <c r="O40" s="259"/>
      <c r="P40" s="258">
        <f t="shared" si="2"/>
        <v>0</v>
      </c>
      <c r="Q40" s="307" t="str">
        <f>'5 VALORACIÓN DEL CONTROL'!I36</f>
        <v xml:space="preserve">  </v>
      </c>
      <c r="R40" s="259"/>
      <c r="S40" s="259"/>
      <c r="T40" s="259"/>
      <c r="U40" s="308"/>
      <c r="V40" s="308"/>
    </row>
    <row r="41" spans="1:22" ht="93" hidden="1" customHeight="1">
      <c r="A41" s="62" t="str">
        <f>'2 IDENTIFICACIÓN'!A37</f>
        <v>R28</v>
      </c>
      <c r="B41" s="258" t="str">
        <f>+'2 IDENTIFICACIÓN'!J37</f>
        <v xml:space="preserve"> por  debido a </v>
      </c>
      <c r="C41" s="89" t="str">
        <f>+'3 PROBABIL E IMPACTO INHERENTE'!E37</f>
        <v/>
      </c>
      <c r="D41" s="89" t="str">
        <f>+'3 PROBABIL E IMPACTO INHERENTE'!M37</f>
        <v/>
      </c>
      <c r="E41" s="64" t="str">
        <f>+'4 MAPA CALOR INHERENTE'!C37</f>
        <v/>
      </c>
      <c r="F41" s="64" t="str">
        <f>+'4 MAPA CALOR INHERENTE'!D37</f>
        <v/>
      </c>
      <c r="G41" s="258" t="str">
        <f>+'4 MAPA CALOR INHERENTE'!E37</f>
        <v/>
      </c>
      <c r="H41" s="89">
        <f>+'5 VALORACIÓN DEL CONTROL'!T132</f>
        <v>0.6</v>
      </c>
      <c r="I41" s="64">
        <f>+'5 VALORACIÓN DEL CONTROL'!U132</f>
        <v>0</v>
      </c>
      <c r="J41" s="64" t="str">
        <f t="shared" si="6"/>
        <v>Media</v>
      </c>
      <c r="K41" s="64" t="str">
        <f t="shared" si="7"/>
        <v/>
      </c>
      <c r="L41" s="258" t="b">
        <f t="shared" si="8"/>
        <v>0</v>
      </c>
      <c r="M41" s="258" t="b">
        <f t="shared" si="0"/>
        <v>0</v>
      </c>
      <c r="N41" s="258" t="b">
        <f t="shared" si="9"/>
        <v>0</v>
      </c>
      <c r="O41" s="259"/>
      <c r="P41" s="258">
        <f t="shared" si="2"/>
        <v>0</v>
      </c>
      <c r="Q41" s="307" t="str">
        <f>'5 VALORACIÓN DEL CONTROL'!I37</f>
        <v xml:space="preserve">  </v>
      </c>
      <c r="R41" s="259"/>
      <c r="S41" s="259"/>
      <c r="T41" s="259"/>
      <c r="U41" s="308"/>
      <c r="V41" s="308"/>
    </row>
    <row r="42" spans="1:22" ht="93" hidden="1" customHeight="1">
      <c r="A42" s="62" t="str">
        <f>'2 IDENTIFICACIÓN'!A38</f>
        <v>R29</v>
      </c>
      <c r="B42" s="258" t="str">
        <f>+'2 IDENTIFICACIÓN'!J38</f>
        <v xml:space="preserve"> por  debido a </v>
      </c>
      <c r="C42" s="89" t="str">
        <f>+'3 PROBABIL E IMPACTO INHERENTE'!E38</f>
        <v/>
      </c>
      <c r="D42" s="89" t="str">
        <f>+'3 PROBABIL E IMPACTO INHERENTE'!M38</f>
        <v/>
      </c>
      <c r="E42" s="64" t="str">
        <f>+'4 MAPA CALOR INHERENTE'!C38</f>
        <v/>
      </c>
      <c r="F42" s="64" t="str">
        <f>+'4 MAPA CALOR INHERENTE'!D38</f>
        <v/>
      </c>
      <c r="G42" s="258" t="str">
        <f>+'4 MAPA CALOR INHERENTE'!E38</f>
        <v/>
      </c>
      <c r="H42" s="89">
        <f>+'5 VALORACIÓN DEL CONTROL'!T133</f>
        <v>0.6</v>
      </c>
      <c r="I42" s="64">
        <f>+'5 VALORACIÓN DEL CONTROL'!U133</f>
        <v>0</v>
      </c>
      <c r="J42" s="64" t="str">
        <f t="shared" si="6"/>
        <v>Media</v>
      </c>
      <c r="K42" s="64" t="str">
        <f t="shared" si="7"/>
        <v/>
      </c>
      <c r="L42" s="258" t="b">
        <f t="shared" si="8"/>
        <v>0</v>
      </c>
      <c r="M42" s="258" t="b">
        <f t="shared" si="0"/>
        <v>0</v>
      </c>
      <c r="N42" s="258" t="b">
        <f t="shared" si="9"/>
        <v>0</v>
      </c>
      <c r="O42" s="259"/>
      <c r="P42" s="258">
        <f t="shared" si="2"/>
        <v>0</v>
      </c>
      <c r="Q42" s="307" t="str">
        <f>'5 VALORACIÓN DEL CONTROL'!I38</f>
        <v xml:space="preserve">  </v>
      </c>
      <c r="R42" s="259"/>
      <c r="S42" s="259"/>
      <c r="T42" s="259"/>
      <c r="U42" s="308"/>
      <c r="V42" s="308"/>
    </row>
    <row r="43" spans="1:22" ht="41.45" hidden="1" customHeight="1">
      <c r="A43" s="62" t="str">
        <f>'2 IDENTIFICACIÓN'!A39</f>
        <v>R30</v>
      </c>
      <c r="B43" s="258" t="str">
        <f>+'2 IDENTIFICACIÓN'!J39</f>
        <v xml:space="preserve"> por  debido a </v>
      </c>
      <c r="C43" s="89" t="str">
        <f>+'3 PROBABIL E IMPACTO INHERENTE'!E39</f>
        <v/>
      </c>
      <c r="D43" s="89" t="str">
        <f>+'3 PROBABIL E IMPACTO INHERENTE'!M39</f>
        <v/>
      </c>
      <c r="E43" s="64" t="str">
        <f>+'4 MAPA CALOR INHERENTE'!C39</f>
        <v/>
      </c>
      <c r="F43" s="64" t="str">
        <f>+'4 MAPA CALOR INHERENTE'!D39</f>
        <v/>
      </c>
      <c r="G43" s="258" t="str">
        <f>+'4 MAPA CALOR INHERENTE'!E39</f>
        <v/>
      </c>
      <c r="H43" s="89">
        <f>+'5 VALORACIÓN DEL CONTROL'!T134</f>
        <v>0.6</v>
      </c>
      <c r="I43" s="64">
        <f>+'5 VALORACIÓN DEL CONTROL'!U134</f>
        <v>0</v>
      </c>
      <c r="J43" s="64" t="str">
        <f t="shared" si="6"/>
        <v>Media</v>
      </c>
      <c r="K43" s="64" t="str">
        <f t="shared" si="7"/>
        <v/>
      </c>
      <c r="L43" s="258" t="b">
        <f t="shared" si="8"/>
        <v>0</v>
      </c>
      <c r="M43" s="258" t="b">
        <f t="shared" si="0"/>
        <v>0</v>
      </c>
      <c r="N43" s="258" t="b">
        <f t="shared" si="9"/>
        <v>0</v>
      </c>
      <c r="O43" s="259"/>
      <c r="P43" s="258">
        <f t="shared" si="2"/>
        <v>0</v>
      </c>
      <c r="Q43" s="307" t="str">
        <f>'5 VALORACIÓN DEL CONTROL'!I39</f>
        <v xml:space="preserve">  </v>
      </c>
      <c r="R43" s="259"/>
      <c r="S43" s="259"/>
      <c r="T43" s="259"/>
      <c r="U43" s="308"/>
      <c r="V43" s="308"/>
    </row>
    <row r="44" spans="1:22" ht="14.65" customHeight="1" thickBot="1"/>
    <row r="45" spans="1:22" ht="14.45" thickTop="1" thickBot="1">
      <c r="A45" s="337" t="s">
        <v>84</v>
      </c>
      <c r="B45" s="337"/>
      <c r="C45" s="337"/>
      <c r="D45" s="337"/>
      <c r="E45" s="337"/>
      <c r="F45" s="337"/>
      <c r="G45" s="337"/>
    </row>
    <row r="46" spans="1:22" ht="19.5" customHeight="1" thickTop="1" thickBot="1">
      <c r="A46" s="318" t="s">
        <v>85</v>
      </c>
      <c r="B46" s="337" t="s">
        <v>86</v>
      </c>
      <c r="C46" s="337"/>
      <c r="D46" s="337" t="s">
        <v>87</v>
      </c>
      <c r="E46" s="337"/>
      <c r="F46" s="337" t="s">
        <v>88</v>
      </c>
      <c r="G46" s="337"/>
    </row>
    <row r="47" spans="1:22" ht="101.65" customHeight="1" thickTop="1" thickBot="1">
      <c r="A47" s="319" t="s">
        <v>89</v>
      </c>
      <c r="B47" s="338">
        <v>46163</v>
      </c>
      <c r="C47" s="338"/>
      <c r="D47" s="339" t="s">
        <v>90</v>
      </c>
      <c r="E47" s="339"/>
      <c r="F47" s="340" t="s">
        <v>91</v>
      </c>
      <c r="G47" s="340"/>
    </row>
    <row r="48" spans="1:22" ht="19.5" customHeight="1" thickTop="1"/>
    <row r="49" ht="19.5" customHeight="1"/>
    <row r="50" ht="19.5" customHeight="1"/>
  </sheetData>
  <sheetProtection formatCells="0" formatColumns="0" formatRows="0" sort="0" autoFilter="0" pivotTables="0"/>
  <dataConsolidate/>
  <mergeCells count="66">
    <mergeCell ref="D12:D14"/>
    <mergeCell ref="C12:C14"/>
    <mergeCell ref="B12:B14"/>
    <mergeCell ref="A12:A14"/>
    <mergeCell ref="I12:I14"/>
    <mergeCell ref="H12:H14"/>
    <mergeCell ref="G12:G14"/>
    <mergeCell ref="F12:F14"/>
    <mergeCell ref="E12:E14"/>
    <mergeCell ref="N12:N14"/>
    <mergeCell ref="M12:M14"/>
    <mergeCell ref="L12:L14"/>
    <mergeCell ref="K12:K14"/>
    <mergeCell ref="J12:J14"/>
    <mergeCell ref="A1:A3"/>
    <mergeCell ref="B1:I2"/>
    <mergeCell ref="B3:I3"/>
    <mergeCell ref="A9:A11"/>
    <mergeCell ref="B9:B11"/>
    <mergeCell ref="C9:C11"/>
    <mergeCell ref="D9:D11"/>
    <mergeCell ref="E9:E11"/>
    <mergeCell ref="F9:F11"/>
    <mergeCell ref="G9:G11"/>
    <mergeCell ref="H9:H11"/>
    <mergeCell ref="I9:I11"/>
    <mergeCell ref="Y9:Y17"/>
    <mergeCell ref="E7:G7"/>
    <mergeCell ref="J7:L7"/>
    <mergeCell ref="Q7:V7"/>
    <mergeCell ref="A4:K4"/>
    <mergeCell ref="J9:J11"/>
    <mergeCell ref="K9:K11"/>
    <mergeCell ref="L9:L11"/>
    <mergeCell ref="M9:M11"/>
    <mergeCell ref="N9:N11"/>
    <mergeCell ref="O9:O11"/>
    <mergeCell ref="P9:P11"/>
    <mergeCell ref="Q9:Q11"/>
    <mergeCell ref="Q13:Q14"/>
    <mergeCell ref="P12:P14"/>
    <mergeCell ref="O12:O14"/>
    <mergeCell ref="A45:G45"/>
    <mergeCell ref="B46:C46"/>
    <mergeCell ref="D46:E46"/>
    <mergeCell ref="F46:G46"/>
    <mergeCell ref="B47:C47"/>
    <mergeCell ref="D47:E47"/>
    <mergeCell ref="F47:G47"/>
    <mergeCell ref="A29:A30"/>
    <mergeCell ref="B29:B30"/>
    <mergeCell ref="C29:C30"/>
    <mergeCell ref="D29:D30"/>
    <mergeCell ref="E29:E30"/>
    <mergeCell ref="F29:F30"/>
    <mergeCell ref="G29:G30"/>
    <mergeCell ref="H29:H30"/>
    <mergeCell ref="I29:I30"/>
    <mergeCell ref="J29:J30"/>
    <mergeCell ref="P29:P30"/>
    <mergeCell ref="Q29:Q30"/>
    <mergeCell ref="K29:K30"/>
    <mergeCell ref="L29:L30"/>
    <mergeCell ref="M29:M30"/>
    <mergeCell ref="N29:N30"/>
    <mergeCell ref="O29:O30"/>
  </mergeCells>
  <conditionalFormatting sqref="E9 E12 I12:J12 E15:E29 I15:J29 E31:E43 I31:J43">
    <cfRule type="cellIs" dxfId="31" priority="6" operator="equal">
      <formula>$AA$17</formula>
    </cfRule>
    <cfRule type="cellIs" dxfId="30" priority="7" operator="equal">
      <formula>$AA$16</formula>
    </cfRule>
    <cfRule type="cellIs" dxfId="29" priority="8" operator="equal">
      <formula>$AA$15</formula>
    </cfRule>
    <cfRule type="cellIs" dxfId="28" priority="9" operator="equal">
      <formula>$AA$12</formula>
    </cfRule>
    <cfRule type="cellIs" dxfId="27" priority="10" operator="equal">
      <formula>$AA$9</formula>
    </cfRule>
  </conditionalFormatting>
  <conditionalFormatting sqref="F9 F12 F15:F29 F31:F43">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 G12 L12 G15:G29 L15:L29 G31:G43 L31:L43">
    <cfRule type="cellIs" dxfId="21" priority="11" operator="equal">
      <formula>$AB$20</formula>
    </cfRule>
    <cfRule type="cellIs" dxfId="20" priority="12" operator="equal">
      <formula>$AB$21</formula>
    </cfRule>
    <cfRule type="cellIs" dxfId="19" priority="13" operator="equal">
      <formula>$AB$22</formula>
    </cfRule>
    <cfRule type="cellIs" dxfId="18" priority="14" operator="equal">
      <formula>$AB$23</formula>
    </cfRule>
  </conditionalFormatting>
  <conditionalFormatting sqref="I9:J9">
    <cfRule type="cellIs" dxfId="17" priority="15" operator="equal">
      <formula>$AA$17</formula>
    </cfRule>
    <cfRule type="cellIs" dxfId="16" priority="16" operator="equal">
      <formula>$AA$16</formula>
    </cfRule>
    <cfRule type="cellIs" dxfId="15" priority="17" operator="equal">
      <formula>$AA$15</formula>
    </cfRule>
    <cfRule type="cellIs" dxfId="14" priority="18" operator="equal">
      <formula>$AA$12</formula>
    </cfRule>
    <cfRule type="cellIs" dxfId="13" priority="19" operator="equal">
      <formula>$AA$9</formula>
    </cfRule>
  </conditionalFormatting>
  <conditionalFormatting sqref="K9 K12 K15:K29 K31:K43">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cfRule type="cellIs" dxfId="7" priority="30" operator="equal">
      <formula>$AB$20</formula>
    </cfRule>
    <cfRule type="cellIs" dxfId="6" priority="31" operator="equal">
      <formula>$AB$21</formula>
    </cfRule>
    <cfRule type="cellIs" dxfId="5" priority="32" operator="equal">
      <formula>$AB$22</formula>
    </cfRule>
    <cfRule type="cellIs" dxfId="4" priority="33" operator="equal">
      <formula>$AB$23</formula>
    </cfRule>
  </conditionalFormatting>
  <dataValidations count="4">
    <dataValidation type="list" allowBlank="1" showInputMessage="1" showErrorMessage="1" sqref="JL9:JR20"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 O12 O15:O29 O31:O43"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57C31-191E-418B-87E7-1B7431F1D449}"/>
</file>

<file path=customXml/itemProps2.xml><?xml version="1.0" encoding="utf-8"?>
<ds:datastoreItem xmlns:ds="http://schemas.openxmlformats.org/officeDocument/2006/customXml" ds:itemID="{A14D0167-1D94-443D-9441-36E43987C786}"/>
</file>

<file path=customXml/itemProps3.xml><?xml version="1.0" encoding="utf-8"?>
<ds:datastoreItem xmlns:ds="http://schemas.openxmlformats.org/officeDocument/2006/customXml" ds:itemID="{54E8C36A-3A29-4C39-A3AE-76FAE99464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Sandra Yanneth Holguin Martinez</cp:lastModifiedBy>
  <cp:revision/>
  <dcterms:created xsi:type="dcterms:W3CDTF">2006-09-16T00:00:00Z</dcterms:created>
  <dcterms:modified xsi:type="dcterms:W3CDTF">2026-06-03T21:35:16Z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