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INFRAESTRUCTURA\"/>
    </mc:Choice>
  </mc:AlternateContent>
  <xr:revisionPtr revIDLastSave="0" documentId="13_ncr:1_{C7E360A7-D384-442F-97EE-FDA4C33A3D5A}" xr6:coauthVersionLast="47" xr6:coauthVersionMax="47" xr10:uidLastSave="{00000000-0000-0000-0000-000000000000}"/>
  <bookViews>
    <workbookView xWindow="-108" yWindow="-108" windowWidth="23256" windowHeight="12456"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RIESGOS'!$AF$18:$AF$20</definedName>
    <definedName name="Reputacional">'3 PROBABIL E IMPACTO INHERENTE'!$Y$10:$Y$15</definedName>
    <definedName name="Requiere_Plan_de_Acción">'8 MAPA RIESGOS'!$AF$18:$AF$20</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4" i="36" l="1"/>
  <c r="Q31" i="36"/>
  <c r="Q30" i="36"/>
  <c r="Q29" i="36"/>
  <c r="Q27" i="36"/>
  <c r="Q25" i="36"/>
  <c r="Q24" i="36"/>
  <c r="Q23" i="36"/>
  <c r="Q22" i="36"/>
  <c r="Q21" i="36"/>
  <c r="Q20" i="36"/>
  <c r="Q19" i="36"/>
  <c r="Q18" i="36"/>
  <c r="Q17" i="36"/>
  <c r="Q15" i="36"/>
  <c r="Q14" i="36"/>
  <c r="Q12" i="36"/>
  <c r="Q10" i="36"/>
  <c r="A31" i="36"/>
  <c r="A34" i="36"/>
  <c r="A37" i="36"/>
  <c r="A39" i="36"/>
  <c r="A40" i="36"/>
  <c r="A41" i="36"/>
  <c r="A42" i="36"/>
  <c r="A43" i="36"/>
  <c r="A44" i="36"/>
  <c r="A45" i="36"/>
  <c r="A46"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I178" i="9"/>
  <c r="N177" i="9"/>
  <c r="L177" i="9"/>
  <c r="K177" i="9"/>
  <c r="S177" i="9" s="1"/>
  <c r="I177" i="9"/>
  <c r="N176" i="9"/>
  <c r="L176" i="9"/>
  <c r="K176" i="9"/>
  <c r="I176" i="9"/>
  <c r="N175" i="9"/>
  <c r="L175" i="9"/>
  <c r="K175" i="9"/>
  <c r="I175" i="9"/>
  <c r="N174" i="9"/>
  <c r="L174" i="9"/>
  <c r="K174" i="9"/>
  <c r="S174" i="9" s="1"/>
  <c r="I174" i="9"/>
  <c r="N173" i="9"/>
  <c r="L173" i="9"/>
  <c r="K173" i="9"/>
  <c r="S173" i="9" s="1"/>
  <c r="I173" i="9"/>
  <c r="N172" i="9"/>
  <c r="L172" i="9"/>
  <c r="K172" i="9"/>
  <c r="I172" i="9"/>
  <c r="N171" i="9"/>
  <c r="L171" i="9"/>
  <c r="K171" i="9"/>
  <c r="I171" i="9"/>
  <c r="N170" i="9"/>
  <c r="L170" i="9"/>
  <c r="K170" i="9"/>
  <c r="S170" i="9" s="1"/>
  <c r="I170" i="9"/>
  <c r="N169" i="9"/>
  <c r="L169" i="9"/>
  <c r="K169" i="9"/>
  <c r="S169" i="9" s="1"/>
  <c r="I169" i="9"/>
  <c r="N168" i="9"/>
  <c r="L168" i="9"/>
  <c r="K168" i="9"/>
  <c r="I168" i="9"/>
  <c r="N167" i="9"/>
  <c r="L167" i="9"/>
  <c r="K167" i="9"/>
  <c r="I167" i="9"/>
  <c r="N166" i="9"/>
  <c r="L166" i="9"/>
  <c r="K166" i="9"/>
  <c r="I166" i="9"/>
  <c r="N165" i="9"/>
  <c r="L165" i="9"/>
  <c r="K165" i="9"/>
  <c r="S165" i="9" s="1"/>
  <c r="I165" i="9"/>
  <c r="N164" i="9"/>
  <c r="L164" i="9"/>
  <c r="K164" i="9"/>
  <c r="I164" i="9"/>
  <c r="N163" i="9"/>
  <c r="L163" i="9"/>
  <c r="K163" i="9"/>
  <c r="I163" i="9"/>
  <c r="N162" i="9"/>
  <c r="L162" i="9"/>
  <c r="K162" i="9"/>
  <c r="S162" i="9" s="1"/>
  <c r="I162" i="9"/>
  <c r="N161" i="9"/>
  <c r="L161" i="9"/>
  <c r="K161" i="9"/>
  <c r="I161" i="9"/>
  <c r="N160" i="9"/>
  <c r="L160" i="9"/>
  <c r="K160" i="9"/>
  <c r="I160" i="9"/>
  <c r="N159" i="9"/>
  <c r="L159" i="9"/>
  <c r="K159" i="9"/>
  <c r="I159" i="9"/>
  <c r="N158" i="9"/>
  <c r="L158" i="9"/>
  <c r="K158" i="9"/>
  <c r="I158" i="9"/>
  <c r="N157" i="9"/>
  <c r="L157" i="9"/>
  <c r="K157" i="9"/>
  <c r="S157" i="9" s="1"/>
  <c r="I157" i="9"/>
  <c r="N156" i="9"/>
  <c r="L156" i="9"/>
  <c r="K156" i="9"/>
  <c r="I156" i="9"/>
  <c r="N155" i="9"/>
  <c r="L155" i="9"/>
  <c r="K155" i="9"/>
  <c r="I155" i="9"/>
  <c r="N154" i="9"/>
  <c r="L154" i="9"/>
  <c r="K154" i="9"/>
  <c r="I154" i="9"/>
  <c r="N153" i="9"/>
  <c r="L153" i="9"/>
  <c r="K153" i="9"/>
  <c r="S153" i="9" s="1"/>
  <c r="I153" i="9"/>
  <c r="N152" i="9"/>
  <c r="L152" i="9"/>
  <c r="K152" i="9"/>
  <c r="I152" i="9"/>
  <c r="N151" i="9"/>
  <c r="L151" i="9"/>
  <c r="K151" i="9"/>
  <c r="I151" i="9"/>
  <c r="N150" i="9"/>
  <c r="L150" i="9"/>
  <c r="K150" i="9"/>
  <c r="S150" i="9" s="1"/>
  <c r="I150" i="9"/>
  <c r="N149" i="9"/>
  <c r="L149" i="9"/>
  <c r="K149" i="9"/>
  <c r="S149" i="9" s="1"/>
  <c r="I149" i="9"/>
  <c r="N148" i="9"/>
  <c r="L148" i="9"/>
  <c r="K148" i="9"/>
  <c r="I148" i="9"/>
  <c r="N147" i="9"/>
  <c r="L147" i="9"/>
  <c r="K147" i="9"/>
  <c r="S147" i="9" s="1"/>
  <c r="I147" i="9"/>
  <c r="N146" i="9"/>
  <c r="L146" i="9"/>
  <c r="K146" i="9"/>
  <c r="S146" i="9" s="1"/>
  <c r="I146" i="9"/>
  <c r="N145" i="9"/>
  <c r="L145" i="9"/>
  <c r="K145" i="9"/>
  <c r="S145" i="9" s="1"/>
  <c r="I145" i="9"/>
  <c r="N144" i="9"/>
  <c r="L144" i="9"/>
  <c r="K144" i="9"/>
  <c r="I144" i="9"/>
  <c r="N143" i="9"/>
  <c r="L143" i="9"/>
  <c r="K143" i="9"/>
  <c r="I143" i="9"/>
  <c r="N142" i="9"/>
  <c r="L142" i="9"/>
  <c r="K142" i="9"/>
  <c r="I142" i="9"/>
  <c r="N141" i="9"/>
  <c r="L141" i="9"/>
  <c r="K141" i="9"/>
  <c r="I141" i="9"/>
  <c r="N140" i="9"/>
  <c r="L140" i="9"/>
  <c r="K140" i="9"/>
  <c r="I140" i="9"/>
  <c r="N139" i="9"/>
  <c r="L139" i="9"/>
  <c r="K139" i="9"/>
  <c r="I139" i="9"/>
  <c r="N138" i="9"/>
  <c r="L138" i="9"/>
  <c r="K138" i="9"/>
  <c r="S138" i="9" s="1"/>
  <c r="I138" i="9"/>
  <c r="N137" i="9"/>
  <c r="L137" i="9"/>
  <c r="K137" i="9"/>
  <c r="I137" i="9"/>
  <c r="N136" i="9"/>
  <c r="L136" i="9"/>
  <c r="K136" i="9"/>
  <c r="I136" i="9"/>
  <c r="Q37" i="36" s="1"/>
  <c r="N135" i="9"/>
  <c r="L135" i="9"/>
  <c r="K135" i="9"/>
  <c r="I135" i="9"/>
  <c r="N134" i="9"/>
  <c r="L134" i="9"/>
  <c r="K134" i="9"/>
  <c r="S134" i="9" s="1"/>
  <c r="I134" i="9"/>
  <c r="N133" i="9"/>
  <c r="L133" i="9"/>
  <c r="K133" i="9"/>
  <c r="I133" i="9"/>
  <c r="N132" i="9"/>
  <c r="L132" i="9"/>
  <c r="K132" i="9"/>
  <c r="I132" i="9"/>
  <c r="N131" i="9"/>
  <c r="L131" i="9"/>
  <c r="K131" i="9"/>
  <c r="I131" i="9"/>
  <c r="N130" i="9"/>
  <c r="L130" i="9"/>
  <c r="K130" i="9"/>
  <c r="I130" i="9"/>
  <c r="N129" i="9"/>
  <c r="L129" i="9"/>
  <c r="K129" i="9"/>
  <c r="I129" i="9"/>
  <c r="N128" i="9"/>
  <c r="L128" i="9"/>
  <c r="K128" i="9"/>
  <c r="I128" i="9"/>
  <c r="N127" i="9"/>
  <c r="L127" i="9"/>
  <c r="K127" i="9"/>
  <c r="I127" i="9"/>
  <c r="N126" i="9"/>
  <c r="L126" i="9"/>
  <c r="K126" i="9"/>
  <c r="S126" i="9" s="1"/>
  <c r="I126" i="9"/>
  <c r="N125" i="9"/>
  <c r="L125" i="9"/>
  <c r="K125" i="9"/>
  <c r="I125" i="9"/>
  <c r="N124" i="9"/>
  <c r="L124" i="9"/>
  <c r="K124" i="9"/>
  <c r="I124" i="9"/>
  <c r="A178" i="9"/>
  <c r="A172" i="9"/>
  <c r="A166" i="9"/>
  <c r="A160" i="9"/>
  <c r="A154" i="9"/>
  <c r="A148" i="9"/>
  <c r="A142" i="9"/>
  <c r="A136" i="9"/>
  <c r="A130" i="9"/>
  <c r="A124" i="9"/>
  <c r="S166" i="9" l="1"/>
  <c r="S178" i="9"/>
  <c r="S172" i="9"/>
  <c r="S161" i="9"/>
  <c r="S142" i="9"/>
  <c r="S130"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A29" i="31"/>
  <c r="A30" i="31"/>
  <c r="A31" i="31"/>
  <c r="A32" i="31"/>
  <c r="A33" i="31"/>
  <c r="A34" i="31"/>
  <c r="A35" i="31"/>
  <c r="A36" i="31"/>
  <c r="A37" i="31"/>
  <c r="A38" i="31"/>
  <c r="A39" i="31"/>
  <c r="L29" i="15"/>
  <c r="L30" i="15"/>
  <c r="L31" i="15"/>
  <c r="L32" i="15"/>
  <c r="L33" i="15"/>
  <c r="L34" i="15"/>
  <c r="L35" i="15"/>
  <c r="L36" i="15"/>
  <c r="L37" i="15"/>
  <c r="L38" i="15"/>
  <c r="L39" i="15"/>
  <c r="K29" i="15"/>
  <c r="K30" i="15"/>
  <c r="M30" i="15" s="1"/>
  <c r="K31" i="15"/>
  <c r="K32" i="15"/>
  <c r="K33" i="15"/>
  <c r="K34" i="15"/>
  <c r="K35" i="15"/>
  <c r="K36" i="15"/>
  <c r="K37" i="15"/>
  <c r="K38" i="15"/>
  <c r="K39" i="15"/>
  <c r="I29" i="15"/>
  <c r="I30" i="15"/>
  <c r="I31" i="15"/>
  <c r="I32" i="15"/>
  <c r="I33" i="15"/>
  <c r="I34" i="15"/>
  <c r="I35" i="15"/>
  <c r="I36" i="15"/>
  <c r="I37" i="15"/>
  <c r="I38" i="15"/>
  <c r="I39" i="15"/>
  <c r="H29" i="15"/>
  <c r="M29" i="15" s="1"/>
  <c r="H30" i="15"/>
  <c r="H31" i="15"/>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S17" i="9" s="1"/>
  <c r="K18" i="9"/>
  <c r="S18" i="9" s="1"/>
  <c r="K19" i="9"/>
  <c r="S19" i="9" s="1"/>
  <c r="K20" i="9"/>
  <c r="S20" i="9" s="1"/>
  <c r="K21" i="9"/>
  <c r="S21" i="9" s="1"/>
  <c r="K22" i="9"/>
  <c r="K23" i="9"/>
  <c r="S23" i="9" s="1"/>
  <c r="K24" i="9"/>
  <c r="S24" i="9" s="1"/>
  <c r="K25" i="9"/>
  <c r="S25" i="9" s="1"/>
  <c r="K26" i="9"/>
  <c r="S26" i="9" s="1"/>
  <c r="K27" i="9"/>
  <c r="S27" i="9" s="1"/>
  <c r="K28" i="9"/>
  <c r="K29" i="9"/>
  <c r="K30" i="9"/>
  <c r="K31" i="9"/>
  <c r="S31" i="9" s="1"/>
  <c r="K32" i="9"/>
  <c r="K33" i="9"/>
  <c r="S33" i="9" s="1"/>
  <c r="K34" i="9"/>
  <c r="K35" i="9"/>
  <c r="K36" i="9"/>
  <c r="S36" i="9" s="1"/>
  <c r="K37" i="9"/>
  <c r="S37" i="9" s="1"/>
  <c r="K38" i="9"/>
  <c r="S38" i="9" s="1"/>
  <c r="K39" i="9"/>
  <c r="K40" i="9"/>
  <c r="K41" i="9"/>
  <c r="K42" i="9"/>
  <c r="K43" i="9"/>
  <c r="S43" i="9" s="1"/>
  <c r="K44" i="9"/>
  <c r="K45" i="9"/>
  <c r="K46" i="9"/>
  <c r="K47" i="9"/>
  <c r="K48" i="9"/>
  <c r="K49" i="9"/>
  <c r="K50" i="9"/>
  <c r="K51" i="9"/>
  <c r="S51" i="9" s="1"/>
  <c r="K52" i="9"/>
  <c r="K53" i="9"/>
  <c r="S53" i="9" s="1"/>
  <c r="K54" i="9"/>
  <c r="K55" i="9"/>
  <c r="S55" i="9" s="1"/>
  <c r="K56" i="9"/>
  <c r="S56" i="9" s="1"/>
  <c r="K57" i="9"/>
  <c r="S57" i="9" s="1"/>
  <c r="K58" i="9"/>
  <c r="K59" i="9"/>
  <c r="S59" i="9" s="1"/>
  <c r="K60" i="9"/>
  <c r="S60" i="9" s="1"/>
  <c r="K61" i="9"/>
  <c r="S61" i="9" s="1"/>
  <c r="K62" i="9"/>
  <c r="S62" i="9" s="1"/>
  <c r="K63" i="9"/>
  <c r="K64" i="9"/>
  <c r="K65" i="9"/>
  <c r="K66" i="9"/>
  <c r="S66" i="9" s="1"/>
  <c r="K67" i="9"/>
  <c r="S67" i="9" s="1"/>
  <c r="K68" i="9"/>
  <c r="S68" i="9" s="1"/>
  <c r="K69" i="9"/>
  <c r="S69" i="9" s="1"/>
  <c r="K70" i="9"/>
  <c r="K71" i="9"/>
  <c r="K72" i="9"/>
  <c r="S72" i="9" s="1"/>
  <c r="K73" i="9"/>
  <c r="S73" i="9" s="1"/>
  <c r="K74" i="9"/>
  <c r="S74" i="9" s="1"/>
  <c r="K75" i="9"/>
  <c r="S75" i="9" s="1"/>
  <c r="K76" i="9"/>
  <c r="K77" i="9"/>
  <c r="K78" i="9"/>
  <c r="K79" i="9"/>
  <c r="S79" i="9" s="1"/>
  <c r="K80" i="9"/>
  <c r="K81" i="9"/>
  <c r="S81" i="9" s="1"/>
  <c r="K82" i="9"/>
  <c r="K83" i="9"/>
  <c r="K84" i="9"/>
  <c r="S84" i="9" s="1"/>
  <c r="K85" i="9"/>
  <c r="S85" i="9" s="1"/>
  <c r="K86" i="9"/>
  <c r="S86" i="9" s="1"/>
  <c r="K87" i="9"/>
  <c r="K88" i="9"/>
  <c r="K89" i="9"/>
  <c r="K90" i="9"/>
  <c r="K91" i="9"/>
  <c r="S91" i="9" s="1"/>
  <c r="K92" i="9"/>
  <c r="S92" i="9" s="1"/>
  <c r="K93" i="9"/>
  <c r="K94" i="9"/>
  <c r="K95" i="9"/>
  <c r="K96" i="9"/>
  <c r="K97" i="9"/>
  <c r="K98" i="9"/>
  <c r="S98" i="9" s="1"/>
  <c r="K99" i="9"/>
  <c r="K100" i="9"/>
  <c r="K101" i="9"/>
  <c r="S101" i="9" s="1"/>
  <c r="K102" i="9"/>
  <c r="S102" i="9" s="1"/>
  <c r="K103" i="9"/>
  <c r="K104" i="9"/>
  <c r="S104" i="9" s="1"/>
  <c r="K105" i="9"/>
  <c r="S105" i="9" s="1"/>
  <c r="K106" i="9"/>
  <c r="K107" i="9"/>
  <c r="K108" i="9"/>
  <c r="K109" i="9"/>
  <c r="K110" i="9"/>
  <c r="S110" i="9" s="1"/>
  <c r="K111" i="9"/>
  <c r="S111" i="9" s="1"/>
  <c r="K112" i="9"/>
  <c r="K113" i="9"/>
  <c r="K114" i="9"/>
  <c r="K115" i="9"/>
  <c r="S115" i="9" s="1"/>
  <c r="K116" i="9"/>
  <c r="S116" i="9" s="1"/>
  <c r="K117" i="9"/>
  <c r="S117" i="9" s="1"/>
  <c r="K118" i="9"/>
  <c r="S118" i="9" s="1"/>
  <c r="K119" i="9"/>
  <c r="S119" i="9" s="1"/>
  <c r="K120" i="9"/>
  <c r="S120" i="9" s="1"/>
  <c r="K121" i="9"/>
  <c r="S121" i="9" s="1"/>
  <c r="K122" i="9"/>
  <c r="K123" i="9"/>
  <c r="S123" i="9" s="1"/>
  <c r="K184" i="9"/>
  <c r="S184" i="9" s="1"/>
  <c r="K185" i="9"/>
  <c r="K186" i="9"/>
  <c r="K187" i="9"/>
  <c r="K188" i="9"/>
  <c r="K189" i="9"/>
  <c r="I11" i="9"/>
  <c r="I12" i="9"/>
  <c r="I13" i="9"/>
  <c r="I14" i="9"/>
  <c r="I15" i="9"/>
  <c r="I16" i="9"/>
  <c r="I17" i="9"/>
  <c r="I18" i="9"/>
  <c r="I19" i="9"/>
  <c r="I20" i="9"/>
  <c r="I21" i="9"/>
  <c r="I22" i="9"/>
  <c r="I23" i="9"/>
  <c r="I24" i="9"/>
  <c r="I25" i="9"/>
  <c r="I26" i="9"/>
  <c r="I27" i="9"/>
  <c r="I28" i="9"/>
  <c r="Q13" i="36" s="1"/>
  <c r="I29" i="9"/>
  <c r="I30" i="9"/>
  <c r="I31" i="9"/>
  <c r="I32" i="9"/>
  <c r="Q39" i="36" s="1"/>
  <c r="I33" i="9"/>
  <c r="Q40" i="36" s="1"/>
  <c r="I34" i="9"/>
  <c r="I35" i="9"/>
  <c r="Q42" i="36" s="1"/>
  <c r="I36" i="9"/>
  <c r="Q43" i="36" s="1"/>
  <c r="I37" i="9"/>
  <c r="Q44" i="36" s="1"/>
  <c r="I38" i="9"/>
  <c r="Q45" i="36" s="1"/>
  <c r="I39" i="9"/>
  <c r="Q46" i="36" s="1"/>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Q26" i="36" s="1"/>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B32" i="31" l="1"/>
  <c r="B32" i="15"/>
  <c r="B142" i="9"/>
  <c r="B39" i="36"/>
  <c r="B32" i="35"/>
  <c r="B33" i="31"/>
  <c r="B33" i="15"/>
  <c r="B40" i="36"/>
  <c r="B148" i="9"/>
  <c r="B33" i="35"/>
  <c r="B34" i="31"/>
  <c r="B34" i="15"/>
  <c r="B41" i="36"/>
  <c r="B34" i="35"/>
  <c r="B154" i="9"/>
  <c r="B35" i="31"/>
  <c r="B35" i="15"/>
  <c r="B160" i="9"/>
  <c r="B35" i="35"/>
  <c r="B42" i="36"/>
  <c r="B36" i="15"/>
  <c r="B36" i="31"/>
  <c r="B43" i="36"/>
  <c r="B36" i="35"/>
  <c r="B166" i="9"/>
  <c r="B37" i="31"/>
  <c r="B37" i="15"/>
  <c r="B44" i="36"/>
  <c r="B172" i="9"/>
  <c r="B37" i="35"/>
  <c r="B38" i="31"/>
  <c r="B38" i="15"/>
  <c r="B45" i="36"/>
  <c r="B38" i="35"/>
  <c r="B178" i="9"/>
  <c r="S112" i="9"/>
  <c r="S106" i="9"/>
  <c r="S100" i="9"/>
  <c r="S94" i="9"/>
  <c r="S88" i="9"/>
  <c r="S82" i="9"/>
  <c r="S76" i="9"/>
  <c r="S70" i="9"/>
  <c r="S64" i="9"/>
  <c r="S58" i="9"/>
  <c r="S52" i="9"/>
  <c r="S46" i="9"/>
  <c r="S40" i="9"/>
  <c r="S34" i="9"/>
  <c r="S28" i="9"/>
  <c r="S22" i="9"/>
  <c r="N32" i="15"/>
  <c r="D32" i="31" s="1"/>
  <c r="F39" i="36" s="1"/>
  <c r="D142" i="9"/>
  <c r="D39" i="36"/>
  <c r="N33" i="15"/>
  <c r="D33" i="31" s="1"/>
  <c r="F40" i="36" s="1"/>
  <c r="D148" i="9"/>
  <c r="D40" i="36"/>
  <c r="N34" i="15"/>
  <c r="D34" i="31" s="1"/>
  <c r="F41" i="36" s="1"/>
  <c r="D154" i="9"/>
  <c r="D41" i="36"/>
  <c r="N35" i="15"/>
  <c r="D35" i="31" s="1"/>
  <c r="F42" i="36" s="1"/>
  <c r="D160" i="9"/>
  <c r="D42" i="36"/>
  <c r="N36" i="15"/>
  <c r="D36" i="31" s="1"/>
  <c r="F43" i="36" s="1"/>
  <c r="D166" i="9"/>
  <c r="D43" i="36"/>
  <c r="N37" i="15"/>
  <c r="D37" i="31" s="1"/>
  <c r="F44" i="36" s="1"/>
  <c r="D172" i="9"/>
  <c r="D44" i="36"/>
  <c r="N38" i="15"/>
  <c r="D38" i="31" s="1"/>
  <c r="F45" i="36" s="1"/>
  <c r="D178" i="9"/>
  <c r="D45" i="36"/>
  <c r="N39" i="15"/>
  <c r="D39" i="31" s="1"/>
  <c r="F46" i="36" s="1"/>
  <c r="D46" i="36"/>
  <c r="F32" i="15"/>
  <c r="C32" i="31" s="1"/>
  <c r="E32" i="15"/>
  <c r="E33" i="15"/>
  <c r="F33" i="15"/>
  <c r="C33" i="31" s="1"/>
  <c r="F34" i="15"/>
  <c r="C34" i="31" s="1"/>
  <c r="E34" i="15"/>
  <c r="F35" i="15"/>
  <c r="C35" i="31" s="1"/>
  <c r="E35" i="15"/>
  <c r="E36" i="15"/>
  <c r="F36" i="15"/>
  <c r="C36" i="31" s="1"/>
  <c r="F37" i="15"/>
  <c r="C37" i="31" s="1"/>
  <c r="E37" i="15"/>
  <c r="F38" i="15"/>
  <c r="C38" i="31" s="1"/>
  <c r="E38" i="15"/>
  <c r="F39" i="15"/>
  <c r="C39" i="31" s="1"/>
  <c r="E39" i="15"/>
  <c r="C46" i="36" s="1"/>
  <c r="M31" i="15"/>
  <c r="N31" i="15"/>
  <c r="D31" i="31" s="1"/>
  <c r="F37" i="36" s="1"/>
  <c r="D37" i="36"/>
  <c r="D136" i="9"/>
  <c r="N30" i="15"/>
  <c r="D30" i="31" s="1"/>
  <c r="F34" i="36" s="1"/>
  <c r="D34" i="36"/>
  <c r="D130" i="9"/>
  <c r="N29" i="15"/>
  <c r="D29" i="31" s="1"/>
  <c r="F31" i="36" s="1"/>
  <c r="D31" i="36"/>
  <c r="D124" i="9"/>
  <c r="F31" i="15"/>
  <c r="C31" i="31" s="1"/>
  <c r="E31" i="15"/>
  <c r="F30" i="15"/>
  <c r="C30" i="31" s="1"/>
  <c r="E30" i="15"/>
  <c r="F29" i="15"/>
  <c r="C29" i="31" s="1"/>
  <c r="E29" i="15"/>
  <c r="B31" i="31"/>
  <c r="B31" i="15"/>
  <c r="B37" i="36"/>
  <c r="B136" i="9"/>
  <c r="B31" i="35"/>
  <c r="B30" i="31"/>
  <c r="B30" i="15"/>
  <c r="B34" i="36"/>
  <c r="B30" i="35"/>
  <c r="B130" i="9"/>
  <c r="B29" i="31"/>
  <c r="B29" i="15"/>
  <c r="B31" i="36"/>
  <c r="B29" i="35"/>
  <c r="B124" i="9"/>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U142" i="9" l="1"/>
  <c r="U143" i="9"/>
  <c r="U147" i="9"/>
  <c r="U146" i="9"/>
  <c r="U145" i="9"/>
  <c r="U144" i="9"/>
  <c r="U153" i="9"/>
  <c r="U151" i="9"/>
  <c r="U148" i="9"/>
  <c r="U149" i="9"/>
  <c r="U152" i="9"/>
  <c r="U150" i="9"/>
  <c r="U154" i="9"/>
  <c r="U158" i="9"/>
  <c r="U156" i="9"/>
  <c r="U155" i="9"/>
  <c r="U159" i="9"/>
  <c r="U157" i="9"/>
  <c r="U160" i="9"/>
  <c r="U164" i="9"/>
  <c r="U163" i="9"/>
  <c r="U161" i="9"/>
  <c r="U165" i="9"/>
  <c r="U162" i="9"/>
  <c r="U167" i="9"/>
  <c r="U170" i="9"/>
  <c r="U168" i="9"/>
  <c r="U166" i="9"/>
  <c r="U171" i="9"/>
  <c r="U169" i="9"/>
  <c r="U172" i="9"/>
  <c r="U173" i="9"/>
  <c r="U177" i="9"/>
  <c r="U176" i="9"/>
  <c r="U175" i="9"/>
  <c r="U174" i="9"/>
  <c r="U178" i="9"/>
  <c r="U179" i="9"/>
  <c r="U183" i="9"/>
  <c r="U182" i="9"/>
  <c r="U181" i="9"/>
  <c r="U180" i="9"/>
  <c r="E32" i="31"/>
  <c r="G39" i="36" s="1"/>
  <c r="E39" i="36"/>
  <c r="C142" i="9"/>
  <c r="C39" i="36"/>
  <c r="C148" i="9"/>
  <c r="C40" i="36"/>
  <c r="E33" i="31"/>
  <c r="G40" i="36" s="1"/>
  <c r="E40" i="36"/>
  <c r="E34" i="31"/>
  <c r="G41" i="36" s="1"/>
  <c r="E41" i="36"/>
  <c r="C154" i="9"/>
  <c r="C41" i="36"/>
  <c r="E35" i="31"/>
  <c r="G42" i="36" s="1"/>
  <c r="E42" i="36"/>
  <c r="C160" i="9"/>
  <c r="C42" i="36"/>
  <c r="C166" i="9"/>
  <c r="C43" i="36"/>
  <c r="E43" i="36"/>
  <c r="E36" i="31"/>
  <c r="G43" i="36" s="1"/>
  <c r="E44" i="36"/>
  <c r="E37" i="31"/>
  <c r="G44" i="36" s="1"/>
  <c r="C172" i="9"/>
  <c r="C44" i="36"/>
  <c r="E45" i="36"/>
  <c r="E38" i="31"/>
  <c r="G45" i="36" s="1"/>
  <c r="C178" i="9"/>
  <c r="C45" i="36"/>
  <c r="E46" i="36"/>
  <c r="E39" i="31"/>
  <c r="G46" i="36" s="1"/>
  <c r="U136" i="9"/>
  <c r="U137" i="9"/>
  <c r="U141" i="9"/>
  <c r="U140" i="9"/>
  <c r="U139" i="9"/>
  <c r="U138" i="9"/>
  <c r="U130" i="9"/>
  <c r="I42" i="36" s="1"/>
  <c r="K42" i="36" s="1"/>
  <c r="U135" i="9"/>
  <c r="U132" i="9"/>
  <c r="I44" i="36" s="1"/>
  <c r="K44" i="36" s="1"/>
  <c r="U131" i="9"/>
  <c r="I43" i="36" s="1"/>
  <c r="K43" i="36" s="1"/>
  <c r="U134" i="9"/>
  <c r="I46" i="36" s="1"/>
  <c r="K46" i="36" s="1"/>
  <c r="U133" i="9"/>
  <c r="I45" i="36" s="1"/>
  <c r="K45" i="36" s="1"/>
  <c r="U124" i="9"/>
  <c r="I31" i="36" s="1"/>
  <c r="K31" i="36" s="1"/>
  <c r="U125" i="9"/>
  <c r="I34" i="36" s="1"/>
  <c r="K34" i="36" s="1"/>
  <c r="U129" i="9"/>
  <c r="U128" i="9"/>
  <c r="I40" i="36" s="1"/>
  <c r="K40" i="36" s="1"/>
  <c r="U127" i="9"/>
  <c r="I39" i="36" s="1"/>
  <c r="K39" i="36" s="1"/>
  <c r="U126" i="9"/>
  <c r="I37" i="36" s="1"/>
  <c r="K37" i="36" s="1"/>
  <c r="E31" i="31"/>
  <c r="G37" i="36" s="1"/>
  <c r="E37" i="36"/>
  <c r="C136" i="9"/>
  <c r="C37" i="36"/>
  <c r="E30" i="31"/>
  <c r="G34" i="36" s="1"/>
  <c r="E34" i="36"/>
  <c r="C130" i="9"/>
  <c r="C34" i="36"/>
  <c r="E31" i="36"/>
  <c r="E29" i="31"/>
  <c r="G31" i="36" s="1"/>
  <c r="C124" i="9"/>
  <c r="C31" i="36"/>
  <c r="D10" i="15"/>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D18" i="15"/>
  <c r="F18" i="15" s="1"/>
  <c r="C18" i="31" s="1"/>
  <c r="D19" i="15"/>
  <c r="F19" i="15" s="1"/>
  <c r="C19" i="31" s="1"/>
  <c r="D20" i="15"/>
  <c r="D21" i="15"/>
  <c r="D22" i="15"/>
  <c r="D23" i="15"/>
  <c r="F23" i="15" s="1"/>
  <c r="C23" i="31" s="1"/>
  <c r="D24" i="15"/>
  <c r="E24" i="15" s="1"/>
  <c r="D25" i="15"/>
  <c r="D26" i="15"/>
  <c r="F26" i="15" s="1"/>
  <c r="C26" i="31" s="1"/>
  <c r="D27" i="15"/>
  <c r="F27" i="15" s="1"/>
  <c r="C27" i="31" s="1"/>
  <c r="D28" i="15"/>
  <c r="E14" i="15"/>
  <c r="C14" i="36" s="1"/>
  <c r="B11" i="15"/>
  <c r="B22" i="9"/>
  <c r="B28" i="9"/>
  <c r="B34" i="9"/>
  <c r="B15" i="31"/>
  <c r="B16" i="35"/>
  <c r="B52" i="9"/>
  <c r="B58" i="9"/>
  <c r="B64" i="9"/>
  <c r="B20" i="35"/>
  <c r="B76" i="9"/>
  <c r="B82" i="9"/>
  <c r="B88" i="9"/>
  <c r="B94" i="9"/>
  <c r="B100" i="9"/>
  <c r="B26" i="31"/>
  <c r="B27" i="35"/>
  <c r="B118" i="9"/>
  <c r="B39" i="15"/>
  <c r="B10" i="15"/>
  <c r="A30" i="36"/>
  <c r="A29" i="36"/>
  <c r="A27" i="36"/>
  <c r="A26" i="36"/>
  <c r="B25" i="36"/>
  <c r="A25" i="36"/>
  <c r="A24" i="36"/>
  <c r="A23" i="36"/>
  <c r="A22" i="36"/>
  <c r="A21" i="36"/>
  <c r="A20" i="36"/>
  <c r="A19" i="36"/>
  <c r="A18" i="36"/>
  <c r="A17" i="36"/>
  <c r="A15" i="36"/>
  <c r="B14" i="36"/>
  <c r="A14" i="36"/>
  <c r="A13" i="36"/>
  <c r="A12"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W142" i="9" l="1"/>
  <c r="D32" i="35"/>
  <c r="F32" i="35" s="1"/>
  <c r="W148" i="9"/>
  <c r="D33" i="35"/>
  <c r="F33" i="35" s="1"/>
  <c r="W154" i="9"/>
  <c r="D34" i="35"/>
  <c r="F34" i="35" s="1"/>
  <c r="W160" i="9"/>
  <c r="D35" i="35"/>
  <c r="F35" i="35" s="1"/>
  <c r="W166" i="9"/>
  <c r="D36" i="35"/>
  <c r="F36" i="35" s="1"/>
  <c r="W172" i="9"/>
  <c r="D37" i="35"/>
  <c r="F37" i="35" s="1"/>
  <c r="W178" i="9"/>
  <c r="D38" i="35"/>
  <c r="F38" i="35" s="1"/>
  <c r="T142" i="9"/>
  <c r="T143" i="9"/>
  <c r="T147" i="9"/>
  <c r="C32" i="35" s="1"/>
  <c r="E32" i="35" s="1"/>
  <c r="G32" i="35" s="1"/>
  <c r="T146" i="9"/>
  <c r="T145" i="9"/>
  <c r="T144" i="9"/>
  <c r="T148" i="9"/>
  <c r="T149" i="9"/>
  <c r="T153" i="9"/>
  <c r="C33" i="35" s="1"/>
  <c r="E33" i="35" s="1"/>
  <c r="G33" i="35" s="1"/>
  <c r="T152" i="9"/>
  <c r="T151" i="9"/>
  <c r="T150" i="9"/>
  <c r="T154" i="9"/>
  <c r="T159" i="9"/>
  <c r="C34" i="35" s="1"/>
  <c r="E34" i="35" s="1"/>
  <c r="G34" i="35" s="1"/>
  <c r="T157" i="9"/>
  <c r="T155" i="9"/>
  <c r="T158" i="9"/>
  <c r="T156" i="9"/>
  <c r="T161" i="9"/>
  <c r="T164" i="9"/>
  <c r="T162" i="9"/>
  <c r="T160" i="9"/>
  <c r="T165" i="9"/>
  <c r="C35" i="35" s="1"/>
  <c r="E35" i="35" s="1"/>
  <c r="G35" i="35" s="1"/>
  <c r="T163" i="9"/>
  <c r="T166" i="9"/>
  <c r="T170" i="9"/>
  <c r="T168" i="9"/>
  <c r="T167" i="9"/>
  <c r="T171" i="9"/>
  <c r="C36" i="35" s="1"/>
  <c r="E36" i="35" s="1"/>
  <c r="G36" i="35" s="1"/>
  <c r="T169" i="9"/>
  <c r="T177" i="9"/>
  <c r="C37" i="35" s="1"/>
  <c r="E37" i="35" s="1"/>
  <c r="G37" i="35" s="1"/>
  <c r="T172" i="9"/>
  <c r="T173" i="9"/>
  <c r="T176" i="9"/>
  <c r="T175" i="9"/>
  <c r="T174" i="9"/>
  <c r="T178" i="9"/>
  <c r="T179" i="9"/>
  <c r="T183" i="9"/>
  <c r="C38" i="35" s="1"/>
  <c r="E38" i="35" s="1"/>
  <c r="G38" i="35" s="1"/>
  <c r="T182" i="9"/>
  <c r="T181" i="9"/>
  <c r="T180" i="9"/>
  <c r="W136" i="9"/>
  <c r="D31" i="35"/>
  <c r="F31" i="35" s="1"/>
  <c r="W130" i="9"/>
  <c r="D30" i="35"/>
  <c r="F30" i="35" s="1"/>
  <c r="W124" i="9"/>
  <c r="D29" i="35"/>
  <c r="F29" i="35" s="1"/>
  <c r="I41" i="36"/>
  <c r="K41" i="36" s="1"/>
  <c r="F17" i="15"/>
  <c r="C17" i="31" s="1"/>
  <c r="E17" i="15"/>
  <c r="F22" i="15"/>
  <c r="C22" i="31" s="1"/>
  <c r="E22" i="15"/>
  <c r="T136" i="9"/>
  <c r="T137" i="9"/>
  <c r="T141" i="9"/>
  <c r="C31" i="35" s="1"/>
  <c r="E31" i="35" s="1"/>
  <c r="T140" i="9"/>
  <c r="T138" i="9"/>
  <c r="T139" i="9"/>
  <c r="T130" i="9"/>
  <c r="H42" i="36" s="1"/>
  <c r="J42" i="36" s="1"/>
  <c r="L42" i="36" s="1"/>
  <c r="N42" i="36" s="1"/>
  <c r="M42" i="36" s="1"/>
  <c r="P42" i="36" s="1"/>
  <c r="T131" i="9"/>
  <c r="H43" i="36" s="1"/>
  <c r="J43" i="36" s="1"/>
  <c r="L43" i="36" s="1"/>
  <c r="N43" i="36" s="1"/>
  <c r="M43" i="36" s="1"/>
  <c r="P43" i="36" s="1"/>
  <c r="T134" i="9"/>
  <c r="H46" i="36" s="1"/>
  <c r="J46" i="36" s="1"/>
  <c r="L46" i="36" s="1"/>
  <c r="N46" i="36" s="1"/>
  <c r="M46" i="36" s="1"/>
  <c r="P46" i="36" s="1"/>
  <c r="T133" i="9"/>
  <c r="H45" i="36" s="1"/>
  <c r="J45" i="36" s="1"/>
  <c r="L45" i="36" s="1"/>
  <c r="N45" i="36" s="1"/>
  <c r="M45" i="36" s="1"/>
  <c r="P45" i="36" s="1"/>
  <c r="T132" i="9"/>
  <c r="H44" i="36" s="1"/>
  <c r="J44" i="36" s="1"/>
  <c r="L44" i="36" s="1"/>
  <c r="N44" i="36" s="1"/>
  <c r="M44" i="36" s="1"/>
  <c r="P44" i="36" s="1"/>
  <c r="T135" i="9"/>
  <c r="C30" i="35" s="1"/>
  <c r="E30" i="35" s="1"/>
  <c r="G30" i="35" s="1"/>
  <c r="T124" i="9"/>
  <c r="H31" i="36" s="1"/>
  <c r="J31" i="36" s="1"/>
  <c r="L31" i="36" s="1"/>
  <c r="N31" i="36" s="1"/>
  <c r="M31" i="36" s="1"/>
  <c r="P31" i="36" s="1"/>
  <c r="T129" i="9"/>
  <c r="T126" i="9"/>
  <c r="H37" i="36" s="1"/>
  <c r="J37" i="36" s="1"/>
  <c r="L37" i="36" s="1"/>
  <c r="N37" i="36" s="1"/>
  <c r="M37" i="36" s="1"/>
  <c r="P37" i="36" s="1"/>
  <c r="T125" i="9"/>
  <c r="H34" i="36" s="1"/>
  <c r="J34" i="36" s="1"/>
  <c r="L34" i="36" s="1"/>
  <c r="N34" i="36" s="1"/>
  <c r="M34" i="36" s="1"/>
  <c r="P34" i="36" s="1"/>
  <c r="T128" i="9"/>
  <c r="H40" i="36" s="1"/>
  <c r="J40" i="36" s="1"/>
  <c r="L40" i="36" s="1"/>
  <c r="N40" i="36" s="1"/>
  <c r="M40" i="36" s="1"/>
  <c r="P40" i="36" s="1"/>
  <c r="T127" i="9"/>
  <c r="H39" i="36" s="1"/>
  <c r="J39" i="36" s="1"/>
  <c r="L39" i="36" s="1"/>
  <c r="N39" i="36" s="1"/>
  <c r="M39" i="36" s="1"/>
  <c r="P39" i="36" s="1"/>
  <c r="E18" i="15"/>
  <c r="E23" i="15"/>
  <c r="C88" i="9" s="1"/>
  <c r="E27" i="15"/>
  <c r="E15" i="15"/>
  <c r="C40" i="9" s="1"/>
  <c r="E26" i="15"/>
  <c r="C106" i="9" s="1"/>
  <c r="M20" i="15"/>
  <c r="M11" i="15"/>
  <c r="N11" i="15" s="1"/>
  <c r="D11" i="31" s="1"/>
  <c r="F10" i="36" s="1"/>
  <c r="M13" i="15"/>
  <c r="D28" i="9" s="1"/>
  <c r="M15" i="15"/>
  <c r="D15" i="36" s="1"/>
  <c r="M16" i="15"/>
  <c r="N16" i="15" s="1"/>
  <c r="D16" i="31" s="1"/>
  <c r="F17" i="36" s="1"/>
  <c r="M18" i="15"/>
  <c r="N18" i="15" s="1"/>
  <c r="D18" i="31" s="1"/>
  <c r="M21" i="15"/>
  <c r="N21" i="15" s="1"/>
  <c r="D21" i="31" s="1"/>
  <c r="F22" i="36" s="1"/>
  <c r="D184" i="9"/>
  <c r="M19" i="15"/>
  <c r="D20" i="36" s="1"/>
  <c r="M23" i="15"/>
  <c r="D24" i="36" s="1"/>
  <c r="M24" i="15"/>
  <c r="N24" i="15" s="1"/>
  <c r="D24" i="31" s="1"/>
  <c r="F25" i="36" s="1"/>
  <c r="M27" i="15"/>
  <c r="D29" i="36" s="1"/>
  <c r="E11" i="15"/>
  <c r="F11" i="15"/>
  <c r="C11" i="31" s="1"/>
  <c r="E12" i="15"/>
  <c r="F12" i="15"/>
  <c r="C12" i="31" s="1"/>
  <c r="E13" i="15"/>
  <c r="C13" i="36" s="1"/>
  <c r="F13" i="15"/>
  <c r="C13" i="31" s="1"/>
  <c r="E15" i="36"/>
  <c r="E20" i="15"/>
  <c r="F20" i="15"/>
  <c r="C20" i="31" s="1"/>
  <c r="E21" i="15"/>
  <c r="C76" i="9" s="1"/>
  <c r="F21" i="15"/>
  <c r="C21" i="31" s="1"/>
  <c r="E22" i="36" s="1"/>
  <c r="E25" i="15"/>
  <c r="C100" i="9" s="1"/>
  <c r="F25" i="15"/>
  <c r="C25" i="31" s="1"/>
  <c r="E28" i="15"/>
  <c r="F28" i="15"/>
  <c r="C28" i="31" s="1"/>
  <c r="C58" i="9"/>
  <c r="C19" i="36"/>
  <c r="C184" i="9"/>
  <c r="C112" i="9"/>
  <c r="C29" i="36"/>
  <c r="C24" i="36"/>
  <c r="M28" i="15"/>
  <c r="M26" i="15"/>
  <c r="M25" i="15"/>
  <c r="M22" i="15"/>
  <c r="M17" i="15"/>
  <c r="M14" i="15"/>
  <c r="M12" i="15"/>
  <c r="B112" i="9"/>
  <c r="B14" i="15"/>
  <c r="B14" i="35"/>
  <c r="B13" i="31"/>
  <c r="B20" i="36"/>
  <c r="B21" i="36"/>
  <c r="B27" i="15"/>
  <c r="B13" i="15"/>
  <c r="B17" i="31"/>
  <c r="B19" i="15"/>
  <c r="B27" i="36"/>
  <c r="B18" i="35"/>
  <c r="B26" i="35"/>
  <c r="B106" i="9"/>
  <c r="B20" i="31"/>
  <c r="B14" i="31"/>
  <c r="B26" i="15"/>
  <c r="B20" i="15"/>
  <c r="B40" i="9"/>
  <c r="B22" i="15"/>
  <c r="B15" i="15"/>
  <c r="B21" i="31"/>
  <c r="B15" i="35"/>
  <c r="B15" i="36"/>
  <c r="B16" i="9"/>
  <c r="B70" i="9"/>
  <c r="B16" i="31"/>
  <c r="B12" i="31"/>
  <c r="B10" i="36"/>
  <c r="B28" i="15"/>
  <c r="B24" i="35"/>
  <c r="B24" i="31"/>
  <c r="B21" i="35"/>
  <c r="B21" i="15"/>
  <c r="B19" i="31"/>
  <c r="B12" i="35"/>
  <c r="B12" i="36"/>
  <c r="B29" i="36"/>
  <c r="B28" i="31"/>
  <c r="B17" i="35"/>
  <c r="B22" i="35"/>
  <c r="B19" i="36"/>
  <c r="B24" i="36"/>
  <c r="B18" i="15"/>
  <c r="B12" i="15"/>
  <c r="B17" i="15"/>
  <c r="B22" i="31"/>
  <c r="B18" i="31"/>
  <c r="B13" i="35"/>
  <c r="B28" i="35"/>
  <c r="B30" i="36"/>
  <c r="B46" i="9"/>
  <c r="B23" i="15"/>
  <c r="B27" i="31"/>
  <c r="B23" i="31"/>
  <c r="B11" i="35"/>
  <c r="B19" i="35"/>
  <c r="B23" i="35"/>
  <c r="B17" i="36"/>
  <c r="B11" i="31"/>
  <c r="B16" i="15"/>
  <c r="B23" i="36"/>
  <c r="B25" i="15"/>
  <c r="B25" i="31"/>
  <c r="B25" i="35"/>
  <c r="B39" i="35"/>
  <c r="E20" i="36"/>
  <c r="C94" i="9"/>
  <c r="C25" i="36"/>
  <c r="E24" i="36"/>
  <c r="E16" i="31"/>
  <c r="G17" i="36" s="1"/>
  <c r="E17" i="36"/>
  <c r="N27" i="15"/>
  <c r="D27" i="31" s="1"/>
  <c r="F29" i="36" s="1"/>
  <c r="D112" i="9"/>
  <c r="E27" i="31"/>
  <c r="G29" i="36" s="1"/>
  <c r="E29" i="36"/>
  <c r="E14" i="36"/>
  <c r="E27" i="36"/>
  <c r="B13" i="36"/>
  <c r="B18" i="36"/>
  <c r="B22" i="36"/>
  <c r="B26" i="36"/>
  <c r="B46" i="36"/>
  <c r="C34" i="9"/>
  <c r="B184" i="9"/>
  <c r="E16" i="15"/>
  <c r="E19" i="15"/>
  <c r="E19" i="36"/>
  <c r="F24" i="15"/>
  <c r="C24" i="31" s="1"/>
  <c r="E10" i="15"/>
  <c r="C10" i="9" s="1"/>
  <c r="E9" i="36"/>
  <c r="M10" i="15"/>
  <c r="D10" i="9" s="1"/>
  <c r="B10" i="35"/>
  <c r="B9" i="36"/>
  <c r="B10" i="9"/>
  <c r="B10" i="31"/>
  <c r="U186" i="9" l="1"/>
  <c r="U187" i="9"/>
  <c r="U188" i="9"/>
  <c r="U189" i="9"/>
  <c r="U185" i="9"/>
  <c r="U184" i="9"/>
  <c r="T186" i="9"/>
  <c r="T187" i="9"/>
  <c r="T188" i="9"/>
  <c r="T189" i="9"/>
  <c r="T185" i="9"/>
  <c r="T184" i="9"/>
  <c r="G31" i="35"/>
  <c r="F19" i="36"/>
  <c r="E18" i="31"/>
  <c r="G19" i="36" s="1"/>
  <c r="U114" i="9"/>
  <c r="U115" i="9"/>
  <c r="U116" i="9"/>
  <c r="U117" i="9"/>
  <c r="U113" i="9"/>
  <c r="U112" i="9"/>
  <c r="E18" i="36"/>
  <c r="E23" i="36"/>
  <c r="E22" i="31"/>
  <c r="G23" i="36" s="1"/>
  <c r="C18" i="36"/>
  <c r="C52" i="9"/>
  <c r="C82" i="9"/>
  <c r="C23" i="36"/>
  <c r="H41" i="36"/>
  <c r="J41" i="36" s="1"/>
  <c r="L41" i="36" s="1"/>
  <c r="N41" i="36" s="1"/>
  <c r="M41" i="36" s="1"/>
  <c r="P41" i="36" s="1"/>
  <c r="C29" i="35"/>
  <c r="E29" i="35" s="1"/>
  <c r="G29" i="35" s="1"/>
  <c r="T88" i="9"/>
  <c r="T93" i="9"/>
  <c r="C23" i="35" s="1"/>
  <c r="E23" i="35" s="1"/>
  <c r="T91" i="9"/>
  <c r="T92" i="9"/>
  <c r="T89" i="9"/>
  <c r="T90" i="9"/>
  <c r="T40" i="9"/>
  <c r="T44" i="9"/>
  <c r="T42" i="9"/>
  <c r="T41" i="9"/>
  <c r="T43" i="9"/>
  <c r="T45" i="9"/>
  <c r="T108" i="9"/>
  <c r="T111" i="9"/>
  <c r="V106" i="9" s="1"/>
  <c r="T107" i="9"/>
  <c r="T109" i="9"/>
  <c r="T110" i="9"/>
  <c r="T106" i="9"/>
  <c r="T78" i="9"/>
  <c r="T81" i="9"/>
  <c r="T77" i="9"/>
  <c r="T79" i="9"/>
  <c r="T80" i="9"/>
  <c r="T76" i="9"/>
  <c r="T101" i="9"/>
  <c r="T105" i="9"/>
  <c r="V100" i="9" s="1"/>
  <c r="T103" i="9"/>
  <c r="T104" i="9"/>
  <c r="T102" i="9"/>
  <c r="T100" i="9"/>
  <c r="T86" i="9"/>
  <c r="T83" i="9"/>
  <c r="T84" i="9"/>
  <c r="T85" i="9"/>
  <c r="T87" i="9"/>
  <c r="C22" i="35" s="1"/>
  <c r="E22" i="35" s="1"/>
  <c r="T82" i="9"/>
  <c r="T58" i="9"/>
  <c r="T61" i="9"/>
  <c r="T59" i="9"/>
  <c r="T60" i="9"/>
  <c r="T62" i="9"/>
  <c r="T63" i="9"/>
  <c r="C18" i="35" s="1"/>
  <c r="E18" i="35" s="1"/>
  <c r="T114" i="9"/>
  <c r="T113" i="9"/>
  <c r="T116" i="9"/>
  <c r="T115" i="9"/>
  <c r="T117" i="9"/>
  <c r="T112" i="9"/>
  <c r="T97" i="9"/>
  <c r="T98" i="9"/>
  <c r="T95" i="9"/>
  <c r="T94" i="9"/>
  <c r="T99" i="9"/>
  <c r="C24" i="35" s="1"/>
  <c r="E24" i="35" s="1"/>
  <c r="T96" i="9"/>
  <c r="T55" i="9"/>
  <c r="T54" i="9"/>
  <c r="T57" i="9"/>
  <c r="T52" i="9"/>
  <c r="T53" i="9"/>
  <c r="T56" i="9"/>
  <c r="T34" i="9"/>
  <c r="T37" i="9"/>
  <c r="T39" i="9"/>
  <c r="V34" i="9" s="1"/>
  <c r="T36" i="9"/>
  <c r="T38" i="9"/>
  <c r="T35" i="9"/>
  <c r="T10" i="9"/>
  <c r="V148" i="9"/>
  <c r="V172" i="9"/>
  <c r="V154" i="9"/>
  <c r="V124" i="9"/>
  <c r="V142" i="9"/>
  <c r="V160" i="9"/>
  <c r="V130" i="9"/>
  <c r="V166" i="9"/>
  <c r="V178" i="9"/>
  <c r="V136" i="9"/>
  <c r="E21" i="31"/>
  <c r="G22" i="36" s="1"/>
  <c r="C27" i="36"/>
  <c r="D19" i="36"/>
  <c r="D58" i="9"/>
  <c r="U58" i="9" s="1"/>
  <c r="C15" i="36"/>
  <c r="D46" i="9"/>
  <c r="D17" i="36"/>
  <c r="N15" i="15"/>
  <c r="D15" i="31" s="1"/>
  <c r="N19" i="15"/>
  <c r="D19" i="31" s="1"/>
  <c r="D64" i="9"/>
  <c r="U69" i="9" s="1"/>
  <c r="C28" i="9"/>
  <c r="C26" i="36"/>
  <c r="D40" i="9"/>
  <c r="U40" i="9" s="1"/>
  <c r="D94" i="9"/>
  <c r="D13" i="36"/>
  <c r="D25" i="36"/>
  <c r="D10" i="36"/>
  <c r="E13" i="36"/>
  <c r="D22" i="36"/>
  <c r="D16" i="9"/>
  <c r="U18" i="9" s="1"/>
  <c r="C22" i="36"/>
  <c r="N13" i="15"/>
  <c r="D13" i="31" s="1"/>
  <c r="E30" i="36"/>
  <c r="D76" i="9"/>
  <c r="U76" i="9" s="1"/>
  <c r="U31" i="9"/>
  <c r="U30" i="9"/>
  <c r="U29" i="9"/>
  <c r="U32" i="9"/>
  <c r="U33" i="9"/>
  <c r="D13" i="35" s="1"/>
  <c r="F13" i="35" s="1"/>
  <c r="U28" i="9"/>
  <c r="D21" i="36"/>
  <c r="N20" i="15"/>
  <c r="D20" i="31" s="1"/>
  <c r="D70" i="9"/>
  <c r="U70" i="9" s="1"/>
  <c r="C16" i="9"/>
  <c r="C10" i="36"/>
  <c r="D88" i="9"/>
  <c r="U91" i="9" s="1"/>
  <c r="N23" i="15"/>
  <c r="D23" i="31" s="1"/>
  <c r="N17" i="15"/>
  <c r="D17" i="31" s="1"/>
  <c r="D18" i="36"/>
  <c r="D52" i="9"/>
  <c r="U52" i="9" s="1"/>
  <c r="C70" i="9"/>
  <c r="C21" i="36"/>
  <c r="E21" i="36"/>
  <c r="E26" i="36"/>
  <c r="C30" i="36"/>
  <c r="C118" i="9"/>
  <c r="E11" i="31"/>
  <c r="G10" i="36" s="1"/>
  <c r="E10" i="36"/>
  <c r="C12" i="36"/>
  <c r="C22" i="9"/>
  <c r="E12" i="36"/>
  <c r="N28" i="15"/>
  <c r="D28" i="31" s="1"/>
  <c r="D30" i="36"/>
  <c r="D118" i="9"/>
  <c r="D27" i="36"/>
  <c r="D106" i="9"/>
  <c r="N26" i="15"/>
  <c r="D26" i="31" s="1"/>
  <c r="D26" i="36"/>
  <c r="D100" i="9"/>
  <c r="N25" i="15"/>
  <c r="D25" i="31" s="1"/>
  <c r="N22" i="15"/>
  <c r="D22" i="31" s="1"/>
  <c r="F23" i="36" s="1"/>
  <c r="D23" i="36"/>
  <c r="D82" i="9"/>
  <c r="D14" i="36"/>
  <c r="D34" i="9"/>
  <c r="N14" i="15"/>
  <c r="D14" i="31" s="1"/>
  <c r="D12" i="36"/>
  <c r="D22" i="9"/>
  <c r="U27" i="9" s="1"/>
  <c r="N12" i="15"/>
  <c r="D12" i="31" s="1"/>
  <c r="N10" i="15"/>
  <c r="D10" i="31" s="1"/>
  <c r="D9" i="36"/>
  <c r="U15" i="9"/>
  <c r="W10" i="9" s="1"/>
  <c r="U11" i="9"/>
  <c r="U10" i="9"/>
  <c r="U14" i="9"/>
  <c r="U13" i="9"/>
  <c r="U12" i="9"/>
  <c r="E24" i="31"/>
  <c r="G25" i="36" s="1"/>
  <c r="E25" i="36"/>
  <c r="C9" i="36"/>
  <c r="C17" i="36"/>
  <c r="C46" i="9"/>
  <c r="T12" i="9"/>
  <c r="T15" i="9"/>
  <c r="V10" i="9" s="1"/>
  <c r="T11" i="9"/>
  <c r="T13" i="9"/>
  <c r="T14" i="9"/>
  <c r="C64" i="9"/>
  <c r="C20" i="36"/>
  <c r="D39" i="35"/>
  <c r="F39" i="35" s="1"/>
  <c r="W184" i="9"/>
  <c r="F21" i="36" l="1"/>
  <c r="E20" i="31"/>
  <c r="G21" i="36" s="1"/>
  <c r="F18" i="36"/>
  <c r="E17" i="31"/>
  <c r="G18" i="36" s="1"/>
  <c r="F26" i="36"/>
  <c r="E25" i="31"/>
  <c r="G26" i="36" s="1"/>
  <c r="W112" i="9"/>
  <c r="D27" i="35"/>
  <c r="F27" i="35" s="1"/>
  <c r="I29" i="36"/>
  <c r="K29" i="36" s="1"/>
  <c r="F15" i="36"/>
  <c r="E15" i="31"/>
  <c r="G15" i="36" s="1"/>
  <c r="F20" i="36"/>
  <c r="E19" i="31"/>
  <c r="G20" i="36" s="1"/>
  <c r="U96" i="9"/>
  <c r="U97" i="9"/>
  <c r="U98" i="9"/>
  <c r="U99" i="9"/>
  <c r="U95" i="9"/>
  <c r="U94" i="9"/>
  <c r="F13" i="36"/>
  <c r="E13" i="31"/>
  <c r="G13" i="36" s="1"/>
  <c r="F24" i="36"/>
  <c r="E23" i="31"/>
  <c r="G24" i="36" s="1"/>
  <c r="F30" i="36"/>
  <c r="E28" i="31"/>
  <c r="G30" i="36" s="1"/>
  <c r="U120" i="9"/>
  <c r="U121" i="9"/>
  <c r="U122" i="9"/>
  <c r="U123" i="9"/>
  <c r="U119" i="9"/>
  <c r="U118" i="9"/>
  <c r="U111" i="9"/>
  <c r="U108" i="9"/>
  <c r="U109" i="9"/>
  <c r="U110" i="9"/>
  <c r="U107" i="9"/>
  <c r="U106" i="9"/>
  <c r="F27" i="36"/>
  <c r="E26" i="31"/>
  <c r="G27" i="36" s="1"/>
  <c r="U100" i="9"/>
  <c r="U102" i="9"/>
  <c r="U103" i="9"/>
  <c r="U104" i="9"/>
  <c r="U105" i="9"/>
  <c r="U101" i="9"/>
  <c r="F14" i="36"/>
  <c r="E14" i="31"/>
  <c r="G14" i="36" s="1"/>
  <c r="F12" i="36"/>
  <c r="E12" i="31"/>
  <c r="G12" i="36" s="1"/>
  <c r="T30" i="9"/>
  <c r="T32" i="9"/>
  <c r="T28" i="9"/>
  <c r="T33" i="9"/>
  <c r="T29" i="9"/>
  <c r="T31" i="9"/>
  <c r="T17" i="9"/>
  <c r="T20" i="9"/>
  <c r="T16" i="9"/>
  <c r="T18" i="9"/>
  <c r="T19" i="9"/>
  <c r="T21" i="9"/>
  <c r="T73" i="9"/>
  <c r="T74" i="9"/>
  <c r="T71" i="9"/>
  <c r="T72" i="9"/>
  <c r="T75" i="9"/>
  <c r="T70" i="9"/>
  <c r="T120" i="9"/>
  <c r="T122" i="9"/>
  <c r="T119" i="9"/>
  <c r="T118" i="9"/>
  <c r="T121" i="9"/>
  <c r="T123" i="9"/>
  <c r="T25" i="9"/>
  <c r="T24" i="9"/>
  <c r="T27" i="9"/>
  <c r="T23" i="9"/>
  <c r="T26" i="9"/>
  <c r="T22" i="9"/>
  <c r="T49" i="9"/>
  <c r="T51" i="9"/>
  <c r="T46" i="9"/>
  <c r="T48" i="9"/>
  <c r="T50" i="9"/>
  <c r="T47" i="9"/>
  <c r="T67" i="9"/>
  <c r="T69" i="9"/>
  <c r="T64" i="9"/>
  <c r="T66" i="9"/>
  <c r="T68" i="9"/>
  <c r="T65" i="9"/>
  <c r="U68" i="9"/>
  <c r="U61" i="9"/>
  <c r="U59" i="9"/>
  <c r="U66" i="9"/>
  <c r="U60" i="9"/>
  <c r="U62" i="9"/>
  <c r="U17" i="9"/>
  <c r="U21" i="9"/>
  <c r="D11" i="35" s="1"/>
  <c r="F11" i="35" s="1"/>
  <c r="U22" i="9"/>
  <c r="U63" i="9"/>
  <c r="I19" i="36" s="1"/>
  <c r="K19" i="36" s="1"/>
  <c r="U79" i="9"/>
  <c r="U89" i="9"/>
  <c r="W28" i="9"/>
  <c r="U53" i="9"/>
  <c r="U45" i="9"/>
  <c r="I15" i="36" s="1"/>
  <c r="K15" i="36" s="1"/>
  <c r="I13" i="36"/>
  <c r="K13" i="36" s="1"/>
  <c r="U43" i="9"/>
  <c r="U64" i="9"/>
  <c r="U67" i="9"/>
  <c r="U16" i="9"/>
  <c r="U51" i="9"/>
  <c r="U47" i="9"/>
  <c r="U50" i="9"/>
  <c r="U46" i="9"/>
  <c r="U48" i="9"/>
  <c r="U49" i="9"/>
  <c r="U65" i="9"/>
  <c r="U19" i="9"/>
  <c r="U57" i="9"/>
  <c r="I18" i="36" s="1"/>
  <c r="K18"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0" i="36"/>
  <c r="K20" i="36" s="1"/>
  <c r="W64" i="9"/>
  <c r="H29" i="36"/>
  <c r="J29" i="36" s="1"/>
  <c r="V112" i="9"/>
  <c r="V40" i="9"/>
  <c r="C15" i="35"/>
  <c r="E15" i="35" s="1"/>
  <c r="H15" i="36"/>
  <c r="J15" i="36" s="1"/>
  <c r="C21" i="35"/>
  <c r="E21" i="35" s="1"/>
  <c r="V76" i="9"/>
  <c r="H22" i="36"/>
  <c r="J22" i="36" s="1"/>
  <c r="V52" i="9"/>
  <c r="H18" i="36"/>
  <c r="J18" i="36" s="1"/>
  <c r="C17" i="35"/>
  <c r="E17" i="35" s="1"/>
  <c r="U39" i="9"/>
  <c r="U37" i="9"/>
  <c r="U38" i="9"/>
  <c r="U34" i="9"/>
  <c r="U36" i="9"/>
  <c r="U35" i="9"/>
  <c r="W22" i="9"/>
  <c r="I12" i="36"/>
  <c r="K12" i="36" s="1"/>
  <c r="D12" i="35"/>
  <c r="F12" i="35" s="1"/>
  <c r="F9" i="36"/>
  <c r="H19" i="36"/>
  <c r="J19" i="36" s="1"/>
  <c r="H26" i="36"/>
  <c r="J26" i="36" s="1"/>
  <c r="C14" i="35"/>
  <c r="E14" i="35" s="1"/>
  <c r="C10" i="35"/>
  <c r="H14" i="36"/>
  <c r="J14" i="36" s="1"/>
  <c r="H23" i="36"/>
  <c r="J23" i="36" s="1"/>
  <c r="H24" i="36"/>
  <c r="J24" i="36" s="1"/>
  <c r="V58" i="9"/>
  <c r="V82" i="9"/>
  <c r="C25" i="35"/>
  <c r="E25" i="35" s="1"/>
  <c r="C27" i="35"/>
  <c r="E27" i="35" s="1"/>
  <c r="V88" i="9"/>
  <c r="V184" i="9"/>
  <c r="C39" i="35"/>
  <c r="E39" i="35" s="1"/>
  <c r="G39" i="35" s="1"/>
  <c r="C26" i="35"/>
  <c r="E26" i="35" s="1"/>
  <c r="V94" i="9"/>
  <c r="H25" i="36"/>
  <c r="J25" i="36" s="1"/>
  <c r="H27" i="36"/>
  <c r="J27" i="36" s="1"/>
  <c r="I25" i="36" l="1"/>
  <c r="K25" i="36" s="1"/>
  <c r="L25" i="36" s="1"/>
  <c r="N25" i="36" s="1"/>
  <c r="M25" i="36" s="1"/>
  <c r="P25" i="36" s="1"/>
  <c r="W94" i="9"/>
  <c r="D24" i="35"/>
  <c r="F24" i="35" s="1"/>
  <c r="G24" i="35" s="1"/>
  <c r="D28" i="35"/>
  <c r="F28" i="35" s="1"/>
  <c r="W118" i="9"/>
  <c r="I30" i="36"/>
  <c r="K30" i="36" s="1"/>
  <c r="I27" i="36"/>
  <c r="K27" i="36" s="1"/>
  <c r="L27" i="36" s="1"/>
  <c r="N27" i="36" s="1"/>
  <c r="M27" i="36" s="1"/>
  <c r="P27" i="36" s="1"/>
  <c r="W106" i="9"/>
  <c r="D26" i="35"/>
  <c r="F26" i="35" s="1"/>
  <c r="G26" i="35" s="1"/>
  <c r="D25" i="35"/>
  <c r="F25" i="35" s="1"/>
  <c r="G25" i="35" s="1"/>
  <c r="I26" i="36"/>
  <c r="K26" i="36" s="1"/>
  <c r="L26" i="36" s="1"/>
  <c r="N26" i="36" s="1"/>
  <c r="M26" i="36" s="1"/>
  <c r="P26" i="36" s="1"/>
  <c r="W100" i="9"/>
  <c r="B17" i="33"/>
  <c r="L29" i="36"/>
  <c r="N29" i="36" s="1"/>
  <c r="M29" i="36" s="1"/>
  <c r="P29" i="36" s="1"/>
  <c r="G27" i="35"/>
  <c r="C13" i="35"/>
  <c r="E13" i="35" s="1"/>
  <c r="G13" i="35" s="1"/>
  <c r="V28" i="9"/>
  <c r="H13" i="36"/>
  <c r="J13" i="36" s="1"/>
  <c r="L13" i="36" s="1"/>
  <c r="N13" i="36" s="1"/>
  <c r="M13" i="36" s="1"/>
  <c r="P13" i="36" s="1"/>
  <c r="V16" i="9"/>
  <c r="H10" i="36"/>
  <c r="J10" i="36" s="1"/>
  <c r="C11" i="35"/>
  <c r="E11" i="35" s="1"/>
  <c r="G11" i="35" s="1"/>
  <c r="H21" i="36"/>
  <c r="J21" i="36" s="1"/>
  <c r="C20" i="35"/>
  <c r="E20" i="35" s="1"/>
  <c r="G20" i="35" s="1"/>
  <c r="V70" i="9"/>
  <c r="V118" i="9"/>
  <c r="C28" i="35"/>
  <c r="E28" i="35" s="1"/>
  <c r="H30" i="36"/>
  <c r="J30" i="36" s="1"/>
  <c r="C12" i="35"/>
  <c r="E12" i="35" s="1"/>
  <c r="G12" i="35" s="1"/>
  <c r="V22" i="9"/>
  <c r="H12" i="36"/>
  <c r="J12" i="36" s="1"/>
  <c r="L12" i="36" s="1"/>
  <c r="N12" i="36" s="1"/>
  <c r="M12" i="36" s="1"/>
  <c r="P12" i="36" s="1"/>
  <c r="H17" i="36"/>
  <c r="J17" i="36" s="1"/>
  <c r="C16" i="35"/>
  <c r="E16" i="35" s="1"/>
  <c r="V46" i="9"/>
  <c r="H20" i="36"/>
  <c r="J20" i="36" s="1"/>
  <c r="L20" i="36" s="1"/>
  <c r="N20" i="36" s="1"/>
  <c r="M20" i="36" s="1"/>
  <c r="P20" i="36" s="1"/>
  <c r="V64" i="9"/>
  <c r="C19" i="35"/>
  <c r="E19" i="35" s="1"/>
  <c r="G19" i="35" s="1"/>
  <c r="L15" i="36"/>
  <c r="N15" i="36" s="1"/>
  <c r="M15" i="36" s="1"/>
  <c r="P15" i="36" s="1"/>
  <c r="L18" i="36"/>
  <c r="N18" i="36" s="1"/>
  <c r="M18" i="36" s="1"/>
  <c r="P18" i="36" s="1"/>
  <c r="L19" i="36"/>
  <c r="N19" i="36" s="1"/>
  <c r="M19" i="36" s="1"/>
  <c r="P19" i="36" s="1"/>
  <c r="W16" i="9"/>
  <c r="D17" i="35"/>
  <c r="F17" i="35" s="1"/>
  <c r="G17" i="35" s="1"/>
  <c r="W52" i="9"/>
  <c r="D15" i="35"/>
  <c r="F15" i="35" s="1"/>
  <c r="G15" i="35" s="1"/>
  <c r="I10" i="36"/>
  <c r="K10" i="36" s="1"/>
  <c r="W40" i="9"/>
  <c r="D18" i="35"/>
  <c r="F18" i="35" s="1"/>
  <c r="G18" i="35" s="1"/>
  <c r="W58" i="9"/>
  <c r="I17" i="36"/>
  <c r="K17" i="36" s="1"/>
  <c r="W46" i="9"/>
  <c r="D16" i="35"/>
  <c r="F16" i="35" s="1"/>
  <c r="I24" i="36"/>
  <c r="K24" i="36" s="1"/>
  <c r="L24" i="36" s="1"/>
  <c r="N24" i="36" s="1"/>
  <c r="M24" i="36" s="1"/>
  <c r="P24" i="36" s="1"/>
  <c r="W70" i="9"/>
  <c r="W88" i="9"/>
  <c r="I21" i="36"/>
  <c r="K21" i="36" s="1"/>
  <c r="D21" i="35"/>
  <c r="F21" i="35" s="1"/>
  <c r="G21" i="35" s="1"/>
  <c r="W76" i="9"/>
  <c r="I22" i="36"/>
  <c r="K22" i="36" s="1"/>
  <c r="L22" i="36" s="1"/>
  <c r="N22" i="36" s="1"/>
  <c r="M22" i="36" s="1"/>
  <c r="P22" i="36" s="1"/>
  <c r="F10" i="35"/>
  <c r="K9" i="36" s="1"/>
  <c r="B18" i="33"/>
  <c r="B16" i="33"/>
  <c r="B15" i="33"/>
  <c r="W82" i="9"/>
  <c r="D22" i="35"/>
  <c r="F22" i="35" s="1"/>
  <c r="G22" i="35" s="1"/>
  <c r="I23" i="36"/>
  <c r="K23" i="36" s="1"/>
  <c r="L23" i="36" s="1"/>
  <c r="N23" i="36" s="1"/>
  <c r="M23" i="36" s="1"/>
  <c r="P23" i="36" s="1"/>
  <c r="D14" i="35"/>
  <c r="F14" i="35" s="1"/>
  <c r="G14" i="35" s="1"/>
  <c r="I14" i="36"/>
  <c r="K14" i="36" s="1"/>
  <c r="L14" i="36" s="1"/>
  <c r="N14" i="36" s="1"/>
  <c r="M14" i="36" s="1"/>
  <c r="P14" i="36" s="1"/>
  <c r="W34" i="9"/>
  <c r="H9" i="36"/>
  <c r="E10" i="35"/>
  <c r="G28" i="35" l="1"/>
  <c r="L30" i="36"/>
  <c r="N30" i="36" s="1"/>
  <c r="M30" i="36" s="1"/>
  <c r="P30" i="36" s="1"/>
  <c r="L21" i="36"/>
  <c r="N21" i="36" s="1"/>
  <c r="M21" i="36" s="1"/>
  <c r="P21" i="36" s="1"/>
  <c r="L17" i="36"/>
  <c r="N17" i="36" s="1"/>
  <c r="M17" i="36" s="1"/>
  <c r="P17" i="36" s="1"/>
  <c r="L10" i="36"/>
  <c r="N10" i="36" s="1"/>
  <c r="M10" i="36" s="1"/>
  <c r="P10" i="36" s="1"/>
  <c r="G16" i="35"/>
  <c r="B19" i="33"/>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8" i="33" l="1"/>
  <c r="B22" i="33"/>
  <c r="C16" i="33"/>
  <c r="C17"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<sst xmlns="http://schemas.openxmlformats.org/spreadsheetml/2006/main" count="1455" uniqueCount="568">
  <si>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</si>
  <si>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</si>
  <si>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</si>
  <si>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</si>
  <si>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</si>
  <si>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</si>
  <si>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</si>
  <si>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</si>
  <si>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</si>
  <si>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</si>
  <si>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</si>
  <si>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</si>
  <si>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</si>
  <si>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</si>
  <si>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</si>
  <si>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</si>
  <si>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</si>
  <si>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</si>
  <si>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</si>
  <si>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</si>
  <si>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</si>
  <si>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</si>
  <si>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</si>
  <si>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</si>
  <si>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</si>
  <si>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</si>
  <si>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</si>
  <si>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</si>
  <si>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</si>
  <si>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</si>
  <si>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</si>
  <si>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</si>
  <si>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</si>
  <si>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</si>
  <si>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</si>
  <si>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</si>
  <si>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</si>
  <si>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</si>
  <si>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</si>
  <si>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</si>
  <si>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</si>
  <si>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</si>
  <si>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</si>
  <si>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</si>
  <si>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</si>
  <si>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</si>
  <si>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</si>
  <si>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</si>
  <si>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</si>
  <si>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</si>
  <si>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</si>
  <si>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</si>
  <si>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</si>
  <si>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</si>
  <si>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</si>
  <si>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</si>
  <si>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</si>
  <si>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</si>
  <si>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</si>
  <si>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</si>
  <si>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</si>
  <si>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</si>
  <si>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</si>
  <si>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</si>
  <si>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</si>
  <si>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</si>
  <si>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</si>
  <si>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</si>
  <si>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</si>
  <si>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</si>
  <si>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</si>
  <si>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</si>
  <si>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</si>
  <si>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</si>
  <si>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</si>
  <si>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</si>
  <si>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</si>
  <si>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</si>
  <si>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</si>
  <si>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</si>
  <si>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</si>
  <si>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</si>
  <si>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</si>
  <si>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</si>
  <si>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</si>
  <si>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</si>
  <si>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</si>
  <si>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</si>
  <si>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</si>
  <si>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</si>
  <si>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</si>
  <si>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</si>
  <si>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</si>
  <si>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</si>
  <si>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</si>
  <si>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</si>
  <si>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</si>
  <si>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</si>
  <si>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</si>
  <si>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</si>
  <si>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</si>
  <si>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</si>
  <si>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</si>
  <si>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</si>
  <si>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</si>
  <si>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</si>
  <si>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</si>
  <si>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</si>
  <si>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</si>
  <si>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</si>
  <si>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</si>
  <si>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</si>
  <si>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</si>
  <si>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</si>
  <si>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</si>
  <si>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</si>
  <si>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</si>
  <si>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</si>
  <si>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</si>
  <si>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</si>
  <si>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</si>
  <si>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</si>
  <si>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</si>
  <si>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</si>
  <si>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</si>
  <si>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</si>
  <si>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</si>
  <si>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</si>
  <si>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</si>
  <si>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</si>
  <si>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</si>
  <si>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</si>
  <si>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</si>
  <si>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</si>
  <si>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</si>
  <si>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</si>
  <si>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</si>
  <si>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</si>
  <si>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</si>
  <si>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</si>
  <si>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</si>
  <si>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</si>
  <si>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</si>
  <si>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</si>
  <si>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</si>
  <si>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</si>
  <si>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</si>
  <si>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</si>
  <si>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</si>
  <si>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</si>
  <si>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</si>
  <si>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</si>
  <si>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</si>
  <si>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</si>
  <si>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</si>
  <si>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</si>
  <si>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</si>
  <si>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</si>
  <si>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</si>
  <si>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</si>
  <si>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</si>
  <si>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</si>
  <si>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</si>
  <si>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</si>
  <si>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</si>
  <si>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</si>
  <si>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</si>
  <si>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</si>
  <si>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</si>
  <si>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</si>
  <si>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</si>
  <si>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</si>
  <si>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</si>
  <si>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</si>
  <si>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</si>
  <si>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</si>
  <si>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</si>
  <si>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</si>
  <si>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</si>
  <si>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</si>
  <si>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</si>
  <si>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</si>
  <si>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</si>
  <si>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</si>
  <si>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</si>
  <si>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</si>
  <si>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</si>
  <si>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</si>
  <si>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</si>
  <si>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</si>
  <si>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</si>
  <si>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</si>
  <si>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</si>
  <si>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</si>
  <si>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</si>
  <si>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</si>
  <si>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</si>
  <si>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</si>
  <si>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</si>
  <si>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</si>
  <si>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</si>
  <si>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</si>
  <si>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</si>
  <si>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</si>
  <si>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</si>
  <si>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</si>
  <si>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</si>
  <si>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</si>
  <si>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</si>
  <si>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</si>
  <si>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</si>
  <si>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</si>
  <si>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</si>
  <si>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</si>
  <si>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</si>
  <si>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</si>
  <si>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</si>
  <si>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</si>
  <si>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</si>
  <si>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</si>
  <si>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</si>
  <si>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</si>
  <si>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</si>
  <si>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</si>
  <si>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</si>
  <si>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</si>
  <si>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</si>
  <si>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</si>
  <si>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</si>
  <si>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</si>
  <si>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</si>
  <si>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</si>
  <si>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</si>
  <si>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</si>
  <si>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</si>
  <si>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</si>
  <si>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</si>
  <si>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</si>
  <si>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</si>
  <si>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</si>
  <si>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</si>
  <si>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</si>
  <si>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</si>
  <si>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</si>
  <si>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</si>
  <si>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</si>
  <si>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</si>
  <si>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</si>
  <si>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</si>
  <si>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</si>
  <si>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</si>
  <si>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</si>
  <si>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</si>
  <si>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</si>
  <si>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</si>
  <si>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</si>
  <si>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</si>
  <si>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</si>
  <si>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</si>
  <si>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</si>
  <si>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</si>
  <si>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</si>
  <si>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</si>
  <si>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</si>
  <si>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</si>
  <si>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</si>
  <si>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</si>
  <si>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</si>
  <si>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</si>
  <si>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</si>
  <si>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</si>
  <si>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</si>
  <si>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</si>
  <si>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</si>
  <si>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</si>
  <si>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</si>
  <si>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</si>
  <si>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</si>
  <si>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</si>
  <si>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</si>
  <si>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</si>
  <si>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</si>
  <si>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</si>
  <si>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</si>
  <si>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</si>
  <si>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</si>
  <si>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</si>
  <si>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</si>
  <si>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</si>
  <si>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</si>
  <si>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</si>
  <si>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</si>
  <si>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</si>
  <si>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</si>
  <si>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</si>
  <si>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</si>
  <si>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</si>
  <si>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</si>
  <si>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</si>
  <si>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</si>
  <si>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</si>
  <si>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</si>
  <si>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</si>
  <si>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</si>
  <si>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</si>
  <si>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</si>
  <si>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</si>
  <si>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</si>
  <si>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</si>
  <si>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</si>
  <si>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</si>
  <si>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</si>
  <si>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</si>
  <si>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</si>
  <si>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</si>
  <si>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</si>
  <si>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</si>
  <si>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</si>
  <si>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</si>
  <si>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</si>
  <si>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</si>
  <si>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</si>
  <si>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</si>
  <si>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</si>
  <si>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</si>
  <si>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</si>
  <si>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</si>
  <si>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</si>
  <si>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</si>
  <si>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</si>
  <si>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</si>
  <si>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</si>
  <si>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</si>
  <si>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</si>
  <si>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</si>
  <si>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</si>
  <si>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</si>
  <si>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</si>
  <si>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</si>
  <si>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</si>
  <si>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</si>
  <si>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</si>
  <si>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</si>
  <si>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</si>
  <si>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</si>
  <si>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</si>
  <si>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</si>
  <si>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</si>
  <si>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</si>
  <si>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</si>
  <si>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</si>
  <si>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</si>
  <si>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</si>
  <si>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</si>
  <si>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</si>
  <si>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</si>
  <si>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</si>
  <si>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</si>
  <si>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</si>
  <si>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</si>
  <si>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</si>
  <si>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</si>
  <si>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</si>
  <si>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</si>
  <si>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</si>
  <si>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</si>
  <si>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</si>
  <si>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</si>
  <si>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</si>
  <si>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</si>
  <si>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</si>
  <si>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</si>
  <si>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</si>
  <si>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</si>
  <si>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</si>
  <si>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</si>
  <si>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</si>
  <si>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</si>
  <si>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</si>
  <si>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</si>
  <si>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</si>
  <si>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</si>
  <si>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</si>
  <si>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</si>
  <si>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</si>
  <si>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 xml:space="preserve"> investigaciones disciplinarias promovidas por entes de control,</t>
  </si>
  <si>
    <t xml:space="preserve"> debilidades en la planeación, gestión y ejecución de las obligaciones contractuales por parte de las unidades gestoras, </t>
  </si>
  <si>
    <t xml:space="preserve"> manejo inadecuado de pasivos exigibles y vigencias expiradas,</t>
  </si>
  <si>
    <t xml:space="preserve"> investigaciones disciplinarias y sanciones por entes de control,</t>
  </si>
  <si>
    <t xml:space="preserve">  investigaciones y sanciones disciplinarias por entes de control,</t>
  </si>
  <si>
    <t xml:space="preserve">   investigaciones disciplinarias y sanciones por entes de control,</t>
  </si>
  <si>
    <t xml:space="preserve">incumplimiento de las acciones establecidas en los planes de mejoramiento derivados de auditorías internas y externas, </t>
  </si>
  <si>
    <t>debilidades en el seguimiento y cumplimiento de los tiempos definidos para su ejecución.</t>
  </si>
  <si>
    <t xml:space="preserve"> la ejecución de un alcance inferior al contratado con pago total del valor del contrato, </t>
  </si>
  <si>
    <t>anticipos entregados al contratista sin legalizar,</t>
  </si>
  <si>
    <t xml:space="preserve"> el pago de sanciones impuestas por entes de control,</t>
  </si>
  <si>
    <t xml:space="preserve"> el pago de sanciones y/o condenas impuestas por entes de control, </t>
  </si>
  <si>
    <t xml:space="preserve">Pago de sanciones impuestas por la Contraloría General de la República, </t>
  </si>
  <si>
    <t xml:space="preserve"> Pago de agencias en derecho y costas procesales, en  primera y segunda instancia,</t>
  </si>
  <si>
    <t xml:space="preserve"> deficiencias en la planeación, seguimiento y control de los proyectos de infraestructura educativa financiados con recursos de empréstito, generando retrasos en la ejecución y pagos financieros sin avance proporcional de las obras,</t>
  </si>
  <si>
    <t xml:space="preserve"> ocupación o desarrollo urbanístico no controlado en zonas intervenidas con obras de mitigación del riesgo, </t>
  </si>
  <si>
    <t xml:space="preserve">posibles investigaciones y sanciones disciplinarias por entes de control, </t>
  </si>
  <si>
    <t>debido al incumplimiento de la Ley 594 del 2000 en los documentos emanados por la Secretaría de Infraestructura.</t>
  </si>
  <si>
    <t xml:space="preserve">GESTÓN Y DESARROLLO DE LA INFRAESTRUCTURA </t>
  </si>
  <si>
    <t>El Profesional encargado del área de obras,</t>
  </si>
  <si>
    <t xml:space="preserve">verifica el cumplimiento de los lineamientos técnicos y normativos en la elaboración de los estudios y diseños de los proyectos de infraestructura, </t>
  </si>
  <si>
    <t>mediante seguimiento a los avances presentados por el equipo de diseño, según normatividad vigente.</t>
  </si>
  <si>
    <t>El Profesional designado de las áreas de Proyectos, Contratación, Presupuesto y los Supervisores de la Secretaría de Infraestructura</t>
  </si>
  <si>
    <t>verifican periódicamente la ejecución presupuestal y contractual de los proyectos de obra,</t>
  </si>
  <si>
    <t>conforme al principio de planeación, mediante el seguimiento a la ejecución de los contratos y sus soportes, con el fin de evitar la constitución de reservas presupuestales sin la debida justificación.</t>
  </si>
  <si>
    <t xml:space="preserve">La persona encargada, </t>
  </si>
  <si>
    <t>verifica el cumplimiento de los procedimientos establecidos en la Resolución 193 de 2016 de la Contaduría General de la Nación,</t>
  </si>
  <si>
    <t>mediante la revisión y seguimiento a los pasivos exigibles y/o vigencias expiradas de la Secretaría de Infraestructura, con el fin de realizar su depuración conforme a la normatividad vigente.</t>
  </si>
  <si>
    <t>El equipo profesional misional</t>
  </si>
  <si>
    <t>verifica las necesidades de contratación incluidas en el Plan Anual de Adquisiciones - PAA,</t>
  </si>
  <si>
    <t>mediante la revisión periódica de la contratación programada y, en caso de requerirse, solicita su actualización o modificación, con el fin de prevenir deficiencias en la planeación contractual.</t>
  </si>
  <si>
    <t>El Profesional encargado del área de obra,</t>
  </si>
  <si>
    <t>supervisa que los estudios y diseños de los proyectos de obra cumplan con los lineamientos de accesibilidad y las NTC vigentes,</t>
  </si>
  <si>
    <t>mediante la revisión y seguimiento a los diseños elaborados, con el fin de prevenir incumplimientos normativos en materia de accesibilidad al medio físico.</t>
  </si>
  <si>
    <t>El Profesional encargado del equipo de Presupuestos Participativos,</t>
  </si>
  <si>
    <t xml:space="preserve">verifica el avance en la formulación y ejecución de los proyectos, </t>
  </si>
  <si>
    <t>mediante la herramienta de seguimiento y control implementada por la Estrategia de Presupuestos Participativos de la Administración Municipal.</t>
  </si>
  <si>
    <t>El Ordenador del Gasto y el Supervisor designado,</t>
  </si>
  <si>
    <t xml:space="preserve"> verifica las solicitudes de adición en tiempo y valor de los contratos, mediante la revisión del porcentaje de ejecución contractual y el cumplimiento de los requisitos normativos aplicables,</t>
  </si>
  <si>
    <t>con el fin de prevenir adiciones injustificadas por deficiencias en la planeación precontractual.</t>
  </si>
  <si>
    <t>La profesional encargada,</t>
  </si>
  <si>
    <t xml:space="preserve">revisa las acciones correctivas establecidas y plasmadas en los Planes de Mejoramiento de auditorías internas y externas suscritos, </t>
  </si>
  <si>
    <t xml:space="preserve"> a través de seguimientos con los responsables de su cumplimiento</t>
  </si>
  <si>
    <t>El Supervisor designado</t>
  </si>
  <si>
    <t>verifica el cumplimiento de las condiciones y especificaciones técnicas pactadas en los contratos, mediante el seguimiento a la ejecución contractual y la revisión de las obligaciones establecidas en la etapa precontractual,</t>
  </si>
  <si>
    <t>conforme a la normatividad vigente, con el fin de prevenir deficiencias en la supervisión e interventoría contractual.</t>
  </si>
  <si>
    <t>El Profesional asignado a la supervisión de la obra</t>
  </si>
  <si>
    <t>verifica la amortización de los anticipos entregados al contratista, mediante la revisión de las actas parciales de pago y del acta final</t>
  </si>
  <si>
    <t>conforme a lo estipulado en los pliegos de condiciones, con el fin de prevenir anticipos sin legalizar.</t>
  </si>
  <si>
    <t>Los Profesionales encargados de la contratación y/o Supervisores designados</t>
  </si>
  <si>
    <t>verifican el cumplimiento de las normas vigentes en las etapas precontractual, contractual y postcontractual de los procesos celebrados por la Secretaría de Infraestructura, diferentes a contratos de prestación de servicios,</t>
  </si>
  <si>
    <t>mediante la revisión de los documentos y actuaciones contractuales, con el fin de prevenir incumplimientos que afecten el objeto contractual.</t>
  </si>
  <si>
    <t>La persona encargada por el Ordenador del Gasto,</t>
  </si>
  <si>
    <t>verifica los amparos exigidos en los contratos suscritos por la Secretaría de Infraestructura,</t>
  </si>
  <si>
    <t>mediante la revisión de las garantías constituidas conforme al Manual de Contratación M-GJ-1140-170-001</t>
  </si>
  <si>
    <t>El Ordenador del Gasto y el Profesional asignado,</t>
  </si>
  <si>
    <t>verifican el reporte oportuno de la información de obras inconclusas al área de TICs,</t>
  </si>
  <si>
    <t>mediante seguimiento al cumplimiento del cronograma establecido para su envío, para prevenir reportes extemporáneos en la plataforma SIRECI.</t>
  </si>
  <si>
    <t xml:space="preserve">El profesional asignado por el líder del proceso </t>
  </si>
  <si>
    <t xml:space="preserve">revisa la información sujeta a publicación, de acuerdo con lo establecido en la Resolución 1519 de 2020 y sus anexos, </t>
  </si>
  <si>
    <t>y verifica su publicación y actualización en la página web institucional.</t>
  </si>
  <si>
    <t>La persona encargada</t>
  </si>
  <si>
    <t xml:space="preserve">Los profesionales encargados de la secretaría de infraestructura y del área de alumbrado público </t>
  </si>
  <si>
    <t>ejercerán el control periódico para verificar que los datos registrados en el sistema de inventarios coincida con los inventarios físicos,</t>
  </si>
  <si>
    <t xml:space="preserve"> teniendo en cuenta la información documentada establecida por el proceso de Gestión de Almacén e Inventarios. </t>
  </si>
  <si>
    <t>El apoderado judicial de las acciones populare,</t>
  </si>
  <si>
    <t xml:space="preserve">deberá cumplir con los trámites relacionados con el cumplimiento de sentencias judiciales, pago de agencias en derecho y costas procesales dentro de las acciones populares, </t>
  </si>
  <si>
    <t xml:space="preserve"> de acuerdo a lo contemplado en la ley 472 de 1998, artículo 192 del CPACA y al "PROCEDIMIENTO DE PAGO DE SENTENCIAS JUDICIALES, CONCILIACIONES Y LAUDOS ARBITRALES P-GJ-1120-170-002".</t>
  </si>
  <si>
    <t xml:space="preserve">El profesional delegado </t>
  </si>
  <si>
    <t>verifica periódicamente la ejecución física, financiera y documental de los proyectos de infraestructura educativa financiados con recursos de empréstito,</t>
  </si>
  <si>
    <t>mediante la revisión de informes, actas, cronogramas y soportes contractuales, con el fin de identificar desviaciones y realizar seguimiento oportuno al cumplimiento de las obligaciones pactadas</t>
  </si>
  <si>
    <t>verifica mensualmente el cumplimiento del control urbanístico en el lugar de los trabajos,</t>
  </si>
  <si>
    <t>con el fin de identificar posibles incumplimientos y realizar seguimiento oportuno a las reiteraciones efectuadas ante la Secretaría de Planeación y la Secretaría del Interior para el adelanto de las actuaciones correspondientes</t>
  </si>
  <si>
    <t xml:space="preserve">aplica los lineamientos y procedimientos establecidos para la organización, inventario, conservación y transferencias documentales, </t>
  </si>
  <si>
    <t>de conformidad con las Tablas de Retención Documental, Tablas de Valoración Documental y las directrices emitidas por el Archivo General de la Nación.</t>
  </si>
  <si>
    <t>El Área de Archivo de la Secretaría de Infraestructura</t>
  </si>
  <si>
    <t>Realizar reuniones trimestrales con el equipo encargado de diseño, para el seguimiento de la correcta implementación de los lineamientos durante el desarrollo de los diseños de obra, en cumplimiento de la normatividad vigente y los objetivos institucionales.</t>
  </si>
  <si>
    <t>Acta reunión
(4)</t>
  </si>
  <si>
    <t>El profesional encargado del área de diseño</t>
  </si>
  <si>
    <t>Realizar seguimiento trimestral a los contratos en ejecución con saldos de reserva presupuestal para que estos sean ejecutados y cancelados dentro de la misma vigencia.</t>
  </si>
  <si>
    <t>Informe de seguimiento
(4)</t>
  </si>
  <si>
    <t xml:space="preserve"> El profesional designado del area de proyectos, contratacion, presupuesto y  supervisores</t>
  </si>
  <si>
    <t>Realizar un seguimiento cuatrimestral a la planeación contractual de proyectos de obra antes de que estos inicien el proceso contractual, con el fin de evitar adicionales y dar cumplimiento efectivo, al principio de planeación.</t>
  </si>
  <si>
    <t>Informe de seguimiento
(3)</t>
  </si>
  <si>
    <t>Realizar un informe semestral de seguimiento a los pasivos exigibles y/o vigencias expiradas para su respectiva depuración del 35% acorde a la normatividad vigente</t>
  </si>
  <si>
    <t>Informe de seguimiento
(2)</t>
  </si>
  <si>
    <t xml:space="preserve">El profesional especializado del area de proyectos y presupuesto </t>
  </si>
  <si>
    <t>Acta de Monitoreo
 (2)</t>
  </si>
  <si>
    <t>El profesional especializado del area de proyectos</t>
  </si>
  <si>
    <t>Realizar reuniones trimestrales de seguimiento a la contratación programada en el Plan Anual de Adquisiciones - PAA.</t>
  </si>
  <si>
    <t>Actas de Reunión 
(4)</t>
  </si>
  <si>
    <t>Realizar una socialización semestral dirigidas al personal del área de arquitectura, supervisores e interventores en la norma NTC 6047 y demás normas vigentes de accesibilidad al medio físico, para mejorar los estudios y diseños de los proyectos de obra y cumplimiento de requisitos de accesibilidad.</t>
  </si>
  <si>
    <t>actas de reunión
(2)</t>
  </si>
  <si>
    <t>Realizar un informe semestral de seguimiento aleatorio al 50% de los estudios y diseños de los proyectos de obra a ejecutar por la Secretaría de Infraestructura</t>
  </si>
  <si>
    <t>Realizar seguimiento semestral al avance de los proyectos de la Estrategia de Presupuestos Participativos.</t>
  </si>
  <si>
    <t>Matriz de seguimiento 
Acta de seguimiento
(2)</t>
  </si>
  <si>
    <t>El Profesional encargado del equipo de presupuestos participativos</t>
  </si>
  <si>
    <t>Realizar reuniones trimestrales de seguimiento a la ejecución contractual para verificar avances y posibles adiciones conforme a los requisitos normativos.</t>
  </si>
  <si>
    <t>Acta de reunion
(2)</t>
  </si>
  <si>
    <t xml:space="preserve">Secretaria de Infraestructura
Equipo de Contratación </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</si>
  <si>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</si>
  <si>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(2)</t>
  </si>
  <si>
    <t>Secretaria de Infraestructura
Equipo de Calidad</t>
  </si>
  <si>
    <t>Realizar seguimiento semestral a una muestra aleatoria del 20% de los contratos en ejecución de la Secretaría de Infraestructura, para verificar el cumplimiento de las obligaciones y especificaciones contractuales.</t>
  </si>
  <si>
    <t>Informe de Seguimiento 
(2)</t>
  </si>
  <si>
    <t>Secretaria de Infraestructura
Profesionales del área de contratación.</t>
  </si>
  <si>
    <t>Realizar seguimiento semestral a una muestra aleatoria del 30% de los contratos de obra en ejecución con anticipo, suscritos por la Secretaría de Infraestructura, para verificar el cumplimiento de lo estipulado en los pliegos de condiciones.</t>
  </si>
  <si>
    <t>Informe de seguimiento
 (2)</t>
  </si>
  <si>
    <t>Realizar informe de seguimiento semestral al 100% de los contratos suscritos por la Secretaría de Infraestructura, diferentes a contratos de prestación de servicios, para verificar el cumplimiento de las normas vigentes en las etapas precontractual, contractual y postcontractual.</t>
  </si>
  <si>
    <t>Informe de seguimiento (1)</t>
  </si>
  <si>
    <t>Realizar seguimiento semestral a los amparos exigidos en el 100% de los contratos suscritos por la Secretaría de Infraestructura, diferentes a contratos de prestación de servicios, conforme al Manual de Contratación M-GJ-1140-170-001.</t>
  </si>
  <si>
    <t>Reportar oportunamente, de manera mensual, el oficio de obras inconclusas al área de TICs, conforme al cronograma establecido para su envío.</t>
  </si>
  <si>
    <t>Oficio y correo electrónico de remisión.
(12)</t>
  </si>
  <si>
    <t>Solicitar al área TIC la publicación del 100% de la información y documentos a cargo de la Secretaría de Infraestructura, de conformidad con los lineamientos y estándares establecidos en la Resolución 1519 de 2020.</t>
  </si>
  <si>
    <t>Correos electrónicos</t>
  </si>
  <si>
    <t>El Profesional asignado</t>
  </si>
  <si>
    <t>Realizar seguimiento semestral al cumplimiento de los tiempos de respuesta de los requerimientos asignados por los entes de control y vigilancia, identificando alertas y posibles vencimientos para su atención oportuna.</t>
  </si>
  <si>
    <t>Indicador semestral de respuesta a tiempo / total de PQRSD de entes de control asignadas mediante el GSC</t>
  </si>
  <si>
    <t>Realizar semestralmente la verificación de la totalidad de los bienes a cargo de cada servidor público de la Secretaría de Infraestructura y del Área de Alumbrado Público, reportado en el formato ESTADO ACTUAL DEL INVENTARIO RESUMIDO DEL SERVIDOR PÚBLICO F-INV-8500-238,37-015 y dar respuesta a través de correo al área de inventarios informando la conformidad o novedad que presenta del mismo.</t>
  </si>
  <si>
    <t>Correo de reporte de conformidad o novedad al proceso de inventario</t>
  </si>
  <si>
    <t>Secretaria de Infraestructura
Profesional del Área de Alumbrado Publico</t>
  </si>
  <si>
    <t>Elaborar un plan de trabajo para garantizar el adecuado almacenamiento, rotulado, control, inventario y disposición final de los elementos utilizados en el alumbrado navideño del Municipio de Bucaramanga</t>
  </si>
  <si>
    <t>Plan de Trabajo 
(1)</t>
  </si>
  <si>
    <t>Realizar seguimiento semestral al pago de costas procesales de las acciones populares vinculadas a la Secretaría de Infraestructura</t>
  </si>
  <si>
    <t>Informe de seguimiento 
(2)</t>
  </si>
  <si>
    <t xml:space="preserve">Coordinador Jurídico de Acciones Constitucionales </t>
  </si>
  <si>
    <t>Revisar y aprobar de manera mensual los informes de gestión presentados por FINDETER sobre el avance del Convenio Interadministrativo No. 166 de 2023, garantizando el seguimiento al cumplimiento de las obligaciones pactadas.</t>
  </si>
  <si>
    <t>Informes de Gestión de FINDETER aprobados
(5)</t>
  </si>
  <si>
    <t>El Profesional delegado</t>
  </si>
  <si>
    <t>Realizar visita técnica mensual para verificación del cumplimiento del control urbanistico en el lugar de los trabajos por parte del equipo técnico de la Secretaria de Infraestructura y en caso de persistir el incumplimiento se reiterará a la Secretaria de Planeación y Secretaria del Interior para que realicen el respectivo control urbanistico.</t>
  </si>
  <si>
    <t>Número de visitas tecnicas
(2)</t>
  </si>
  <si>
    <t>Elaborar, socializar e implementar por parte de la Secretaría de Infraestructura un procedimiento avalado por calidad para el mantenimiento, mejoramiento y creación de nuevas obras, que permita definir el flujo de información técnica, jurídica y financiera de los proyectos ejecutados sobre bienes inmuebles del Municipio, garantizando su adecuado seguimiento, control e incorporación oportuna en los sistemas administrativos y contables institucionales.</t>
  </si>
  <si>
    <t>Numero de procedimientos elaborados socializado e implementado
(1)</t>
  </si>
  <si>
    <t>Realizar seguimiento trimestral al cumplimiento del plan de trabajo y al avance de las acciones implementadas para garantizar la operatividad de las canchas de squash.</t>
  </si>
  <si>
    <t xml:space="preserve">Numero de seguimientos realizados
(2) </t>
  </si>
  <si>
    <t xml:space="preserve"> Realizar el 100% de las Transferencias documentales primarias de la Secretaría de Infraestructura en los tiempos establecidos en el cronograma para la vigencia que aplique la tabla de retención documental vigentes.</t>
  </si>
  <si>
    <t>Acta de transferencia documental F-GDO-8600-238,37-022</t>
  </si>
  <si>
    <t>El Profesional delegado de Gestión Documental.</t>
  </si>
  <si>
    <t xml:space="preserve"> Organizar el 40% de los expedientes producidos por la Secretaría de Infraestructura.</t>
  </si>
  <si>
    <t xml:space="preserve">Informe de seguimiento a la organización documental F-GDO-8600-238,37-033 </t>
  </si>
  <si>
    <t xml:space="preserve"> Elaborar el 40% de los inventarios documentales de los archivos producidos por la Secretaría de Infraestructura</t>
  </si>
  <si>
    <t>Informe de seguimiento a la organización documental F-GDO-8600-238,37-003</t>
  </si>
  <si>
    <t xml:space="preserve">Realizar un seguimiento cuatrimestral, a la aplicación y justificación de los documentos y anexos requeridos dentro del pliego tipo de condiciones aplicando la normatividad vigente. 
NUMERO DE PLIEGOS DE CONDICIONES TIPO APLICADOS EN LOS DIFERENTES PROCESOS LICITATORIOS.
</t>
  </si>
  <si>
    <t>informe cuatrimestral (3)</t>
  </si>
  <si>
    <t>El profesinal encargado del área precontractual</t>
  </si>
  <si>
    <t xml:space="preserve"> Realizar un seguimiento cuatrimestral, al promedio de pluralidad de oferentes en los procesos de contratación de la Secretaría de Infraestructura, con el fin de verificar e indagar las causas en caso de que este disminuya drásticamente. NUMERO DE OFERENTES QUE PARTICIPAN EN LOS PROCESOS LICITATORIOS.</t>
  </si>
  <si>
    <t>El Secretario de Infraestructura y el profesional encargado del proceso contractual</t>
  </si>
  <si>
    <t>verifican la aplicación de los requisitos establecidos en los pliegos tipo y monitorean la pluralidad de oferentes en los procesos de contratación de obra,</t>
  </si>
  <si>
    <t>mediante seguimiento cuatrimestral a la documentación y participación de proponentes, conforme a la normatividad vigente</t>
  </si>
  <si>
    <t>ALCALDIA DE BUCARAMANGA</t>
  </si>
  <si>
    <t>El proceso de Gestión y desarrollo de la Infraestructura se aplicará a todas las actividades relacionadas desde la formulación, construcción, mantenimiento y operación del alumbrado público e infraestructura en el Municipio de Bucaramanga. Esto incluye la planificación, formulación de proyectos de obra, ejecución y supervisión de proyectos de infraestructura y alumbrado público, así como la contratación de proveedores y la gestión de los recursos destinados a dichos proyectos.</t>
  </si>
  <si>
    <t>Formular, construir y mantener la infraestructura y el alumbrado público en el municipio de Bucaramanga, mediante una gestión transparente en la contratación y ejecución de obras, que contribuya al mejoramiento de la calidad de vida de los ciudadanos, garantizando la seguridad, el mejoramiento continuo y la prevención de riesgos en todos los procesos.</t>
  </si>
  <si>
    <t xml:space="preserve"> investigaciones y sanciones disciplinarias por entes de control,</t>
  </si>
  <si>
    <t>la falta de seguimiento al cumplimiento de metas del Plan de Desarrollo Municipal programadas para la vigencia.</t>
  </si>
  <si>
    <t>La Secretaría de Infraestructura</t>
  </si>
  <si>
    <t xml:space="preserve"> verifica el avance en el cumplimiento físico de las metas y la ejecución de los recursos financieros del Plan de Desarrollo Municipal 2026-2027, </t>
  </si>
  <si>
    <t>mediante seguimiento periódico, con el fin de gestionar oportunamente la apropiación de recursos y la solicitud de vigencias futuras que garanticen el cumplimiento de las metas programadas para la vigencia.</t>
  </si>
  <si>
    <t>Realizar reuniones trimestrales de seguimiento, lideradas por el Secretario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</si>
  <si>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or pago de sanción e intereses moratorios,</t>
  </si>
  <si>
    <t xml:space="preserve"> trámite inoportuno a los requerimientos de los entes de control y vigilancia, de acuerdo con sus lineamientos y términos de ley.</t>
  </si>
  <si>
    <t>verifica el cumplimiento de los términos establecidos para la atención de los requerimientos de los entes de control y vigilancia asignados a la Secretaría de Infraestructura</t>
  </si>
  <si>
    <t>a través del seguimiento y validación de las fechas de vencimiento y respuesta registradas en los mecanismos institucionales de control y seguimiento, identificando alertas frente a posibles incumplimientos</t>
  </si>
  <si>
    <t>debilidades en la publicación y actualización de la información obligatoria en la página web institucional,</t>
  </si>
  <si>
    <t xml:space="preserve"> incumplimiento de los lineamientos establecidos en la Ley 1712 de 2014 y la Resolución 1519 de 2020 del MINTIC.</t>
  </si>
  <si>
    <t xml:space="preserve"> reporte extemporáneo de la información de obras inconclusas a través de la plataforma SIRECI por parte de la Secretaría de Infraestructura.</t>
  </si>
  <si>
    <t xml:space="preserve"> incumplimiento en la cobertura de las garantías que amparan los riesgos definidos en la etapa precontractual, conforme al Manual de Contratación M-GJ-1140-170-001.</t>
  </si>
  <si>
    <t xml:space="preserve">por pérdida, extravío, hurto o faltantes en inventario de bienes muebles de la entidad, </t>
  </si>
  <si>
    <t>deficiencias en la actualización, verificación y control del inventario de bienes muebles.</t>
  </si>
  <si>
    <t xml:space="preserve"> fallos en contra del ente territorial,  que impone el deber de sufragar estos conceptos  a favor de los actores populares. </t>
  </si>
  <si>
    <t>debilidades en el monitoreo y supervisión contractual.</t>
  </si>
  <si>
    <t xml:space="preserve"> deficiencias en el seguimiento de las actuaciones policivas y en la articulación interinstitucional para la atención de denuncias, reportes o alertas relacionadas con presuntas infracciones urbanísticas.</t>
  </si>
  <si>
    <t xml:space="preserve"> inadecuada planeación y elaboración de diseños de obras, que genera entregas tardías en los servicios y afecta el beneficio esperado por la comunidad.</t>
  </si>
  <si>
    <t xml:space="preserve"> la deficiencias en la supervisión y ejecución oportuna de los procesos contractuales producto de la constitución de reservas presupuestales.</t>
  </si>
  <si>
    <t xml:space="preserve"> incumplimiento de los procedimientos establecidos en la Resolución 193 de 2016 de la Contaduría General de la Nación.</t>
  </si>
  <si>
    <t xml:space="preserve"> la deficiente planeación de las necesidades del Plan Anual de Adquisiciones por parte de la Secretaría de Infraestructura.</t>
  </si>
  <si>
    <t xml:space="preserve"> incumplimiento de la norma NTC 6047 de accesibilidad en proyectos de obra pública, a causa de la inapropiada implementación de los principios de diseño universal en las fases de diseño y licitación.</t>
  </si>
  <si>
    <t xml:space="preserve"> las debilidades en la formulación y ejecución de los proyectos de presupuestos participativos.</t>
  </si>
  <si>
    <t xml:space="preserve"> la adición de contratos en tiempo y valor sin haber ejecutado el 50% del contrato inicial, por deficiencias en la planeación de la etapa precontractual.</t>
  </si>
  <si>
    <t xml:space="preserve"> la deficiencias en el ejercicio de las funciones de supervisión e interventoría de los contratos de la entidad.</t>
  </si>
  <si>
    <t xml:space="preserve"> la deficiencias en el seguimiento y control del proceso de amortización del anticipo.</t>
  </si>
  <si>
    <t xml:space="preserve"> incumplimiento de las normas vigentes en las etapas precontractual, contractual y postcontractual de la contratación, afectando la obtención y cumplimiento del objeto contractual.</t>
  </si>
  <si>
    <t>soborno para favorecer a un proponente en la adjudicación de un contrato de obra,</t>
  </si>
  <si>
    <t>deficiencias en la verificación, evaluación y control de los procesos contractuales adelantados por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</si>
</sst>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32">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4" fillId="3" borderId="97" xfId="2" applyFont="1" applyFill="1" applyBorder="1" applyAlignment="1" applyProtection="1">
      <alignment horizontal="left" vertical="center" wrapText="1"/>
      <protection locked="0"/>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2" fillId="0" borderId="5" xfId="2" applyBorder="1" applyAlignment="1">
      <alignment horizontal="center" vertical="center" wrapText="1"/>
    </xf>
    <xf numFmtId="0" fontId="2" fillId="0" borderId="4" xfId="2"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9" fontId="2" fillId="0" borderId="5" xfId="2" applyNumberFormat="1" applyBorder="1" applyAlignment="1">
      <alignment horizontal="center" vertical="center" wrapText="1"/>
    </xf>
    <xf numFmtId="9" fontId="2" fillId="0" borderId="4" xfId="2" applyNumberFormat="1" applyBorder="1" applyAlignment="1">
      <alignment horizontal="center" vertical="center" wrapText="1"/>
    </xf>
    <xf numFmtId="0" fontId="2" fillId="0" borderId="75" xfId="2" applyBorder="1" applyAlignment="1">
      <alignment horizontal="center" vertical="center" wrapText="1"/>
    </xf>
    <xf numFmtId="0" fontId="2" fillId="0" borderId="24" xfId="2" applyBorder="1" applyAlignment="1">
      <alignment horizontal="center" vertical="center" wrapText="1"/>
    </xf>
    <xf numFmtId="9" fontId="20" fillId="0" borderId="5"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0" fontId="2" fillId="0" borderId="7" xfId="2" applyBorder="1" applyAlignment="1">
      <alignment horizontal="center" vertical="center" wrapText="1"/>
    </xf>
    <xf numFmtId="0" fontId="2" fillId="0" borderId="98" xfId="2" applyBorder="1" applyAlignment="1">
      <alignment horizontal="center" vertical="center" wrapText="1"/>
    </xf>
    <xf numFmtId="9" fontId="20" fillId="0" borderId="7" xfId="0" applyNumberFormat="1" applyFont="1" applyBorder="1" applyAlignment="1">
      <alignment horizontal="center" vertical="center" wrapText="1"/>
    </xf>
    <xf numFmtId="9" fontId="2" fillId="0" borderId="7" xfId="2" applyNumberFormat="1" applyBorder="1" applyAlignment="1">
      <alignment horizontal="center" vertical="center" wrapText="1"/>
    </xf>
    <xf numFmtId="0" fontId="2" fillId="3" borderId="7" xfId="2" applyFill="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459422</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46</xdr:row>
      <xdr:rowOff>0</xdr:rowOff>
    </xdr:from>
    <xdr:to>
      <xdr:col>4</xdr:col>
      <xdr:colOff>90438</xdr:colOff>
      <xdr:row>49</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46</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46</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46</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400" t="s">
        <v>360</v>
      </c>
      <c r="C2" s="401"/>
      <c r="D2" s="401"/>
      <c r="E2" s="401"/>
      <c r="F2" s="401"/>
      <c r="G2" s="401"/>
      <c r="H2" s="402"/>
    </row>
    <row r="3" spans="2:8" x14ac:dyDescent="0.3">
      <c r="B3" s="191"/>
      <c r="C3" s="192"/>
      <c r="D3" s="192"/>
      <c r="E3" s="192"/>
      <c r="F3" s="192"/>
      <c r="G3" s="192"/>
      <c r="H3" s="193"/>
    </row>
    <row r="4" spans="2:8" ht="63" customHeight="1" x14ac:dyDescent="0.3">
      <c r="B4" s="403" t="s">
        <v>0</v>
      </c>
      <c r="C4" s="404"/>
      <c r="D4" s="404"/>
      <c r="E4" s="404"/>
      <c r="F4" s="404"/>
      <c r="G4" s="404"/>
      <c r="H4" s="405"/>
    </row>
    <row r="5" spans="2:8" ht="63" customHeight="1" x14ac:dyDescent="0.3">
      <c r="B5" s="406"/>
      <c r="C5" s="407"/>
      <c r="D5" s="407"/>
      <c r="E5" s="407"/>
      <c r="F5" s="407"/>
      <c r="G5" s="407"/>
      <c r="H5" s="408"/>
    </row>
    <row r="6" spans="2:8" x14ac:dyDescent="0.3">
      <c r="B6" s="395" t="s">
        <v>1</v>
      </c>
      <c r="C6" s="409"/>
      <c r="D6" s="409"/>
      <c r="E6" s="409"/>
      <c r="F6" s="409"/>
      <c r="G6" s="409"/>
      <c r="H6" s="410"/>
    </row>
    <row r="7" spans="2:8" ht="95.25" customHeight="1" x14ac:dyDescent="0.3">
      <c r="B7" s="411" t="s">
        <v>2</v>
      </c>
      <c r="C7" s="412"/>
      <c r="D7" s="412"/>
      <c r="E7" s="412"/>
      <c r="F7" s="412"/>
      <c r="G7" s="412"/>
      <c r="H7" s="413"/>
    </row>
    <row r="8" spans="2:8" x14ac:dyDescent="0.3">
      <c r="B8" s="170"/>
      <c r="C8" s="171"/>
      <c r="D8" s="171"/>
      <c r="E8" s="171"/>
      <c r="F8" s="171"/>
      <c r="G8" s="171"/>
      <c r="H8" s="172"/>
    </row>
    <row r="9" spans="2:8" ht="20.55" customHeight="1" x14ac:dyDescent="0.3">
      <c r="B9" s="415" t="s">
        <v>3</v>
      </c>
      <c r="C9" s="416"/>
      <c r="D9" s="416"/>
      <c r="E9" s="416"/>
      <c r="F9" s="416"/>
      <c r="G9" s="416"/>
      <c r="H9" s="417"/>
    </row>
    <row r="10" spans="2:8" x14ac:dyDescent="0.3">
      <c r="B10" s="176"/>
      <c r="C10" s="177"/>
      <c r="D10" s="177"/>
      <c r="E10" s="177"/>
      <c r="F10" s="177"/>
      <c r="G10" s="177"/>
      <c r="H10" s="178"/>
    </row>
    <row r="11" spans="2:8" ht="20.55" customHeight="1" x14ac:dyDescent="0.3">
      <c r="B11" s="418" t="s">
        <v>4</v>
      </c>
      <c r="C11" s="419"/>
      <c r="D11" s="419"/>
      <c r="E11" s="419"/>
      <c r="F11" s="419"/>
      <c r="G11" s="419"/>
      <c r="H11" s="420"/>
    </row>
    <row r="12" spans="2:8" s="211" customFormat="1" ht="20.55" customHeight="1" x14ac:dyDescent="0.3">
      <c r="B12" s="361"/>
      <c r="C12" s="362"/>
      <c r="D12" s="362"/>
      <c r="E12" s="362"/>
      <c r="F12" s="362"/>
      <c r="G12" s="362"/>
      <c r="H12" s="363"/>
    </row>
    <row r="13" spans="2:8" ht="20.55" customHeight="1" x14ac:dyDescent="0.3">
      <c r="B13" s="395" t="s">
        <v>5</v>
      </c>
      <c r="C13" s="396"/>
      <c r="D13" s="396"/>
      <c r="E13" s="396"/>
      <c r="F13" s="396"/>
      <c r="G13" s="396"/>
      <c r="H13" s="397"/>
    </row>
    <row r="14" spans="2:8" ht="9" customHeight="1" x14ac:dyDescent="0.3">
      <c r="B14" s="395"/>
      <c r="C14" s="396"/>
      <c r="D14" s="396"/>
      <c r="E14" s="396"/>
      <c r="F14" s="396"/>
      <c r="G14" s="396"/>
      <c r="H14" s="397"/>
    </row>
    <row r="15" spans="2:8" x14ac:dyDescent="0.3">
      <c r="B15" s="395" t="s">
        <v>6</v>
      </c>
      <c r="C15" s="396"/>
      <c r="D15" s="396"/>
      <c r="E15" s="396"/>
      <c r="F15" s="396"/>
      <c r="G15" s="396"/>
      <c r="H15" s="397"/>
    </row>
    <row r="16" spans="2:8" x14ac:dyDescent="0.3">
      <c r="B16" s="173"/>
      <c r="C16" s="174"/>
      <c r="D16" s="174"/>
      <c r="E16" s="174"/>
      <c r="F16" s="174"/>
      <c r="G16" s="174"/>
      <c r="H16" s="175"/>
    </row>
    <row r="17" spans="2:8" ht="18.75" customHeight="1" x14ac:dyDescent="0.3">
      <c r="B17" s="395" t="s">
        <v>7</v>
      </c>
      <c r="C17" s="396"/>
      <c r="D17" s="396"/>
      <c r="E17" s="396"/>
      <c r="F17" s="396"/>
      <c r="G17" s="396"/>
      <c r="H17" s="397"/>
    </row>
    <row r="18" spans="2:8" ht="18.75" customHeight="1" x14ac:dyDescent="0.3">
      <c r="B18" s="173"/>
      <c r="C18" s="174"/>
      <c r="D18" s="174"/>
      <c r="E18" s="174"/>
      <c r="F18" s="174"/>
      <c r="G18" s="174"/>
      <c r="H18" s="175"/>
    </row>
    <row r="19" spans="2:8" ht="18.75" customHeight="1" x14ac:dyDescent="0.3">
      <c r="B19" s="395" t="s">
        <v>8</v>
      </c>
      <c r="C19" s="396"/>
      <c r="D19" s="396"/>
      <c r="E19" s="396"/>
      <c r="F19" s="396"/>
      <c r="G19" s="396"/>
      <c r="H19" s="397"/>
    </row>
    <row r="20" spans="2:8" ht="18.75" customHeight="1" thickBot="1" x14ac:dyDescent="0.35">
      <c r="B20" s="149"/>
      <c r="C20" s="179"/>
      <c r="D20" s="179"/>
      <c r="E20" s="179"/>
      <c r="F20" s="179"/>
      <c r="G20" s="179"/>
      <c r="H20" s="180"/>
    </row>
    <row r="21" spans="2:8" ht="15" thickTop="1" x14ac:dyDescent="0.3">
      <c r="B21" s="194"/>
      <c r="C21" s="378" t="s">
        <v>9</v>
      </c>
      <c r="D21" s="379"/>
      <c r="E21" s="380" t="s">
        <v>10</v>
      </c>
      <c r="F21" s="381"/>
      <c r="G21" s="199"/>
      <c r="H21" s="195"/>
    </row>
    <row r="22" spans="2:8" ht="35.25" customHeight="1" x14ac:dyDescent="0.3">
      <c r="B22" s="194"/>
      <c r="C22" s="391" t="s">
        <v>11</v>
      </c>
      <c r="D22" s="370"/>
      <c r="E22" s="371" t="s">
        <v>12</v>
      </c>
      <c r="F22" s="372"/>
      <c r="G22" s="199"/>
      <c r="H22" s="195"/>
    </row>
    <row r="23" spans="2:8" ht="17.25" customHeight="1" x14ac:dyDescent="0.3">
      <c r="B23" s="194"/>
      <c r="C23" s="391" t="s">
        <v>13</v>
      </c>
      <c r="D23" s="370"/>
      <c r="E23" s="371" t="s">
        <v>14</v>
      </c>
      <c r="F23" s="372"/>
      <c r="G23" s="199"/>
      <c r="H23" s="195"/>
    </row>
    <row r="24" spans="2:8" ht="17.25" customHeight="1" x14ac:dyDescent="0.3">
      <c r="B24" s="194"/>
      <c r="C24" s="398" t="s">
        <v>357</v>
      </c>
      <c r="D24" s="399"/>
      <c r="E24" s="371" t="s">
        <v>358</v>
      </c>
      <c r="F24" s="372"/>
      <c r="G24" s="199"/>
      <c r="H24" s="195"/>
    </row>
    <row r="25" spans="2:8" ht="46.5" customHeight="1" x14ac:dyDescent="0.3">
      <c r="B25" s="194"/>
      <c r="C25" s="391" t="s">
        <v>15</v>
      </c>
      <c r="D25" s="370"/>
      <c r="E25" s="421" t="s">
        <v>16</v>
      </c>
      <c r="F25" s="422"/>
      <c r="G25" s="199"/>
      <c r="H25" s="195"/>
    </row>
    <row r="26" spans="2:8" ht="69.75" customHeight="1" x14ac:dyDescent="0.3">
      <c r="B26" s="194"/>
      <c r="C26" s="391" t="s">
        <v>17</v>
      </c>
      <c r="D26" s="370"/>
      <c r="E26" s="371" t="s">
        <v>18</v>
      </c>
      <c r="F26" s="372"/>
      <c r="G26" s="199"/>
      <c r="H26" s="195"/>
    </row>
    <row r="27" spans="2:8" ht="69.75" customHeight="1" x14ac:dyDescent="0.3">
      <c r="B27" s="194"/>
      <c r="C27" s="386" t="s">
        <v>19</v>
      </c>
      <c r="D27" s="382"/>
      <c r="E27" s="365" t="s">
        <v>20</v>
      </c>
      <c r="F27" s="366"/>
      <c r="G27" s="199"/>
      <c r="H27" s="195"/>
    </row>
    <row r="28" spans="2:8" ht="69.75" customHeight="1" x14ac:dyDescent="0.3">
      <c r="B28" s="194"/>
      <c r="C28" s="386" t="s">
        <v>21</v>
      </c>
      <c r="D28" s="382"/>
      <c r="E28" s="365" t="s">
        <v>22</v>
      </c>
      <c r="F28" s="366"/>
      <c r="G28" s="199"/>
      <c r="H28" s="195"/>
    </row>
    <row r="29" spans="2:8" ht="69.75" customHeight="1" x14ac:dyDescent="0.3">
      <c r="B29" s="194"/>
      <c r="C29" s="386" t="s">
        <v>23</v>
      </c>
      <c r="D29" s="382"/>
      <c r="E29" s="365" t="s">
        <v>24</v>
      </c>
      <c r="F29" s="366"/>
      <c r="G29" s="199"/>
      <c r="H29" s="195"/>
    </row>
    <row r="30" spans="2:8" ht="111.75" customHeight="1" x14ac:dyDescent="0.3">
      <c r="B30" s="194"/>
      <c r="C30" s="386" t="s">
        <v>25</v>
      </c>
      <c r="D30" s="382"/>
      <c r="E30" s="365" t="s">
        <v>26</v>
      </c>
      <c r="F30" s="366"/>
      <c r="G30" s="199"/>
      <c r="H30" s="195"/>
    </row>
    <row r="31" spans="2:8" ht="121.5" customHeight="1" x14ac:dyDescent="0.3">
      <c r="B31" s="194"/>
      <c r="C31" s="386" t="s">
        <v>27</v>
      </c>
      <c r="D31" s="382"/>
      <c r="E31" s="365" t="s">
        <v>28</v>
      </c>
      <c r="F31" s="366"/>
      <c r="G31" s="199"/>
      <c r="H31" s="195"/>
    </row>
    <row r="32" spans="2:8" ht="86.25" customHeight="1" x14ac:dyDescent="0.3">
      <c r="B32" s="194"/>
      <c r="C32" s="386" t="s">
        <v>29</v>
      </c>
      <c r="D32" s="382"/>
      <c r="E32" s="365" t="s">
        <v>30</v>
      </c>
      <c r="F32" s="366"/>
      <c r="G32" s="199"/>
      <c r="H32" s="195"/>
    </row>
    <row r="33" spans="2:8" ht="69.75" customHeight="1" x14ac:dyDescent="0.3">
      <c r="B33" s="194"/>
      <c r="C33" s="386" t="s">
        <v>31</v>
      </c>
      <c r="D33" s="382"/>
      <c r="E33" s="365" t="s">
        <v>32</v>
      </c>
      <c r="F33" s="366"/>
      <c r="G33" s="199"/>
      <c r="H33" s="195"/>
    </row>
    <row r="34" spans="2:8" x14ac:dyDescent="0.3">
      <c r="B34" s="194"/>
      <c r="C34" s="184"/>
      <c r="D34" s="184"/>
      <c r="E34" s="185"/>
      <c r="F34" s="185"/>
      <c r="G34" s="199"/>
      <c r="H34" s="195"/>
    </row>
    <row r="35" spans="2:8" x14ac:dyDescent="0.3">
      <c r="B35" s="395" t="s">
        <v>33</v>
      </c>
      <c r="C35" s="396"/>
      <c r="D35" s="396"/>
      <c r="E35" s="396"/>
      <c r="F35" s="396"/>
      <c r="G35" s="396"/>
      <c r="H35" s="397"/>
    </row>
    <row r="36" spans="2:8" ht="14.55" customHeight="1" thickBot="1" x14ac:dyDescent="0.35">
      <c r="B36" s="200"/>
      <c r="C36" s="189"/>
      <c r="D36" s="189"/>
      <c r="E36" s="189"/>
      <c r="F36" s="189"/>
      <c r="G36" s="189"/>
      <c r="H36" s="201"/>
    </row>
    <row r="37" spans="2:8" ht="14.55" customHeight="1" thickTop="1" x14ac:dyDescent="0.3">
      <c r="B37" s="200"/>
      <c r="C37" s="378" t="s">
        <v>9</v>
      </c>
      <c r="D37" s="379"/>
      <c r="E37" s="380" t="s">
        <v>10</v>
      </c>
      <c r="F37" s="381"/>
      <c r="G37" s="189"/>
      <c r="H37" s="201"/>
    </row>
    <row r="38" spans="2:8" ht="90" customHeight="1" x14ac:dyDescent="0.3">
      <c r="B38" s="200"/>
      <c r="C38" s="386" t="s">
        <v>34</v>
      </c>
      <c r="D38" s="382"/>
      <c r="E38" s="365" t="s">
        <v>35</v>
      </c>
      <c r="F38" s="366"/>
      <c r="G38" s="189"/>
      <c r="H38" s="201"/>
    </row>
    <row r="39" spans="2:8" ht="53.55" customHeight="1" x14ac:dyDescent="0.3">
      <c r="B39" s="200"/>
      <c r="C39" s="386" t="s">
        <v>36</v>
      </c>
      <c r="D39" s="382"/>
      <c r="E39" s="365" t="s">
        <v>37</v>
      </c>
      <c r="F39" s="366"/>
      <c r="G39" s="189"/>
      <c r="H39" s="201"/>
    </row>
    <row r="40" spans="2:8" ht="54" customHeight="1" x14ac:dyDescent="0.3">
      <c r="B40" s="200"/>
      <c r="C40" s="386" t="s">
        <v>38</v>
      </c>
      <c r="D40" s="382"/>
      <c r="E40" s="365" t="s">
        <v>39</v>
      </c>
      <c r="F40" s="366"/>
      <c r="G40" s="189"/>
      <c r="H40" s="201"/>
    </row>
    <row r="41" spans="2:8" ht="32.549999999999997" customHeight="1" x14ac:dyDescent="0.3">
      <c r="B41" s="200"/>
      <c r="C41" s="386" t="s">
        <v>40</v>
      </c>
      <c r="D41" s="382"/>
      <c r="E41" s="365" t="s">
        <v>41</v>
      </c>
      <c r="F41" s="366"/>
      <c r="G41" s="189"/>
      <c r="H41" s="201"/>
    </row>
    <row r="42" spans="2:8" x14ac:dyDescent="0.3">
      <c r="B42" s="200"/>
      <c r="C42" s="189"/>
      <c r="D42" s="189"/>
      <c r="E42" s="189"/>
      <c r="F42" s="189"/>
      <c r="G42" s="189"/>
      <c r="H42" s="201"/>
    </row>
    <row r="43" spans="2:8" ht="18.75" customHeight="1" x14ac:dyDescent="0.3">
      <c r="B43" s="383" t="s">
        <v>42</v>
      </c>
      <c r="C43" s="384"/>
      <c r="D43" s="384"/>
      <c r="E43" s="384"/>
      <c r="F43" s="384"/>
      <c r="G43" s="384"/>
      <c r="H43" s="385"/>
    </row>
    <row r="44" spans="2:8" ht="18.75" customHeight="1" x14ac:dyDescent="0.3">
      <c r="B44" s="186"/>
      <c r="C44" s="187"/>
      <c r="D44" s="187"/>
      <c r="E44" s="187"/>
      <c r="F44" s="187"/>
      <c r="G44" s="187"/>
      <c r="H44" s="188"/>
    </row>
    <row r="45" spans="2:8" ht="18.75" customHeight="1" x14ac:dyDescent="0.3">
      <c r="B45" s="395" t="s">
        <v>43</v>
      </c>
      <c r="C45" s="396"/>
      <c r="D45" s="396"/>
      <c r="E45" s="396"/>
      <c r="F45" s="396"/>
      <c r="G45" s="396"/>
      <c r="H45" s="397"/>
    </row>
    <row r="46" spans="2:8" ht="18.75" customHeight="1" thickBot="1" x14ac:dyDescent="0.35">
      <c r="B46" s="149"/>
      <c r="C46" s="179"/>
      <c r="D46" s="179"/>
      <c r="E46" s="179"/>
      <c r="F46" s="179"/>
      <c r="G46" s="179"/>
      <c r="H46" s="180"/>
    </row>
    <row r="47" spans="2:8" ht="18.75" customHeight="1" thickTop="1" x14ac:dyDescent="0.3">
      <c r="B47" s="149"/>
      <c r="C47" s="378" t="s">
        <v>9</v>
      </c>
      <c r="D47" s="379"/>
      <c r="E47" s="380" t="s">
        <v>10</v>
      </c>
      <c r="F47" s="381"/>
      <c r="G47" s="179"/>
      <c r="H47" s="180"/>
    </row>
    <row r="48" spans="2:8" ht="53.25" customHeight="1" x14ac:dyDescent="0.3">
      <c r="B48" s="149"/>
      <c r="C48" s="367" t="s">
        <v>44</v>
      </c>
      <c r="D48" s="368"/>
      <c r="E48" s="365" t="s">
        <v>45</v>
      </c>
      <c r="F48" s="366"/>
      <c r="G48" s="179"/>
      <c r="H48" s="180"/>
    </row>
    <row r="49" spans="2:8" ht="54" customHeight="1" x14ac:dyDescent="0.3">
      <c r="B49" s="149"/>
      <c r="C49" s="367" t="s">
        <v>46</v>
      </c>
      <c r="D49" s="368"/>
      <c r="E49" s="365" t="s">
        <v>47</v>
      </c>
      <c r="F49" s="366"/>
      <c r="G49" s="179"/>
      <c r="H49" s="180"/>
    </row>
    <row r="50" spans="2:8" ht="52.05" customHeight="1" x14ac:dyDescent="0.3">
      <c r="B50" s="149"/>
      <c r="C50" s="367" t="s">
        <v>48</v>
      </c>
      <c r="D50" s="368"/>
      <c r="E50" s="365" t="s">
        <v>49</v>
      </c>
      <c r="F50" s="366"/>
      <c r="G50" s="179"/>
      <c r="H50" s="180"/>
    </row>
    <row r="51" spans="2:8" ht="53.55" customHeight="1" x14ac:dyDescent="0.3">
      <c r="B51" s="149"/>
      <c r="C51" s="367" t="s">
        <v>50</v>
      </c>
      <c r="D51" s="368"/>
      <c r="E51" s="365" t="s">
        <v>49</v>
      </c>
      <c r="F51" s="366"/>
      <c r="G51" s="179"/>
      <c r="H51" s="180"/>
    </row>
    <row r="52" spans="2:8" ht="48.75" customHeight="1" x14ac:dyDescent="0.3">
      <c r="B52" s="149"/>
      <c r="C52" s="367" t="s">
        <v>51</v>
      </c>
      <c r="D52" s="368"/>
      <c r="E52" s="365" t="s">
        <v>52</v>
      </c>
      <c r="F52" s="366"/>
      <c r="G52" s="179"/>
      <c r="H52" s="180"/>
    </row>
    <row r="53" spans="2:8" ht="49.5" customHeight="1" x14ac:dyDescent="0.3">
      <c r="B53" s="149"/>
      <c r="C53" s="367" t="s">
        <v>53</v>
      </c>
      <c r="D53" s="368"/>
      <c r="E53" s="365" t="s">
        <v>54</v>
      </c>
      <c r="F53" s="366"/>
      <c r="G53" s="179"/>
      <c r="H53" s="180"/>
    </row>
    <row r="54" spans="2:8" ht="50.25" customHeight="1" x14ac:dyDescent="0.3">
      <c r="B54" s="149"/>
      <c r="C54" s="367" t="s">
        <v>55</v>
      </c>
      <c r="D54" s="368"/>
      <c r="E54" s="365" t="s">
        <v>56</v>
      </c>
      <c r="F54" s="366"/>
      <c r="G54" s="179"/>
      <c r="H54" s="180"/>
    </row>
    <row r="55" spans="2:8" ht="29.55" customHeight="1" x14ac:dyDescent="0.3">
      <c r="B55" s="149"/>
      <c r="C55" s="367" t="s">
        <v>57</v>
      </c>
      <c r="D55" s="368"/>
      <c r="E55" s="365" t="s">
        <v>58</v>
      </c>
      <c r="F55" s="366"/>
      <c r="G55" s="179"/>
      <c r="H55" s="180"/>
    </row>
    <row r="56" spans="2:8" ht="40.049999999999997" customHeight="1" x14ac:dyDescent="0.3">
      <c r="B56" s="149"/>
      <c r="C56" s="367" t="s">
        <v>59</v>
      </c>
      <c r="D56" s="368"/>
      <c r="E56" s="365" t="s">
        <v>60</v>
      </c>
      <c r="F56" s="366"/>
      <c r="G56" s="179"/>
      <c r="H56" s="180"/>
    </row>
    <row r="57" spans="2:8" ht="29.55" customHeight="1" x14ac:dyDescent="0.3">
      <c r="B57" s="149"/>
      <c r="C57" s="367" t="s">
        <v>61</v>
      </c>
      <c r="D57" s="368"/>
      <c r="E57" s="365" t="s">
        <v>62</v>
      </c>
      <c r="F57" s="366"/>
      <c r="G57" s="179"/>
      <c r="H57" s="180"/>
    </row>
    <row r="58" spans="2:8" ht="18.75" customHeight="1" x14ac:dyDescent="0.3">
      <c r="B58" s="149"/>
      <c r="C58" s="179"/>
      <c r="D58" s="179"/>
      <c r="E58" s="179"/>
      <c r="F58" s="179"/>
      <c r="G58" s="179"/>
      <c r="H58" s="180"/>
    </row>
    <row r="59" spans="2:8" ht="18.75" customHeight="1" x14ac:dyDescent="0.3">
      <c r="B59" s="392" t="s">
        <v>63</v>
      </c>
      <c r="C59" s="393"/>
      <c r="D59" s="393"/>
      <c r="E59" s="393"/>
      <c r="F59" s="393"/>
      <c r="G59" s="393"/>
      <c r="H59" s="394"/>
    </row>
    <row r="60" spans="2:8" ht="18.75" customHeight="1" x14ac:dyDescent="0.3">
      <c r="B60" s="149"/>
      <c r="C60" s="179"/>
      <c r="D60" s="179"/>
      <c r="E60" s="179"/>
      <c r="F60" s="179"/>
      <c r="G60" s="179"/>
      <c r="H60" s="180"/>
    </row>
    <row r="61" spans="2:8" ht="18.75" customHeight="1" x14ac:dyDescent="0.3">
      <c r="B61" s="373" t="s">
        <v>64</v>
      </c>
      <c r="C61" s="374"/>
      <c r="D61" s="374"/>
      <c r="E61" s="374"/>
      <c r="F61" s="374"/>
      <c r="G61" s="374"/>
      <c r="H61" s="375"/>
    </row>
    <row r="62" spans="2:8" ht="18.75" customHeight="1" x14ac:dyDescent="0.3">
      <c r="B62" s="173"/>
      <c r="C62" s="174"/>
      <c r="D62" s="174"/>
      <c r="E62" s="174"/>
      <c r="F62" s="174"/>
      <c r="G62" s="174"/>
      <c r="H62" s="175"/>
    </row>
    <row r="63" spans="2:8" ht="30" customHeight="1" x14ac:dyDescent="0.3">
      <c r="B63" s="395" t="s">
        <v>65</v>
      </c>
      <c r="C63" s="396"/>
      <c r="D63" s="396"/>
      <c r="E63" s="396"/>
      <c r="F63" s="396"/>
      <c r="G63" s="396"/>
      <c r="H63" s="397"/>
    </row>
    <row r="64" spans="2:8" ht="15" thickBot="1" x14ac:dyDescent="0.35">
      <c r="B64" s="149"/>
      <c r="C64" s="179"/>
      <c r="D64" s="179"/>
      <c r="E64" s="179"/>
      <c r="F64" s="179"/>
      <c r="G64" s="179"/>
      <c r="H64" s="180"/>
    </row>
    <row r="65" spans="2:8" ht="30" customHeight="1" thickTop="1" x14ac:dyDescent="0.3">
      <c r="B65" s="149"/>
      <c r="C65" s="378" t="s">
        <v>9</v>
      </c>
      <c r="D65" s="379"/>
      <c r="E65" s="380" t="s">
        <v>10</v>
      </c>
      <c r="F65" s="381"/>
      <c r="G65" s="179"/>
      <c r="H65" s="180"/>
    </row>
    <row r="66" spans="2:8" ht="30" customHeight="1" x14ac:dyDescent="0.3">
      <c r="B66" s="149"/>
      <c r="C66" s="367" t="s">
        <v>66</v>
      </c>
      <c r="D66" s="368"/>
      <c r="E66" s="365" t="s">
        <v>67</v>
      </c>
      <c r="F66" s="366"/>
      <c r="G66" s="179"/>
      <c r="H66" s="180"/>
    </row>
    <row r="67" spans="2:8" ht="44.55" customHeight="1" x14ac:dyDescent="0.3">
      <c r="B67" s="149"/>
      <c r="C67" s="367" t="s">
        <v>68</v>
      </c>
      <c r="D67" s="368"/>
      <c r="E67" s="365" t="s">
        <v>69</v>
      </c>
      <c r="F67" s="366"/>
      <c r="G67" s="179"/>
      <c r="H67" s="180"/>
    </row>
    <row r="68" spans="2:8" ht="51" customHeight="1" x14ac:dyDescent="0.3">
      <c r="B68" s="149"/>
      <c r="C68" s="367" t="s">
        <v>70</v>
      </c>
      <c r="D68" s="368"/>
      <c r="E68" s="365" t="s">
        <v>71</v>
      </c>
      <c r="F68" s="366"/>
      <c r="G68" s="179"/>
      <c r="H68" s="180"/>
    </row>
    <row r="69" spans="2:8" ht="104.25" customHeight="1" x14ac:dyDescent="0.3">
      <c r="B69" s="149"/>
      <c r="C69" s="367" t="s">
        <v>356</v>
      </c>
      <c r="D69" s="368"/>
      <c r="E69" s="365" t="s">
        <v>355</v>
      </c>
      <c r="F69" s="366"/>
      <c r="G69" s="179"/>
      <c r="H69" s="180"/>
    </row>
    <row r="70" spans="2:8" ht="30" customHeight="1" x14ac:dyDescent="0.3">
      <c r="B70" s="149"/>
      <c r="C70" s="179"/>
      <c r="D70" s="179"/>
      <c r="E70" s="179"/>
      <c r="F70" s="179"/>
      <c r="G70" s="179"/>
      <c r="H70" s="180"/>
    </row>
    <row r="71" spans="2:8" ht="18.75" customHeight="1" x14ac:dyDescent="0.3">
      <c r="B71" s="373" t="s">
        <v>73</v>
      </c>
      <c r="C71" s="374"/>
      <c r="D71" s="374"/>
      <c r="E71" s="374"/>
      <c r="F71" s="374"/>
      <c r="G71" s="374"/>
      <c r="H71" s="375"/>
    </row>
    <row r="72" spans="2:8" ht="18.75" customHeight="1" x14ac:dyDescent="0.3">
      <c r="B72" s="181"/>
      <c r="C72" s="182"/>
      <c r="D72" s="182"/>
      <c r="E72" s="182"/>
      <c r="F72" s="182"/>
      <c r="G72" s="182"/>
      <c r="H72" s="183"/>
    </row>
    <row r="73" spans="2:8" ht="18.75" customHeight="1" x14ac:dyDescent="0.3">
      <c r="B73" s="373" t="s">
        <v>74</v>
      </c>
      <c r="C73" s="374"/>
      <c r="D73" s="374"/>
      <c r="E73" s="374"/>
      <c r="F73" s="374"/>
      <c r="G73" s="374"/>
      <c r="H73" s="375"/>
    </row>
    <row r="74" spans="2:8" ht="18.75" customHeight="1" x14ac:dyDescent="0.3">
      <c r="B74" s="181"/>
      <c r="C74" s="182"/>
      <c r="D74" s="182"/>
      <c r="E74" s="182"/>
      <c r="F74" s="182"/>
      <c r="G74" s="182"/>
      <c r="H74" s="183"/>
    </row>
    <row r="75" spans="2:8" ht="18.75" customHeight="1" x14ac:dyDescent="0.3">
      <c r="B75" s="373" t="s">
        <v>75</v>
      </c>
      <c r="C75" s="374"/>
      <c r="D75" s="374"/>
      <c r="E75" s="374"/>
      <c r="F75" s="374"/>
      <c r="G75" s="374"/>
      <c r="H75" s="375"/>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64" t="s">
        <v>77</v>
      </c>
      <c r="C81" s="414" t="s">
        <v>9</v>
      </c>
      <c r="D81" s="379"/>
      <c r="E81" s="380" t="s">
        <v>10</v>
      </c>
      <c r="F81" s="381"/>
      <c r="G81" s="199"/>
      <c r="H81" s="195"/>
    </row>
    <row r="82" spans="2:8" s="148" customFormat="1" ht="24.75" customHeight="1" x14ac:dyDescent="0.3">
      <c r="B82" s="209">
        <v>2</v>
      </c>
      <c r="C82" s="369" t="s">
        <v>11</v>
      </c>
      <c r="D82" s="370"/>
      <c r="E82" s="371" t="s">
        <v>12</v>
      </c>
      <c r="F82" s="372"/>
      <c r="G82" s="206"/>
      <c r="H82" s="151"/>
    </row>
    <row r="83" spans="2:8" s="148" customFormat="1" ht="17.25" customHeight="1" x14ac:dyDescent="0.3">
      <c r="B83" s="209">
        <v>2</v>
      </c>
      <c r="C83" s="369" t="s">
        <v>13</v>
      </c>
      <c r="D83" s="370"/>
      <c r="E83" s="371" t="s">
        <v>14</v>
      </c>
      <c r="F83" s="372"/>
      <c r="G83" s="206"/>
      <c r="H83" s="151"/>
    </row>
    <row r="84" spans="2:8" s="148" customFormat="1" ht="25.5" customHeight="1" x14ac:dyDescent="0.3">
      <c r="B84" s="209">
        <v>2</v>
      </c>
      <c r="C84" s="369" t="s">
        <v>357</v>
      </c>
      <c r="D84" s="370"/>
      <c r="E84" s="371" t="s">
        <v>358</v>
      </c>
      <c r="F84" s="372"/>
      <c r="G84" s="206"/>
      <c r="H84" s="151"/>
    </row>
    <row r="85" spans="2:8" s="148" customFormat="1" ht="25.5" customHeight="1" x14ac:dyDescent="0.3">
      <c r="B85" s="209">
        <v>2</v>
      </c>
      <c r="C85" s="369" t="s">
        <v>15</v>
      </c>
      <c r="D85" s="370"/>
      <c r="E85" s="371" t="s">
        <v>16</v>
      </c>
      <c r="F85" s="372"/>
      <c r="G85" s="206"/>
      <c r="H85" s="151"/>
    </row>
    <row r="86" spans="2:8" s="148" customFormat="1" ht="67.05" customHeight="1" x14ac:dyDescent="0.3">
      <c r="B86" s="209">
        <v>2</v>
      </c>
      <c r="C86" s="369" t="s">
        <v>17</v>
      </c>
      <c r="D86" s="370"/>
      <c r="E86" s="371" t="s">
        <v>18</v>
      </c>
      <c r="F86" s="372"/>
      <c r="G86" s="206"/>
      <c r="H86" s="151"/>
    </row>
    <row r="87" spans="2:8" s="148" customFormat="1" ht="67.5" customHeight="1" x14ac:dyDescent="0.3">
      <c r="B87" s="209">
        <v>2</v>
      </c>
      <c r="C87" s="368" t="s">
        <v>19</v>
      </c>
      <c r="D87" s="382"/>
      <c r="E87" s="365" t="s">
        <v>20</v>
      </c>
      <c r="F87" s="366"/>
      <c r="G87" s="206"/>
      <c r="H87" s="151"/>
    </row>
    <row r="88" spans="2:8" s="148" customFormat="1" ht="43.5" customHeight="1" x14ac:dyDescent="0.3">
      <c r="B88" s="209">
        <v>2</v>
      </c>
      <c r="C88" s="368" t="s">
        <v>21</v>
      </c>
      <c r="D88" s="382"/>
      <c r="E88" s="365" t="s">
        <v>22</v>
      </c>
      <c r="F88" s="366"/>
      <c r="G88" s="206"/>
      <c r="H88" s="151"/>
    </row>
    <row r="89" spans="2:8" s="148" customFormat="1" ht="35.25" customHeight="1" x14ac:dyDescent="0.3">
      <c r="B89" s="209">
        <v>2</v>
      </c>
      <c r="C89" s="368" t="s">
        <v>23</v>
      </c>
      <c r="D89" s="382"/>
      <c r="E89" s="365" t="s">
        <v>24</v>
      </c>
      <c r="F89" s="366"/>
      <c r="G89" s="206"/>
      <c r="H89" s="151"/>
    </row>
    <row r="90" spans="2:8" s="148" customFormat="1" ht="72.75" customHeight="1" x14ac:dyDescent="0.3">
      <c r="B90" s="209">
        <v>2</v>
      </c>
      <c r="C90" s="368" t="s">
        <v>25</v>
      </c>
      <c r="D90" s="382"/>
      <c r="E90" s="365" t="s">
        <v>78</v>
      </c>
      <c r="F90" s="366"/>
      <c r="G90" s="206"/>
      <c r="H90" s="151"/>
    </row>
    <row r="91" spans="2:8" s="148" customFormat="1" ht="94.05" customHeight="1" x14ac:dyDescent="0.3">
      <c r="B91" s="209">
        <v>2</v>
      </c>
      <c r="C91" s="368" t="s">
        <v>27</v>
      </c>
      <c r="D91" s="382"/>
      <c r="E91" s="365" t="s">
        <v>28</v>
      </c>
      <c r="F91" s="366"/>
      <c r="G91" s="206"/>
      <c r="H91" s="151"/>
    </row>
    <row r="92" spans="2:8" s="148" customFormat="1" ht="94.05" customHeight="1" x14ac:dyDescent="0.3">
      <c r="B92" s="209">
        <v>2</v>
      </c>
      <c r="C92" s="368" t="s">
        <v>29</v>
      </c>
      <c r="D92" s="382"/>
      <c r="E92" s="365" t="s">
        <v>30</v>
      </c>
      <c r="F92" s="366"/>
      <c r="G92" s="206"/>
      <c r="H92" s="151"/>
    </row>
    <row r="93" spans="2:8" s="148" customFormat="1" x14ac:dyDescent="0.3">
      <c r="B93" s="209">
        <v>2</v>
      </c>
      <c r="C93" s="368" t="s">
        <v>31</v>
      </c>
      <c r="D93" s="382"/>
      <c r="E93" s="365" t="s">
        <v>32</v>
      </c>
      <c r="F93" s="366"/>
      <c r="G93" s="206"/>
      <c r="H93" s="151"/>
    </row>
    <row r="94" spans="2:8" s="148" customFormat="1" ht="66.75" customHeight="1" x14ac:dyDescent="0.3">
      <c r="B94" s="209">
        <v>3</v>
      </c>
      <c r="C94" s="368" t="s">
        <v>34</v>
      </c>
      <c r="D94" s="382"/>
      <c r="E94" s="365" t="s">
        <v>35</v>
      </c>
      <c r="F94" s="366"/>
      <c r="G94" s="206"/>
      <c r="H94" s="151"/>
    </row>
    <row r="95" spans="2:8" s="148" customFormat="1" ht="66.75" customHeight="1" x14ac:dyDescent="0.3">
      <c r="B95" s="209">
        <v>3</v>
      </c>
      <c r="C95" s="368" t="s">
        <v>36</v>
      </c>
      <c r="D95" s="382"/>
      <c r="E95" s="365" t="s">
        <v>37</v>
      </c>
      <c r="F95" s="366"/>
      <c r="G95" s="206"/>
      <c r="H95" s="151"/>
    </row>
    <row r="96" spans="2:8" s="148" customFormat="1" ht="62.55" customHeight="1" x14ac:dyDescent="0.3">
      <c r="B96" s="209">
        <v>3</v>
      </c>
      <c r="C96" s="368" t="s">
        <v>38</v>
      </c>
      <c r="D96" s="382"/>
      <c r="E96" s="365" t="s">
        <v>39</v>
      </c>
      <c r="F96" s="366"/>
      <c r="G96" s="206"/>
      <c r="H96" s="151"/>
    </row>
    <row r="97" spans="2:8" s="148" customFormat="1" ht="38.549999999999997" customHeight="1" x14ac:dyDescent="0.3">
      <c r="B97" s="209">
        <v>3</v>
      </c>
      <c r="C97" s="368" t="s">
        <v>40</v>
      </c>
      <c r="D97" s="382"/>
      <c r="E97" s="365" t="s">
        <v>41</v>
      </c>
      <c r="F97" s="366"/>
      <c r="G97" s="206"/>
      <c r="H97" s="151"/>
    </row>
    <row r="98" spans="2:8" ht="59.25" customHeight="1" x14ac:dyDescent="0.3">
      <c r="B98" s="210">
        <v>5</v>
      </c>
      <c r="C98" s="377" t="s">
        <v>44</v>
      </c>
      <c r="D98" s="368"/>
      <c r="E98" s="365" t="s">
        <v>79</v>
      </c>
      <c r="F98" s="366"/>
      <c r="G98" s="199"/>
      <c r="H98" s="195"/>
    </row>
    <row r="99" spans="2:8" ht="59.25" customHeight="1" x14ac:dyDescent="0.3">
      <c r="B99" s="210">
        <v>5</v>
      </c>
      <c r="C99" s="377" t="s">
        <v>46</v>
      </c>
      <c r="D99" s="368"/>
      <c r="E99" s="365" t="s">
        <v>47</v>
      </c>
      <c r="F99" s="366"/>
      <c r="G99" s="199"/>
      <c r="H99" s="195"/>
    </row>
    <row r="100" spans="2:8" ht="59.25" customHeight="1" x14ac:dyDescent="0.3">
      <c r="B100" s="210">
        <v>5</v>
      </c>
      <c r="C100" s="377" t="s">
        <v>48</v>
      </c>
      <c r="D100" s="368"/>
      <c r="E100" s="365" t="s">
        <v>49</v>
      </c>
      <c r="F100" s="366"/>
      <c r="G100" s="199"/>
      <c r="H100" s="195"/>
    </row>
    <row r="101" spans="2:8" ht="59.25" customHeight="1" x14ac:dyDescent="0.3">
      <c r="B101" s="210">
        <v>5</v>
      </c>
      <c r="C101" s="377" t="s">
        <v>50</v>
      </c>
      <c r="D101" s="368"/>
      <c r="E101" s="365" t="s">
        <v>49</v>
      </c>
      <c r="F101" s="366"/>
      <c r="G101" s="199"/>
      <c r="H101" s="195"/>
    </row>
    <row r="102" spans="2:8" ht="47.55" customHeight="1" x14ac:dyDescent="0.3">
      <c r="B102" s="210">
        <v>5</v>
      </c>
      <c r="C102" s="377" t="s">
        <v>51</v>
      </c>
      <c r="D102" s="368"/>
      <c r="E102" s="365" t="s">
        <v>52</v>
      </c>
      <c r="F102" s="366"/>
      <c r="G102" s="199"/>
      <c r="H102" s="195"/>
    </row>
    <row r="103" spans="2:8" ht="45.75" customHeight="1" x14ac:dyDescent="0.3">
      <c r="B103" s="210">
        <v>5</v>
      </c>
      <c r="C103" s="377" t="s">
        <v>53</v>
      </c>
      <c r="D103" s="368"/>
      <c r="E103" s="365" t="s">
        <v>54</v>
      </c>
      <c r="F103" s="366"/>
      <c r="G103" s="199"/>
      <c r="H103" s="195"/>
    </row>
    <row r="104" spans="2:8" ht="32.549999999999997" customHeight="1" x14ac:dyDescent="0.3">
      <c r="B104" s="210">
        <v>5</v>
      </c>
      <c r="C104" s="377" t="s">
        <v>55</v>
      </c>
      <c r="D104" s="368"/>
      <c r="E104" s="365" t="s">
        <v>56</v>
      </c>
      <c r="F104" s="366"/>
      <c r="G104" s="199"/>
      <c r="H104" s="195"/>
    </row>
    <row r="105" spans="2:8" ht="33.75" customHeight="1" x14ac:dyDescent="0.3">
      <c r="B105" s="210">
        <v>5</v>
      </c>
      <c r="C105" s="377" t="s">
        <v>57</v>
      </c>
      <c r="D105" s="368"/>
      <c r="E105" s="365" t="s">
        <v>58</v>
      </c>
      <c r="F105" s="366"/>
      <c r="G105" s="199"/>
      <c r="H105" s="195"/>
    </row>
    <row r="106" spans="2:8" ht="33.75" customHeight="1" x14ac:dyDescent="0.3">
      <c r="B106" s="210">
        <v>5</v>
      </c>
      <c r="C106" s="377" t="s">
        <v>59</v>
      </c>
      <c r="D106" s="368"/>
      <c r="E106" s="365" t="s">
        <v>60</v>
      </c>
      <c r="F106" s="366"/>
      <c r="G106" s="199"/>
      <c r="H106" s="195"/>
    </row>
    <row r="107" spans="2:8" x14ac:dyDescent="0.3">
      <c r="B107" s="210">
        <v>5</v>
      </c>
      <c r="C107" s="377" t="s">
        <v>61</v>
      </c>
      <c r="D107" s="368"/>
      <c r="E107" s="365" t="s">
        <v>62</v>
      </c>
      <c r="F107" s="366"/>
      <c r="G107" s="199"/>
      <c r="H107" s="195"/>
    </row>
    <row r="108" spans="2:8" ht="25.05" customHeight="1" x14ac:dyDescent="0.3">
      <c r="B108" s="210">
        <v>8</v>
      </c>
      <c r="C108" s="377" t="s">
        <v>66</v>
      </c>
      <c r="D108" s="368"/>
      <c r="E108" s="365" t="s">
        <v>67</v>
      </c>
      <c r="F108" s="366"/>
      <c r="G108" s="199"/>
      <c r="H108" s="195"/>
    </row>
    <row r="109" spans="2:8" ht="46.5" customHeight="1" x14ac:dyDescent="0.3">
      <c r="B109" s="210">
        <v>8</v>
      </c>
      <c r="C109" s="377" t="s">
        <v>68</v>
      </c>
      <c r="D109" s="368"/>
      <c r="E109" s="365" t="s">
        <v>69</v>
      </c>
      <c r="F109" s="366"/>
      <c r="G109" s="199"/>
      <c r="H109" s="195"/>
    </row>
    <row r="110" spans="2:8" ht="46.5" customHeight="1" x14ac:dyDescent="0.3">
      <c r="B110" s="210">
        <v>8</v>
      </c>
      <c r="C110" s="377" t="s">
        <v>70</v>
      </c>
      <c r="D110" s="368"/>
      <c r="E110" s="365" t="s">
        <v>71</v>
      </c>
      <c r="F110" s="366"/>
      <c r="G110" s="199"/>
      <c r="H110" s="195"/>
    </row>
    <row r="111" spans="2:8" s="148" customFormat="1" ht="103.5" customHeight="1" x14ac:dyDescent="0.3">
      <c r="B111" s="209">
        <v>8</v>
      </c>
      <c r="C111" s="377" t="s">
        <v>356</v>
      </c>
      <c r="D111" s="368"/>
      <c r="E111" s="365" t="s">
        <v>355</v>
      </c>
      <c r="F111" s="366"/>
      <c r="G111" s="206"/>
      <c r="H111" s="151"/>
    </row>
    <row r="112" spans="2:8" ht="6.75" customHeight="1" thickBot="1" x14ac:dyDescent="0.35">
      <c r="B112" s="194"/>
      <c r="C112" s="387"/>
      <c r="D112" s="388"/>
      <c r="E112" s="389"/>
      <c r="F112" s="390"/>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35" t="s">
        <v>377</v>
      </c>
      <c r="C116" s="335"/>
      <c r="D116" s="335"/>
      <c r="E116" s="335"/>
      <c r="F116" s="335"/>
      <c r="G116" s="335"/>
      <c r="H116" s="335"/>
      <c r="I116" s="312"/>
    </row>
    <row r="117" spans="2:9" ht="15.6" thickTop="1" thickBot="1" x14ac:dyDescent="0.35">
      <c r="B117" s="314" t="s">
        <v>378</v>
      </c>
      <c r="C117" s="335" t="s">
        <v>379</v>
      </c>
      <c r="D117" s="335"/>
      <c r="E117" s="335" t="s">
        <v>380</v>
      </c>
      <c r="F117" s="335"/>
      <c r="G117" s="335" t="s">
        <v>381</v>
      </c>
      <c r="H117" s="335"/>
      <c r="I117" s="312"/>
    </row>
    <row r="118" spans="2:9" ht="84.45" customHeight="1" thickTop="1" thickBot="1" x14ac:dyDescent="0.35">
      <c r="B118" s="315" t="s">
        <v>382</v>
      </c>
      <c r="C118" s="336">
        <v>46163</v>
      </c>
      <c r="D118" s="336"/>
      <c r="E118" s="337" t="s">
        <v>383</v>
      </c>
      <c r="F118" s="337"/>
      <c r="G118" s="338" t="s">
        <v>384</v>
      </c>
      <c r="H118" s="338"/>
      <c r="I118" s="313"/>
    </row>
    <row r="119" spans="2:9" ht="48" customHeight="1" thickTop="1" x14ac:dyDescent="0.3">
      <c r="B119" s="364"/>
      <c r="C119" s="364"/>
    </row>
    <row r="120" spans="2:9" x14ac:dyDescent="0.3">
      <c r="B120" s="376"/>
      <c r="C120" s="376"/>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358"/>
      <c r="B1" s="339" t="s">
        <v>375</v>
      </c>
      <c r="C1" s="340"/>
      <c r="D1" s="340"/>
      <c r="E1" s="340"/>
      <c r="F1" s="340"/>
      <c r="G1" s="340"/>
      <c r="H1" s="340"/>
      <c r="I1" s="341"/>
      <c r="J1" s="306" t="s">
        <v>373</v>
      </c>
      <c r="K1" s="307"/>
      <c r="L1" s="253"/>
    </row>
    <row r="2" spans="1:21" s="4" customFormat="1" ht="19.95" customHeight="1" x14ac:dyDescent="0.3">
      <c r="A2" s="359"/>
      <c r="B2" s="342"/>
      <c r="C2" s="343"/>
      <c r="D2" s="343"/>
      <c r="E2" s="343"/>
      <c r="F2" s="343"/>
      <c r="G2" s="343"/>
      <c r="H2" s="343"/>
      <c r="I2" s="344"/>
      <c r="J2" s="308" t="s">
        <v>376</v>
      </c>
      <c r="K2" s="309"/>
      <c r="L2" s="253"/>
    </row>
    <row r="3" spans="1:21" s="3" customFormat="1" ht="16.2" thickBot="1" x14ac:dyDescent="0.3">
      <c r="A3" s="360"/>
      <c r="B3" s="345" t="s">
        <v>359</v>
      </c>
      <c r="C3" s="346"/>
      <c r="D3" s="346"/>
      <c r="E3" s="346"/>
      <c r="F3" s="346"/>
      <c r="G3" s="346"/>
      <c r="H3" s="346"/>
      <c r="I3" s="347"/>
      <c r="J3" s="310" t="s">
        <v>374</v>
      </c>
      <c r="K3" s="311"/>
      <c r="L3" s="254"/>
    </row>
    <row r="4" spans="1:21" s="3" customFormat="1" ht="16.95" customHeight="1" thickTop="1" x14ac:dyDescent="0.25">
      <c r="A4" s="349"/>
      <c r="B4" s="350"/>
      <c r="C4" s="350"/>
      <c r="D4" s="350"/>
      <c r="E4" s="350"/>
      <c r="F4" s="350"/>
      <c r="G4" s="350"/>
      <c r="H4" s="350"/>
      <c r="I4" s="350"/>
      <c r="J4" s="350"/>
      <c r="K4" s="351"/>
    </row>
    <row r="5" spans="1:21" s="4" customFormat="1" ht="27" customHeight="1" x14ac:dyDescent="0.3">
      <c r="A5" s="12" t="s">
        <v>80</v>
      </c>
      <c r="B5" s="265" t="str">
        <f>'2 IDENTIFICACIÓN'!B5</f>
        <v>ALCALDIA DE BUCARAMANGA</v>
      </c>
      <c r="C5" s="260"/>
      <c r="D5" s="260"/>
      <c r="E5" s="261"/>
      <c r="F5" s="245" t="s">
        <v>81</v>
      </c>
      <c r="G5" s="265" t="str">
        <f>'2 IDENTIFICACIÓN'!G5</f>
        <v xml:space="preserve">GESTÓN Y DESARROLLO DE LA INFRAESTRUCTURA </v>
      </c>
      <c r="H5" s="261"/>
      <c r="I5" s="245" t="s">
        <v>353</v>
      </c>
      <c r="J5" s="262">
        <f>'2 IDENTIFICACIÓN'!J5</f>
        <v>2026</v>
      </c>
      <c r="K5" s="263"/>
    </row>
    <row r="6" spans="1:21" s="4" customFormat="1" thickBot="1" x14ac:dyDescent="0.3">
      <c r="A6" s="166"/>
      <c r="B6" s="255"/>
      <c r="C6" s="255"/>
      <c r="D6" s="255"/>
      <c r="E6" s="255"/>
      <c r="F6" s="256"/>
      <c r="G6" s="257"/>
      <c r="H6" s="257"/>
      <c r="I6" s="257"/>
      <c r="J6" s="257"/>
      <c r="K6" s="257"/>
      <c r="S6" s="37"/>
      <c r="T6" s="37"/>
      <c r="U6" s="37"/>
    </row>
    <row r="7" spans="1:21" ht="15" thickBot="1" x14ac:dyDescent="0.35">
      <c r="A7" s="520" t="s">
        <v>339</v>
      </c>
      <c r="B7" s="521"/>
      <c r="C7" s="521"/>
      <c r="D7" s="521"/>
      <c r="E7" s="521"/>
      <c r="F7" s="521"/>
      <c r="G7" s="521"/>
      <c r="H7" s="521"/>
      <c r="I7" s="521"/>
      <c r="J7" s="521"/>
      <c r="K7" s="522"/>
    </row>
    <row r="8" spans="1:21" ht="6" customHeight="1" thickBot="1" x14ac:dyDescent="0.35">
      <c r="A8" s="520"/>
      <c r="B8" s="521"/>
      <c r="C8" s="521"/>
      <c r="D8" s="521"/>
      <c r="E8" s="521"/>
      <c r="F8" s="521"/>
      <c r="G8" s="521"/>
      <c r="H8" s="521"/>
      <c r="I8" s="521"/>
      <c r="J8" s="521"/>
      <c r="K8" s="522"/>
    </row>
    <row r="9" spans="1:21" ht="34.5" customHeight="1" x14ac:dyDescent="0.3">
      <c r="A9" s="523" t="s">
        <v>340</v>
      </c>
      <c r="B9" s="524"/>
      <c r="C9" s="524"/>
      <c r="D9" s="524"/>
      <c r="E9" s="524"/>
      <c r="F9" s="524"/>
      <c r="G9" s="524"/>
      <c r="H9" s="524"/>
      <c r="I9" s="524"/>
      <c r="J9" s="524"/>
      <c r="K9" s="525"/>
    </row>
    <row r="10" spans="1:21" ht="18.75" customHeight="1" x14ac:dyDescent="0.3">
      <c r="A10" s="529" t="s">
        <v>341</v>
      </c>
      <c r="B10" s="530"/>
      <c r="C10" s="530"/>
      <c r="D10" s="530"/>
      <c r="E10" s="530"/>
      <c r="F10" s="530"/>
      <c r="G10" s="530"/>
      <c r="H10" s="530"/>
      <c r="I10" s="530"/>
      <c r="J10" s="530"/>
      <c r="K10" s="531"/>
    </row>
    <row r="11" spans="1:21" ht="34.5" customHeight="1" x14ac:dyDescent="0.3">
      <c r="A11" s="526" t="s">
        <v>342</v>
      </c>
      <c r="B11" s="527"/>
      <c r="C11" s="527"/>
      <c r="D11" s="527"/>
      <c r="E11" s="527"/>
      <c r="F11" s="527"/>
      <c r="G11" s="527"/>
      <c r="H11" s="527"/>
      <c r="I11" s="527"/>
      <c r="J11" s="527"/>
      <c r="K11" s="528"/>
    </row>
    <row r="12" spans="1:21" ht="50.25" customHeight="1" thickBot="1" x14ac:dyDescent="0.35">
      <c r="A12" s="517" t="s">
        <v>343</v>
      </c>
      <c r="B12" s="518"/>
      <c r="C12" s="518"/>
      <c r="D12" s="518"/>
      <c r="E12" s="518"/>
      <c r="F12" s="518"/>
      <c r="G12" s="518"/>
      <c r="H12" s="518"/>
      <c r="I12" s="518"/>
      <c r="J12" s="518"/>
      <c r="K12" s="519"/>
    </row>
    <row r="13" spans="1:21" x14ac:dyDescent="0.3">
      <c r="A13" s="93"/>
      <c r="B13" s="93"/>
      <c r="C13" s="93"/>
      <c r="D13" s="93"/>
      <c r="E13" s="93"/>
      <c r="F13" s="93"/>
      <c r="G13" s="93"/>
      <c r="H13" s="93"/>
      <c r="I13" s="93"/>
      <c r="J13" s="93"/>
      <c r="K13" s="93"/>
    </row>
    <row r="14" spans="1:21" s="95" customFormat="1" x14ac:dyDescent="0.3">
      <c r="A14" s="94"/>
      <c r="B14" s="514" t="s">
        <v>344</v>
      </c>
      <c r="C14" s="515"/>
      <c r="D14" s="516" t="s">
        <v>345</v>
      </c>
      <c r="E14" s="516"/>
      <c r="G14" s="53" t="s">
        <v>301</v>
      </c>
    </row>
    <row r="15" spans="1:21" x14ac:dyDescent="0.3">
      <c r="A15" s="96" t="s">
        <v>346</v>
      </c>
      <c r="B15" s="97">
        <f>+COUNTIF('8 MAPA RIESGOS'!$G$9:$G$46,G15)</f>
        <v>11</v>
      </c>
      <c r="C15" s="98">
        <f>+B15/$B$19</f>
        <v>0.5</v>
      </c>
      <c r="D15" s="97">
        <f>+COUNTIF('8 MAPA RIESGOS'!$L$9:$L$46,G15)</f>
        <v>10</v>
      </c>
      <c r="E15" s="98">
        <f>+D15/$D$19</f>
        <v>0.33333333333333331</v>
      </c>
      <c r="G15" s="83" t="s">
        <v>299</v>
      </c>
    </row>
    <row r="16" spans="1:21" x14ac:dyDescent="0.3">
      <c r="A16" s="96" t="s">
        <v>347</v>
      </c>
      <c r="B16" s="97">
        <f>+COUNTIF('8 MAPA RIESGOS'!$G$9:$G$46,G16)</f>
        <v>0</v>
      </c>
      <c r="C16" s="98">
        <f t="shared" ref="C16:C19" si="0">+B16/$B$19</f>
        <v>0</v>
      </c>
      <c r="D16" s="97">
        <f>+COUNTIF('8 MAPA RIESGOS'!$L$9:$L$46,G16)</f>
        <v>0</v>
      </c>
      <c r="E16" s="98">
        <f t="shared" ref="E16:E19" si="1">+D16/$D$19</f>
        <v>0</v>
      </c>
      <c r="G16" s="66" t="s">
        <v>298</v>
      </c>
    </row>
    <row r="17" spans="1:7" x14ac:dyDescent="0.3">
      <c r="A17" s="96" t="s">
        <v>348</v>
      </c>
      <c r="B17" s="97">
        <f>+COUNTIF('8 MAPA RIESGOS'!$G$9:$G$46,G17)</f>
        <v>11</v>
      </c>
      <c r="C17" s="98">
        <f t="shared" si="0"/>
        <v>0.5</v>
      </c>
      <c r="D17" s="97">
        <f>+COUNTIF('8 MAPA RIESGOS'!$L$9:$L$46,G17)</f>
        <v>20</v>
      </c>
      <c r="E17" s="98">
        <f t="shared" si="1"/>
        <v>0.66666666666666663</v>
      </c>
      <c r="G17" s="70" t="s">
        <v>280</v>
      </c>
    </row>
    <row r="18" spans="1:7" x14ac:dyDescent="0.3">
      <c r="A18" s="96" t="s">
        <v>349</v>
      </c>
      <c r="B18" s="97">
        <f>+COUNTIF('8 MAPA RIESGOS'!$G$9:$G$46,G18)</f>
        <v>0</v>
      </c>
      <c r="C18" s="98">
        <f t="shared" si="0"/>
        <v>0</v>
      </c>
      <c r="D18" s="97">
        <f>+COUNTIF('8 MAPA RIESGOS'!$L$9:$L$46,G18)</f>
        <v>0</v>
      </c>
      <c r="E18" s="98">
        <f t="shared" si="1"/>
        <v>0</v>
      </c>
      <c r="G18" s="74" t="s">
        <v>300</v>
      </c>
    </row>
    <row r="19" spans="1:7" x14ac:dyDescent="0.3">
      <c r="A19" s="96" t="s">
        <v>350</v>
      </c>
      <c r="B19" s="97">
        <f>+SUM(B15:B18)</f>
        <v>22</v>
      </c>
      <c r="C19" s="98">
        <f t="shared" si="0"/>
        <v>1</v>
      </c>
      <c r="D19" s="97">
        <f>+SUM(D15:D18)</f>
        <v>30</v>
      </c>
      <c r="E19" s="98">
        <f t="shared" si="1"/>
        <v>1</v>
      </c>
    </row>
    <row r="20" spans="1:7" x14ac:dyDescent="0.3"/>
    <row r="21" spans="1:7" s="99" customFormat="1" x14ac:dyDescent="0.3">
      <c r="B21" s="100" t="s">
        <v>344</v>
      </c>
      <c r="D21" s="100" t="s">
        <v>345</v>
      </c>
    </row>
    <row r="22" spans="1:7" s="99" customFormat="1" ht="41.55" customHeight="1" x14ac:dyDescent="0.3">
      <c r="B22" s="101" t="str">
        <f>+IF((B15/B19)&gt;=0.2,G15,+IF(((B15/B19)+(B16/B19))&gt;=0.3,G16,+IF(((B15/B19)+(B16/B19)+(B17/B19))&gt;=0.4,G17,+IF((B15/B19)+(B16/B19)+(B17/B19)+(B18/B19)&gt;=0.5,G18,""))))</f>
        <v>Extremo</v>
      </c>
      <c r="D22" s="101" t="str">
        <f>+IF((D15/D19)&gt;=0.2,G15,+IF(((D15/D19)+(D16/D19))&gt;=0.3,G16,+IF(((D15/D19)+(D16/D19)+(D17/D19))&gt;=0.4,G17,+IF((D15/D19)+(D16/D19)+(D17/D19)+(D18/D19)&gt;=0.5,G18,""))))</f>
        <v>Extremo</v>
      </c>
    </row>
    <row r="23" spans="1:7" ht="15" thickBot="1" x14ac:dyDescent="0.35"/>
    <row r="24" spans="1:7" ht="15.6" thickTop="1" thickBot="1" x14ac:dyDescent="0.35">
      <c r="A24" s="335" t="s">
        <v>377</v>
      </c>
      <c r="B24" s="335"/>
      <c r="C24" s="335"/>
      <c r="D24" s="335"/>
      <c r="E24" s="335"/>
      <c r="F24" s="335"/>
      <c r="G24" s="335"/>
    </row>
    <row r="25" spans="1:7" ht="15.6" thickTop="1" thickBot="1" x14ac:dyDescent="0.35">
      <c r="A25" s="314" t="s">
        <v>378</v>
      </c>
      <c r="B25" s="335" t="s">
        <v>379</v>
      </c>
      <c r="C25" s="335"/>
      <c r="D25" s="335" t="s">
        <v>380</v>
      </c>
      <c r="E25" s="335"/>
      <c r="F25" s="335" t="s">
        <v>381</v>
      </c>
      <c r="G25" s="335"/>
    </row>
    <row r="26" spans="1:7" ht="15.6" thickTop="1" thickBot="1" x14ac:dyDescent="0.35">
      <c r="A26" s="315" t="s">
        <v>382</v>
      </c>
      <c r="B26" s="336">
        <v>46163</v>
      </c>
      <c r="C26" s="336"/>
      <c r="D26" s="337" t="s">
        <v>383</v>
      </c>
      <c r="E26" s="337"/>
      <c r="F26" s="338" t="s">
        <v>384</v>
      </c>
      <c r="G26" s="338"/>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topLeftCell="A28" zoomScale="70" zoomScaleNormal="70" workbookViewId="0">
      <selection activeCell="I43" sqref="I43"/>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36.77734375" style="4" customWidth="1"/>
    <col min="6" max="6" width="21.44140625" style="4" customWidth="1"/>
    <col min="7" max="7" width="34" style="4" customWidth="1"/>
    <col min="8" max="8" width="26" style="4" customWidth="1"/>
    <col min="9" max="9" width="37.33203125" style="4" customWidth="1"/>
    <col min="10" max="10" width="57.109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358"/>
      <c r="B1" s="339" t="s">
        <v>375</v>
      </c>
      <c r="C1" s="340"/>
      <c r="D1" s="340"/>
      <c r="E1" s="340"/>
      <c r="F1" s="340"/>
      <c r="G1" s="340"/>
      <c r="H1" s="340"/>
      <c r="I1" s="341"/>
      <c r="J1" s="306" t="s">
        <v>373</v>
      </c>
      <c r="K1" s="307"/>
      <c r="L1" s="253"/>
    </row>
    <row r="2" spans="1:12" ht="19.95" customHeight="1" x14ac:dyDescent="0.3">
      <c r="A2" s="359"/>
      <c r="B2" s="342"/>
      <c r="C2" s="343"/>
      <c r="D2" s="343"/>
      <c r="E2" s="343"/>
      <c r="F2" s="343"/>
      <c r="G2" s="343"/>
      <c r="H2" s="343"/>
      <c r="I2" s="344"/>
      <c r="J2" s="308" t="s">
        <v>376</v>
      </c>
      <c r="K2" s="309"/>
      <c r="L2" s="253"/>
    </row>
    <row r="3" spans="1:12" s="3" customFormat="1" ht="16.2" thickBot="1" x14ac:dyDescent="0.3">
      <c r="A3" s="360"/>
      <c r="B3" s="345" t="s">
        <v>359</v>
      </c>
      <c r="C3" s="346"/>
      <c r="D3" s="346"/>
      <c r="E3" s="346"/>
      <c r="F3" s="346"/>
      <c r="G3" s="346"/>
      <c r="H3" s="346"/>
      <c r="I3" s="347"/>
      <c r="J3" s="310" t="s">
        <v>374</v>
      </c>
      <c r="K3" s="311"/>
      <c r="L3" s="254"/>
    </row>
    <row r="4" spans="1:12" s="3" customFormat="1" ht="16.95" customHeight="1" thickTop="1" x14ac:dyDescent="0.25">
      <c r="A4" s="349"/>
      <c r="B4" s="350"/>
      <c r="C4" s="350"/>
      <c r="D4" s="350"/>
      <c r="E4" s="350"/>
      <c r="F4" s="350"/>
      <c r="G4" s="350"/>
      <c r="H4" s="350"/>
      <c r="I4" s="350"/>
      <c r="J4" s="350"/>
      <c r="K4" s="351"/>
    </row>
    <row r="5" spans="1:12" ht="27" customHeight="1" x14ac:dyDescent="0.3">
      <c r="A5" s="12" t="s">
        <v>80</v>
      </c>
      <c r="B5" s="259" t="s">
        <v>534</v>
      </c>
      <c r="C5" s="260"/>
      <c r="D5" s="260"/>
      <c r="E5" s="261"/>
      <c r="F5" s="245" t="s">
        <v>81</v>
      </c>
      <c r="G5" s="259" t="s">
        <v>403</v>
      </c>
      <c r="H5" s="261"/>
      <c r="I5" s="245" t="s">
        <v>353</v>
      </c>
      <c r="J5" s="262">
        <v>2026</v>
      </c>
      <c r="K5" s="263"/>
    </row>
    <row r="6" spans="1:12" ht="113.25" customHeight="1" x14ac:dyDescent="0.3">
      <c r="A6" s="225" t="s">
        <v>82</v>
      </c>
      <c r="B6" s="352" t="s">
        <v>536</v>
      </c>
      <c r="C6" s="353"/>
      <c r="D6" s="353"/>
      <c r="E6" s="354"/>
      <c r="F6" s="245" t="s">
        <v>352</v>
      </c>
      <c r="G6" s="355" t="s">
        <v>535</v>
      </c>
      <c r="H6" s="356"/>
      <c r="I6" s="356"/>
      <c r="J6" s="356"/>
      <c r="K6" s="357"/>
    </row>
    <row r="7" spans="1:12" x14ac:dyDescent="0.3">
      <c r="F7" s="166"/>
      <c r="G7" s="167"/>
      <c r="H7" s="167"/>
      <c r="I7" s="168"/>
      <c r="J7" s="169"/>
    </row>
    <row r="8" spans="1:12" ht="21" customHeight="1" x14ac:dyDescent="0.3">
      <c r="A8" s="348" t="s">
        <v>83</v>
      </c>
      <c r="B8" s="348" t="s">
        <v>84</v>
      </c>
      <c r="C8" s="348"/>
      <c r="D8" s="348"/>
      <c r="E8" s="348"/>
    </row>
    <row r="9" spans="1:12" s="28" customFormat="1" ht="77.55" customHeight="1" x14ac:dyDescent="0.3">
      <c r="A9" s="348"/>
      <c r="B9" s="108" t="s">
        <v>85</v>
      </c>
      <c r="C9" s="108" t="s">
        <v>86</v>
      </c>
      <c r="D9" s="108" t="s">
        <v>87</v>
      </c>
      <c r="E9" s="108" t="s">
        <v>88</v>
      </c>
      <c r="F9" s="238" t="s">
        <v>89</v>
      </c>
      <c r="G9" s="245" t="s">
        <v>19</v>
      </c>
      <c r="H9" s="245" t="s">
        <v>90</v>
      </c>
      <c r="I9" s="245" t="s">
        <v>91</v>
      </c>
      <c r="J9" s="245" t="s">
        <v>25</v>
      </c>
      <c r="K9" s="238" t="s">
        <v>92</v>
      </c>
    </row>
    <row r="10" spans="1:12" s="5" customFormat="1" ht="93" customHeight="1" x14ac:dyDescent="0.3">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39" t="s">
        <v>385</v>
      </c>
      <c r="I10" s="239" t="s">
        <v>556</v>
      </c>
      <c r="J10" s="244" t="str">
        <f>(CONCATENATE(Tabla1[[#This Row],[¿QUÉ? 
IMPACTO]]," ","por ",Tabla1[[#This Row],[¿CÓMO?
CAUSA INMEDIATA 
(Iniciar con la palabra 
por)]]," ","debido a"," ",Tabla1[[#This Row],[¿PORQUÉ?
CAUSA RAÍZ
(Iniciar con 
debido a/a causa de)]]))</f>
        <v>Posibilidad de afectación reputacional por  investigaciones disciplinarias promovidas por entes de control, debido a  inadecuada planeación y elaboración de diseños de obras, que genera entregas tardías en los servicios y afecta el beneficio esperado por la comunidad.</v>
      </c>
      <c r="K10" s="241"/>
    </row>
    <row r="11" spans="1:12" s="5" customFormat="1" ht="93" customHeight="1" x14ac:dyDescent="0.3">
      <c r="A11" s="1" t="s">
        <v>98</v>
      </c>
      <c r="B11" s="2" t="s">
        <v>189</v>
      </c>
      <c r="C11" s="2" t="s">
        <v>220</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39" t="s">
        <v>386</v>
      </c>
      <c r="I11" s="239" t="s">
        <v>557</v>
      </c>
      <c r="J11" s="244" t="str">
        <f>(CONCATENATE(Tabla1[[#This Row],[¿QUÉ? 
IMPACTO]]," ","por ",Tabla1[[#This Row],[¿CÓMO?
CAUSA INMEDIATA 
(Iniciar con la palabra 
por)]]," ","debido a"," ",Tabla1[[#This Row],[¿PORQUÉ?
CAUSA RAÍZ
(Iniciar con 
debido a/a causa de)]]))</f>
        <v>Posibilidad de afectación reputacional por  debilidades en la planeación, gestión y ejecución de las obligaciones contractuales por parte de las unidades gestoras,  debido a  la deficiencias en la supervisión y ejecución oportuna de los procesos contractuales producto de la constitución de reservas presupuestales.</v>
      </c>
      <c r="K11" s="241"/>
    </row>
    <row r="12" spans="1:12" ht="93" customHeight="1" x14ac:dyDescent="0.3">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183</v>
      </c>
      <c r="H12" s="239" t="s">
        <v>387</v>
      </c>
      <c r="I12" s="239" t="s">
        <v>558</v>
      </c>
      <c r="J12" s="244" t="str">
        <f>(CONCATENATE(Tabla1[[#This Row],[¿QUÉ? 
IMPACTO]]," ","por ",Tabla1[[#This Row],[¿CÓMO?
CAUSA INMEDIATA 
(Iniciar con la palabra 
por)]]," ","debido a"," ",Tabla1[[#This Row],[¿PORQUÉ?
CAUSA RAÍZ
(Iniciar con 
debido a/a causa de)]]))</f>
        <v>Posibilidad de afectación económica y reputacional por  manejo inadecuado de pasivos exigibles y vigencias expiradas, debido a  incumplimiento de los procedimientos establecidos en la Resolución 193 de 2016 de la Contaduría General de la Nación.</v>
      </c>
      <c r="K12" s="242"/>
    </row>
    <row r="13" spans="1:12" ht="93" customHeight="1" x14ac:dyDescent="0.3">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183</v>
      </c>
      <c r="H13" s="239" t="s">
        <v>537</v>
      </c>
      <c r="I13" s="239" t="s">
        <v>538</v>
      </c>
      <c r="J13" s="244" t="str">
        <f>(CONCATENATE(Tabla1[[#This Row],[¿QUÉ? 
IMPACTO]]," ","por ",Tabla1[[#This Row],[¿CÓMO?
CAUSA INMEDIATA 
(Iniciar con la palabra 
por)]]," ","debido a"," ",Tabla1[[#This Row],[¿PORQUÉ?
CAUSA RAÍZ
(Iniciar con 
debido a/a causa de)]]))</f>
        <v>Posibilidad de afectación económica y reputacional por  investigaciones y sanciones disciplinarias por entes de control, debido a la falta de seguimiento al cumplimiento de metas del Plan de Desarrollo Municipal programadas para la vigencia.</v>
      </c>
      <c r="K13" s="242"/>
    </row>
    <row r="14" spans="1:12" ht="93" customHeight="1" x14ac:dyDescent="0.3">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180</v>
      </c>
      <c r="H14" s="239" t="s">
        <v>388</v>
      </c>
      <c r="I14" s="239" t="s">
        <v>559</v>
      </c>
      <c r="J14" s="244" t="str">
        <f>(CONCATENATE(Tabla1[[#This Row],[¿QUÉ? 
IMPACTO]]," ","por ",Tabla1[[#This Row],[¿CÓMO?
CAUSA INMEDIATA 
(Iniciar con la palabra 
por)]]," ","debido a"," ",Tabla1[[#This Row],[¿PORQUÉ?
CAUSA RAÍZ
(Iniciar con 
debido a/a causa de)]]))</f>
        <v>Posibilidad de afectación reputacional por  investigaciones disciplinarias y sanciones por entes de control, debido a  la deficiente planeación de las necesidades del Plan Anual de Adquisiciones por parte de la Secretaría de Infraestructura.</v>
      </c>
      <c r="K14" s="242"/>
    </row>
    <row r="15" spans="1:12" ht="93" customHeight="1" x14ac:dyDescent="0.3">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180</v>
      </c>
      <c r="H15" s="239" t="s">
        <v>389</v>
      </c>
      <c r="I15" s="239" t="s">
        <v>560</v>
      </c>
      <c r="J15" s="244"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incumplimiento de la norma NTC 6047 de accesibilidad en proyectos de obra pública, a causa de la inapropiada implementación de los principios de diseño universal en las fases de diseño y licitación.</v>
      </c>
      <c r="K15" s="242"/>
    </row>
    <row r="16" spans="1:12" ht="93" customHeight="1" x14ac:dyDescent="0.3">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239" t="s">
        <v>390</v>
      </c>
      <c r="I16" s="239" t="s">
        <v>561</v>
      </c>
      <c r="J16" s="244" t="str">
        <f>(CONCATENATE(Tabla1[[#This Row],[¿QUÉ? 
IMPACTO]]," ","por ",Tabla1[[#This Row],[¿CÓMO?
CAUSA INMEDIATA 
(Iniciar con la palabra 
por)]]," ","debido a"," ",Tabla1[[#This Row],[¿PORQUÉ?
CAUSA RAÍZ
(Iniciar con 
debido a/a causa de)]]))</f>
        <v>Posibilidad de afectación reputacional por    investigaciones disciplinarias y sanciones por entes de control, debido a  las debilidades en la formulación y ejecución de los proyectos de presupuestos participativos.</v>
      </c>
      <c r="K16" s="242"/>
    </row>
    <row r="17" spans="1:11" ht="93" customHeight="1" x14ac:dyDescent="0.3">
      <c r="A17" s="1" t="s">
        <v>104</v>
      </c>
      <c r="B17" s="2" t="s">
        <v>189</v>
      </c>
      <c r="C17" s="2" t="s">
        <v>226</v>
      </c>
      <c r="D17" s="125" t="str">
        <f>+IF(B17='11 FORMULAS'!$B$4,'11 FORMULAS'!$C$4,IF(B17='11 FORMULAS'!$B$6,'11 FORMULAS'!$C$6,IF(B17='11 FORMULAS'!$B$8,'11 FORMULAS'!$C$8,IF(B17='11 FORMULAS'!$B$10,'11 FORMULAS'!$C$10,""))))</f>
        <v/>
      </c>
      <c r="E17" s="226"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168</v>
      </c>
      <c r="G17" s="1" t="s">
        <v>176</v>
      </c>
      <c r="H17" s="239" t="s">
        <v>388</v>
      </c>
      <c r="I17" s="239" t="s">
        <v>562</v>
      </c>
      <c r="J17" s="244" t="str">
        <f>(CONCATENATE(Tabla1[[#This Row],[¿QUÉ? 
IMPACTO]]," ","por ",Tabla1[[#This Row],[¿CÓMO?
CAUSA INMEDIATA 
(Iniciar con la palabra 
por)]]," ","debido a"," ",Tabla1[[#This Row],[¿PORQUÉ?
CAUSA RAÍZ
(Iniciar con 
debido a/a causa de)]]))</f>
        <v>Posibilidad de afectación económica por  investigaciones disciplinarias y sanciones por entes de control, debido a  la adición de contratos en tiempo y valor sin haber ejecutado el 50% del contrato inicial, por deficiencias en la planeación de la etapa precontractual.</v>
      </c>
      <c r="K17" s="242"/>
    </row>
    <row r="18" spans="1:11" s="6" customFormat="1" ht="93" customHeight="1" x14ac:dyDescent="0.3">
      <c r="A18" s="1" t="s">
        <v>105</v>
      </c>
      <c r="B18" s="2" t="s">
        <v>189</v>
      </c>
      <c r="C18" s="2" t="s">
        <v>193</v>
      </c>
      <c r="D18" s="125" t="str">
        <f>+IF(B18='11 FORMULAS'!$B$4,'11 FORMULAS'!$C$4,IF(B18='11 FORMULAS'!$B$6,'11 FORMULAS'!$C$6,IF(B18='11 FORMULAS'!$B$8,'11 FORMULAS'!$C$8,IF(B18='11 FORMULAS'!$B$10,'11 FORMULAS'!$C$10,""))))</f>
        <v/>
      </c>
      <c r="E18" s="226"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96</v>
      </c>
      <c r="G18" s="1" t="s">
        <v>177</v>
      </c>
      <c r="H18" s="239" t="s">
        <v>391</v>
      </c>
      <c r="I18" s="239" t="s">
        <v>392</v>
      </c>
      <c r="J18" s="244" t="str">
        <f>(CONCATENATE(Tabla1[[#This Row],[¿QUÉ? 
IMPACTO]]," ","por ",Tabla1[[#This Row],[¿CÓMO?
CAUSA INMEDIATA 
(Iniciar con la palabra 
por)]]," ","debido a"," ",Tabla1[[#This Row],[¿PORQUÉ?
CAUSA RAÍZ
(Iniciar con 
debido a/a causa de)]]))</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K18" s="243"/>
    </row>
    <row r="19" spans="1:11" s="6" customFormat="1" ht="93" customHeight="1" x14ac:dyDescent="0.3">
      <c r="A19" s="1" t="s">
        <v>106</v>
      </c>
      <c r="B19" s="2" t="s">
        <v>189</v>
      </c>
      <c r="C19" s="2" t="s">
        <v>225</v>
      </c>
      <c r="D19" s="125" t="str">
        <f>+IF(B19='11 FORMULAS'!$B$4,'11 FORMULAS'!$C$4,IF(B19='11 FORMULAS'!$B$6,'11 FORMULAS'!$C$6,IF(B19='11 FORMULAS'!$B$8,'11 FORMULAS'!$C$8,IF(B19='11 FORMULAS'!$B$10,'11 FORMULAS'!$C$10,""))))</f>
        <v/>
      </c>
      <c r="E19" s="226"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177</v>
      </c>
      <c r="H19" s="239" t="s">
        <v>393</v>
      </c>
      <c r="I19" s="239" t="s">
        <v>563</v>
      </c>
      <c r="J19" s="244"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K19" s="243"/>
    </row>
    <row r="20" spans="1:11" s="6" customFormat="1" ht="93" customHeight="1" x14ac:dyDescent="0.3">
      <c r="A20" s="1" t="s">
        <v>107</v>
      </c>
      <c r="B20" s="2" t="s">
        <v>189</v>
      </c>
      <c r="C20" s="2" t="s">
        <v>213</v>
      </c>
      <c r="D20" s="125" t="str">
        <f>+IF(B20='11 FORMULAS'!$B$4,'11 FORMULAS'!$C$4,IF(B20='11 FORMULAS'!$B$6,'11 FORMULAS'!$C$6,IF(B20='11 FORMULAS'!$B$8,'11 FORMULAS'!$C$8,IF(B20='11 FORMULAS'!$B$10,'11 FORMULAS'!$C$10,""))))</f>
        <v/>
      </c>
      <c r="E20" s="226"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177</v>
      </c>
      <c r="H20" s="239" t="s">
        <v>394</v>
      </c>
      <c r="I20" s="239" t="s">
        <v>564</v>
      </c>
      <c r="J20" s="244" t="str">
        <f>(CONCATENATE(Tabla1[[#This Row],[¿QUÉ? 
IMPACTO]]," ","por ",Tabla1[[#This Row],[¿CÓMO?
CAUSA INMEDIATA 
(Iniciar con la palabra 
por)]]," ","debido a"," ",Tabla1[[#This Row],[¿PORQUÉ?
CAUSA RAÍZ
(Iniciar con 
debido a/a causa de)]]))</f>
        <v>Posibilidad  de efecto dañoso sobre el recurso público por anticipos entregados al contratista sin legalizar, debido a  la deficiencias en el seguimiento y control del proceso de amortización del anticipo.</v>
      </c>
      <c r="K20" s="243"/>
    </row>
    <row r="21" spans="1:11" s="6" customFormat="1" ht="93" customHeight="1" x14ac:dyDescent="0.3">
      <c r="A21" s="1" t="s">
        <v>108</v>
      </c>
      <c r="B21" s="2" t="s">
        <v>189</v>
      </c>
      <c r="C21" s="2" t="s">
        <v>225</v>
      </c>
      <c r="D21" s="125" t="str">
        <f>+IF(B21='11 FORMULAS'!$B$4,'11 FORMULAS'!$C$4,IF(B21='11 FORMULAS'!$B$6,'11 FORMULAS'!$C$6,IF(B21='11 FORMULAS'!$B$8,'11 FORMULAS'!$C$8,IF(B21='11 FORMULAS'!$B$10,'11 FORMULAS'!$C$10,""))))</f>
        <v/>
      </c>
      <c r="E21" s="226"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177</v>
      </c>
      <c r="H21" s="239" t="s">
        <v>395</v>
      </c>
      <c r="I21" s="239" t="s">
        <v>565</v>
      </c>
      <c r="J21" s="244" t="str">
        <f>(CONCATENATE(Tabla1[[#This Row],[¿QUÉ? 
IMPACTO]]," ","por ",Tabla1[[#This Row],[¿CÓMO?
CAUSA INMEDIATA 
(Iniciar con la palabra 
por)]]," ","debido a"," ",Tabla1[[#This Row],[¿PORQUÉ?
CAUSA RAÍZ
(Iniciar con 
debido a/a causa de)]]))</f>
        <v>Posibilidad  de efecto dañoso sobre el recurso público por  el pago de sanciones impuestas por entes de control, debido a  incumplimiento de las normas vigentes en las etapas precontractual, contractual y postcontractual de la contratación, afectando la obtención y cumplimiento del objeto contractual.</v>
      </c>
      <c r="K21" s="243"/>
    </row>
    <row r="22" spans="1:11" s="6" customFormat="1" ht="93" customHeight="1" x14ac:dyDescent="0.3">
      <c r="A22" s="1" t="s">
        <v>109</v>
      </c>
      <c r="B22" s="2" t="s">
        <v>189</v>
      </c>
      <c r="C22" s="2" t="s">
        <v>225</v>
      </c>
      <c r="D22" s="125" t="str">
        <f>+IF(B22='11 FORMULAS'!$B$4,'11 FORMULAS'!$C$4,IF(B22='11 FORMULAS'!$B$6,'11 FORMULAS'!$C$6,IF(B22='11 FORMULAS'!$B$8,'11 FORMULAS'!$C$8,IF(B22='11 FORMULAS'!$B$10,'11 FORMULAS'!$C$10,""))))</f>
        <v/>
      </c>
      <c r="E22" s="226" t="str">
        <f>+IFERROR(VLOOKUP(B22,Tabla3[],2,0),"")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2" s="1" t="s">
        <v>96</v>
      </c>
      <c r="G22" s="1" t="s">
        <v>177</v>
      </c>
      <c r="H22" s="239" t="s">
        <v>396</v>
      </c>
      <c r="I22" s="239" t="s">
        <v>550</v>
      </c>
      <c r="J22" s="244" t="str">
        <f>(CONCATENATE(Tabla1[[#This Row],[¿QUÉ? 
IMPACTO]]," ","por ",Tabla1[[#This Row],[¿CÓMO?
CAUSA INMEDIATA 
(Iniciar con la palabra 
por)]]," ","debido a"," ",Tabla1[[#This Row],[¿PORQUÉ?
CAUSA RAÍZ
(Iniciar con 
debido a/a causa de)]]))</f>
        <v>Posibilidad  de efecto dañoso sobre el recurso público por  el pago de sanciones y/o condenas impuestas por entes de control,  debido a  incumplimiento en la cobertura de las garantías que amparan los riesgos definidos en la etapa precontractual, conforme al Manual de Contratación M-GJ-1140-170-001.</v>
      </c>
      <c r="K22" s="243"/>
    </row>
    <row r="23" spans="1:11" s="6" customFormat="1" ht="93" customHeight="1" x14ac:dyDescent="0.3">
      <c r="A23" s="1" t="s">
        <v>110</v>
      </c>
      <c r="B23" s="2" t="s">
        <v>189</v>
      </c>
      <c r="C23" s="2" t="s">
        <v>193</v>
      </c>
      <c r="D23" s="125" t="str">
        <f>+IF(B23='11 FORMULAS'!$B$4,'11 FORMULAS'!$C$4,IF(B23='11 FORMULAS'!$B$6,'11 FORMULAS'!$C$6,IF(B23='11 FORMULAS'!$B$8,'11 FORMULAS'!$C$8,IF(B23='11 FORMULAS'!$B$10,'11 FORMULAS'!$C$10,""))))</f>
        <v/>
      </c>
      <c r="E23" s="226" t="str">
        <f>+IFERROR(VLOOKUP(B23,Tabla3[],2,0),"")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3" s="1" t="s">
        <v>96</v>
      </c>
      <c r="G23" s="1" t="s">
        <v>177</v>
      </c>
      <c r="H23" s="239" t="s">
        <v>397</v>
      </c>
      <c r="I23" s="239" t="s">
        <v>549</v>
      </c>
      <c r="J23" s="244" t="str">
        <f>(CONCATENATE(Tabla1[[#This Row],[¿QUÉ? 
IMPACTO]]," ","por ",Tabla1[[#This Row],[¿CÓMO?
CAUSA INMEDIATA 
(Iniciar con la palabra 
por)]]," ","debido a"," ",Tabla1[[#This Row],[¿PORQUÉ?
CAUSA RAÍZ
(Iniciar con 
debido a/a causa de)]]))</f>
        <v>Posibilidad  de efecto dañoso sobre el recurso público por Pago de sanciones impuestas por la Contraloría General de la República,  debido a  reporte extemporáneo de la información de obras inconclusas a través de la plataforma SIRECI por parte de la Secretaría de Infraestructura.</v>
      </c>
      <c r="K23" s="243"/>
    </row>
    <row r="24" spans="1:11" s="6" customFormat="1" ht="93" customHeight="1" x14ac:dyDescent="0.3">
      <c r="A24" s="1" t="s">
        <v>111</v>
      </c>
      <c r="B24" s="2" t="s">
        <v>189</v>
      </c>
      <c r="C24" s="2" t="s">
        <v>193</v>
      </c>
      <c r="D24" s="125" t="str">
        <f>+IF(B24='11 FORMULAS'!$B$4,'11 FORMULAS'!$C$4,IF(B24='11 FORMULAS'!$B$6,'11 FORMULAS'!$C$6,IF(B24='11 FORMULAS'!$B$8,'11 FORMULAS'!$C$8,IF(B24='11 FORMULAS'!$B$10,'11 FORMULAS'!$C$10,""))))</f>
        <v/>
      </c>
      <c r="E24" s="226" t="str">
        <f>+IFERROR(VLOOKUP(B24,Tabla3[],2,0),"")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4" s="1" t="s">
        <v>168</v>
      </c>
      <c r="G24" s="1" t="s">
        <v>180</v>
      </c>
      <c r="H24" s="239" t="s">
        <v>547</v>
      </c>
      <c r="I24" s="239" t="s">
        <v>548</v>
      </c>
      <c r="J24" s="244"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24" s="243"/>
    </row>
    <row r="25" spans="1:11" s="6" customFormat="1" ht="93" customHeight="1" x14ac:dyDescent="0.3">
      <c r="A25" s="1" t="s">
        <v>112</v>
      </c>
      <c r="B25" s="2" t="s">
        <v>189</v>
      </c>
      <c r="C25" s="2" t="s">
        <v>193</v>
      </c>
      <c r="D25" s="125" t="str">
        <f>+IF(B25='11 FORMULAS'!$B$4,'11 FORMULAS'!$C$4,IF(B25='11 FORMULAS'!$B$6,'11 FORMULAS'!$C$6,IF(B25='11 FORMULAS'!$B$8,'11 FORMULAS'!$C$8,IF(B25='11 FORMULAS'!$B$10,'11 FORMULAS'!$C$10,""))))</f>
        <v/>
      </c>
      <c r="E25" s="226" t="str">
        <f>+IFERROR(VLOOKUP(B25,Tabla3[],2,0),"")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5" s="1" t="s">
        <v>96</v>
      </c>
      <c r="G25" s="1" t="s">
        <v>177</v>
      </c>
      <c r="H25" s="239" t="s">
        <v>543</v>
      </c>
      <c r="I25" s="239" t="s">
        <v>544</v>
      </c>
      <c r="J25" s="244" t="str">
        <f>(CONCATENATE(Tabla1[[#This Row],[¿QUÉ? 
IMPACTO]]," ","por ",Tabla1[[#This Row],[¿CÓMO?
CAUSA INMEDIATA 
(Iniciar con la palabra 
por)]]," ","debido a"," ",Tabla1[[#This Row],[¿PORQUÉ?
CAUSA RAÍZ
(Iniciar con 
debido a/a causa de)]]))</f>
        <v>Posibilidad  de efecto dañoso sobre el recurso público por or pago de sanción e intereses moratorios, debido a  trámite inoportuno a los requerimientos de los entes de control y vigilancia, de acuerdo con sus lineamientos y términos de ley.</v>
      </c>
      <c r="K25" s="243"/>
    </row>
    <row r="26" spans="1:11" s="6" customFormat="1" ht="93" customHeight="1" x14ac:dyDescent="0.3">
      <c r="A26" s="1" t="s">
        <v>113</v>
      </c>
      <c r="B26" s="2" t="s">
        <v>189</v>
      </c>
      <c r="C26" s="2" t="s">
        <v>193</v>
      </c>
      <c r="D26" s="125" t="str">
        <f>+IF(B26='11 FORMULAS'!$B$4,'11 FORMULAS'!$C$4,IF(B26='11 FORMULAS'!$B$6,'11 FORMULAS'!$C$6,IF(B26='11 FORMULAS'!$B$8,'11 FORMULAS'!$C$8,IF(B26='11 FORMULAS'!$B$10,'11 FORMULAS'!$C$10,""))))</f>
        <v/>
      </c>
      <c r="E26" s="226" t="str">
        <f>+IFERROR(VLOOKUP(B26,Tabla3[],2,0),"")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6" s="1" t="s">
        <v>96</v>
      </c>
      <c r="G26" s="1" t="s">
        <v>184</v>
      </c>
      <c r="H26" s="239" t="s">
        <v>551</v>
      </c>
      <c r="I26" s="239" t="s">
        <v>552</v>
      </c>
      <c r="J26" s="244" t="str">
        <f>(CONCATENATE(Tabla1[[#This Row],[¿QUÉ? 
IMPACTO]]," ","por ",Tabla1[[#This Row],[¿CÓMO?
CAUSA INMEDIATA 
(Iniciar con la palabra 
por)]]," ","debido a"," ",Tabla1[[#This Row],[¿PORQUÉ?
CAUSA RAÍZ
(Iniciar con 
debido a/a causa de)]]))</f>
        <v>Posibilidad  de efecto dañoso sobre bienes de uso fiscal por por pérdida, extravío, hurto o faltantes en inventario de bienes muebles de la entidad,  debido a deficiencias en la actualización, verificación y control del inventario de bienes muebles.</v>
      </c>
      <c r="K26" s="243"/>
    </row>
    <row r="27" spans="1:11" s="6" customFormat="1" ht="93" customHeight="1" x14ac:dyDescent="0.3">
      <c r="A27" s="1" t="s">
        <v>114</v>
      </c>
      <c r="B27" s="2" t="s">
        <v>189</v>
      </c>
      <c r="C27" s="2" t="s">
        <v>193</v>
      </c>
      <c r="D27" s="125" t="str">
        <f>+IF(B27='11 FORMULAS'!$B$4,'11 FORMULAS'!$C$4,IF(B27='11 FORMULAS'!$B$6,'11 FORMULAS'!$C$6,IF(B27='11 FORMULAS'!$B$8,'11 FORMULAS'!$C$8,IF(B27='11 FORMULAS'!$B$10,'11 FORMULAS'!$C$10,""))))</f>
        <v/>
      </c>
      <c r="E27" s="226" t="str">
        <f>+IFERROR(VLOOKUP(B27,Tabla3[],2,0),"")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7" s="1" t="s">
        <v>96</v>
      </c>
      <c r="G27" s="1" t="s">
        <v>177</v>
      </c>
      <c r="H27" s="239" t="s">
        <v>398</v>
      </c>
      <c r="I27" s="239" t="s">
        <v>553</v>
      </c>
      <c r="J27" s="244" t="str">
        <f>(CONCATENATE(Tabla1[[#This Row],[¿QUÉ? 
IMPACTO]]," ","por ",Tabla1[[#This Row],[¿CÓMO?
CAUSA INMEDIATA 
(Iniciar con la palabra 
por)]]," ","debido a"," ",Tabla1[[#This Row],[¿PORQUÉ?
CAUSA RAÍZ
(Iniciar con 
debido a/a causa de)]]))</f>
        <v xml:space="preserve">Posibilidad  de efecto dañoso sobre el recurso público por  Pago de agencias en derecho y costas procesales, en  primera y segunda instancia, debido a  fallos en contra del ente territorial,  que impone el deber de sufragar estos conceptos  a favor de los actores populares. </v>
      </c>
      <c r="K27" s="243"/>
    </row>
    <row r="28" spans="1:11" s="6" customFormat="1" ht="93" customHeight="1" x14ac:dyDescent="0.3">
      <c r="A28" s="1" t="s">
        <v>115</v>
      </c>
      <c r="B28" s="2" t="s">
        <v>189</v>
      </c>
      <c r="C28" s="2" t="s">
        <v>225</v>
      </c>
      <c r="D28" s="125" t="str">
        <f>+IF(B28='11 FORMULAS'!$B$4,'11 FORMULAS'!$C$4,IF(B28='11 FORMULAS'!$B$6,'11 FORMULAS'!$C$6,IF(B28='11 FORMULAS'!$B$8,'11 FORMULAS'!$C$8,IF(B28='11 FORMULAS'!$B$10,'11 FORMULAS'!$C$10,""))))</f>
        <v/>
      </c>
      <c r="E28" s="226" t="str">
        <f>+IFERROR(VLOOKUP(B28,Tabla3[],2,0),"")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8" s="1" t="s">
        <v>96</v>
      </c>
      <c r="G28" s="1" t="s">
        <v>177</v>
      </c>
      <c r="H28" s="239" t="s">
        <v>399</v>
      </c>
      <c r="I28" s="239" t="s">
        <v>554</v>
      </c>
      <c r="J28" s="244" t="str">
        <f>(CONCATENATE(Tabla1[[#This Row],[¿QUÉ? 
IMPACTO]]," ","por ",Tabla1[[#This Row],[¿CÓMO?
CAUSA INMEDIATA 
(Iniciar con la palabra 
por)]]," ","debido a"," ",Tabla1[[#This Row],[¿PORQUÉ?
CAUSA RAÍZ
(Iniciar con 
debido a/a causa de)]]))</f>
        <v>Posibilidad  de efecto dañoso sobre el recurso público por  deficiencias en la planeación, seguimiento y control de los proyectos de infraestructura educativa financiados con recursos de empréstito, generando retrasos en la ejecución y pagos financieros sin avance proporcional de las obras, debido a debilidades en el monitoreo y supervisión contractual.</v>
      </c>
      <c r="K28" s="243"/>
    </row>
    <row r="29" spans="1:11" s="6" customFormat="1" ht="93" customHeight="1" x14ac:dyDescent="0.3">
      <c r="A29" s="1" t="s">
        <v>116</v>
      </c>
      <c r="B29" s="2" t="s">
        <v>189</v>
      </c>
      <c r="C29" s="2" t="s">
        <v>193</v>
      </c>
      <c r="D29" s="125"/>
      <c r="E29" s="226" t="str">
        <f>+IFERROR(VLOOKUP(B29,Tabla3[],2,0),"")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9" s="266" t="s">
        <v>168</v>
      </c>
      <c r="G29" s="266" t="s">
        <v>180</v>
      </c>
      <c r="H29" s="240" t="s">
        <v>400</v>
      </c>
      <c r="I29" s="240" t="s">
        <v>555</v>
      </c>
      <c r="J29" s="268" t="str">
        <f>(CONCATENATE(Tabla1[[#This Row],[¿QUÉ? 
IMPACTO]]," ","por ",Tabla1[[#This Row],[¿CÓMO?
CAUSA INMEDIATA 
(Iniciar con la palabra 
por)]]," ","debido a"," ",Tabla1[[#This Row],[¿PORQUÉ?
CAUSA RAÍZ
(Iniciar con 
debido a/a causa de)]]))</f>
        <v>Posibilidad de afectación reputacional por  ocupación o desarrollo urbanístico no controlado en zonas intervenidas con obras de mitigación del riesgo,  debido a  deficiencias en el seguimiento de las actuaciones policivas y en la articulación interinstitucional para la atención de denuncias, reportes o alertas relacionadas con presuntas infracciones urbanísticas.</v>
      </c>
      <c r="K29" s="243"/>
    </row>
    <row r="30" spans="1:11" s="6" customFormat="1" ht="93" customHeight="1" x14ac:dyDescent="0.3">
      <c r="A30" s="1" t="s">
        <v>361</v>
      </c>
      <c r="B30" s="2" t="s">
        <v>189</v>
      </c>
      <c r="C30" s="2" t="s">
        <v>193</v>
      </c>
      <c r="D30" s="125"/>
      <c r="E30" s="226" t="str">
        <f>+IFERROR(VLOOKUP(B30,Tabla3[],2,0),"")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0" s="266" t="s">
        <v>168</v>
      </c>
      <c r="G30" s="266" t="s">
        <v>180</v>
      </c>
      <c r="H30" s="267" t="s">
        <v>401</v>
      </c>
      <c r="I30" s="267" t="s">
        <v>402</v>
      </c>
      <c r="J30" s="268" t="str">
        <f>(CONCATENATE(Tabla1[[#This Row],[¿QUÉ? 
IMPACTO]]," ","por ",Tabla1[[#This Row],[¿CÓMO?
CAUSA INMEDIATA 
(Iniciar con la palabra 
por)]]," ","debido a"," ",Tabla1[[#This Row],[¿PORQUÉ?
CAUSA RAÍZ
(Iniciar con 
debido a/a causa de)]]))</f>
        <v>Posibilidad de afectación reputacional por posibles investigaciones y sanciones disciplinarias por entes de control,  debido a debido al incumplimiento de la Ley 594 del 2000 en los documentos emanados por la Secretaría de Infraestructura.</v>
      </c>
      <c r="K30" s="243"/>
    </row>
    <row r="31" spans="1:11" s="6" customFormat="1" ht="93" customHeight="1" x14ac:dyDescent="0.3">
      <c r="A31" s="1" t="s">
        <v>362</v>
      </c>
      <c r="B31" s="2" t="s">
        <v>164</v>
      </c>
      <c r="C31" s="2" t="s">
        <v>201</v>
      </c>
      <c r="D31" s="125"/>
      <c r="E31" s="226" t="str">
        <f>+IFERROR(VLOOKUP(B31,Tabla3[],2,0),"")</f>
        <v>Eventos relacionados con las conductas o comportamientos de los empleados que afectan la Integridad Pública</v>
      </c>
      <c r="F31" s="266" t="s">
        <v>174</v>
      </c>
      <c r="G31" s="266" t="s">
        <v>182</v>
      </c>
      <c r="H31" s="267" t="s">
        <v>566</v>
      </c>
      <c r="I31" s="267" t="s">
        <v>567</v>
      </c>
      <c r="J31" s="268" t="str">
        <f>(CONCATENATE(Tabla1[[#This Row],[¿QUÉ? 
IMPACTO]]," ","por ",Tabla1[[#This Row],[¿CÓMO?
CAUSA INMEDIATA 
(Iniciar con la palabra 
por)]]," ","debido a"," ",Tabla1[[#This Row],[¿PORQUÉ?
CAUSA RAÍZ
(Iniciar con 
debido a/a causa de)]]))</f>
        <v>Posibilidad de pérdida reputacional por soborno para favorecer a un proponente en la adjudicación de un contrato de obra, debido a deficiencias en la verificación, evaluación y control de los procesos contractuales adelantados por la entidad..</v>
      </c>
      <c r="K31" s="243"/>
    </row>
    <row r="32" spans="1:11" s="6" customFormat="1" ht="93" hidden="1" customHeight="1" x14ac:dyDescent="0.3">
      <c r="A32" s="1" t="s">
        <v>363</v>
      </c>
      <c r="B32" s="2"/>
      <c r="C32" s="2"/>
      <c r="D32" s="125"/>
      <c r="E32" s="226" t="str">
        <f>+IFERROR(VLOOKUP(B32,Tabla3[],2,0),"")</f>
        <v/>
      </c>
      <c r="F32" s="266"/>
      <c r="G32" s="266"/>
      <c r="H32" s="267"/>
      <c r="I32" s="267"/>
      <c r="J32" s="268" t="str">
        <f>(CONCATENATE(Tabla1[[#This Row],[¿QUÉ? 
IMPACTO]]," ","por ",Tabla1[[#This Row],[¿CÓMO?
CAUSA INMEDIATA 
(Iniciar con la palabra 
por)]]," ","debido a"," ",Tabla1[[#This Row],[¿PORQUÉ?
CAUSA RAÍZ
(Iniciar con 
debido a/a causa de)]]))</f>
        <v xml:space="preserve"> por  debido a </v>
      </c>
      <c r="K32" s="243"/>
    </row>
    <row r="33" spans="1:11" s="6" customFormat="1" ht="93" hidden="1" customHeight="1" x14ac:dyDescent="0.3">
      <c r="A33" s="1" t="s">
        <v>364</v>
      </c>
      <c r="B33" s="2"/>
      <c r="C33" s="2"/>
      <c r="D33" s="125"/>
      <c r="E33" s="226" t="str">
        <f>+IFERROR(VLOOKUP(B33,Tabla3[],2,0),"")</f>
        <v/>
      </c>
      <c r="F33" s="266"/>
      <c r="G33" s="266"/>
      <c r="H33" s="267"/>
      <c r="I33" s="267"/>
      <c r="J33" s="268" t="str">
        <f>(CONCATENATE(Tabla1[[#This Row],[¿QUÉ? 
IMPACTO]]," ","por ",Tabla1[[#This Row],[¿CÓMO?
CAUSA INMEDIATA 
(Iniciar con la palabra 
por)]]," ","debido a"," ",Tabla1[[#This Row],[¿PORQUÉ?
CAUSA RAÍZ
(Iniciar con 
debido a/a causa de)]]))</f>
        <v xml:space="preserve"> por  debido a </v>
      </c>
      <c r="K33" s="243"/>
    </row>
    <row r="34" spans="1:11" s="6" customFormat="1" ht="93" hidden="1" customHeight="1" x14ac:dyDescent="0.3">
      <c r="A34" s="1" t="s">
        <v>365</v>
      </c>
      <c r="B34" s="2"/>
      <c r="C34" s="2"/>
      <c r="D34" s="125"/>
      <c r="E34" s="226" t="str">
        <f>+IFERROR(VLOOKUP(B34,Tabla3[],2,0),"")</f>
        <v/>
      </c>
      <c r="F34" s="266"/>
      <c r="G34" s="266"/>
      <c r="H34" s="267"/>
      <c r="I34" s="267"/>
      <c r="J34" s="268" t="str">
        <f>(CONCATENATE(Tabla1[[#This Row],[¿QUÉ? 
IMPACTO]]," ","por ",Tabla1[[#This Row],[¿CÓMO?
CAUSA INMEDIATA 
(Iniciar con la palabra 
por)]]," ","debido a"," ",Tabla1[[#This Row],[¿PORQUÉ?
CAUSA RAÍZ
(Iniciar con 
debido a/a causa de)]]))</f>
        <v xml:space="preserve"> por  debido a </v>
      </c>
      <c r="K34" s="243"/>
    </row>
    <row r="35" spans="1:11" s="6" customFormat="1" ht="93" hidden="1" customHeight="1" x14ac:dyDescent="0.3">
      <c r="A35" s="1" t="s">
        <v>366</v>
      </c>
      <c r="B35" s="2"/>
      <c r="C35" s="2"/>
      <c r="D35" s="125"/>
      <c r="E35" s="226" t="str">
        <f>+IFERROR(VLOOKUP(B35,Tabla3[],2,0),"")</f>
        <v/>
      </c>
      <c r="F35" s="266"/>
      <c r="G35" s="266"/>
      <c r="H35" s="267"/>
      <c r="I35" s="267"/>
      <c r="J35" s="268" t="str">
        <f>(CONCATENATE(Tabla1[[#This Row],[¿QUÉ? 
IMPACTO]]," ","por ",Tabla1[[#This Row],[¿CÓMO?
CAUSA INMEDIATA 
(Iniciar con la palabra 
por)]]," ","debido a"," ",Tabla1[[#This Row],[¿PORQUÉ?
CAUSA RAÍZ
(Iniciar con 
debido a/a causa de)]]))</f>
        <v xml:space="preserve"> por  debido a </v>
      </c>
      <c r="K35" s="243"/>
    </row>
    <row r="36" spans="1:11" s="6" customFormat="1" ht="93" hidden="1" customHeight="1" x14ac:dyDescent="0.3">
      <c r="A36" s="1" t="s">
        <v>367</v>
      </c>
      <c r="B36" s="2"/>
      <c r="C36" s="2"/>
      <c r="D36" s="125"/>
      <c r="E36" s="226" t="str">
        <f>+IFERROR(VLOOKUP(B36,Tabla3[],2,0),"")</f>
        <v/>
      </c>
      <c r="F36" s="266"/>
      <c r="G36" s="266"/>
      <c r="H36" s="267"/>
      <c r="I36" s="267"/>
      <c r="J36" s="268" t="str">
        <f>(CONCATENATE(Tabla1[[#This Row],[¿QUÉ? 
IMPACTO]]," ","por ",Tabla1[[#This Row],[¿CÓMO?
CAUSA INMEDIATA 
(Iniciar con la palabra 
por)]]," ","debido a"," ",Tabla1[[#This Row],[¿PORQUÉ?
CAUSA RAÍZ
(Iniciar con 
debido a/a causa de)]]))</f>
        <v xml:space="preserve"> por  debido a </v>
      </c>
      <c r="K36" s="243"/>
    </row>
    <row r="37" spans="1:11" s="6" customFormat="1" ht="93" hidden="1" customHeight="1" x14ac:dyDescent="0.3">
      <c r="A37" s="1" t="s">
        <v>368</v>
      </c>
      <c r="B37" s="2"/>
      <c r="C37" s="2"/>
      <c r="D37" s="125"/>
      <c r="E37" s="226" t="str">
        <f>+IFERROR(VLOOKUP(B37,Tabla3[],2,0),"")</f>
        <v/>
      </c>
      <c r="F37" s="266"/>
      <c r="G37" s="266"/>
      <c r="H37" s="267"/>
      <c r="I37" s="267"/>
      <c r="J37" s="268" t="str">
        <f>(CONCATENATE(Tabla1[[#This Row],[¿QUÉ? 
IMPACTO]]," ","por ",Tabla1[[#This Row],[¿CÓMO?
CAUSA INMEDIATA 
(Iniciar con la palabra 
por)]]," ","debido a"," ",Tabla1[[#This Row],[¿PORQUÉ?
CAUSA RAÍZ
(Iniciar con 
debido a/a causa de)]]))</f>
        <v xml:space="preserve"> por  debido a </v>
      </c>
      <c r="K37" s="243"/>
    </row>
    <row r="38" spans="1:11" s="6" customFormat="1" ht="93" hidden="1" customHeight="1" x14ac:dyDescent="0.3">
      <c r="A38" s="1" t="s">
        <v>369</v>
      </c>
      <c r="B38" s="2"/>
      <c r="C38" s="2"/>
      <c r="D38" s="125"/>
      <c r="E38" s="226" t="str">
        <f>+IFERROR(VLOOKUP(B38,Tabla3[],2,0),"")</f>
        <v/>
      </c>
      <c r="F38" s="266"/>
      <c r="G38" s="266"/>
      <c r="H38" s="267"/>
      <c r="I38" s="267"/>
      <c r="J38" s="268" t="str">
        <f>(CONCATENATE(Tabla1[[#This Row],[¿QUÉ? 
IMPACTO]]," ","por ",Tabla1[[#This Row],[¿CÓMO?
CAUSA INMEDIATA 
(Iniciar con la palabra 
por)]]," ","debido a"," ",Tabla1[[#This Row],[¿PORQUÉ?
CAUSA RAÍZ
(Iniciar con 
debido a/a causa de)]]))</f>
        <v xml:space="preserve"> por  debido a </v>
      </c>
      <c r="K38" s="243"/>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40"/>
      <c r="I39" s="240"/>
      <c r="J39" s="244" t="str">
        <f>(CONCATENATE(Tabla1[[#This Row],[¿QUÉ? 
IMPACTO]]," ","por ",Tabla1[[#This Row],[¿CÓMO?
CAUSA INMEDIATA 
(Iniciar con la palabra 
por)]]," ","debido a"," ",Tabla1[[#This Row],[¿PORQUÉ?
CAUSA RAÍZ
(Iniciar con 
debido a/a causa de)]]))</f>
        <v xml:space="preserve"> por  debido a </v>
      </c>
      <c r="K39" s="243"/>
    </row>
    <row r="40" spans="1:11" s="6" customFormat="1" ht="18" thickBot="1" x14ac:dyDescent="0.35">
      <c r="F40" s="7"/>
      <c r="G40" s="7"/>
      <c r="H40" s="7"/>
      <c r="I40" s="7"/>
      <c r="J40" s="8"/>
    </row>
    <row r="41" spans="1:11" ht="15" thickTop="1" thickBot="1" x14ac:dyDescent="0.3">
      <c r="A41" s="335" t="s">
        <v>377</v>
      </c>
      <c r="B41" s="335"/>
      <c r="C41" s="335"/>
      <c r="D41" s="335"/>
      <c r="E41" s="335"/>
      <c r="F41" s="335"/>
      <c r="G41" s="335"/>
      <c r="H41" s="3"/>
      <c r="I41" s="3"/>
    </row>
    <row r="42" spans="1:11" ht="15" thickTop="1" thickBot="1" x14ac:dyDescent="0.3">
      <c r="A42" s="314" t="s">
        <v>378</v>
      </c>
      <c r="B42" s="335" t="s">
        <v>379</v>
      </c>
      <c r="C42" s="335"/>
      <c r="D42" s="335" t="s">
        <v>380</v>
      </c>
      <c r="E42" s="335"/>
      <c r="F42" s="335" t="s">
        <v>381</v>
      </c>
      <c r="G42" s="335"/>
      <c r="H42" s="3"/>
      <c r="I42" s="3"/>
    </row>
    <row r="43" spans="1:11" ht="67.5" customHeight="1" thickTop="1" thickBot="1" x14ac:dyDescent="0.35">
      <c r="A43" s="315" t="s">
        <v>382</v>
      </c>
      <c r="B43" s="336">
        <v>46163</v>
      </c>
      <c r="C43" s="336"/>
      <c r="D43" s="337" t="s">
        <v>383</v>
      </c>
      <c r="E43" s="337"/>
      <c r="F43" s="338" t="s">
        <v>384</v>
      </c>
      <c r="G43" s="338"/>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90" zoomScaleNormal="90" zoomScaleSheetLayoutView="80" workbookViewId="0">
      <selection activeCell="A32" sqref="A32:XFD39"/>
    </sheetView>
  </sheetViews>
  <sheetFormatPr baseColWidth="10" defaultColWidth="14.44140625" defaultRowHeight="13.8" x14ac:dyDescent="0.3"/>
  <cols>
    <col min="1" max="1" width="18.21875" style="4" customWidth="1"/>
    <col min="2" max="2" width="36.4414062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358"/>
      <c r="B1" s="339" t="s">
        <v>375</v>
      </c>
      <c r="C1" s="340"/>
      <c r="D1" s="340"/>
      <c r="E1" s="340"/>
      <c r="F1" s="340"/>
      <c r="G1" s="340"/>
      <c r="H1" s="340"/>
      <c r="I1" s="341"/>
      <c r="J1" s="306" t="s">
        <v>373</v>
      </c>
      <c r="K1" s="307"/>
      <c r="L1" s="253"/>
      <c r="M1" s="4"/>
      <c r="N1" s="4"/>
      <c r="R1" s="4"/>
      <c r="S1" s="4"/>
    </row>
    <row r="2" spans="1:25" ht="19.95" customHeight="1" x14ac:dyDescent="0.3">
      <c r="A2" s="359"/>
      <c r="B2" s="342"/>
      <c r="C2" s="343"/>
      <c r="D2" s="343"/>
      <c r="E2" s="343"/>
      <c r="F2" s="343"/>
      <c r="G2" s="343"/>
      <c r="H2" s="343"/>
      <c r="I2" s="344"/>
      <c r="J2" s="308" t="s">
        <v>376</v>
      </c>
      <c r="K2" s="309"/>
      <c r="L2" s="253"/>
      <c r="M2" s="4"/>
      <c r="N2" s="4"/>
      <c r="R2" s="4"/>
      <c r="S2" s="4"/>
    </row>
    <row r="3" spans="1:25" s="3" customFormat="1" ht="16.2" thickBot="1" x14ac:dyDescent="0.3">
      <c r="A3" s="360"/>
      <c r="B3" s="345" t="s">
        <v>359</v>
      </c>
      <c r="C3" s="346"/>
      <c r="D3" s="346"/>
      <c r="E3" s="346"/>
      <c r="F3" s="346"/>
      <c r="G3" s="346"/>
      <c r="H3" s="346"/>
      <c r="I3" s="347"/>
      <c r="J3" s="310" t="s">
        <v>374</v>
      </c>
      <c r="K3" s="311"/>
      <c r="L3" s="254"/>
    </row>
    <row r="4" spans="1:25" s="3" customFormat="1" ht="16.95" customHeight="1" thickTop="1" x14ac:dyDescent="0.25">
      <c r="A4" s="349"/>
      <c r="B4" s="350"/>
      <c r="C4" s="350"/>
      <c r="D4" s="350"/>
      <c r="E4" s="350"/>
      <c r="F4" s="350"/>
      <c r="G4" s="350"/>
      <c r="H4" s="350"/>
      <c r="I4" s="350"/>
      <c r="J4" s="350"/>
      <c r="K4" s="351"/>
    </row>
    <row r="5" spans="1:25" ht="27" customHeight="1" x14ac:dyDescent="0.3">
      <c r="A5" s="12" t="s">
        <v>80</v>
      </c>
      <c r="B5" s="259" t="str">
        <f>'2 IDENTIFICACIÓN'!B5</f>
        <v>ALCALDIA DE BUCARAMANGA</v>
      </c>
      <c r="C5" s="260"/>
      <c r="D5" s="260"/>
      <c r="E5" s="261"/>
      <c r="F5" s="245" t="s">
        <v>81</v>
      </c>
      <c r="G5" s="259" t="str">
        <f>'2 IDENTIFICACIÓN'!G5</f>
        <v xml:space="preserve">GESTÓN Y DESARROLLO DE LA INFRAESTRUCTURA </v>
      </c>
      <c r="H5" s="261"/>
      <c r="I5" s="245" t="s">
        <v>353</v>
      </c>
      <c r="J5" s="262">
        <f>'2 IDENTIFICACIÓN'!J5</f>
        <v>2026</v>
      </c>
      <c r="K5" s="263"/>
      <c r="L5" s="4"/>
      <c r="M5" s="4"/>
      <c r="N5" s="4"/>
      <c r="R5" s="4"/>
      <c r="S5" s="4"/>
    </row>
    <row r="6" spans="1:25" ht="14.4" thickBot="1" x14ac:dyDescent="0.35">
      <c r="A6" s="166"/>
      <c r="B6" s="255"/>
      <c r="C6" s="255"/>
      <c r="D6" s="255"/>
      <c r="E6" s="255"/>
      <c r="F6" s="256"/>
      <c r="G6" s="257"/>
      <c r="H6" s="257"/>
      <c r="I6" s="257"/>
      <c r="J6" s="257"/>
      <c r="K6" s="257"/>
      <c r="L6" s="4"/>
      <c r="M6" s="4"/>
      <c r="N6" s="4"/>
      <c r="R6" s="4"/>
      <c r="S6" s="4"/>
    </row>
    <row r="7" spans="1:25" s="3" customFormat="1" ht="14.4" thickBot="1" x14ac:dyDescent="0.3">
      <c r="A7" s="258"/>
      <c r="B7" s="165"/>
      <c r="C7" s="165"/>
      <c r="D7" s="165"/>
      <c r="E7" s="14"/>
      <c r="F7" s="14"/>
      <c r="G7" s="429" t="s">
        <v>250</v>
      </c>
      <c r="H7" s="430"/>
      <c r="I7" s="430"/>
      <c r="J7" s="430"/>
      <c r="K7" s="430"/>
      <c r="L7" s="430"/>
      <c r="M7" s="430"/>
      <c r="N7" s="431"/>
      <c r="R7" s="129"/>
      <c r="S7" s="129"/>
    </row>
    <row r="8" spans="1:25" s="16" customFormat="1" ht="14.25" customHeight="1" thickBot="1" x14ac:dyDescent="0.35">
      <c r="A8" s="15"/>
      <c r="B8" s="15"/>
      <c r="C8" s="429" t="s">
        <v>251</v>
      </c>
      <c r="D8" s="430"/>
      <c r="E8" s="430"/>
      <c r="F8" s="431"/>
      <c r="G8" s="432" t="s">
        <v>36</v>
      </c>
      <c r="H8" s="433"/>
      <c r="I8" s="434"/>
      <c r="J8" s="432" t="s">
        <v>38</v>
      </c>
      <c r="K8" s="433"/>
      <c r="L8" s="434"/>
      <c r="M8" s="432" t="s">
        <v>252</v>
      </c>
      <c r="N8" s="434"/>
      <c r="P8" s="426" t="s">
        <v>253</v>
      </c>
      <c r="Q8" s="427"/>
      <c r="R8" s="427"/>
      <c r="S8" s="427"/>
      <c r="T8" s="428"/>
      <c r="V8" s="423" t="s">
        <v>254</v>
      </c>
      <c r="W8" s="424"/>
      <c r="X8" s="424"/>
      <c r="Y8" s="425"/>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10.4" x14ac:dyDescent="0.3">
      <c r="A10" s="20" t="str">
        <f>'2 IDENTIFICACIÓN'!A10</f>
        <v>R1</v>
      </c>
      <c r="B10" s="152" t="str">
        <f>+'2 IDENTIFICACIÓN'!J10</f>
        <v>Posibilidad de afectación reputacional por  investigaciones disciplinarias promovidas por entes de control, debido a  inadecuada planeación y elaboración de diseños de obras, que genera entregas tardías en los servicios y afecta el beneficio esperado por la comunidad.</v>
      </c>
      <c r="C10" s="153">
        <v>60</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4">
        <v>0</v>
      </c>
      <c r="S10" s="274">
        <v>2</v>
      </c>
      <c r="T10" s="23">
        <v>0.2</v>
      </c>
      <c r="V10" s="221" t="s">
        <v>272</v>
      </c>
      <c r="W10" s="24">
        <v>0.2</v>
      </c>
      <c r="X10" s="274" t="s">
        <v>273</v>
      </c>
      <c r="Y10" s="277" t="s">
        <v>269</v>
      </c>
    </row>
    <row r="11" spans="1:25" ht="124.2" x14ac:dyDescent="0.3">
      <c r="A11" s="20" t="str">
        <f>'2 IDENTIFICACIÓN'!A11</f>
        <v>R2</v>
      </c>
      <c r="B11" s="152" t="str">
        <f>+'2 IDENTIFICACIÓN'!J11</f>
        <v>Posibilidad de afectación reputacional por  debilidades en la planeación, gestión y ejecución de las obligaciones contractuales por parte de las unidades gestoras,  debido a  la deficiencias en la supervisión y ejecución oportuna de los procesos contractuales producto de la constitución de reservas presupuestales.</v>
      </c>
      <c r="C11" s="154">
        <v>37</v>
      </c>
      <c r="D11" s="130" t="str">
        <f t="shared" si="0"/>
        <v>La actividad que conlleva el riesgo se ejecuta de 24 a 500 veces por año</v>
      </c>
      <c r="E11" s="131">
        <f t="shared" si="1"/>
        <v>0.6</v>
      </c>
      <c r="F11" s="21" t="str">
        <f t="shared" si="2"/>
        <v>Media</v>
      </c>
      <c r="G11" s="138" t="s">
        <v>293</v>
      </c>
      <c r="H11" s="132" t="str">
        <f t="shared" ref="H11:H39" si="6">+IF(G11="","",IF(G11="N/A","",IF(OR(G11=$X$10,G11=$Y$10),$W$10,IF(OR(G11=$X$11,G11=$Y$11),$W$11,IF(OR(G11=$X$12,G11=$Y$12),$W$12,IF(OR(G11=$X$13,G11=$Y$13),$W$13,IF(OR(G11=$X$14,G11=$Y$14),$W$14)))))))</f>
        <v/>
      </c>
      <c r="I11" s="137" t="str">
        <f t="shared" si="3"/>
        <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74">
        <v>3</v>
      </c>
      <c r="S11" s="274">
        <v>24</v>
      </c>
      <c r="T11" s="23">
        <v>0.4</v>
      </c>
      <c r="V11" s="222" t="s">
        <v>276</v>
      </c>
      <c r="W11" s="24">
        <v>0.4</v>
      </c>
      <c r="X11" s="274" t="s">
        <v>268</v>
      </c>
      <c r="Y11" s="278" t="s">
        <v>277</v>
      </c>
    </row>
    <row r="12" spans="1:25" ht="96.6" x14ac:dyDescent="0.3">
      <c r="A12" s="20" t="str">
        <f>'2 IDENTIFICACIÓN'!A12</f>
        <v>R3</v>
      </c>
      <c r="B12" s="152" t="str">
        <f>+'2 IDENTIFICACIÓN'!J12</f>
        <v>Posibilidad de afectación económica y reputacional por  manejo inadecuado de pasivos exigibles y vigencias expiradas, debido a  incumplimiento de los procedimientos establecidos en la Resolución 193 de 2016 de la Contaduría General de la Nación.</v>
      </c>
      <c r="C12" s="154">
        <v>49</v>
      </c>
      <c r="D12" s="130" t="str">
        <f t="shared" si="0"/>
        <v>La actividad que conlleva el riesgo se ejecuta de 24 a 500 veces por año</v>
      </c>
      <c r="E12" s="131">
        <f t="shared" si="1"/>
        <v>0.6</v>
      </c>
      <c r="F12" s="21" t="str">
        <f t="shared" si="2"/>
        <v>Media</v>
      </c>
      <c r="G12" s="138" t="s">
        <v>291</v>
      </c>
      <c r="H12" s="132">
        <f t="shared" si="6"/>
        <v>1</v>
      </c>
      <c r="I12" s="137" t="str">
        <f t="shared" si="3"/>
        <v>Catastrófico</v>
      </c>
      <c r="J12" s="138" t="s">
        <v>282</v>
      </c>
      <c r="K12" s="132">
        <f t="shared" si="4"/>
        <v>0.6</v>
      </c>
      <c r="L12" s="137" t="str">
        <f t="shared" si="5"/>
        <v>Moderado</v>
      </c>
      <c r="M12" s="160">
        <f t="shared" ref="M12:M39" si="8">+IF(H12="",K12,IF(K12="",H12,IF(H12&gt;K12,H12,K12)))</f>
        <v>1</v>
      </c>
      <c r="N12" s="161" t="str">
        <f t="shared" si="7"/>
        <v>Catastrófico</v>
      </c>
      <c r="P12" s="223" t="s">
        <v>278</v>
      </c>
      <c r="Q12" s="25" t="s">
        <v>279</v>
      </c>
      <c r="R12" s="274">
        <v>25</v>
      </c>
      <c r="S12" s="274">
        <v>500</v>
      </c>
      <c r="T12" s="23">
        <v>0.6</v>
      </c>
      <c r="V12" s="223" t="s">
        <v>280</v>
      </c>
      <c r="W12" s="24">
        <v>0.6</v>
      </c>
      <c r="X12" s="274" t="s">
        <v>281</v>
      </c>
      <c r="Y12" s="278" t="s">
        <v>282</v>
      </c>
    </row>
    <row r="13" spans="1:25" ht="96.6" x14ac:dyDescent="0.3">
      <c r="A13" s="20" t="str">
        <f>'2 IDENTIFICACIÓN'!A13</f>
        <v>R4</v>
      </c>
      <c r="B13" s="152" t="str">
        <f>+'2 IDENTIFICACIÓN'!J13</f>
        <v>Posibilidad de afectación económica y reputacional por  investigaciones y sanciones disciplinarias por entes de control, debido a la falta de seguimiento al cumplimiento de metas del Plan de Desarrollo Municipal programadas para la vigencia.</v>
      </c>
      <c r="C13" s="154">
        <v>360</v>
      </c>
      <c r="D13" s="130" t="str">
        <f t="shared" si="0"/>
        <v>La actividad que conlleva el riesgo se ejecuta de 24 a 500 veces por año</v>
      </c>
      <c r="E13" s="131">
        <f t="shared" si="1"/>
        <v>0.6</v>
      </c>
      <c r="F13" s="21" t="str">
        <f t="shared" si="2"/>
        <v>Media</v>
      </c>
      <c r="G13" s="138" t="s">
        <v>291</v>
      </c>
      <c r="H13" s="132">
        <f t="shared" si="6"/>
        <v>1</v>
      </c>
      <c r="I13" s="137" t="str">
        <f t="shared" si="3"/>
        <v>Catastrófico</v>
      </c>
      <c r="J13" s="138" t="s">
        <v>282</v>
      </c>
      <c r="K13" s="132">
        <f t="shared" si="4"/>
        <v>0.6</v>
      </c>
      <c r="L13" s="137" t="str">
        <f t="shared" si="5"/>
        <v>Moderado</v>
      </c>
      <c r="M13" s="160">
        <f t="shared" si="8"/>
        <v>1</v>
      </c>
      <c r="N13" s="161" t="str">
        <f t="shared" si="7"/>
        <v>Catastrófico</v>
      </c>
      <c r="P13" s="26" t="s">
        <v>283</v>
      </c>
      <c r="Q13" s="25" t="s">
        <v>284</v>
      </c>
      <c r="R13" s="274">
        <v>501</v>
      </c>
      <c r="S13" s="274">
        <v>5000</v>
      </c>
      <c r="T13" s="23">
        <v>0.8</v>
      </c>
      <c r="V13" s="26" t="s">
        <v>285</v>
      </c>
      <c r="W13" s="24">
        <v>0.8</v>
      </c>
      <c r="X13" s="274" t="s">
        <v>286</v>
      </c>
      <c r="Y13" s="278" t="s">
        <v>287</v>
      </c>
    </row>
    <row r="14" spans="1:25" ht="97.2" thickBot="1" x14ac:dyDescent="0.35">
      <c r="A14" s="20" t="str">
        <f>'2 IDENTIFICACIÓN'!A14</f>
        <v>R5</v>
      </c>
      <c r="B14" s="152" t="str">
        <f>+'2 IDENTIFICACIÓN'!J14</f>
        <v>Posibilidad de afectación reputacional por  investigaciones disciplinarias y sanciones por entes de control, debido a  la deficiente planeación de las necesidades del Plan Anual de Adquisiciones por parte de la Secretaría de Infraestructura.</v>
      </c>
      <c r="C14" s="154">
        <v>60</v>
      </c>
      <c r="D14" s="130" t="str">
        <f t="shared" si="0"/>
        <v>La actividad que conlleva el riesgo se ejecuta de 24 a 500 veces por año</v>
      </c>
      <c r="E14" s="131">
        <f t="shared" si="1"/>
        <v>0.6</v>
      </c>
      <c r="F14" s="21" t="str">
        <f t="shared" si="2"/>
        <v>Media</v>
      </c>
      <c r="G14" s="138" t="s">
        <v>293</v>
      </c>
      <c r="H14" s="132" t="str">
        <f t="shared" si="6"/>
        <v/>
      </c>
      <c r="I14" s="137" t="str">
        <f t="shared" si="3"/>
        <v/>
      </c>
      <c r="J14" s="138" t="s">
        <v>282</v>
      </c>
      <c r="K14" s="132">
        <f t="shared" si="4"/>
        <v>0.6</v>
      </c>
      <c r="L14" s="137" t="str">
        <f t="shared" si="5"/>
        <v>Moderado</v>
      </c>
      <c r="M14" s="160">
        <f t="shared" si="8"/>
        <v>0.6</v>
      </c>
      <c r="N14" s="161" t="str">
        <f t="shared" si="7"/>
        <v>Moderado</v>
      </c>
      <c r="P14" s="271" t="s">
        <v>288</v>
      </c>
      <c r="Q14" s="272" t="s">
        <v>289</v>
      </c>
      <c r="R14" s="275">
        <v>5001</v>
      </c>
      <c r="S14" s="275"/>
      <c r="T14" s="273">
        <v>1</v>
      </c>
      <c r="V14" s="271" t="s">
        <v>290</v>
      </c>
      <c r="W14" s="276">
        <v>1</v>
      </c>
      <c r="X14" s="275" t="s">
        <v>291</v>
      </c>
      <c r="Y14" s="279" t="s">
        <v>292</v>
      </c>
    </row>
    <row r="15" spans="1:25" ht="124.2" x14ac:dyDescent="0.3">
      <c r="A15" s="20" t="str">
        <f>'2 IDENTIFICACIÓN'!A15</f>
        <v>R6</v>
      </c>
      <c r="B15" s="152" t="str">
        <f>+'2 IDENTIFICACIÓN'!J15</f>
        <v>Posibilidad de afectación reputacional por   investigaciones y sanciones disciplinarias por entes de control, debido a  incumplimiento de la norma NTC 6047 de accesibilidad en proyectos de obra pública, a causa de la inapropiada implementación de los principios de diseño universal en las fases de diseño y licitación.</v>
      </c>
      <c r="C15" s="154">
        <v>60</v>
      </c>
      <c r="D15" s="130" t="str">
        <f t="shared" si="0"/>
        <v>La actividad que conlleva el riesgo se ejecuta de 24 a 500 veces por año</v>
      </c>
      <c r="E15" s="131">
        <f t="shared" si="1"/>
        <v>0.6</v>
      </c>
      <c r="F15" s="21" t="str">
        <f t="shared" si="2"/>
        <v>Media</v>
      </c>
      <c r="G15" s="138" t="s">
        <v>293</v>
      </c>
      <c r="H15" s="132" t="str">
        <f t="shared" si="6"/>
        <v/>
      </c>
      <c r="I15" s="137" t="str">
        <f t="shared" si="3"/>
        <v/>
      </c>
      <c r="J15" s="138" t="s">
        <v>282</v>
      </c>
      <c r="K15" s="132">
        <f t="shared" si="4"/>
        <v>0.6</v>
      </c>
      <c r="L15" s="137" t="str">
        <f t="shared" si="5"/>
        <v>Moderado</v>
      </c>
      <c r="M15" s="160">
        <f t="shared" si="8"/>
        <v>0.6</v>
      </c>
      <c r="N15" s="161" t="str">
        <f t="shared" si="7"/>
        <v>Moderado</v>
      </c>
      <c r="P15" s="28"/>
      <c r="X15" s="28" t="s">
        <v>293</v>
      </c>
      <c r="Y15" s="28" t="s">
        <v>293</v>
      </c>
    </row>
    <row r="16" spans="1:25" ht="82.8" x14ac:dyDescent="0.3">
      <c r="A16" s="20" t="str">
        <f>'2 IDENTIFICACIÓN'!A16</f>
        <v>R7</v>
      </c>
      <c r="B16" s="152" t="str">
        <f>+'2 IDENTIFICACIÓN'!J16</f>
        <v>Posibilidad de afectación reputacional por    investigaciones disciplinarias y sanciones por entes de control, debido a  las debilidades en la formulación y ejecución de los proyectos de presupuestos participativos.</v>
      </c>
      <c r="C16" s="154">
        <v>25</v>
      </c>
      <c r="D16" s="130" t="str">
        <f t="shared" si="0"/>
        <v>La actividad que conlleva el riesgo se ejecuta de 24 a 500 veces por año</v>
      </c>
      <c r="E16" s="131">
        <f t="shared" si="1"/>
        <v>0.6</v>
      </c>
      <c r="F16" s="21" t="str">
        <f t="shared" si="2"/>
        <v>Media</v>
      </c>
      <c r="G16" s="138" t="s">
        <v>293</v>
      </c>
      <c r="H16" s="132" t="str">
        <f t="shared" si="6"/>
        <v/>
      </c>
      <c r="I16" s="137" t="str">
        <f t="shared" si="3"/>
        <v/>
      </c>
      <c r="J16" s="138" t="s">
        <v>282</v>
      </c>
      <c r="K16" s="132">
        <f t="shared" si="4"/>
        <v>0.6</v>
      </c>
      <c r="L16" s="137" t="str">
        <f t="shared" si="5"/>
        <v>Moderado</v>
      </c>
      <c r="M16" s="160">
        <f t="shared" si="8"/>
        <v>0.6</v>
      </c>
      <c r="N16" s="161" t="str">
        <f t="shared" si="7"/>
        <v>Moderado</v>
      </c>
    </row>
    <row r="17" spans="1:14" ht="96.6" x14ac:dyDescent="0.3">
      <c r="A17" s="20" t="str">
        <f>'2 IDENTIFICACIÓN'!A17</f>
        <v>R8</v>
      </c>
      <c r="B17" s="152" t="str">
        <f>+'2 IDENTIFICACIÓN'!J17</f>
        <v>Posibilidad de afectación económica por  investigaciones disciplinarias y sanciones por entes de control, debido a  la adición de contratos en tiempo y valor sin haber ejecutado el 50% del contrato inicial, por deficiencias en la planeación de la etapa precontractual.</v>
      </c>
      <c r="C17" s="154">
        <v>30</v>
      </c>
      <c r="D17" s="130" t="str">
        <f t="shared" si="0"/>
        <v>La actividad que conlleva el riesgo se ejecuta de 24 a 500 veces por año</v>
      </c>
      <c r="E17" s="131">
        <f t="shared" si="1"/>
        <v>0.6</v>
      </c>
      <c r="F17" s="21" t="str">
        <f t="shared" si="2"/>
        <v>Media</v>
      </c>
      <c r="G17" s="138" t="s">
        <v>293</v>
      </c>
      <c r="H17" s="132" t="str">
        <f t="shared" si="6"/>
        <v/>
      </c>
      <c r="I17" s="137" t="str">
        <f t="shared" si="3"/>
        <v/>
      </c>
      <c r="J17" s="138" t="s">
        <v>282</v>
      </c>
      <c r="K17" s="132">
        <f t="shared" si="4"/>
        <v>0.6</v>
      </c>
      <c r="L17" s="137" t="str">
        <f t="shared" si="5"/>
        <v>Moderado</v>
      </c>
      <c r="M17" s="160">
        <f t="shared" si="8"/>
        <v>0.6</v>
      </c>
      <c r="N17" s="161" t="str">
        <f t="shared" si="7"/>
        <v>Moderado</v>
      </c>
    </row>
    <row r="18" spans="1:14" ht="110.4" x14ac:dyDescent="0.3">
      <c r="A18" s="20" t="str">
        <f>'2 IDENTIFICACIÓN'!A18</f>
        <v>R9</v>
      </c>
      <c r="B18" s="152" t="str">
        <f>+'2 IDENTIFICACIÓN'!J18</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18" s="154">
        <v>360</v>
      </c>
      <c r="D18" s="130" t="str">
        <f t="shared" si="0"/>
        <v>La actividad que conlleva el riesgo se ejecuta de 24 a 500 veces por año</v>
      </c>
      <c r="E18" s="131">
        <f t="shared" si="1"/>
        <v>0.6</v>
      </c>
      <c r="F18" s="21" t="str">
        <f t="shared" si="2"/>
        <v>Media</v>
      </c>
      <c r="G18" s="138" t="s">
        <v>268</v>
      </c>
      <c r="H18" s="132">
        <f t="shared" si="6"/>
        <v>0.4</v>
      </c>
      <c r="I18" s="137" t="str">
        <f t="shared" si="3"/>
        <v>Menor</v>
      </c>
      <c r="J18" s="138" t="s">
        <v>282</v>
      </c>
      <c r="K18" s="132">
        <f t="shared" si="4"/>
        <v>0.6</v>
      </c>
      <c r="L18" s="137" t="str">
        <f t="shared" si="5"/>
        <v>Moderado</v>
      </c>
      <c r="M18" s="160">
        <f t="shared" si="8"/>
        <v>0.6</v>
      </c>
      <c r="N18" s="161" t="str">
        <f t="shared" si="7"/>
        <v>Moderado</v>
      </c>
    </row>
    <row r="19" spans="1:14" ht="110.4" x14ac:dyDescent="0.3">
      <c r="A19" s="20" t="str">
        <f>'2 IDENTIFICACIÓN'!A19</f>
        <v>R10</v>
      </c>
      <c r="B19" s="152"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19" s="154">
        <v>1400</v>
      </c>
      <c r="D19" s="130" t="str">
        <f t="shared" si="0"/>
        <v>La actividad que conlleva el riesgo se ejecuta mínimo 500 veces al año y máximo 5.000 veces por año</v>
      </c>
      <c r="E19" s="131">
        <f t="shared" si="1"/>
        <v>0.8</v>
      </c>
      <c r="F19" s="21" t="str">
        <f t="shared" si="2"/>
        <v>Alta</v>
      </c>
      <c r="G19" s="138" t="s">
        <v>291</v>
      </c>
      <c r="H19" s="132">
        <f t="shared" si="6"/>
        <v>1</v>
      </c>
      <c r="I19" s="137" t="str">
        <f t="shared" si="3"/>
        <v>Catastrófico</v>
      </c>
      <c r="J19" s="138" t="s">
        <v>293</v>
      </c>
      <c r="K19" s="132" t="str">
        <f t="shared" si="4"/>
        <v/>
      </c>
      <c r="L19" s="137" t="str">
        <f t="shared" si="5"/>
        <v/>
      </c>
      <c r="M19" s="160">
        <f t="shared" si="8"/>
        <v>1</v>
      </c>
      <c r="N19" s="161" t="str">
        <f t="shared" si="7"/>
        <v>Catastrófico</v>
      </c>
    </row>
    <row r="20" spans="1:14" ht="82.8" x14ac:dyDescent="0.3">
      <c r="A20" s="20" t="str">
        <f>'2 IDENTIFICACIÓN'!A20</f>
        <v>R11</v>
      </c>
      <c r="B20" s="152" t="str">
        <f>+'2 IDENTIFICACIÓN'!J20</f>
        <v>Posibilidad  de efecto dañoso sobre el recurso público por anticipos entregados al contratista sin legalizar, debido a  la deficiencias en el seguimiento y control del proceso de amortización del anticipo.</v>
      </c>
      <c r="C20" s="154">
        <v>30</v>
      </c>
      <c r="D20" s="130" t="str">
        <f t="shared" si="0"/>
        <v>La actividad que conlleva el riesgo se ejecuta de 24 a 500 veces por año</v>
      </c>
      <c r="E20" s="131">
        <f t="shared" si="1"/>
        <v>0.6</v>
      </c>
      <c r="F20" s="21" t="str">
        <f t="shared" si="2"/>
        <v>Media</v>
      </c>
      <c r="G20" s="138" t="s">
        <v>291</v>
      </c>
      <c r="H20" s="132">
        <f t="shared" si="6"/>
        <v>1</v>
      </c>
      <c r="I20" s="137" t="str">
        <f t="shared" si="3"/>
        <v>Catastrófico</v>
      </c>
      <c r="J20" s="138" t="s">
        <v>293</v>
      </c>
      <c r="K20" s="132" t="str">
        <f t="shared" si="4"/>
        <v/>
      </c>
      <c r="L20" s="137" t="str">
        <f t="shared" si="5"/>
        <v/>
      </c>
      <c r="M20" s="160">
        <f t="shared" si="8"/>
        <v>1</v>
      </c>
      <c r="N20" s="161" t="str">
        <f t="shared" si="7"/>
        <v>Catastrófico</v>
      </c>
    </row>
    <row r="21" spans="1:14" ht="124.2" x14ac:dyDescent="0.3">
      <c r="A21" s="20" t="str">
        <f>'2 IDENTIFICACIÓN'!A21</f>
        <v>R12</v>
      </c>
      <c r="B21" s="152" t="str">
        <f>+'2 IDENTIFICACIÓN'!J21</f>
        <v>Posibilidad  de efecto dañoso sobre el recurso público por  el pago de sanciones impuestas por entes de control, debido a  incumplimiento de las normas vigentes en las etapas precontractual, contractual y postcontractual de la contratación, afectando la obtención y cumplimiento del objeto contractual.</v>
      </c>
      <c r="C21" s="154">
        <v>120</v>
      </c>
      <c r="D21" s="130" t="str">
        <f t="shared" si="0"/>
        <v>La actividad que conlleva el riesgo se ejecuta de 24 a 500 veces por año</v>
      </c>
      <c r="E21" s="131">
        <f t="shared" si="1"/>
        <v>0.6</v>
      </c>
      <c r="F21" s="21" t="str">
        <f t="shared" si="2"/>
        <v>Media</v>
      </c>
      <c r="G21" s="138" t="s">
        <v>291</v>
      </c>
      <c r="H21" s="132">
        <f t="shared" si="6"/>
        <v>1</v>
      </c>
      <c r="I21" s="137" t="str">
        <f t="shared" si="3"/>
        <v>Catastrófico</v>
      </c>
      <c r="J21" s="138" t="s">
        <v>293</v>
      </c>
      <c r="K21" s="132" t="str">
        <f t="shared" si="4"/>
        <v/>
      </c>
      <c r="L21" s="137" t="str">
        <f t="shared" si="5"/>
        <v/>
      </c>
      <c r="M21" s="160">
        <f t="shared" si="8"/>
        <v>1</v>
      </c>
      <c r="N21" s="161" t="str">
        <f t="shared" si="7"/>
        <v>Catastrófico</v>
      </c>
    </row>
    <row r="22" spans="1:14" ht="124.2" x14ac:dyDescent="0.3">
      <c r="A22" s="20" t="str">
        <f>'2 IDENTIFICACIÓN'!A22</f>
        <v>R13</v>
      </c>
      <c r="B22" s="152" t="str">
        <f>+'2 IDENTIFICACIÓN'!J22</f>
        <v>Posibilidad  de efecto dañoso sobre el recurso público por  el pago de sanciones y/o condenas impuestas por entes de control,  debido a  incumplimiento en la cobertura de las garantías que amparan los riesgos definidos en la etapa precontractual, conforme al Manual de Contratación M-GJ-1140-170-001.</v>
      </c>
      <c r="C22" s="154">
        <v>32</v>
      </c>
      <c r="D22" s="130" t="str">
        <f t="shared" si="0"/>
        <v>La actividad que conlleva el riesgo se ejecuta de 24 a 500 veces por año</v>
      </c>
      <c r="E22" s="131">
        <f t="shared" si="1"/>
        <v>0.6</v>
      </c>
      <c r="F22" s="21" t="str">
        <f t="shared" si="2"/>
        <v>Media</v>
      </c>
      <c r="G22" s="138" t="s">
        <v>291</v>
      </c>
      <c r="H22" s="132">
        <f t="shared" si="6"/>
        <v>1</v>
      </c>
      <c r="I22" s="137" t="str">
        <f t="shared" si="3"/>
        <v>Catastrófico</v>
      </c>
      <c r="J22" s="138" t="s">
        <v>293</v>
      </c>
      <c r="K22" s="132" t="str">
        <f t="shared" si="4"/>
        <v/>
      </c>
      <c r="L22" s="137" t="str">
        <f t="shared" si="5"/>
        <v/>
      </c>
      <c r="M22" s="160">
        <f t="shared" si="8"/>
        <v>1</v>
      </c>
      <c r="N22" s="161" t="str">
        <f t="shared" si="7"/>
        <v>Catastrófico</v>
      </c>
    </row>
    <row r="23" spans="1:14" ht="110.4" x14ac:dyDescent="0.3">
      <c r="A23" s="20" t="str">
        <f>'2 IDENTIFICACIÓN'!A23</f>
        <v>R14</v>
      </c>
      <c r="B23" s="152" t="str">
        <f>+'2 IDENTIFICACIÓN'!J23</f>
        <v>Posibilidad  de efecto dañoso sobre el recurso público por Pago de sanciones impuestas por la Contraloría General de la República,  debido a  reporte extemporáneo de la información de obras inconclusas a través de la plataforma SIRECI por parte de la Secretaría de Infraestructura.</v>
      </c>
      <c r="C23" s="154">
        <v>12</v>
      </c>
      <c r="D23" s="130" t="str">
        <f t="shared" si="0"/>
        <v>La actividad que conlleva el riesgo se ejecuta de 3 a 24 veces por año</v>
      </c>
      <c r="E23" s="131">
        <f t="shared" si="1"/>
        <v>0.4</v>
      </c>
      <c r="F23" s="21" t="str">
        <f t="shared" si="2"/>
        <v>Baja</v>
      </c>
      <c r="G23" s="138" t="s">
        <v>291</v>
      </c>
      <c r="H23" s="132">
        <f t="shared" si="6"/>
        <v>1</v>
      </c>
      <c r="I23" s="137" t="str">
        <f t="shared" si="3"/>
        <v>Catastrófico</v>
      </c>
      <c r="J23" s="138" t="s">
        <v>293</v>
      </c>
      <c r="K23" s="132" t="str">
        <f t="shared" si="4"/>
        <v/>
      </c>
      <c r="L23" s="137" t="str">
        <f t="shared" si="5"/>
        <v/>
      </c>
      <c r="M23" s="160">
        <f t="shared" si="8"/>
        <v>1</v>
      </c>
      <c r="N23" s="161" t="str">
        <f t="shared" si="7"/>
        <v>Catastrófico</v>
      </c>
    </row>
    <row r="24" spans="1:14" ht="110.4" x14ac:dyDescent="0.3">
      <c r="A24" s="20" t="str">
        <f>'2 IDENTIFICACIÓN'!A24</f>
        <v>R15</v>
      </c>
      <c r="B24" s="152" t="str">
        <f>+'2 IDENTIFICACIÓN'!J24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4" s="154">
        <v>360</v>
      </c>
      <c r="D24" s="130" t="str">
        <f t="shared" si="0"/>
        <v>La actividad que conlleva el riesgo se ejecuta de 24 a 500 veces por año</v>
      </c>
      <c r="E24" s="131">
        <f t="shared" si="1"/>
        <v>0.6</v>
      </c>
      <c r="F24" s="21" t="str">
        <f t="shared" si="2"/>
        <v>Media</v>
      </c>
      <c r="G24" s="138" t="s">
        <v>293</v>
      </c>
      <c r="H24" s="132" t="str">
        <f t="shared" si="6"/>
        <v/>
      </c>
      <c r="I24" s="137" t="str">
        <f t="shared" si="3"/>
        <v/>
      </c>
      <c r="J24" s="138" t="s">
        <v>282</v>
      </c>
      <c r="K24" s="132">
        <f t="shared" si="4"/>
        <v>0.6</v>
      </c>
      <c r="L24" s="137" t="str">
        <f t="shared" si="5"/>
        <v>Moderado</v>
      </c>
      <c r="M24" s="160">
        <f t="shared" si="8"/>
        <v>0.6</v>
      </c>
      <c r="N24" s="161" t="str">
        <f t="shared" si="7"/>
        <v>Moderado</v>
      </c>
    </row>
    <row r="25" spans="1:14" ht="96.6" x14ac:dyDescent="0.3">
      <c r="A25" s="20" t="str">
        <f>'2 IDENTIFICACIÓN'!A25</f>
        <v>R16</v>
      </c>
      <c r="B25" s="152" t="str">
        <f>+'2 IDENTIFICACIÓN'!J25</f>
        <v>Posibilidad  de efecto dañoso sobre el recurso público por or pago de sanción e intereses moratorios, debido a  trámite inoportuno a los requerimientos de los entes de control y vigilancia, de acuerdo con sus lineamientos y términos de ley.</v>
      </c>
      <c r="C25" s="154">
        <v>435</v>
      </c>
      <c r="D25" s="130" t="str">
        <f t="shared" si="0"/>
        <v>La actividad que conlleva el riesgo se ejecuta de 24 a 500 veces por año</v>
      </c>
      <c r="E25" s="131">
        <f t="shared" si="1"/>
        <v>0.6</v>
      </c>
      <c r="F25" s="21" t="str">
        <f t="shared" si="2"/>
        <v>Media</v>
      </c>
      <c r="G25" s="138" t="s">
        <v>268</v>
      </c>
      <c r="H25" s="132">
        <f t="shared" si="6"/>
        <v>0.4</v>
      </c>
      <c r="I25" s="137" t="str">
        <f t="shared" si="3"/>
        <v>Menor</v>
      </c>
      <c r="J25" s="138" t="s">
        <v>293</v>
      </c>
      <c r="K25" s="132" t="str">
        <f t="shared" si="4"/>
        <v/>
      </c>
      <c r="L25" s="137" t="str">
        <f t="shared" si="5"/>
        <v/>
      </c>
      <c r="M25" s="160">
        <f t="shared" si="8"/>
        <v>0.4</v>
      </c>
      <c r="N25" s="161" t="str">
        <f t="shared" si="7"/>
        <v>Menor</v>
      </c>
    </row>
    <row r="26" spans="1:14" ht="96.6" x14ac:dyDescent="0.3">
      <c r="A26" s="20" t="str">
        <f>'2 IDENTIFICACIÓN'!A26</f>
        <v>R17</v>
      </c>
      <c r="B26" s="152" t="str">
        <f>+'2 IDENTIFICACIÓN'!J26</f>
        <v>Posibilidad  de efecto dañoso sobre bienes de uso fiscal por por pérdida, extravío, hurto o faltantes en inventario de bienes muebles de la entidad,  debido a deficiencias en la actualización, verificación y control del inventario de bienes muebles.</v>
      </c>
      <c r="C26" s="154">
        <v>360</v>
      </c>
      <c r="D26" s="130" t="str">
        <f t="shared" si="0"/>
        <v>La actividad que conlleva el riesgo se ejecuta de 24 a 500 veces por año</v>
      </c>
      <c r="E26" s="131">
        <f t="shared" si="1"/>
        <v>0.6</v>
      </c>
      <c r="F26" s="21" t="str">
        <f t="shared" si="2"/>
        <v>Media</v>
      </c>
      <c r="G26" s="138" t="s">
        <v>291</v>
      </c>
      <c r="H26" s="132">
        <f t="shared" si="6"/>
        <v>1</v>
      </c>
      <c r="I26" s="137" t="str">
        <f t="shared" si="3"/>
        <v>Catastrófico</v>
      </c>
      <c r="J26" s="138" t="s">
        <v>293</v>
      </c>
      <c r="K26" s="132" t="str">
        <f t="shared" si="4"/>
        <v/>
      </c>
      <c r="L26" s="137" t="str">
        <f t="shared" si="5"/>
        <v/>
      </c>
      <c r="M26" s="160">
        <f t="shared" si="8"/>
        <v>1</v>
      </c>
      <c r="N26" s="161" t="str">
        <f t="shared" si="7"/>
        <v>Catastrófico</v>
      </c>
    </row>
    <row r="27" spans="1:14" ht="110.4" x14ac:dyDescent="0.3">
      <c r="A27" s="20" t="str">
        <f>'2 IDENTIFICACIÓN'!A27</f>
        <v>R18</v>
      </c>
      <c r="B27" s="152" t="str">
        <f>+'2 IDENTIFICACIÓN'!J27</f>
        <v xml:space="preserve">Posibilidad  de efecto dañoso sobre el recurso público por  Pago de agencias en derecho y costas procesales, en  primera y segunda instancia, debido a  fallos en contra del ente territorial,  que impone el deber de sufragar estos conceptos  a favor de los actores populares. </v>
      </c>
      <c r="C27" s="154">
        <v>90</v>
      </c>
      <c r="D27" s="130" t="str">
        <f t="shared" si="0"/>
        <v>La actividad que conlleva el riesgo se ejecuta de 24 a 500 veces por año</v>
      </c>
      <c r="E27" s="131">
        <f t="shared" si="1"/>
        <v>0.6</v>
      </c>
      <c r="F27" s="21" t="str">
        <f t="shared" si="2"/>
        <v>Media</v>
      </c>
      <c r="G27" s="138" t="s">
        <v>291</v>
      </c>
      <c r="H27" s="132">
        <f t="shared" si="6"/>
        <v>1</v>
      </c>
      <c r="I27" s="137" t="str">
        <f t="shared" si="3"/>
        <v>Catastrófico</v>
      </c>
      <c r="J27" s="138" t="s">
        <v>293</v>
      </c>
      <c r="K27" s="132" t="str">
        <f t="shared" si="4"/>
        <v/>
      </c>
      <c r="L27" s="137" t="str">
        <f t="shared" si="5"/>
        <v/>
      </c>
      <c r="M27" s="160">
        <f t="shared" si="8"/>
        <v>1</v>
      </c>
      <c r="N27" s="161" t="str">
        <f t="shared" si="7"/>
        <v>Catastrófico</v>
      </c>
    </row>
    <row r="28" spans="1:14" ht="138" x14ac:dyDescent="0.3">
      <c r="A28" s="20" t="str">
        <f>'2 IDENTIFICACIÓN'!A28</f>
        <v>R19</v>
      </c>
      <c r="B28" s="152" t="str">
        <f>+'2 IDENTIFICACIÓN'!J28</f>
        <v>Posibilidad  de efecto dañoso sobre el recurso público por  deficiencias en la planeación, seguimiento y control de los proyectos de infraestructura educativa financiados con recursos de empréstito, generando retrasos en la ejecución y pagos financieros sin avance proporcional de las obras, debido a debilidades en el monitoreo y supervisión contractual.</v>
      </c>
      <c r="C28" s="154">
        <v>360</v>
      </c>
      <c r="D28" s="130" t="str">
        <f t="shared" si="0"/>
        <v>La actividad que conlleva el riesgo se ejecuta de 24 a 500 veces por año</v>
      </c>
      <c r="E28" s="131">
        <f t="shared" si="1"/>
        <v>0.6</v>
      </c>
      <c r="F28" s="21" t="str">
        <f t="shared" si="2"/>
        <v>Media</v>
      </c>
      <c r="G28" s="138" t="s">
        <v>291</v>
      </c>
      <c r="H28" s="132">
        <f t="shared" si="6"/>
        <v>1</v>
      </c>
      <c r="I28" s="137" t="str">
        <f t="shared" si="3"/>
        <v>Catastrófico</v>
      </c>
      <c r="J28" s="138" t="s">
        <v>293</v>
      </c>
      <c r="K28" s="132" t="str">
        <f t="shared" si="4"/>
        <v/>
      </c>
      <c r="L28" s="137" t="str">
        <f t="shared" si="5"/>
        <v/>
      </c>
      <c r="M28" s="160">
        <f t="shared" si="8"/>
        <v>1</v>
      </c>
      <c r="N28" s="161" t="str">
        <f t="shared" si="7"/>
        <v>Catastrófico</v>
      </c>
    </row>
    <row r="29" spans="1:14" ht="151.80000000000001" x14ac:dyDescent="0.3">
      <c r="A29" s="20" t="str">
        <f>'2 IDENTIFICACIÓN'!A29</f>
        <v>R20</v>
      </c>
      <c r="B29" s="152" t="str">
        <f>+'2 IDENTIFICACIÓN'!J29</f>
        <v>Posibilidad de afectación reputacional por  ocupación o desarrollo urbanístico no controlado en zonas intervenidas con obras de mitigación del riesgo,  debido a  deficiencias en el seguimiento de las actuaciones policivas y en la articulación interinstitucional para la atención de denuncias, reportes o alertas relacionadas con presuntas infracciones urbanísticas.</v>
      </c>
      <c r="C29" s="269">
        <v>360</v>
      </c>
      <c r="D29" s="130" t="str">
        <f t="shared" si="0"/>
        <v>La actividad que conlleva el riesgo se ejecuta de 24 a 500 veces por año</v>
      </c>
      <c r="E29" s="131">
        <f t="shared" si="1"/>
        <v>0.6</v>
      </c>
      <c r="F29" s="21" t="str">
        <f t="shared" si="2"/>
        <v>Media</v>
      </c>
      <c r="G29" s="270" t="s">
        <v>293</v>
      </c>
      <c r="H29" s="132" t="str">
        <f t="shared" si="6"/>
        <v/>
      </c>
      <c r="I29" s="137" t="str">
        <f t="shared" si="3"/>
        <v/>
      </c>
      <c r="J29" s="270" t="s">
        <v>282</v>
      </c>
      <c r="K29" s="132">
        <f t="shared" si="4"/>
        <v>0.6</v>
      </c>
      <c r="L29" s="137" t="str">
        <f t="shared" si="5"/>
        <v>Moderado</v>
      </c>
      <c r="M29" s="160">
        <f t="shared" si="8"/>
        <v>0.6</v>
      </c>
      <c r="N29" s="161" t="str">
        <f t="shared" si="7"/>
        <v>Moderado</v>
      </c>
    </row>
    <row r="30" spans="1:14" ht="96.6" x14ac:dyDescent="0.3">
      <c r="A30" s="20" t="str">
        <f>'2 IDENTIFICACIÓN'!A30</f>
        <v>R21</v>
      </c>
      <c r="B30" s="152" t="str">
        <f>+'2 IDENTIFICACIÓN'!J30</f>
        <v>Posibilidad de afectación reputacional por posibles investigaciones y sanciones disciplinarias por entes de control,  debido a debido al incumplimiento de la Ley 594 del 2000 en los documentos emanados por la Secretaría de Infraestructura.</v>
      </c>
      <c r="C30" s="269">
        <v>360</v>
      </c>
      <c r="D30" s="130" t="str">
        <f t="shared" si="0"/>
        <v>La actividad que conlleva el riesgo se ejecuta de 24 a 500 veces por año</v>
      </c>
      <c r="E30" s="131">
        <f t="shared" si="1"/>
        <v>0.6</v>
      </c>
      <c r="F30" s="21" t="str">
        <f t="shared" si="2"/>
        <v>Media</v>
      </c>
      <c r="G30" s="270" t="s">
        <v>293</v>
      </c>
      <c r="H30" s="132" t="str">
        <f t="shared" si="6"/>
        <v/>
      </c>
      <c r="I30" s="137" t="str">
        <f t="shared" si="3"/>
        <v/>
      </c>
      <c r="J30" s="270" t="s">
        <v>282</v>
      </c>
      <c r="K30" s="132">
        <f t="shared" si="4"/>
        <v>0.6</v>
      </c>
      <c r="L30" s="137" t="str">
        <f t="shared" si="5"/>
        <v>Moderado</v>
      </c>
      <c r="M30" s="160">
        <f t="shared" si="8"/>
        <v>0.6</v>
      </c>
      <c r="N30" s="161" t="str">
        <f t="shared" si="7"/>
        <v>Moderado</v>
      </c>
    </row>
    <row r="31" spans="1:14" ht="82.8" x14ac:dyDescent="0.3">
      <c r="A31" s="20" t="str">
        <f>'2 IDENTIFICACIÓN'!A31</f>
        <v>R22</v>
      </c>
      <c r="B31" s="152" t="str">
        <f>+'2 IDENTIFICACIÓN'!J31</f>
        <v>Posibilidad de pérdida reputacional por soborno para favorecer a un proponente en la adjudicación de un contrato de obra, debido a deficiencias en la verificación, evaluación y control de los procesos contractuales adelantados por la entidad..</v>
      </c>
      <c r="C31" s="269">
        <v>37</v>
      </c>
      <c r="D31" s="130" t="str">
        <f t="shared" si="0"/>
        <v>La actividad que conlleva el riesgo se ejecuta de 24 a 500 veces por año</v>
      </c>
      <c r="E31" s="131">
        <f t="shared" si="1"/>
        <v>0.6</v>
      </c>
      <c r="F31" s="21" t="str">
        <f t="shared" si="2"/>
        <v>Media</v>
      </c>
      <c r="G31" s="270" t="s">
        <v>291</v>
      </c>
      <c r="H31" s="132">
        <f t="shared" si="6"/>
        <v>1</v>
      </c>
      <c r="I31" s="137" t="str">
        <f t="shared" si="3"/>
        <v>Catastrófico</v>
      </c>
      <c r="J31" s="270" t="s">
        <v>293</v>
      </c>
      <c r="K31" s="132" t="str">
        <f t="shared" si="4"/>
        <v/>
      </c>
      <c r="L31" s="137" t="str">
        <f t="shared" si="5"/>
        <v/>
      </c>
      <c r="M31" s="160">
        <f t="shared" si="8"/>
        <v>1</v>
      </c>
      <c r="N31" s="161" t="str">
        <f t="shared" si="7"/>
        <v>Catastrófico</v>
      </c>
    </row>
    <row r="32" spans="1:14" ht="93" hidden="1" customHeight="1" x14ac:dyDescent="0.3">
      <c r="A32" s="20" t="str">
        <f>'2 IDENTIFICACIÓN'!A32</f>
        <v>R23</v>
      </c>
      <c r="B32" s="152" t="str">
        <f>+'2 IDENTIFICACIÓN'!J32</f>
        <v xml:space="preserve"> por  debido a </v>
      </c>
      <c r="C32" s="269"/>
      <c r="D32" s="130" t="str">
        <f t="shared" si="0"/>
        <v/>
      </c>
      <c r="E32" s="131" t="str">
        <f t="shared" si="1"/>
        <v/>
      </c>
      <c r="F32" s="21" t="str">
        <f t="shared" si="2"/>
        <v/>
      </c>
      <c r="G32" s="270"/>
      <c r="H32" s="132" t="str">
        <f t="shared" si="6"/>
        <v/>
      </c>
      <c r="I32" s="137" t="str">
        <f t="shared" si="3"/>
        <v/>
      </c>
      <c r="J32" s="270"/>
      <c r="K32" s="132" t="str">
        <f t="shared" si="4"/>
        <v/>
      </c>
      <c r="L32" s="137" t="str">
        <f t="shared" si="5"/>
        <v/>
      </c>
      <c r="M32" s="160" t="str">
        <f t="shared" si="8"/>
        <v/>
      </c>
      <c r="N32" s="161" t="str">
        <f t="shared" si="7"/>
        <v/>
      </c>
    </row>
    <row r="33" spans="1:14" ht="93" hidden="1" customHeight="1" x14ac:dyDescent="0.3">
      <c r="A33" s="20" t="str">
        <f>'2 IDENTIFICACIÓN'!A33</f>
        <v>R24</v>
      </c>
      <c r="B33" s="152" t="str">
        <f>+'2 IDENTIFICACIÓN'!J33</f>
        <v xml:space="preserve"> por  debido a </v>
      </c>
      <c r="C33" s="269"/>
      <c r="D33" s="130" t="str">
        <f t="shared" si="0"/>
        <v/>
      </c>
      <c r="E33" s="131" t="str">
        <f t="shared" si="1"/>
        <v/>
      </c>
      <c r="F33" s="21" t="str">
        <f t="shared" si="2"/>
        <v/>
      </c>
      <c r="G33" s="270"/>
      <c r="H33" s="132" t="str">
        <f t="shared" si="6"/>
        <v/>
      </c>
      <c r="I33" s="137" t="str">
        <f t="shared" si="3"/>
        <v/>
      </c>
      <c r="J33" s="270"/>
      <c r="K33" s="132" t="str">
        <f t="shared" si="4"/>
        <v/>
      </c>
      <c r="L33" s="137" t="str">
        <f t="shared" si="5"/>
        <v/>
      </c>
      <c r="M33" s="160" t="str">
        <f t="shared" si="8"/>
        <v/>
      </c>
      <c r="N33" s="161" t="str">
        <f t="shared" si="7"/>
        <v/>
      </c>
    </row>
    <row r="34" spans="1:14" ht="93" hidden="1" customHeight="1" x14ac:dyDescent="0.3">
      <c r="A34" s="20" t="str">
        <f>'2 IDENTIFICACIÓN'!A34</f>
        <v>R25</v>
      </c>
      <c r="B34" s="152" t="str">
        <f>+'2 IDENTIFICACIÓN'!J34</f>
        <v xml:space="preserve"> por  debido a </v>
      </c>
      <c r="C34" s="269"/>
      <c r="D34" s="130" t="str">
        <f t="shared" si="0"/>
        <v/>
      </c>
      <c r="E34" s="131" t="str">
        <f t="shared" si="1"/>
        <v/>
      </c>
      <c r="F34" s="21" t="str">
        <f t="shared" si="2"/>
        <v/>
      </c>
      <c r="G34" s="270"/>
      <c r="H34" s="132" t="str">
        <f t="shared" si="6"/>
        <v/>
      </c>
      <c r="I34" s="137" t="str">
        <f t="shared" si="3"/>
        <v/>
      </c>
      <c r="J34" s="270"/>
      <c r="K34" s="132" t="str">
        <f t="shared" si="4"/>
        <v/>
      </c>
      <c r="L34" s="137" t="str">
        <f t="shared" si="5"/>
        <v/>
      </c>
      <c r="M34" s="160" t="str">
        <f t="shared" si="8"/>
        <v/>
      </c>
      <c r="N34" s="161" t="str">
        <f t="shared" si="7"/>
        <v/>
      </c>
    </row>
    <row r="35" spans="1:14" ht="93" hidden="1" customHeight="1" x14ac:dyDescent="0.3">
      <c r="A35" s="20" t="str">
        <f>'2 IDENTIFICACIÓN'!A35</f>
        <v>R26</v>
      </c>
      <c r="B35" s="152" t="str">
        <f>+'2 IDENTIFICACIÓN'!J35</f>
        <v xml:space="preserve"> por  debido a </v>
      </c>
      <c r="C35" s="269"/>
      <c r="D35" s="130" t="str">
        <f t="shared" si="0"/>
        <v/>
      </c>
      <c r="E35" s="131" t="str">
        <f t="shared" si="1"/>
        <v/>
      </c>
      <c r="F35" s="21" t="str">
        <f t="shared" si="2"/>
        <v/>
      </c>
      <c r="G35" s="270"/>
      <c r="H35" s="132" t="str">
        <f t="shared" si="6"/>
        <v/>
      </c>
      <c r="I35" s="137" t="str">
        <f t="shared" si="3"/>
        <v/>
      </c>
      <c r="J35" s="270"/>
      <c r="K35" s="132" t="str">
        <f t="shared" si="4"/>
        <v/>
      </c>
      <c r="L35" s="137" t="str">
        <f t="shared" si="5"/>
        <v/>
      </c>
      <c r="M35" s="160" t="str">
        <f t="shared" si="8"/>
        <v/>
      </c>
      <c r="N35" s="161" t="str">
        <f t="shared" si="7"/>
        <v/>
      </c>
    </row>
    <row r="36" spans="1:14" ht="93" hidden="1" customHeight="1" x14ac:dyDescent="0.3">
      <c r="A36" s="20" t="str">
        <f>'2 IDENTIFICACIÓN'!A36</f>
        <v>R27</v>
      </c>
      <c r="B36" s="152" t="str">
        <f>+'2 IDENTIFICACIÓN'!J36</f>
        <v xml:space="preserve"> por  debido a </v>
      </c>
      <c r="C36" s="269"/>
      <c r="D36" s="130" t="str">
        <f t="shared" si="0"/>
        <v/>
      </c>
      <c r="E36" s="131" t="str">
        <f t="shared" si="1"/>
        <v/>
      </c>
      <c r="F36" s="21" t="str">
        <f t="shared" si="2"/>
        <v/>
      </c>
      <c r="G36" s="270"/>
      <c r="H36" s="132" t="str">
        <f t="shared" si="6"/>
        <v/>
      </c>
      <c r="I36" s="137" t="str">
        <f t="shared" si="3"/>
        <v/>
      </c>
      <c r="J36" s="270"/>
      <c r="K36" s="132" t="str">
        <f t="shared" si="4"/>
        <v/>
      </c>
      <c r="L36" s="137" t="str">
        <f t="shared" si="5"/>
        <v/>
      </c>
      <c r="M36" s="160" t="str">
        <f t="shared" si="8"/>
        <v/>
      </c>
      <c r="N36" s="161" t="str">
        <f t="shared" si="7"/>
        <v/>
      </c>
    </row>
    <row r="37" spans="1:14" ht="93" hidden="1" customHeight="1" x14ac:dyDescent="0.3">
      <c r="A37" s="20" t="str">
        <f>'2 IDENTIFICACIÓN'!A37</f>
        <v>R28</v>
      </c>
      <c r="B37" s="152" t="str">
        <f>+'2 IDENTIFICACIÓN'!J37</f>
        <v xml:space="preserve"> por  debido a </v>
      </c>
      <c r="C37" s="269"/>
      <c r="D37" s="130" t="str">
        <f t="shared" si="0"/>
        <v/>
      </c>
      <c r="E37" s="131" t="str">
        <f t="shared" si="1"/>
        <v/>
      </c>
      <c r="F37" s="21" t="str">
        <f t="shared" si="2"/>
        <v/>
      </c>
      <c r="G37" s="270"/>
      <c r="H37" s="132" t="str">
        <f t="shared" si="6"/>
        <v/>
      </c>
      <c r="I37" s="137" t="str">
        <f t="shared" si="3"/>
        <v/>
      </c>
      <c r="J37" s="270"/>
      <c r="K37" s="132" t="str">
        <f t="shared" si="4"/>
        <v/>
      </c>
      <c r="L37" s="137" t="str">
        <f t="shared" si="5"/>
        <v/>
      </c>
      <c r="M37" s="160" t="str">
        <f t="shared" si="8"/>
        <v/>
      </c>
      <c r="N37" s="161" t="str">
        <f t="shared" si="7"/>
        <v/>
      </c>
    </row>
    <row r="38" spans="1:14" ht="93" hidden="1" customHeight="1" x14ac:dyDescent="0.3">
      <c r="A38" s="20" t="str">
        <f>'2 IDENTIFICACIÓN'!A38</f>
        <v>R29</v>
      </c>
      <c r="B38" s="152" t="str">
        <f>+'2 IDENTIFICACIÓN'!J38</f>
        <v xml:space="preserve"> por  debido a </v>
      </c>
      <c r="C38" s="269"/>
      <c r="D38" s="130" t="str">
        <f t="shared" si="0"/>
        <v/>
      </c>
      <c r="E38" s="131" t="str">
        <f t="shared" si="1"/>
        <v/>
      </c>
      <c r="F38" s="21" t="str">
        <f t="shared" si="2"/>
        <v/>
      </c>
      <c r="G38" s="270"/>
      <c r="H38" s="132" t="str">
        <f t="shared" si="6"/>
        <v/>
      </c>
      <c r="I38" s="137" t="str">
        <f t="shared" si="3"/>
        <v/>
      </c>
      <c r="J38" s="270"/>
      <c r="K38" s="132" t="str">
        <f t="shared" si="4"/>
        <v/>
      </c>
      <c r="L38" s="137" t="str">
        <f t="shared" si="5"/>
        <v/>
      </c>
      <c r="M38" s="160" t="str">
        <f t="shared" si="8"/>
        <v/>
      </c>
      <c r="N38" s="161" t="str">
        <f t="shared" si="7"/>
        <v/>
      </c>
    </row>
    <row r="39" spans="1:14" ht="93" hidden="1" customHeight="1" thickBot="1" x14ac:dyDescent="0.35">
      <c r="A39" s="27" t="str">
        <f>'2 IDENTIFICACIÓN'!A39</f>
        <v>R30</v>
      </c>
      <c r="B39" s="316" t="str">
        <f>+'2 IDENTIFICACIÓN'!J39</f>
        <v xml:space="preserve"> por  debido a </v>
      </c>
      <c r="C39" s="155"/>
      <c r="D39" s="317" t="str">
        <f t="shared" si="0"/>
        <v/>
      </c>
      <c r="E39" s="318" t="str">
        <f t="shared" si="1"/>
        <v/>
      </c>
      <c r="F39" s="319" t="str">
        <f t="shared" si="2"/>
        <v/>
      </c>
      <c r="G39" s="139"/>
      <c r="H39" s="320" t="str">
        <f t="shared" si="6"/>
        <v/>
      </c>
      <c r="I39" s="321" t="str">
        <f t="shared" si="3"/>
        <v/>
      </c>
      <c r="J39" s="139"/>
      <c r="K39" s="320" t="str">
        <f t="shared" si="4"/>
        <v/>
      </c>
      <c r="L39" s="321" t="str">
        <f t="shared" si="5"/>
        <v/>
      </c>
      <c r="M39" s="322" t="str">
        <f t="shared" si="8"/>
        <v/>
      </c>
      <c r="N39" s="323" t="str">
        <f t="shared" si="7"/>
        <v/>
      </c>
    </row>
    <row r="40" spans="1:14" ht="14.4" thickBot="1" x14ac:dyDescent="0.35"/>
    <row r="41" spans="1:14" ht="15" thickTop="1" thickBot="1" x14ac:dyDescent="0.35">
      <c r="A41" s="335" t="s">
        <v>377</v>
      </c>
      <c r="B41" s="335"/>
      <c r="C41" s="335"/>
      <c r="D41" s="335"/>
      <c r="E41" s="335"/>
      <c r="F41" s="335"/>
      <c r="G41" s="335"/>
    </row>
    <row r="42" spans="1:14" ht="15" thickTop="1" thickBot="1" x14ac:dyDescent="0.35">
      <c r="A42" s="314" t="s">
        <v>378</v>
      </c>
      <c r="B42" s="335" t="s">
        <v>379</v>
      </c>
      <c r="C42" s="335"/>
      <c r="D42" s="335" t="s">
        <v>380</v>
      </c>
      <c r="E42" s="335"/>
      <c r="F42" s="335" t="s">
        <v>381</v>
      </c>
      <c r="G42" s="335"/>
    </row>
    <row r="43" spans="1:14" ht="93" customHeight="1" thickTop="1" thickBot="1" x14ac:dyDescent="0.35">
      <c r="A43" s="315" t="s">
        <v>382</v>
      </c>
      <c r="B43" s="336">
        <v>46163</v>
      </c>
      <c r="C43" s="336"/>
      <c r="D43" s="337" t="s">
        <v>383</v>
      </c>
      <c r="E43" s="337"/>
      <c r="F43" s="338" t="s">
        <v>384</v>
      </c>
      <c r="G43" s="338"/>
    </row>
    <row r="44" spans="1:14" ht="14.4" thickTop="1" x14ac:dyDescent="0.3"/>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Normal="70" workbookViewId="0">
      <selection activeCell="B3" sqref="B3:I3"/>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358"/>
      <c r="B1" s="339" t="s">
        <v>375</v>
      </c>
      <c r="C1" s="340"/>
      <c r="D1" s="340"/>
      <c r="E1" s="340"/>
      <c r="F1" s="340"/>
      <c r="G1" s="340"/>
      <c r="H1" s="340"/>
      <c r="I1" s="341"/>
      <c r="J1" s="306" t="s">
        <v>373</v>
      </c>
      <c r="K1" s="307"/>
      <c r="L1" s="253"/>
    </row>
    <row r="2" spans="1:36" s="4" customFormat="1" ht="19.95" customHeight="1" x14ac:dyDescent="0.3">
      <c r="A2" s="359"/>
      <c r="B2" s="342"/>
      <c r="C2" s="343"/>
      <c r="D2" s="343"/>
      <c r="E2" s="343"/>
      <c r="F2" s="343"/>
      <c r="G2" s="343"/>
      <c r="H2" s="343"/>
      <c r="I2" s="344"/>
      <c r="J2" s="308" t="s">
        <v>376</v>
      </c>
      <c r="K2" s="309"/>
      <c r="L2" s="253"/>
    </row>
    <row r="3" spans="1:36" s="3" customFormat="1" ht="16.2" thickBot="1" x14ac:dyDescent="0.3">
      <c r="A3" s="360"/>
      <c r="B3" s="345" t="s">
        <v>359</v>
      </c>
      <c r="C3" s="346"/>
      <c r="D3" s="346"/>
      <c r="E3" s="346"/>
      <c r="F3" s="346"/>
      <c r="G3" s="346"/>
      <c r="H3" s="346"/>
      <c r="I3" s="347"/>
      <c r="J3" s="310" t="s">
        <v>374</v>
      </c>
      <c r="K3" s="311"/>
      <c r="L3" s="254"/>
    </row>
    <row r="4" spans="1:36" s="3" customFormat="1" ht="16.95" customHeight="1" thickTop="1" x14ac:dyDescent="0.25">
      <c r="A4" s="349"/>
      <c r="B4" s="350"/>
      <c r="C4" s="350"/>
      <c r="D4" s="350"/>
      <c r="E4" s="350"/>
      <c r="F4" s="350"/>
      <c r="G4" s="350"/>
      <c r="H4" s="350"/>
      <c r="I4" s="350"/>
      <c r="J4" s="350"/>
      <c r="K4" s="351"/>
    </row>
    <row r="5" spans="1:36" s="4" customFormat="1" ht="27" customHeight="1" x14ac:dyDescent="0.3">
      <c r="A5" s="12" t="s">
        <v>80</v>
      </c>
      <c r="B5" s="265" t="str">
        <f>'2 IDENTIFICACIÓN'!B5</f>
        <v>ALCALDIA DE BUCARAMANGA</v>
      </c>
      <c r="C5" s="260"/>
      <c r="D5" s="260"/>
      <c r="E5" s="261"/>
      <c r="F5" s="245" t="s">
        <v>81</v>
      </c>
      <c r="G5" s="265" t="str">
        <f>'2 IDENTIFICACIÓN'!G5</f>
        <v xml:space="preserve">GESTÓN Y DESARROLLO DE LA INFRAESTRUCTURA </v>
      </c>
      <c r="H5" s="261"/>
      <c r="I5" s="245" t="s">
        <v>353</v>
      </c>
      <c r="J5" s="262">
        <f>'2 IDENTIFICACIÓN'!J5</f>
        <v>2026</v>
      </c>
      <c r="K5" s="263"/>
    </row>
    <row r="6" spans="1:36" s="4" customFormat="1" ht="14.4" thickBot="1" x14ac:dyDescent="0.35">
      <c r="A6" s="166"/>
      <c r="B6" s="255"/>
      <c r="C6" s="255"/>
      <c r="D6" s="255"/>
      <c r="E6" s="255"/>
      <c r="F6" s="256"/>
      <c r="G6" s="257"/>
      <c r="H6" s="257"/>
      <c r="I6" s="257"/>
      <c r="J6" s="257"/>
      <c r="K6" s="257"/>
    </row>
    <row r="7" spans="1:36" s="37" customFormat="1" ht="14.4" thickBot="1" x14ac:dyDescent="0.3">
      <c r="A7" s="166"/>
      <c r="B7" s="165"/>
      <c r="C7" s="165"/>
      <c r="D7" s="40"/>
      <c r="G7" s="442" t="s">
        <v>294</v>
      </c>
      <c r="H7" s="443"/>
      <c r="I7" s="443"/>
      <c r="J7" s="443"/>
      <c r="K7" s="443"/>
      <c r="L7" s="443"/>
      <c r="M7" s="444"/>
      <c r="O7" s="41"/>
      <c r="P7" s="41"/>
      <c r="Q7" s="42"/>
      <c r="R7" s="438" t="s">
        <v>158</v>
      </c>
      <c r="S7" s="438"/>
      <c r="T7" s="438"/>
      <c r="U7" s="438"/>
      <c r="V7" s="439"/>
      <c r="AD7" s="38"/>
      <c r="AE7" s="38"/>
      <c r="AF7" s="38"/>
      <c r="AG7" s="38"/>
      <c r="AH7" s="38"/>
    </row>
    <row r="8" spans="1:36" x14ac:dyDescent="0.3">
      <c r="A8" s="281"/>
      <c r="B8" s="280"/>
      <c r="C8" s="435" t="s">
        <v>295</v>
      </c>
      <c r="D8" s="435"/>
      <c r="E8" s="435"/>
      <c r="F8" s="43"/>
      <c r="G8" s="44"/>
      <c r="H8" s="45"/>
      <c r="I8" s="438" t="s">
        <v>158</v>
      </c>
      <c r="J8" s="438"/>
      <c r="K8" s="438"/>
      <c r="L8" s="438"/>
      <c r="M8" s="439"/>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afectación reputacional por  investigaciones disciplinarias promovidas por entes de control, debido a  inadecuada planeación y elaboración de diseños de obras, que genera entregas tardías en los servicios y afecta el beneficio esperado por la comunidad.</v>
      </c>
      <c r="C10" s="64" t="str">
        <f>+'3 PROBABIL E IMPACTO INHERENTE'!F10</f>
        <v>Media</v>
      </c>
      <c r="D10" s="64" t="str">
        <f>+'3 PROBABIL E IMPACTO INHERENTE'!N10</f>
        <v>Moderado</v>
      </c>
      <c r="E10" s="25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40"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36"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afectación reputacional por  debilidades en la planeación, gestión y ejecución de las obligaciones contractuales por parte de las unidades gestoras,  debido a  la deficiencias en la supervisión y ejecución oportuna de los procesos contractuales producto de la constitución de reservas presupuestales.</v>
      </c>
      <c r="C11" s="64" t="str">
        <f>+'3 PROBABIL E IMPACTO INHERENTE'!F11</f>
        <v>Media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40"/>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R10          </v>
      </c>
      <c r="N11" s="65"/>
      <c r="O11" s="436"/>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afectación económica y reputacional por  manejo inadecuado de pasivos exigibles y vigencias expiradas, debido a  incumplimiento de los procedimientos establecidos en la Resolución 193 de 2016 de la Contaduría General de la Nación.</v>
      </c>
      <c r="C12" s="64" t="str">
        <f>+'3 PROBABIL E IMPACTO INHERENTE'!F12</f>
        <v>Media</v>
      </c>
      <c r="D12" s="64" t="str">
        <f>+'3 PROBABIL E IMPACTO INHERENTE'!N12</f>
        <v>Catastrófico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Extremo</v>
      </c>
      <c r="F12" s="65"/>
      <c r="G12" s="440"/>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R16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R2   R5 R6 R7 R8 R9      R15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R3 R4       R11 R12 R13    R17 R18 R19 </v>
      </c>
      <c r="N12" s="65"/>
      <c r="O12" s="436"/>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afectación económica y reputacional por  investigaciones y sanciones disciplinarias por entes de control, debido a la falta de seguimiento al cumplimiento de metas del Plan de Desarrollo Municipal programadas para la vigencia.</v>
      </c>
      <c r="C13" s="64" t="str">
        <f>+'3 PROBABIL E IMPACTO INHERENTE'!F13</f>
        <v>Media</v>
      </c>
      <c r="D13" s="64" t="str">
        <f>+'3 PROBABIL E IMPACTO INHERENTE'!N13</f>
        <v>Catastrófico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Extremo</v>
      </c>
      <c r="F13" s="65"/>
      <c r="G13" s="440"/>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R14      </v>
      </c>
      <c r="N13" s="65"/>
      <c r="O13" s="436"/>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afectación reputacional por  investigaciones disciplinarias y sanciones por entes de control, debido a  la deficiente planeación de las necesidades del Plan Anual de Adquisiciones por parte de la Secretaría de Infraestructura.</v>
      </c>
      <c r="C14" s="64" t="str">
        <f>+'3 PROBABIL E IMPACTO INHERENTE'!F14</f>
        <v>Media</v>
      </c>
      <c r="D14" s="64" t="str">
        <f>+'3 PROBABIL E IMPACTO INHERENTE'!N14</f>
        <v>Moderado</v>
      </c>
      <c r="E14" s="63" t="str">
        <f t="shared" si="0"/>
        <v>Moderado</v>
      </c>
      <c r="F14" s="65"/>
      <c r="G14" s="441"/>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37"/>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Posibilidad de afectación reputacional por   investigaciones y sanciones disciplinarias por entes de control, debido a  incumplimiento de la norma NTC 6047 de accesibilidad en proyectos de obra pública, a causa de la inapropiada implementación de los principios de diseño universal en las fases de diseño y licitación.</v>
      </c>
      <c r="C15" s="64" t="str">
        <f>+'3 PROBABIL E IMPACTO INHERENTE'!F15</f>
        <v>Media</v>
      </c>
      <c r="D15" s="64" t="str">
        <f>+'3 PROBABIL E IMPACTO INHERENTE'!N15</f>
        <v>Moderado</v>
      </c>
      <c r="E15" s="63"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Posibilidad de afectación reputacional por    investigaciones disciplinarias y sanciones por entes de control, debido a  las debilidades en la formulación y ejecución de los proyectos de presupuestos participativos.</v>
      </c>
      <c r="C16" s="64" t="str">
        <f>+'3 PROBABIL E IMPACTO INHERENTE'!F16</f>
        <v>Media</v>
      </c>
      <c r="D16" s="64" t="str">
        <f>+'3 PROBABIL E IMPACTO INHERENTE'!N16</f>
        <v>Moderado</v>
      </c>
      <c r="E16" s="63" t="str">
        <f t="shared" si="0"/>
        <v>Moderado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Posibilidad de afectación económica por  investigaciones disciplinarias y sanciones por entes de control, debido a  la adición de contratos en tiempo y valor sin haber ejecutado el 50% del contrato inicial, por deficiencias en la planeación de la etapa precontractual.</v>
      </c>
      <c r="C17" s="64" t="str">
        <f>+'3 PROBABIL E IMPACTO INHERENTE'!F17</f>
        <v>Media</v>
      </c>
      <c r="D17" s="64" t="str">
        <f>+'3 PROBABIL E IMPACTO INHERENTE'!N17</f>
        <v>Moderado</v>
      </c>
      <c r="E17" s="63" t="str">
        <f t="shared" si="0"/>
        <v>Moderado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5">
      <c r="A18" s="62" t="str">
        <f>'2 IDENTIFICACIÓN'!A18</f>
        <v>R9</v>
      </c>
      <c r="B18" s="63" t="str">
        <f>+'2 IDENTIFICACIÓN'!J18</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18" s="64" t="str">
        <f>+'3 PROBABIL E IMPACTO INHERENTE'!F18</f>
        <v>Media</v>
      </c>
      <c r="D18" s="64" t="str">
        <f>+'3 PROBABIL E IMPACTO INHERENTE'!N18</f>
        <v>Moderado</v>
      </c>
      <c r="E18" s="63" t="str">
        <f t="shared" si="0"/>
        <v>Moderado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5">
      <c r="A19" s="62" t="str">
        <f>'2 IDENTIFICACIÓN'!A19</f>
        <v>R10</v>
      </c>
      <c r="B19" s="63"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19" s="64" t="str">
        <f>+'3 PROBABIL E IMPACTO INHERENTE'!F19</f>
        <v>Alta</v>
      </c>
      <c r="D19" s="64" t="str">
        <f>+'3 PROBABIL E IMPACTO INHERENTE'!N19</f>
        <v>Catastrófico</v>
      </c>
      <c r="E19" s="63" t="str">
        <f t="shared" si="0"/>
        <v>Extremo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5">
      <c r="A20" s="62" t="str">
        <f>'2 IDENTIFICACIÓN'!A20</f>
        <v>R11</v>
      </c>
      <c r="B20" s="63" t="str">
        <f>+'2 IDENTIFICACIÓN'!J20</f>
        <v>Posibilidad  de efecto dañoso sobre el recurso público por anticipos entregados al contratista sin legalizar, debido a  la deficiencias en el seguimiento y control del proceso de amortización del anticipo.</v>
      </c>
      <c r="C20" s="64" t="str">
        <f>+'3 PROBABIL E IMPACTO INHERENTE'!F20</f>
        <v>Media</v>
      </c>
      <c r="D20" s="64" t="str">
        <f>+'3 PROBABIL E IMPACTO INHERENTE'!N20</f>
        <v>Catastrófico</v>
      </c>
      <c r="E20" s="63" t="str">
        <f t="shared" si="0"/>
        <v>Extremo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5">
      <c r="A21" s="62" t="str">
        <f>'2 IDENTIFICACIÓN'!A21</f>
        <v>R12</v>
      </c>
      <c r="B21" s="63" t="str">
        <f>+'2 IDENTIFICACIÓN'!J21</f>
        <v>Posibilidad  de efecto dañoso sobre el recurso público por  el pago de sanciones impuestas por entes de control, debido a  incumplimiento de las normas vigentes en las etapas precontractual, contractual y postcontractual de la contratación, afectando la obtención y cumplimiento del objeto contractual.</v>
      </c>
      <c r="C21" s="64" t="str">
        <f>+'3 PROBABIL E IMPACTO INHERENTE'!F21</f>
        <v>Media</v>
      </c>
      <c r="D21" s="64" t="str">
        <f>+'3 PROBABIL E IMPACTO INHERENTE'!N21</f>
        <v>Catastrófico</v>
      </c>
      <c r="E21" s="63" t="str">
        <f t="shared" si="0"/>
        <v>Extremo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5">
      <c r="A22" s="62" t="str">
        <f>'2 IDENTIFICACIÓN'!A22</f>
        <v>R13</v>
      </c>
      <c r="B22" s="63" t="str">
        <f>+'2 IDENTIFICACIÓN'!J22</f>
        <v>Posibilidad  de efecto dañoso sobre el recurso público por  el pago de sanciones y/o condenas impuestas por entes de control,  debido a  incumplimiento en la cobertura de las garantías que amparan los riesgos definidos en la etapa precontractual, conforme al Manual de Contratación M-GJ-1140-170-001.</v>
      </c>
      <c r="C22" s="64" t="str">
        <f>+'3 PROBABIL E IMPACTO INHERENTE'!F22</f>
        <v>Media</v>
      </c>
      <c r="D22" s="64" t="str">
        <f>+'3 PROBABIL E IMPACTO INHERENTE'!N22</f>
        <v>Catastrófico</v>
      </c>
      <c r="E22" s="63" t="str">
        <f t="shared" si="0"/>
        <v>Extremo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5">
      <c r="A23" s="62" t="str">
        <f>'2 IDENTIFICACIÓN'!A23</f>
        <v>R14</v>
      </c>
      <c r="B23" s="63" t="str">
        <f>+'2 IDENTIFICACIÓN'!J23</f>
        <v>Posibilidad  de efecto dañoso sobre el recurso público por Pago de sanciones impuestas por la Contraloría General de la República,  debido a  reporte extemporáneo de la información de obras inconclusas a través de la plataforma SIRECI por parte de la Secretaría de Infraestructura.</v>
      </c>
      <c r="C23" s="64" t="str">
        <f>+'3 PROBABIL E IMPACTO INHERENTE'!F23</f>
        <v>Baja</v>
      </c>
      <c r="D23" s="64" t="str">
        <f>+'3 PROBABIL E IMPACTO INHERENTE'!N23</f>
        <v>Catastrófico</v>
      </c>
      <c r="E23" s="63" t="str">
        <f t="shared" si="0"/>
        <v>Extremo</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5">
      <c r="A24" s="62" t="str">
        <f>'2 IDENTIFICACIÓN'!A24</f>
        <v>R15</v>
      </c>
      <c r="B24" s="63" t="str">
        <f>+'2 IDENTIFICACIÓN'!J24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4" s="64" t="str">
        <f>+'3 PROBABIL E IMPACTO INHERENTE'!F24</f>
        <v>Media</v>
      </c>
      <c r="D24" s="64" t="str">
        <f>+'3 PROBABIL E IMPACTO INHERENTE'!N24</f>
        <v>Moderado</v>
      </c>
      <c r="E24" s="63" t="str">
        <f t="shared" si="0"/>
        <v>Moderado</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5">
      <c r="A25" s="62" t="str">
        <f>'2 IDENTIFICACIÓN'!A25</f>
        <v>R16</v>
      </c>
      <c r="B25" s="63" t="str">
        <f>+'2 IDENTIFICACIÓN'!J25</f>
        <v>Posibilidad  de efecto dañoso sobre el recurso público por or pago de sanción e intereses moratorios, debido a  trámite inoportuno a los requerimientos de los entes de control y vigilancia, de acuerdo con sus lineamientos y términos de ley.</v>
      </c>
      <c r="C25" s="64" t="str">
        <f>+'3 PROBABIL E IMPACTO INHERENTE'!F25</f>
        <v>Media</v>
      </c>
      <c r="D25" s="64" t="str">
        <f>+'3 PROBABIL E IMPACTO INHERENTE'!N25</f>
        <v>Menor</v>
      </c>
      <c r="E25" s="63" t="str">
        <f t="shared" si="0"/>
        <v>Moderado</v>
      </c>
      <c r="F25" s="65"/>
      <c r="G25" s="65"/>
      <c r="H25" s="65"/>
      <c r="I25" s="65"/>
      <c r="J25" s="65"/>
      <c r="K25" s="65"/>
      <c r="L25" s="65"/>
      <c r="M25" s="65"/>
      <c r="N25" s="65"/>
      <c r="AA25" s="61"/>
      <c r="AB25" s="82"/>
      <c r="AC25" s="82"/>
      <c r="AD25" s="82"/>
      <c r="AE25" s="82"/>
      <c r="AF25" s="82"/>
      <c r="AG25" s="82"/>
      <c r="AH25" s="69"/>
      <c r="AI25" s="61"/>
      <c r="AJ25" s="61"/>
    </row>
    <row r="26" spans="1:36" ht="93" customHeight="1" x14ac:dyDescent="0.3">
      <c r="A26" s="62" t="str">
        <f>'2 IDENTIFICACIÓN'!A26</f>
        <v>R17</v>
      </c>
      <c r="B26" s="63" t="str">
        <f>+'2 IDENTIFICACIÓN'!J26</f>
        <v>Posibilidad  de efecto dañoso sobre bienes de uso fiscal por por pérdida, extravío, hurto o faltantes en inventario de bienes muebles de la entidad,  debido a deficiencias en la actualización, verificación y control del inventario de bienes muebles.</v>
      </c>
      <c r="C26" s="64" t="str">
        <f>+'3 PROBABIL E IMPACTO INHERENTE'!F26</f>
        <v>Media</v>
      </c>
      <c r="D26" s="64" t="str">
        <f>+'3 PROBABIL E IMPACTO INHERENTE'!N26</f>
        <v>Catastrófico</v>
      </c>
      <c r="E26" s="63" t="str">
        <f t="shared" si="0"/>
        <v>Extremo</v>
      </c>
      <c r="F26" s="65"/>
      <c r="G26" s="65"/>
      <c r="H26" s="65"/>
      <c r="I26" s="65"/>
      <c r="J26" s="65"/>
      <c r="K26" s="65"/>
      <c r="L26" s="65"/>
      <c r="M26" s="65"/>
      <c r="N26" s="65"/>
    </row>
    <row r="27" spans="1:36" ht="93" customHeight="1" x14ac:dyDescent="0.3">
      <c r="A27" s="62" t="str">
        <f>'2 IDENTIFICACIÓN'!A27</f>
        <v>R18</v>
      </c>
      <c r="B27" s="63" t="str">
        <f>+'2 IDENTIFICACIÓN'!J27</f>
        <v xml:space="preserve">Posibilidad  de efecto dañoso sobre el recurso público por  Pago de agencias en derecho y costas procesales, en  primera y segunda instancia, debido a  fallos en contra del ente territorial,  que impone el deber de sufragar estos conceptos  a favor de los actores populares. </v>
      </c>
      <c r="C27" s="64" t="str">
        <f>+'3 PROBABIL E IMPACTO INHERENTE'!F27</f>
        <v>Media</v>
      </c>
      <c r="D27" s="64" t="str">
        <f>+'3 PROBABIL E IMPACTO INHERENTE'!N27</f>
        <v>Catastrófico</v>
      </c>
      <c r="E27" s="63" t="str">
        <f t="shared" si="0"/>
        <v>Extremo</v>
      </c>
      <c r="F27" s="65"/>
      <c r="G27" s="65"/>
      <c r="H27" s="65"/>
      <c r="I27" s="65"/>
      <c r="J27" s="65"/>
      <c r="K27" s="65"/>
      <c r="L27" s="65"/>
      <c r="M27" s="65"/>
      <c r="N27" s="65"/>
    </row>
    <row r="28" spans="1:36" ht="93" customHeight="1" x14ac:dyDescent="0.3">
      <c r="A28" s="62" t="str">
        <f>'2 IDENTIFICACIÓN'!A28</f>
        <v>R19</v>
      </c>
      <c r="B28" s="63" t="str">
        <f>+'2 IDENTIFICACIÓN'!J28</f>
        <v>Posibilidad  de efecto dañoso sobre el recurso público por  deficiencias en la planeación, seguimiento y control de los proyectos de infraestructura educativa financiados con recursos de empréstito, generando retrasos en la ejecución y pagos financieros sin avance proporcional de las obras, debido a debilidades en el monitoreo y supervisión contractual.</v>
      </c>
      <c r="C28" s="64" t="str">
        <f>+'3 PROBABIL E IMPACTO INHERENTE'!F28</f>
        <v>Media</v>
      </c>
      <c r="D28" s="64" t="str">
        <f>+'3 PROBABIL E IMPACTO INHERENTE'!N28</f>
        <v>Catastrófico</v>
      </c>
      <c r="E28" s="63" t="str">
        <f t="shared" si="0"/>
        <v>Extremo</v>
      </c>
      <c r="F28" s="65"/>
      <c r="G28" s="65"/>
      <c r="H28" s="65"/>
      <c r="I28" s="65"/>
      <c r="J28" s="65"/>
      <c r="K28" s="65"/>
      <c r="L28" s="65"/>
      <c r="M28" s="65"/>
      <c r="N28" s="65"/>
    </row>
    <row r="29" spans="1:36" ht="93" customHeight="1" x14ac:dyDescent="0.3">
      <c r="A29" s="62" t="str">
        <f>'2 IDENTIFICACIÓN'!A29</f>
        <v>R20</v>
      </c>
      <c r="B29" s="63" t="str">
        <f>+'2 IDENTIFICACIÓN'!J29</f>
        <v>Posibilidad de afectación reputacional por  ocupación o desarrollo urbanístico no controlado en zonas intervenidas con obras de mitigación del riesgo,  debido a  deficiencias en el seguimiento de las actuaciones policivas y en la articulación interinstitucional para la atención de denuncias, reportes o alertas relacionadas con presuntas infracciones urbanísticas.</v>
      </c>
      <c r="C29" s="64" t="str">
        <f>+'3 PROBABIL E IMPACTO INHERENTE'!F29</f>
        <v>Media</v>
      </c>
      <c r="D29" s="64" t="str">
        <f>+'3 PROBABIL E IMPACTO INHERENTE'!N29</f>
        <v>Moderado</v>
      </c>
      <c r="E29" s="63" t="str">
        <f t="shared" si="0"/>
        <v>Moderado</v>
      </c>
      <c r="F29" s="65"/>
      <c r="G29" s="65"/>
      <c r="H29" s="65"/>
      <c r="I29" s="65"/>
      <c r="J29" s="65"/>
      <c r="K29" s="65"/>
      <c r="L29" s="65"/>
      <c r="M29" s="65"/>
      <c r="N29" s="65"/>
    </row>
    <row r="30" spans="1:36" ht="93" customHeight="1" x14ac:dyDescent="0.3">
      <c r="A30" s="62" t="str">
        <f>'2 IDENTIFICACIÓN'!A30</f>
        <v>R21</v>
      </c>
      <c r="B30" s="63" t="str">
        <f>+'2 IDENTIFICACIÓN'!J30</f>
        <v>Posibilidad de afectación reputacional por posibles investigaciones y sanciones disciplinarias por entes de control,  debido a debido al incumplimiento de la Ley 594 del 2000 en los documentos emanados por la Secretaría de Infraestructura.</v>
      </c>
      <c r="C30" s="64" t="str">
        <f>+'3 PROBABIL E IMPACTO INHERENTE'!F30</f>
        <v>Media</v>
      </c>
      <c r="D30" s="64" t="str">
        <f>+'3 PROBABIL E IMPACTO INHERENTE'!N30</f>
        <v>Moderado</v>
      </c>
      <c r="E30" s="63" t="str">
        <f t="shared" si="0"/>
        <v>Moderado</v>
      </c>
      <c r="F30" s="65"/>
      <c r="G30" s="65"/>
      <c r="H30" s="65"/>
      <c r="I30" s="65"/>
      <c r="J30" s="65"/>
      <c r="K30" s="65"/>
      <c r="L30" s="65"/>
      <c r="M30" s="65"/>
      <c r="N30" s="65"/>
    </row>
    <row r="31" spans="1:36" ht="93" customHeight="1" x14ac:dyDescent="0.3">
      <c r="A31" s="62" t="str">
        <f>'2 IDENTIFICACIÓN'!A31</f>
        <v>R22</v>
      </c>
      <c r="B31" s="63" t="str">
        <f>+'2 IDENTIFICACIÓN'!J31</f>
        <v>Posibilidad de pérdida reputacional por soborno para favorecer a un proponente en la adjudicación de un contrato de obra, debido a deficiencias en la verificación, evaluación y control de los procesos contractuales adelantados por la entidad..</v>
      </c>
      <c r="C31" s="64" t="str">
        <f>+'3 PROBABIL E IMPACTO INHERENTE'!F31</f>
        <v>Media</v>
      </c>
      <c r="D31" s="64" t="str">
        <f>+'3 PROBABIL E IMPACTO INHERENTE'!N31</f>
        <v>Catastrófico</v>
      </c>
      <c r="E31" s="63" t="str">
        <f t="shared" si="0"/>
        <v>Extremo</v>
      </c>
      <c r="F31" s="65"/>
      <c r="G31" s="65"/>
      <c r="H31" s="65"/>
      <c r="I31" s="65"/>
      <c r="J31" s="65"/>
      <c r="K31" s="65"/>
      <c r="L31" s="65"/>
      <c r="M31" s="65"/>
      <c r="N31" s="65"/>
    </row>
    <row r="32" spans="1:36" ht="93"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35" t="s">
        <v>377</v>
      </c>
      <c r="B41" s="335"/>
      <c r="C41" s="335"/>
      <c r="D41" s="335"/>
      <c r="E41" s="335"/>
      <c r="F41" s="335"/>
      <c r="G41" s="335"/>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14" t="s">
        <v>378</v>
      </c>
      <c r="B42" s="335" t="s">
        <v>379</v>
      </c>
      <c r="C42" s="335"/>
      <c r="D42" s="335" t="s">
        <v>380</v>
      </c>
      <c r="E42" s="335"/>
      <c r="F42" s="335" t="s">
        <v>381</v>
      </c>
      <c r="G42" s="335"/>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15" t="s">
        <v>382</v>
      </c>
      <c r="B43" s="336">
        <v>46163</v>
      </c>
      <c r="C43" s="336"/>
      <c r="D43" s="337" t="s">
        <v>383</v>
      </c>
      <c r="E43" s="337"/>
      <c r="F43" s="338" t="s">
        <v>384</v>
      </c>
      <c r="G43" s="338"/>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A95" zoomScale="70" zoomScaleNormal="70" zoomScaleSheetLayoutView="65" workbookViewId="0">
      <selection activeCell="H103" sqref="H103"/>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17.4414062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358"/>
      <c r="B1" s="339" t="s">
        <v>375</v>
      </c>
      <c r="C1" s="340"/>
      <c r="D1" s="340"/>
      <c r="E1" s="340"/>
      <c r="F1" s="340"/>
      <c r="G1" s="340"/>
      <c r="H1" s="340"/>
      <c r="I1" s="341"/>
      <c r="J1" s="306" t="s">
        <v>373</v>
      </c>
      <c r="K1" s="307"/>
      <c r="L1" s="253"/>
    </row>
    <row r="2" spans="1:27" s="4" customFormat="1" ht="19.95" customHeight="1" x14ac:dyDescent="0.3">
      <c r="A2" s="359"/>
      <c r="B2" s="342"/>
      <c r="C2" s="343"/>
      <c r="D2" s="343"/>
      <c r="E2" s="343"/>
      <c r="F2" s="343"/>
      <c r="G2" s="343"/>
      <c r="H2" s="343"/>
      <c r="I2" s="344"/>
      <c r="J2" s="308" t="s">
        <v>376</v>
      </c>
      <c r="K2" s="309"/>
      <c r="L2" s="253"/>
    </row>
    <row r="3" spans="1:27" s="3" customFormat="1" ht="16.2" thickBot="1" x14ac:dyDescent="0.3">
      <c r="A3" s="360"/>
      <c r="B3" s="345" t="s">
        <v>359</v>
      </c>
      <c r="C3" s="346"/>
      <c r="D3" s="346"/>
      <c r="E3" s="346"/>
      <c r="F3" s="346"/>
      <c r="G3" s="346"/>
      <c r="H3" s="346"/>
      <c r="I3" s="347"/>
      <c r="J3" s="310" t="s">
        <v>374</v>
      </c>
      <c r="K3" s="311"/>
      <c r="L3" s="254"/>
    </row>
    <row r="4" spans="1:27" s="3" customFormat="1" ht="16.95" customHeight="1" thickTop="1" x14ac:dyDescent="0.25">
      <c r="A4" s="349"/>
      <c r="B4" s="350"/>
      <c r="C4" s="350"/>
      <c r="D4" s="350"/>
      <c r="E4" s="350"/>
      <c r="F4" s="350"/>
      <c r="G4" s="350"/>
      <c r="H4" s="350"/>
      <c r="I4" s="350"/>
      <c r="J4" s="350"/>
      <c r="K4" s="351"/>
    </row>
    <row r="5" spans="1:27" s="4" customFormat="1" ht="27" customHeight="1" x14ac:dyDescent="0.3">
      <c r="A5" s="12" t="s">
        <v>80</v>
      </c>
      <c r="B5" s="265" t="str">
        <f>'2 IDENTIFICACIÓN'!B5</f>
        <v>ALCALDIA DE BUCARAMANGA</v>
      </c>
      <c r="C5" s="260"/>
      <c r="D5" s="260"/>
      <c r="E5" s="261"/>
      <c r="F5" s="245" t="s">
        <v>81</v>
      </c>
      <c r="G5" s="265" t="str">
        <f>'2 IDENTIFICACIÓN'!G5</f>
        <v xml:space="preserve">GESTÓN Y DESARROLLO DE LA INFRAESTRUCTURA </v>
      </c>
      <c r="H5" s="261"/>
      <c r="I5" s="245" t="s">
        <v>353</v>
      </c>
      <c r="J5" s="262">
        <f>'2 IDENTIFICACIÓN'!J5</f>
        <v>2026</v>
      </c>
      <c r="K5" s="263"/>
    </row>
    <row r="6" spans="1:27" s="4" customFormat="1" x14ac:dyDescent="0.3">
      <c r="A6" s="166"/>
      <c r="B6" s="255"/>
      <c r="C6" s="255"/>
      <c r="D6" s="255"/>
      <c r="E6" s="255"/>
      <c r="F6" s="256"/>
      <c r="G6" s="257"/>
      <c r="H6" s="257"/>
      <c r="I6" s="257"/>
      <c r="J6" s="169"/>
      <c r="K6" s="257"/>
      <c r="S6" s="456" t="s">
        <v>303</v>
      </c>
      <c r="T6" s="456" t="s">
        <v>304</v>
      </c>
      <c r="U6" s="456" t="s">
        <v>62</v>
      </c>
    </row>
    <row r="7" spans="1:27" s="32" customFormat="1" ht="16.5" customHeight="1" x14ac:dyDescent="0.3">
      <c r="A7" s="166"/>
      <c r="B7" s="165"/>
      <c r="C7" s="165"/>
      <c r="D7" s="111"/>
      <c r="E7" s="31"/>
      <c r="F7" s="30" t="s">
        <v>302</v>
      </c>
      <c r="G7" s="31"/>
      <c r="H7" s="31"/>
      <c r="I7" s="31"/>
      <c r="J7" s="469" t="s">
        <v>305</v>
      </c>
      <c r="K7" s="470"/>
      <c r="L7" s="470"/>
      <c r="M7" s="470"/>
      <c r="N7" s="470"/>
      <c r="O7" s="470"/>
      <c r="P7" s="470"/>
      <c r="Q7" s="470"/>
      <c r="R7" s="471"/>
      <c r="S7" s="457"/>
      <c r="T7" s="457"/>
      <c r="U7" s="457"/>
      <c r="V7" s="111"/>
      <c r="W7" s="111"/>
      <c r="X7" s="28"/>
      <c r="Y7" s="17" t="s">
        <v>261</v>
      </c>
      <c r="Z7" s="18" t="s">
        <v>306</v>
      </c>
      <c r="AA7" s="19" t="s">
        <v>307</v>
      </c>
    </row>
    <row r="8" spans="1:27" ht="29.25" customHeight="1" x14ac:dyDescent="0.3">
      <c r="A8" s="445" t="s">
        <v>255</v>
      </c>
      <c r="B8" s="445" t="s">
        <v>256</v>
      </c>
      <c r="C8" s="445" t="s">
        <v>308</v>
      </c>
      <c r="D8" s="445" t="s">
        <v>309</v>
      </c>
      <c r="E8" s="459" t="s">
        <v>310</v>
      </c>
      <c r="F8" s="464" t="s">
        <v>44</v>
      </c>
      <c r="G8" s="465"/>
      <c r="H8" s="459"/>
      <c r="I8" s="142"/>
      <c r="J8" s="461" t="s">
        <v>119</v>
      </c>
      <c r="K8" s="462"/>
      <c r="L8" s="462"/>
      <c r="M8" s="462"/>
      <c r="N8" s="463"/>
      <c r="O8" s="466" t="s">
        <v>311</v>
      </c>
      <c r="P8" s="467"/>
      <c r="Q8" s="467"/>
      <c r="R8" s="468"/>
      <c r="S8" s="458"/>
      <c r="T8" s="458"/>
      <c r="U8" s="458"/>
      <c r="X8" s="28"/>
      <c r="Y8" s="221" t="s">
        <v>270</v>
      </c>
      <c r="Z8" s="24">
        <v>0.01</v>
      </c>
      <c r="AA8" s="23">
        <v>0.2</v>
      </c>
    </row>
    <row r="9" spans="1:27" s="28" customFormat="1" ht="55.8" thickBot="1" x14ac:dyDescent="0.35">
      <c r="A9" s="446"/>
      <c r="B9" s="446"/>
      <c r="C9" s="446"/>
      <c r="D9" s="446"/>
      <c r="E9" s="460"/>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3">
      <c r="A10" s="450" t="str">
        <f>'2 IDENTIFICACIÓN'!A10</f>
        <v>R1</v>
      </c>
      <c r="B10" s="453" t="str">
        <f>+'2 IDENTIFICACIÓN'!J10</f>
        <v>Posibilidad de afectación reputacional por  investigaciones disciplinarias promovidas por entes de control, debido a  inadecuada planeación y elaboración de diseños de obras, que genera entregas tardías en los servicios y afecta el beneficio esperado por la comunidad.</v>
      </c>
      <c r="C10" s="447">
        <f>+'3 PROBABIL E IMPACTO INHERENTE'!E10</f>
        <v>0.6</v>
      </c>
      <c r="D10" s="447">
        <f>+'3 PROBABIL E IMPACTO INHERENTE'!M10</f>
        <v>0.6</v>
      </c>
      <c r="E10" s="324">
        <v>1</v>
      </c>
      <c r="F10" s="35" t="s">
        <v>404</v>
      </c>
      <c r="G10" s="35" t="s">
        <v>405</v>
      </c>
      <c r="H10" s="35" t="s">
        <v>406</v>
      </c>
      <c r="I10" s="325" t="str">
        <f t="shared" ref="I10:I73" si="0">+CONCATENATE(F10," ",G10," ",H10)</f>
        <v>El Profesional encargado del área de obras, verifica el cumplimiento de los lineamientos técnicos y normativos en la elaboración de los estudios y diseños de los proyectos de infraestructura,  mediante seguimiento a los avances presentados por el equipo de diseño, según normatividad vigente.</v>
      </c>
      <c r="J10" s="326" t="s">
        <v>133</v>
      </c>
      <c r="K10" s="248">
        <f>+IFERROR(VLOOKUP($J10,'11 FORMULAS'!$B$51:$C$53,2,0),"")</f>
        <v>0.25</v>
      </c>
      <c r="L10" s="248" t="str">
        <f>+IFERROR(VLOOKUP($J10,'11 FORMULAS'!$B$51:$D$53,3,0),"")</f>
        <v>Probabilidad</v>
      </c>
      <c r="M10" s="327" t="s">
        <v>145</v>
      </c>
      <c r="N10" s="248">
        <f>+IFERROR(VLOOKUP($M10,'11 FORMULAS'!$B$54:$C$55,2,0),"")</f>
        <v>0.15</v>
      </c>
      <c r="O10" s="328" t="s">
        <v>135</v>
      </c>
      <c r="P10" s="328" t="s">
        <v>241</v>
      </c>
      <c r="Q10" s="328" t="s">
        <v>137</v>
      </c>
      <c r="R10" s="328" t="s">
        <v>138</v>
      </c>
      <c r="S10" s="248">
        <f>+IFERROR($K10+$N10,"")</f>
        <v>0.4</v>
      </c>
      <c r="T10" s="248">
        <f>IF($L10='11 FORMULAS'!$D$51,$C$10-($C$10*$S$10),$C$10)</f>
        <v>0.36</v>
      </c>
      <c r="U10" s="248">
        <f>IF(L10='11 FORMULAS'!$D$53,$D10-($D10*$S10),$D10)</f>
        <v>0.6</v>
      </c>
      <c r="V10" s="472">
        <f>+IF(T15="","",T15)</f>
        <v>0.6</v>
      </c>
      <c r="W10" s="475">
        <f>+IF(U15="","",U15)</f>
        <v>0.6</v>
      </c>
      <c r="X10" s="28"/>
      <c r="Y10" s="223" t="s">
        <v>278</v>
      </c>
      <c r="Z10" s="24">
        <v>0.41</v>
      </c>
      <c r="AA10" s="23">
        <v>0.6</v>
      </c>
    </row>
    <row r="11" spans="1:27" ht="29.55" customHeight="1" x14ac:dyDescent="0.3">
      <c r="A11" s="451"/>
      <c r="B11" s="454"/>
      <c r="C11" s="448"/>
      <c r="D11" s="448"/>
      <c r="E11" s="246">
        <v>2</v>
      </c>
      <c r="F11" s="163"/>
      <c r="G11" s="163"/>
      <c r="H11" s="163"/>
      <c r="I11" s="212" t="str">
        <f t="shared" si="0"/>
        <v xml:space="preserve">  </v>
      </c>
      <c r="J11" s="283"/>
      <c r="K11" s="216" t="str">
        <f>+IFERROR(VLOOKUP($J11,'11 FORMULAS'!$B$51:$C$53,2,0),"")</f>
        <v/>
      </c>
      <c r="L11" s="216" t="str">
        <f>+IFERROR(VLOOKUP($J11,'11 FORMULAS'!$B$51:$D$53,3,0),"")</f>
        <v/>
      </c>
      <c r="M11" s="247"/>
      <c r="N11" s="216" t="str">
        <f>+IFERROR(VLOOKUP($M11,'11 FORMULAS'!$B$54:$C$55,2,0),"")</f>
        <v/>
      </c>
      <c r="O11" s="249"/>
      <c r="P11" s="249"/>
      <c r="Q11" s="249"/>
      <c r="R11" s="249"/>
      <c r="S11" s="216" t="str">
        <f t="shared" ref="S11:S74" si="1">+IFERROR($K11+$N11,"")</f>
        <v/>
      </c>
      <c r="T11" s="216">
        <f>IF($L11='11 FORMULAS'!$D$51,$C$10-($C$10*$S$10),$C$10)</f>
        <v>0.6</v>
      </c>
      <c r="U11" s="216">
        <f>IF(L11='11 FORMULAS'!$D$53,$D$10-($D$10*$S$10),$D$10)</f>
        <v>0.6</v>
      </c>
      <c r="V11" s="473"/>
      <c r="W11" s="476"/>
      <c r="X11" s="28"/>
      <c r="Y11" s="26" t="s">
        <v>283</v>
      </c>
      <c r="Z11" s="24">
        <v>0.61</v>
      </c>
      <c r="AA11" s="23">
        <v>0.8</v>
      </c>
    </row>
    <row r="12" spans="1:27" ht="29.55" customHeight="1" x14ac:dyDescent="0.3">
      <c r="A12" s="451"/>
      <c r="B12" s="454"/>
      <c r="C12" s="448"/>
      <c r="D12" s="448"/>
      <c r="E12" s="246">
        <v>3</v>
      </c>
      <c r="F12" s="163"/>
      <c r="G12" s="163"/>
      <c r="H12" s="163"/>
      <c r="I12" s="212" t="str">
        <f t="shared" si="0"/>
        <v xml:space="preserve">  </v>
      </c>
      <c r="J12" s="283"/>
      <c r="K12" s="216" t="str">
        <f>+IFERROR(VLOOKUP($J12,'11 FORMULAS'!$B$51:$C$53,2,0),"")</f>
        <v/>
      </c>
      <c r="L12" s="216" t="str">
        <f>+IFERROR(VLOOKUP($J12,'11 FORMULAS'!$B$51:$D$53,3,0),"")</f>
        <v/>
      </c>
      <c r="M12" s="247"/>
      <c r="N12" s="216" t="str">
        <f>+IFERROR(VLOOKUP($M12,'11 FORMULAS'!$B$54:$C$55,2,0),"")</f>
        <v/>
      </c>
      <c r="O12" s="249"/>
      <c r="P12" s="249"/>
      <c r="Q12" s="249"/>
      <c r="R12" s="249"/>
      <c r="S12" s="216" t="str">
        <f t="shared" si="1"/>
        <v/>
      </c>
      <c r="T12" s="216">
        <f>IF($L12='11 FORMULAS'!$D$51,$C$10-($C$10*$S$10),$C$10)</f>
        <v>0.6</v>
      </c>
      <c r="U12" s="216">
        <f>IF(L12='11 FORMULAS'!$D$53,$D$10-($D$10*$S$10),$D$10)</f>
        <v>0.6</v>
      </c>
      <c r="V12" s="473"/>
      <c r="W12" s="476"/>
      <c r="X12" s="28"/>
      <c r="Y12" s="224" t="s">
        <v>288</v>
      </c>
      <c r="Z12" s="24">
        <v>0.81</v>
      </c>
      <c r="AA12" s="23">
        <v>1</v>
      </c>
    </row>
    <row r="13" spans="1:27" ht="29.55" customHeight="1" x14ac:dyDescent="0.3">
      <c r="A13" s="451"/>
      <c r="B13" s="454"/>
      <c r="C13" s="448"/>
      <c r="D13" s="448"/>
      <c r="E13" s="246">
        <v>4</v>
      </c>
      <c r="F13" s="163"/>
      <c r="G13" s="163"/>
      <c r="H13" s="163"/>
      <c r="I13" s="212" t="str">
        <f t="shared" si="0"/>
        <v xml:space="preserve">  </v>
      </c>
      <c r="J13" s="283"/>
      <c r="K13" s="216" t="str">
        <f>+IFERROR(VLOOKUP($J13,'11 FORMULAS'!$B$51:$C$53,2,0),"")</f>
        <v/>
      </c>
      <c r="L13" s="216" t="str">
        <f>+IFERROR(VLOOKUP($J13,'11 FORMULAS'!$B$51:$D$53,3,0),"")</f>
        <v/>
      </c>
      <c r="M13" s="247"/>
      <c r="N13" s="216" t="str">
        <f>+IFERROR(VLOOKUP($M13,'11 FORMULAS'!$B$54:$C$55,2,0),"")</f>
        <v/>
      </c>
      <c r="O13" s="249"/>
      <c r="P13" s="249"/>
      <c r="Q13" s="249"/>
      <c r="R13" s="249"/>
      <c r="S13" s="216" t="str">
        <f t="shared" si="1"/>
        <v/>
      </c>
      <c r="T13" s="216">
        <f>IF($L13='11 FORMULAS'!$D$51,$C$10-($C$10*$S$10),$C$10)</f>
        <v>0.6</v>
      </c>
      <c r="U13" s="216">
        <f>IF(L13='11 FORMULAS'!$D$53,$D$10-($D$10*$S$10),$D$10)</f>
        <v>0.6</v>
      </c>
      <c r="V13" s="473"/>
      <c r="W13" s="476"/>
      <c r="X13" s="28"/>
      <c r="Y13" s="214"/>
      <c r="Z13" s="214"/>
      <c r="AA13" s="214"/>
    </row>
    <row r="14" spans="1:27" ht="29.55" customHeight="1" x14ac:dyDescent="0.3">
      <c r="A14" s="451"/>
      <c r="B14" s="454"/>
      <c r="C14" s="448"/>
      <c r="D14" s="448"/>
      <c r="E14" s="246">
        <v>5</v>
      </c>
      <c r="F14" s="163"/>
      <c r="G14" s="163"/>
      <c r="H14" s="163"/>
      <c r="I14" s="212" t="str">
        <f t="shared" si="0"/>
        <v xml:space="preserve">  </v>
      </c>
      <c r="J14" s="283"/>
      <c r="K14" s="216" t="str">
        <f>+IFERROR(VLOOKUP($J14,'11 FORMULAS'!$B$51:$C$53,2,0),"")</f>
        <v/>
      </c>
      <c r="L14" s="216" t="str">
        <f>+IFERROR(VLOOKUP($J14,'11 FORMULAS'!$B$51:$D$53,3,0),"")</f>
        <v/>
      </c>
      <c r="M14" s="247"/>
      <c r="N14" s="216" t="str">
        <f>+IFERROR(VLOOKUP($M14,'11 FORMULAS'!$B$54:$C$55,2,0),"")</f>
        <v/>
      </c>
      <c r="O14" s="249"/>
      <c r="P14" s="249"/>
      <c r="Q14" s="249"/>
      <c r="R14" s="249"/>
      <c r="S14" s="216" t="str">
        <f t="shared" si="1"/>
        <v/>
      </c>
      <c r="T14" s="216">
        <f>IF($L14='11 FORMULAS'!$D$51,$C$10-($C$10*$S$10),$C$10)</f>
        <v>0.6</v>
      </c>
      <c r="U14" s="216">
        <f>IF(L14='11 FORMULAS'!$D$53,$D$10-($D$10*$S$10),$D$10)</f>
        <v>0.6</v>
      </c>
      <c r="V14" s="473"/>
      <c r="W14" s="476"/>
      <c r="X14" s="28"/>
      <c r="Y14" s="214"/>
      <c r="Z14" s="214"/>
      <c r="AA14" s="214"/>
    </row>
    <row r="15" spans="1:27" ht="29.55" customHeight="1" thickBot="1" x14ac:dyDescent="0.35">
      <c r="A15" s="452"/>
      <c r="B15" s="455"/>
      <c r="C15" s="449"/>
      <c r="D15" s="449"/>
      <c r="E15" s="250">
        <v>6</v>
      </c>
      <c r="F15" s="164"/>
      <c r="G15" s="164"/>
      <c r="H15" s="164"/>
      <c r="I15" s="329" t="str">
        <f t="shared" si="0"/>
        <v xml:space="preserve">  </v>
      </c>
      <c r="J15" s="330"/>
      <c r="K15" s="331" t="str">
        <f>+IFERROR(VLOOKUP($J15,'11 FORMULAS'!$B$51:$C$53,2,0),"")</f>
        <v/>
      </c>
      <c r="L15" s="331" t="str">
        <f>+IFERROR(VLOOKUP($J15,'11 FORMULAS'!$B$51:$D$53,3,0),"")</f>
        <v/>
      </c>
      <c r="M15" s="332"/>
      <c r="N15" s="331" t="str">
        <f>+IFERROR(VLOOKUP($M15,'11 FORMULAS'!$B$54:$C$55,2,0),"")</f>
        <v/>
      </c>
      <c r="O15" s="333"/>
      <c r="P15" s="333"/>
      <c r="Q15" s="333"/>
      <c r="R15" s="333"/>
      <c r="S15" s="331" t="str">
        <f t="shared" si="1"/>
        <v/>
      </c>
      <c r="T15" s="331">
        <f>IF($L15='11 FORMULAS'!$D$51,$C$10-($C$10*$S$10),$C$10)</f>
        <v>0.6</v>
      </c>
      <c r="U15" s="331">
        <f>IF(L15='11 FORMULAS'!$D$53,$D$10-($D$10*$S$10),$D$10)</f>
        <v>0.6</v>
      </c>
      <c r="V15" s="474"/>
      <c r="W15" s="477"/>
      <c r="X15" s="28"/>
      <c r="Y15" s="214"/>
      <c r="Z15" s="214"/>
      <c r="AA15" s="214"/>
    </row>
    <row r="16" spans="1:27" ht="124.2" x14ac:dyDescent="0.3">
      <c r="A16" s="450" t="str">
        <f>'2 IDENTIFICACIÓN'!A11</f>
        <v>R2</v>
      </c>
      <c r="B16" s="453" t="str">
        <f>+'2 IDENTIFICACIÓN'!J11</f>
        <v>Posibilidad de afectación reputacional por  debilidades en la planeación, gestión y ejecución de las obligaciones contractuales por parte de las unidades gestoras,  debido a  la deficiencias en la supervisión y ejecución oportuna de los procesos contractuales producto de la constitución de reservas presupuestales.</v>
      </c>
      <c r="C16" s="447">
        <f>+'3 PROBABIL E IMPACTO INHERENTE'!E11</f>
        <v>0.6</v>
      </c>
      <c r="D16" s="447">
        <f>+'3 PROBABIL E IMPACTO INHERENTE'!M11</f>
        <v>0.6</v>
      </c>
      <c r="E16" s="324">
        <v>1</v>
      </c>
      <c r="F16" s="35" t="s">
        <v>407</v>
      </c>
      <c r="G16" s="35" t="s">
        <v>408</v>
      </c>
      <c r="H16" s="35" t="s">
        <v>409</v>
      </c>
      <c r="I16" s="325" t="str">
        <f t="shared" si="0"/>
        <v>El Profesional designado de las áreas de Proyectos, Contratación, Presupuesto y los Supervisores de la Secretaría de Infraestructura verifican periódicamente la ejecución presupuestal y contractual de los proyectos de obra, conforme al principio de planeación, mediante el seguimiento a la ejecución de los contratos y sus soportes, con el fin de evitar la constitución de reservas presupuestales sin la debida justificación.</v>
      </c>
      <c r="J16" s="326" t="s">
        <v>133</v>
      </c>
      <c r="K16" s="248">
        <f>+IFERROR(VLOOKUP($J16,'11 FORMULAS'!$B$51:$C$53,2,0),"")</f>
        <v>0.25</v>
      </c>
      <c r="L16" s="248" t="str">
        <f>+IFERROR(VLOOKUP($J16,'11 FORMULAS'!$B$51:$D$53,3,0),"")</f>
        <v>Probabilidad</v>
      </c>
      <c r="M16" s="327" t="s">
        <v>145</v>
      </c>
      <c r="N16" s="248">
        <f>+IFERROR(VLOOKUP($M16,'11 FORMULAS'!$B$54:$C$55,2,0),"")</f>
        <v>0.15</v>
      </c>
      <c r="O16" s="328" t="s">
        <v>135</v>
      </c>
      <c r="P16" s="328" t="s">
        <v>241</v>
      </c>
      <c r="Q16" s="328" t="s">
        <v>137</v>
      </c>
      <c r="R16" s="328" t="s">
        <v>138</v>
      </c>
      <c r="S16" s="248">
        <f t="shared" si="1"/>
        <v>0.4</v>
      </c>
      <c r="T16" s="248">
        <f>IF($L16='11 FORMULAS'!$D$51,$C$16-($C$16*$S$16),$C$16)</f>
        <v>0.36</v>
      </c>
      <c r="U16" s="248">
        <f>IF(L16='11 FORMULAS'!$D$53,$D$16-($D$16*$S$16),$D$16)</f>
        <v>0.6</v>
      </c>
      <c r="V16" s="472">
        <f>+IF(T21="","",T21)</f>
        <v>0.6</v>
      </c>
      <c r="W16" s="475">
        <f>+IF(U21="","",U21)</f>
        <v>0.6</v>
      </c>
      <c r="X16" s="28"/>
      <c r="Y16" s="214"/>
      <c r="Z16" s="215"/>
      <c r="AA16" s="215"/>
    </row>
    <row r="17" spans="1:27" ht="29.55" customHeight="1" x14ac:dyDescent="0.3">
      <c r="A17" s="451"/>
      <c r="B17" s="454"/>
      <c r="C17" s="448"/>
      <c r="D17" s="448"/>
      <c r="E17" s="246">
        <v>2</v>
      </c>
      <c r="F17" s="163"/>
      <c r="G17" s="163"/>
      <c r="H17" s="163"/>
      <c r="I17" s="212" t="str">
        <f t="shared" si="0"/>
        <v xml:space="preserve">  </v>
      </c>
      <c r="J17" s="283"/>
      <c r="K17" s="216" t="str">
        <f>+IFERROR(VLOOKUP($J17,'11 FORMULAS'!$B$51:$C$53,2,0),"")</f>
        <v/>
      </c>
      <c r="L17" s="216" t="str">
        <f>+IFERROR(VLOOKUP($J17,'11 FORMULAS'!$B$51:$D$53,3,0),"")</f>
        <v/>
      </c>
      <c r="M17" s="247"/>
      <c r="N17" s="216" t="str">
        <f>+IFERROR(VLOOKUP($M17,'11 FORMULAS'!$B$54:$C$55,2,0),"")</f>
        <v/>
      </c>
      <c r="O17" s="249"/>
      <c r="P17" s="249"/>
      <c r="Q17" s="249"/>
      <c r="R17" s="249"/>
      <c r="S17" s="216" t="str">
        <f t="shared" si="1"/>
        <v/>
      </c>
      <c r="T17" s="216">
        <f>IF($L17='11 FORMULAS'!$D$51,$C$16-($C$16*$S$16),$C$16)</f>
        <v>0.6</v>
      </c>
      <c r="U17" s="216">
        <f>IF(L17='11 FORMULAS'!$D$53,$D$16-($D$16*$S$16),$D$16)</f>
        <v>0.6</v>
      </c>
      <c r="V17" s="473"/>
      <c r="W17" s="476"/>
      <c r="X17" s="28"/>
      <c r="Y17" s="214"/>
      <c r="Z17" s="215"/>
      <c r="AA17" s="215"/>
    </row>
    <row r="18" spans="1:27" ht="29.55" customHeight="1" x14ac:dyDescent="0.3">
      <c r="A18" s="451"/>
      <c r="B18" s="454"/>
      <c r="C18" s="448"/>
      <c r="D18" s="448"/>
      <c r="E18" s="246">
        <v>3</v>
      </c>
      <c r="F18" s="163"/>
      <c r="G18" s="163"/>
      <c r="H18" s="163"/>
      <c r="I18" s="212" t="str">
        <f t="shared" si="0"/>
        <v xml:space="preserve">  </v>
      </c>
      <c r="J18" s="283"/>
      <c r="K18" s="216" t="str">
        <f>+IFERROR(VLOOKUP($J18,'11 FORMULAS'!$B$51:$C$53,2,0),"")</f>
        <v/>
      </c>
      <c r="L18" s="216" t="str">
        <f>+IFERROR(VLOOKUP($J18,'11 FORMULAS'!$B$51:$D$53,3,0),"")</f>
        <v/>
      </c>
      <c r="M18" s="247"/>
      <c r="N18" s="216" t="str">
        <f>+IFERROR(VLOOKUP($M18,'11 FORMULAS'!$B$54:$C$55,2,0),"")</f>
        <v/>
      </c>
      <c r="O18" s="249"/>
      <c r="P18" s="249"/>
      <c r="Q18" s="249"/>
      <c r="R18" s="249"/>
      <c r="S18" s="216" t="str">
        <f t="shared" si="1"/>
        <v/>
      </c>
      <c r="T18" s="216">
        <f>IF($L18='11 FORMULAS'!$D$51,$C$16-($C$16*$S$16),$C$16)</f>
        <v>0.6</v>
      </c>
      <c r="U18" s="216">
        <f>IF(L18='11 FORMULAS'!$D$53,$D$16-($D$16*$S$16),$D$16)</f>
        <v>0.6</v>
      </c>
      <c r="V18" s="473"/>
      <c r="W18" s="476"/>
      <c r="X18" s="28"/>
      <c r="Y18" s="214"/>
      <c r="Z18" s="215"/>
      <c r="AA18" s="215"/>
    </row>
    <row r="19" spans="1:27" ht="29.55" customHeight="1" x14ac:dyDescent="0.3">
      <c r="A19" s="451"/>
      <c r="B19" s="454"/>
      <c r="C19" s="448"/>
      <c r="D19" s="448"/>
      <c r="E19" s="246">
        <v>4</v>
      </c>
      <c r="F19" s="163"/>
      <c r="G19" s="163"/>
      <c r="H19" s="163"/>
      <c r="I19" s="212" t="str">
        <f t="shared" si="0"/>
        <v xml:space="preserve">  </v>
      </c>
      <c r="J19" s="283"/>
      <c r="K19" s="216" t="str">
        <f>+IFERROR(VLOOKUP($J19,'11 FORMULAS'!$B$51:$C$53,2,0),"")</f>
        <v/>
      </c>
      <c r="L19" s="216" t="str">
        <f>+IFERROR(VLOOKUP($J19,'11 FORMULAS'!$B$51:$D$53,3,0),"")</f>
        <v/>
      </c>
      <c r="M19" s="247"/>
      <c r="N19" s="216" t="str">
        <f>+IFERROR(VLOOKUP($M19,'11 FORMULAS'!$B$54:$C$55,2,0),"")</f>
        <v/>
      </c>
      <c r="O19" s="249"/>
      <c r="P19" s="249"/>
      <c r="Q19" s="249"/>
      <c r="R19" s="249"/>
      <c r="S19" s="216" t="str">
        <f t="shared" si="1"/>
        <v/>
      </c>
      <c r="T19" s="216">
        <f>IF($L19='11 FORMULAS'!$D$51,$C$16-($C$16*$S$16),$C$16)</f>
        <v>0.6</v>
      </c>
      <c r="U19" s="216">
        <f>IF(L19='11 FORMULAS'!$D$53,$D$16-($D$16*$S$16),$D$16)</f>
        <v>0.6</v>
      </c>
      <c r="V19" s="473"/>
      <c r="W19" s="476"/>
      <c r="X19" s="28"/>
      <c r="Y19" s="214"/>
      <c r="Z19" s="215"/>
      <c r="AA19" s="215"/>
    </row>
    <row r="20" spans="1:27" ht="29.55" customHeight="1" x14ac:dyDescent="0.3">
      <c r="A20" s="451"/>
      <c r="B20" s="454"/>
      <c r="C20" s="448"/>
      <c r="D20" s="448"/>
      <c r="E20" s="246">
        <v>5</v>
      </c>
      <c r="F20" s="163"/>
      <c r="G20" s="163"/>
      <c r="H20" s="163"/>
      <c r="I20" s="212" t="str">
        <f t="shared" si="0"/>
        <v xml:space="preserve">  </v>
      </c>
      <c r="J20" s="283"/>
      <c r="K20" s="216" t="str">
        <f>+IFERROR(VLOOKUP($J20,'11 FORMULAS'!$B$51:$C$53,2,0),"")</f>
        <v/>
      </c>
      <c r="L20" s="216" t="str">
        <f>+IFERROR(VLOOKUP($J20,'11 FORMULAS'!$B$51:$D$53,3,0),"")</f>
        <v/>
      </c>
      <c r="M20" s="247"/>
      <c r="N20" s="216" t="str">
        <f>+IFERROR(VLOOKUP($M20,'11 FORMULAS'!$B$54:$C$55,2,0),"")</f>
        <v/>
      </c>
      <c r="O20" s="249"/>
      <c r="P20" s="249"/>
      <c r="Q20" s="249"/>
      <c r="R20" s="249"/>
      <c r="S20" s="216" t="str">
        <f t="shared" si="1"/>
        <v/>
      </c>
      <c r="T20" s="216">
        <f>IF($L20='11 FORMULAS'!$D$51,$C$16-($C$16*$S$16),$C$16)</f>
        <v>0.6</v>
      </c>
      <c r="U20" s="216">
        <f>IF(L20='11 FORMULAS'!$D$53,$D$16-($D$16*$S$16),$D$16)</f>
        <v>0.6</v>
      </c>
      <c r="V20" s="473"/>
      <c r="W20" s="476"/>
      <c r="X20" s="28"/>
      <c r="Y20" s="214"/>
      <c r="Z20" s="215"/>
      <c r="AA20" s="215"/>
    </row>
    <row r="21" spans="1:27" ht="29.55" customHeight="1" thickBot="1" x14ac:dyDescent="0.35">
      <c r="A21" s="452"/>
      <c r="B21" s="455"/>
      <c r="C21" s="449"/>
      <c r="D21" s="449"/>
      <c r="E21" s="250">
        <v>6</v>
      </c>
      <c r="F21" s="164"/>
      <c r="G21" s="164"/>
      <c r="H21" s="164"/>
      <c r="I21" s="329" t="str">
        <f t="shared" si="0"/>
        <v xml:space="preserve">  </v>
      </c>
      <c r="J21" s="330"/>
      <c r="K21" s="331" t="str">
        <f>+IFERROR(VLOOKUP($J21,'11 FORMULAS'!$B$51:$C$53,2,0),"")</f>
        <v/>
      </c>
      <c r="L21" s="331" t="str">
        <f>+IFERROR(VLOOKUP($J21,'11 FORMULAS'!$B$51:$D$53,3,0),"")</f>
        <v/>
      </c>
      <c r="M21" s="332"/>
      <c r="N21" s="331" t="str">
        <f>+IFERROR(VLOOKUP($M21,'11 FORMULAS'!$B$54:$C$55,2,0),"")</f>
        <v/>
      </c>
      <c r="O21" s="333"/>
      <c r="P21" s="333"/>
      <c r="Q21" s="333"/>
      <c r="R21" s="333"/>
      <c r="S21" s="331" t="str">
        <f t="shared" si="1"/>
        <v/>
      </c>
      <c r="T21" s="331">
        <f>IF($L21='11 FORMULAS'!$D$51,$C$16-($C$16*$S$16),$C$16)</f>
        <v>0.6</v>
      </c>
      <c r="U21" s="331">
        <f>IF(L21='11 FORMULAS'!$D$53,$D$16-($D$16*$S$16),$D$16)</f>
        <v>0.6</v>
      </c>
      <c r="V21" s="474"/>
      <c r="W21" s="477"/>
      <c r="X21" s="28"/>
    </row>
    <row r="22" spans="1:27" ht="82.8" x14ac:dyDescent="0.3">
      <c r="A22" s="450" t="str">
        <f>'2 IDENTIFICACIÓN'!A12</f>
        <v>R3</v>
      </c>
      <c r="B22" s="453" t="str">
        <f>+'2 IDENTIFICACIÓN'!J12</f>
        <v>Posibilidad de afectación económica y reputacional por  manejo inadecuado de pasivos exigibles y vigencias expiradas, debido a  incumplimiento de los procedimientos establecidos en la Resolución 193 de 2016 de la Contaduría General de la Nación.</v>
      </c>
      <c r="C22" s="447">
        <f>+'3 PROBABIL E IMPACTO INHERENTE'!E12</f>
        <v>0.6</v>
      </c>
      <c r="D22" s="447">
        <f>+'3 PROBABIL E IMPACTO INHERENTE'!M12</f>
        <v>1</v>
      </c>
      <c r="E22" s="324">
        <v>1</v>
      </c>
      <c r="F22" s="35" t="s">
        <v>410</v>
      </c>
      <c r="G22" s="35" t="s">
        <v>411</v>
      </c>
      <c r="H22" s="35" t="s">
        <v>412</v>
      </c>
      <c r="I22" s="325" t="str">
        <f t="shared" si="0"/>
        <v>La persona encargada,  verifica el cumplimiento de los procedimientos establecidos en la Resolución 193 de 2016 de la Contaduría General de la Nación, mediante la revisión y seguimiento a los pasivos exigibles y/o vigencias expiradas de la Secretaría de Infraestructura, con el fin de realizar su depuración conforme a la normatividad vigente.</v>
      </c>
      <c r="J22" s="326" t="s">
        <v>133</v>
      </c>
      <c r="K22" s="248">
        <f>+IFERROR(VLOOKUP($J22,'11 FORMULAS'!$B$51:$C$53,2,0),"")</f>
        <v>0.25</v>
      </c>
      <c r="L22" s="248" t="str">
        <f>+IFERROR(VLOOKUP($J22,'11 FORMULAS'!$B$51:$D$53,3,0),"")</f>
        <v>Probabilidad</v>
      </c>
      <c r="M22" s="327" t="s">
        <v>145</v>
      </c>
      <c r="N22" s="248">
        <f>+IFERROR(VLOOKUP($M22,'11 FORMULAS'!$B$54:$C$55,2,0),"")</f>
        <v>0.15</v>
      </c>
      <c r="O22" s="328" t="s">
        <v>135</v>
      </c>
      <c r="P22" s="328" t="s">
        <v>242</v>
      </c>
      <c r="Q22" s="328" t="s">
        <v>137</v>
      </c>
      <c r="R22" s="328" t="s">
        <v>138</v>
      </c>
      <c r="S22" s="248">
        <f t="shared" si="1"/>
        <v>0.4</v>
      </c>
      <c r="T22" s="248">
        <f>IF($L22='11 FORMULAS'!$D$51,$C$22-($C$22*$S$22),$C$22)</f>
        <v>0.36</v>
      </c>
      <c r="U22" s="248">
        <f>IF(L22='11 FORMULAS'!$D$53,$D$22-($D$22*$S$22),$D$22)</f>
        <v>1</v>
      </c>
      <c r="V22" s="472">
        <f>+IF(T27="","",T27)</f>
        <v>0.6</v>
      </c>
      <c r="W22" s="475">
        <f>+IF(U27="","",U27)</f>
        <v>1</v>
      </c>
      <c r="X22" s="28"/>
      <c r="Y22" s="214"/>
      <c r="Z22" s="215"/>
      <c r="AA22" s="215"/>
    </row>
    <row r="23" spans="1:27" ht="29.55" customHeight="1" x14ac:dyDescent="0.3">
      <c r="A23" s="451"/>
      <c r="B23" s="454"/>
      <c r="C23" s="448"/>
      <c r="D23" s="448"/>
      <c r="E23" s="246">
        <v>2</v>
      </c>
      <c r="F23" s="163"/>
      <c r="G23" s="163"/>
      <c r="H23" s="163"/>
      <c r="I23" s="212" t="str">
        <f t="shared" si="0"/>
        <v xml:space="preserve">  </v>
      </c>
      <c r="J23" s="283"/>
      <c r="K23" s="216" t="str">
        <f>+IFERROR(VLOOKUP($J23,'11 FORMULAS'!$B$51:$C$53,2,0),"")</f>
        <v/>
      </c>
      <c r="L23" s="216" t="str">
        <f>+IFERROR(VLOOKUP($J23,'11 FORMULAS'!$B$51:$D$53,3,0),"")</f>
        <v/>
      </c>
      <c r="M23" s="247"/>
      <c r="N23" s="216" t="str">
        <f>+IFERROR(VLOOKUP($M23,'11 FORMULAS'!$B$54:$C$55,2,0),"")</f>
        <v/>
      </c>
      <c r="O23" s="249"/>
      <c r="P23" s="249"/>
      <c r="Q23" s="249"/>
      <c r="R23" s="249"/>
      <c r="S23" s="216" t="str">
        <f t="shared" si="1"/>
        <v/>
      </c>
      <c r="T23" s="216">
        <f>IF($L23='11 FORMULAS'!$D$51,$C$22-($C$22*$S$22),$C$22)</f>
        <v>0.6</v>
      </c>
      <c r="U23" s="216">
        <f>IF(L23='11 FORMULAS'!$D$53,$D$22-($D$22*$S$22),$D$22)</f>
        <v>1</v>
      </c>
      <c r="V23" s="473"/>
      <c r="W23" s="476"/>
      <c r="X23" s="28"/>
      <c r="Y23" s="214"/>
      <c r="Z23" s="215"/>
      <c r="AA23" s="215"/>
    </row>
    <row r="24" spans="1:27" ht="29.55" customHeight="1" x14ac:dyDescent="0.3">
      <c r="A24" s="451"/>
      <c r="B24" s="454"/>
      <c r="C24" s="448"/>
      <c r="D24" s="448"/>
      <c r="E24" s="246">
        <v>3</v>
      </c>
      <c r="F24" s="163"/>
      <c r="G24" s="163"/>
      <c r="H24" s="163"/>
      <c r="I24" s="212" t="str">
        <f t="shared" si="0"/>
        <v xml:space="preserve">  </v>
      </c>
      <c r="J24" s="283"/>
      <c r="K24" s="216" t="str">
        <f>+IFERROR(VLOOKUP($J24,'11 FORMULAS'!$B$51:$C$53,2,0),"")</f>
        <v/>
      </c>
      <c r="L24" s="216" t="str">
        <f>+IFERROR(VLOOKUP($J24,'11 FORMULAS'!$B$51:$D$53,3,0),"")</f>
        <v/>
      </c>
      <c r="M24" s="247"/>
      <c r="N24" s="216" t="str">
        <f>+IFERROR(VLOOKUP($M24,'11 FORMULAS'!$B$54:$C$55,2,0),"")</f>
        <v/>
      </c>
      <c r="O24" s="249"/>
      <c r="P24" s="249"/>
      <c r="Q24" s="249"/>
      <c r="R24" s="249"/>
      <c r="S24" s="216" t="str">
        <f t="shared" si="1"/>
        <v/>
      </c>
      <c r="T24" s="216">
        <f>IF($L24='11 FORMULAS'!$D$51,$C$22-($C$22*$S$22),$C$22)</f>
        <v>0.6</v>
      </c>
      <c r="U24" s="216">
        <f>IF(L24='11 FORMULAS'!$D$53,$D$22-($D$22*$S$22),$D$22)</f>
        <v>1</v>
      </c>
      <c r="V24" s="473"/>
      <c r="W24" s="476"/>
      <c r="X24" s="28"/>
      <c r="Y24" s="214"/>
      <c r="Z24" s="215"/>
      <c r="AA24" s="215"/>
    </row>
    <row r="25" spans="1:27" ht="29.55" customHeight="1" x14ac:dyDescent="0.3">
      <c r="A25" s="451"/>
      <c r="B25" s="454"/>
      <c r="C25" s="448"/>
      <c r="D25" s="448"/>
      <c r="E25" s="246">
        <v>4</v>
      </c>
      <c r="F25" s="163"/>
      <c r="G25" s="163"/>
      <c r="H25" s="163"/>
      <c r="I25" s="212" t="str">
        <f t="shared" si="0"/>
        <v xml:space="preserve">  </v>
      </c>
      <c r="J25" s="283"/>
      <c r="K25" s="216" t="str">
        <f>+IFERROR(VLOOKUP($J25,'11 FORMULAS'!$B$51:$C$53,2,0),"")</f>
        <v/>
      </c>
      <c r="L25" s="216" t="str">
        <f>+IFERROR(VLOOKUP($J25,'11 FORMULAS'!$B$51:$D$53,3,0),"")</f>
        <v/>
      </c>
      <c r="M25" s="247"/>
      <c r="N25" s="216" t="str">
        <f>+IFERROR(VLOOKUP($M25,'11 FORMULAS'!$B$54:$C$55,2,0),"")</f>
        <v/>
      </c>
      <c r="O25" s="249"/>
      <c r="P25" s="249"/>
      <c r="Q25" s="249"/>
      <c r="R25" s="249"/>
      <c r="S25" s="216" t="str">
        <f t="shared" si="1"/>
        <v/>
      </c>
      <c r="T25" s="216">
        <f>IF($L25='11 FORMULAS'!$D$51,$C$22-($C$22*$S$22),$C$22)</f>
        <v>0.6</v>
      </c>
      <c r="U25" s="216">
        <f>IF(L25='11 FORMULAS'!$D$53,$D$22-($D$22*$S$22),$D$22)</f>
        <v>1</v>
      </c>
      <c r="V25" s="473"/>
      <c r="W25" s="476"/>
      <c r="X25" s="28"/>
      <c r="Y25" s="214"/>
      <c r="Z25" s="215"/>
      <c r="AA25" s="215"/>
    </row>
    <row r="26" spans="1:27" ht="29.55" customHeight="1" x14ac:dyDescent="0.3">
      <c r="A26" s="451"/>
      <c r="B26" s="454"/>
      <c r="C26" s="448"/>
      <c r="D26" s="448"/>
      <c r="E26" s="246">
        <v>5</v>
      </c>
      <c r="F26" s="163"/>
      <c r="G26" s="163"/>
      <c r="H26" s="163"/>
      <c r="I26" s="212" t="str">
        <f t="shared" si="0"/>
        <v xml:space="preserve">  </v>
      </c>
      <c r="J26" s="283"/>
      <c r="K26" s="216" t="str">
        <f>+IFERROR(VLOOKUP($J26,'11 FORMULAS'!$B$51:$C$53,2,0),"")</f>
        <v/>
      </c>
      <c r="L26" s="216" t="str">
        <f>+IFERROR(VLOOKUP($J26,'11 FORMULAS'!$B$51:$D$53,3,0),"")</f>
        <v/>
      </c>
      <c r="M26" s="247"/>
      <c r="N26" s="216" t="str">
        <f>+IFERROR(VLOOKUP($M26,'11 FORMULAS'!$B$54:$C$55,2,0),"")</f>
        <v/>
      </c>
      <c r="O26" s="249"/>
      <c r="P26" s="249"/>
      <c r="Q26" s="249"/>
      <c r="R26" s="249"/>
      <c r="S26" s="216" t="str">
        <f t="shared" si="1"/>
        <v/>
      </c>
      <c r="T26" s="216">
        <f>IF($L26='11 FORMULAS'!$D$51,$C$22-($C$22*$S$22),$C$22)</f>
        <v>0.6</v>
      </c>
      <c r="U26" s="216">
        <f>IF(L26='11 FORMULAS'!$D$53,$D$22-($D$22*$S$22),$D$22)</f>
        <v>1</v>
      </c>
      <c r="V26" s="473"/>
      <c r="W26" s="476"/>
      <c r="X26" s="28"/>
      <c r="Y26" s="214"/>
      <c r="Z26" s="215"/>
      <c r="AA26" s="215"/>
    </row>
    <row r="27" spans="1:27" ht="29.55" customHeight="1" thickBot="1" x14ac:dyDescent="0.35">
      <c r="A27" s="452"/>
      <c r="B27" s="455"/>
      <c r="C27" s="449"/>
      <c r="D27" s="449"/>
      <c r="E27" s="250">
        <v>6</v>
      </c>
      <c r="F27" s="164"/>
      <c r="G27" s="164"/>
      <c r="H27" s="164"/>
      <c r="I27" s="329" t="str">
        <f t="shared" si="0"/>
        <v xml:space="preserve">  </v>
      </c>
      <c r="J27" s="330"/>
      <c r="K27" s="331" t="str">
        <f>+IFERROR(VLOOKUP($J27,'11 FORMULAS'!$B$51:$C$53,2,0),"")</f>
        <v/>
      </c>
      <c r="L27" s="331" t="str">
        <f>+IFERROR(VLOOKUP($J27,'11 FORMULAS'!$B$51:$D$53,3,0),"")</f>
        <v/>
      </c>
      <c r="M27" s="332"/>
      <c r="N27" s="331" t="str">
        <f>+IFERROR(VLOOKUP($M27,'11 FORMULAS'!$B$54:$C$55,2,0),"")</f>
        <v/>
      </c>
      <c r="O27" s="333"/>
      <c r="P27" s="333"/>
      <c r="Q27" s="333"/>
      <c r="R27" s="333"/>
      <c r="S27" s="331" t="str">
        <f t="shared" si="1"/>
        <v/>
      </c>
      <c r="T27" s="331">
        <f>IF($L27='11 FORMULAS'!$D$51,$C$22-($C$22*$S$22),$C$22)</f>
        <v>0.6</v>
      </c>
      <c r="U27" s="331">
        <f>IF(L27='11 FORMULAS'!$D$53,$D$22-($D$22*$S$22),$D$22)</f>
        <v>1</v>
      </c>
      <c r="V27" s="474"/>
      <c r="W27" s="477"/>
      <c r="X27" s="28"/>
    </row>
    <row r="28" spans="1:27" ht="96.6" x14ac:dyDescent="0.3">
      <c r="A28" s="450" t="str">
        <f>'2 IDENTIFICACIÓN'!A13</f>
        <v>R4</v>
      </c>
      <c r="B28" s="453" t="str">
        <f>+'2 IDENTIFICACIÓN'!J13</f>
        <v>Posibilidad de afectación económica y reputacional por  investigaciones y sanciones disciplinarias por entes de control, debido a la falta de seguimiento al cumplimiento de metas del Plan de Desarrollo Municipal programadas para la vigencia.</v>
      </c>
      <c r="C28" s="447">
        <f>+'3 PROBABIL E IMPACTO INHERENTE'!E13</f>
        <v>0.6</v>
      </c>
      <c r="D28" s="447">
        <f>+'3 PROBABIL E IMPACTO INHERENTE'!M13</f>
        <v>1</v>
      </c>
      <c r="E28" s="324">
        <v>1</v>
      </c>
      <c r="F28" s="35" t="s">
        <v>539</v>
      </c>
      <c r="G28" s="35" t="s">
        <v>540</v>
      </c>
      <c r="H28" s="35" t="s">
        <v>541</v>
      </c>
      <c r="I28" s="325" t="str">
        <f t="shared" si="0"/>
        <v>La Secretaría de Infraestructura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28" s="326" t="s">
        <v>133</v>
      </c>
      <c r="K28" s="248">
        <f>+IFERROR(VLOOKUP($J28,'11 FORMULAS'!$B$51:$C$53,2,0),"")</f>
        <v>0.25</v>
      </c>
      <c r="L28" s="248" t="str">
        <f>+IFERROR(VLOOKUP($J28,'11 FORMULAS'!$B$51:$D$53,3,0),"")</f>
        <v>Probabilidad</v>
      </c>
      <c r="M28" s="327" t="s">
        <v>145</v>
      </c>
      <c r="N28" s="248">
        <f>+IFERROR(VLOOKUP($M28,'11 FORMULAS'!$B$54:$C$55,2,0),"")</f>
        <v>0.15</v>
      </c>
      <c r="O28" s="328" t="s">
        <v>135</v>
      </c>
      <c r="P28" s="328" t="s">
        <v>241</v>
      </c>
      <c r="Q28" s="328" t="s">
        <v>137</v>
      </c>
      <c r="R28" s="328" t="s">
        <v>138</v>
      </c>
      <c r="S28" s="248">
        <f t="shared" si="1"/>
        <v>0.4</v>
      </c>
      <c r="T28" s="248">
        <f>IF($L28='11 FORMULAS'!$D$51,$C$28-($C$28*$S$28),$C$28)</f>
        <v>0.36</v>
      </c>
      <c r="U28" s="248">
        <f>IF(L28='11 FORMULAS'!$D$53,$D$28-($D$28*$S$28),$D$28)</f>
        <v>1</v>
      </c>
      <c r="V28" s="472">
        <f>+IF(T33="","",T33)</f>
        <v>0.6</v>
      </c>
      <c r="W28" s="475">
        <f>+IF(U33="","",U33)</f>
        <v>1</v>
      </c>
      <c r="X28" s="28"/>
      <c r="Y28" s="214"/>
      <c r="Z28" s="215"/>
      <c r="AA28" s="215"/>
    </row>
    <row r="29" spans="1:27" ht="29.55" customHeight="1" x14ac:dyDescent="0.3">
      <c r="A29" s="451"/>
      <c r="B29" s="454"/>
      <c r="C29" s="448"/>
      <c r="D29" s="448"/>
      <c r="E29" s="246">
        <v>2</v>
      </c>
      <c r="F29" s="163"/>
      <c r="G29" s="163"/>
      <c r="H29" s="163"/>
      <c r="I29" s="212" t="str">
        <f t="shared" si="0"/>
        <v xml:space="preserve">  </v>
      </c>
      <c r="J29" s="283"/>
      <c r="K29" s="216" t="str">
        <f>+IFERROR(VLOOKUP($J29,'11 FORMULAS'!$B$51:$C$53,2,0),"")</f>
        <v/>
      </c>
      <c r="L29" s="216" t="str">
        <f>+IFERROR(VLOOKUP($J29,'11 FORMULAS'!$B$51:$D$53,3,0),"")</f>
        <v/>
      </c>
      <c r="M29" s="247"/>
      <c r="N29" s="216" t="str">
        <f>+IFERROR(VLOOKUP($M29,'11 FORMULAS'!$B$54:$C$55,2,0),"")</f>
        <v/>
      </c>
      <c r="O29" s="249"/>
      <c r="P29" s="249"/>
      <c r="Q29" s="249"/>
      <c r="R29" s="249"/>
      <c r="S29" s="216" t="str">
        <f t="shared" si="1"/>
        <v/>
      </c>
      <c r="T29" s="216">
        <f>IF($L29='11 FORMULAS'!$D$51,$C$28-($C$28*$S$28),$C$28)</f>
        <v>0.6</v>
      </c>
      <c r="U29" s="216">
        <f>IF(L29='11 FORMULAS'!$D$53,$D$28-($D$28*$S$28),$D$28)</f>
        <v>1</v>
      </c>
      <c r="V29" s="473"/>
      <c r="W29" s="476"/>
      <c r="X29" s="28"/>
      <c r="Y29" s="214"/>
      <c r="Z29" s="215"/>
      <c r="AA29" s="215"/>
    </row>
    <row r="30" spans="1:27" ht="29.55" customHeight="1" x14ac:dyDescent="0.3">
      <c r="A30" s="451"/>
      <c r="B30" s="454"/>
      <c r="C30" s="448"/>
      <c r="D30" s="448"/>
      <c r="E30" s="246">
        <v>3</v>
      </c>
      <c r="F30" s="163"/>
      <c r="G30" s="163"/>
      <c r="H30" s="163"/>
      <c r="I30" s="212" t="str">
        <f t="shared" si="0"/>
        <v xml:space="preserve">  </v>
      </c>
      <c r="J30" s="283"/>
      <c r="K30" s="216" t="str">
        <f>+IFERROR(VLOOKUP($J30,'11 FORMULAS'!$B$51:$C$53,2,0),"")</f>
        <v/>
      </c>
      <c r="L30" s="216" t="str">
        <f>+IFERROR(VLOOKUP($J30,'11 FORMULAS'!$B$51:$D$53,3,0),"")</f>
        <v/>
      </c>
      <c r="M30" s="247"/>
      <c r="N30" s="216" t="str">
        <f>+IFERROR(VLOOKUP($M30,'11 FORMULAS'!$B$54:$C$55,2,0),"")</f>
        <v/>
      </c>
      <c r="O30" s="249"/>
      <c r="P30" s="249"/>
      <c r="Q30" s="249"/>
      <c r="R30" s="249"/>
      <c r="S30" s="216" t="str">
        <f t="shared" si="1"/>
        <v/>
      </c>
      <c r="T30" s="216">
        <f>IF($L30='11 FORMULAS'!$D$51,$C$28-($C$28*$S$28),$C$28)</f>
        <v>0.6</v>
      </c>
      <c r="U30" s="216">
        <f>IF(L30='11 FORMULAS'!$D$53,$D$28-($D$28*$S$28),$D$28)</f>
        <v>1</v>
      </c>
      <c r="V30" s="473"/>
      <c r="W30" s="476"/>
      <c r="X30" s="28"/>
      <c r="Y30" s="214"/>
      <c r="Z30" s="215"/>
      <c r="AA30" s="215"/>
    </row>
    <row r="31" spans="1:27" ht="29.55" customHeight="1" x14ac:dyDescent="0.3">
      <c r="A31" s="451"/>
      <c r="B31" s="454"/>
      <c r="C31" s="448"/>
      <c r="D31" s="448"/>
      <c r="E31" s="246">
        <v>4</v>
      </c>
      <c r="F31" s="163"/>
      <c r="G31" s="163"/>
      <c r="H31" s="163"/>
      <c r="I31" s="212" t="str">
        <f t="shared" si="0"/>
        <v xml:space="preserve">  </v>
      </c>
      <c r="J31" s="283"/>
      <c r="K31" s="216" t="str">
        <f>+IFERROR(VLOOKUP($J31,'11 FORMULAS'!$B$51:$C$53,2,0),"")</f>
        <v/>
      </c>
      <c r="L31" s="216" t="str">
        <f>+IFERROR(VLOOKUP($J31,'11 FORMULAS'!$B$51:$D$53,3,0),"")</f>
        <v/>
      </c>
      <c r="M31" s="247"/>
      <c r="N31" s="216" t="str">
        <f>+IFERROR(VLOOKUP($M31,'11 FORMULAS'!$B$54:$C$55,2,0),"")</f>
        <v/>
      </c>
      <c r="O31" s="249"/>
      <c r="P31" s="249"/>
      <c r="Q31" s="249"/>
      <c r="R31" s="249"/>
      <c r="S31" s="216" t="str">
        <f t="shared" si="1"/>
        <v/>
      </c>
      <c r="T31" s="216">
        <f>IF($L31='11 FORMULAS'!$D$51,$C$28-($C$28*$S$28),$C$28)</f>
        <v>0.6</v>
      </c>
      <c r="U31" s="216">
        <f>IF(L31='11 FORMULAS'!$D$53,$D$28-($D$28*$S$28),$D$28)</f>
        <v>1</v>
      </c>
      <c r="V31" s="473"/>
      <c r="W31" s="476"/>
      <c r="X31" s="28"/>
      <c r="Y31" s="214"/>
      <c r="Z31" s="215"/>
      <c r="AA31" s="215"/>
    </row>
    <row r="32" spans="1:27" ht="29.55" customHeight="1" x14ac:dyDescent="0.3">
      <c r="A32" s="451"/>
      <c r="B32" s="454"/>
      <c r="C32" s="448"/>
      <c r="D32" s="448"/>
      <c r="E32" s="246">
        <v>5</v>
      </c>
      <c r="F32" s="163"/>
      <c r="G32" s="163"/>
      <c r="H32" s="163"/>
      <c r="I32" s="212" t="str">
        <f t="shared" si="0"/>
        <v xml:space="preserve">  </v>
      </c>
      <c r="J32" s="283"/>
      <c r="K32" s="216" t="str">
        <f>+IFERROR(VLOOKUP($J32,'11 FORMULAS'!$B$51:$C$53,2,0),"")</f>
        <v/>
      </c>
      <c r="L32" s="216" t="str">
        <f>+IFERROR(VLOOKUP($J32,'11 FORMULAS'!$B$51:$D$53,3,0),"")</f>
        <v/>
      </c>
      <c r="M32" s="247"/>
      <c r="N32" s="216" t="str">
        <f>+IFERROR(VLOOKUP($M32,'11 FORMULAS'!$B$54:$C$55,2,0),"")</f>
        <v/>
      </c>
      <c r="O32" s="249"/>
      <c r="P32" s="249"/>
      <c r="Q32" s="249"/>
      <c r="R32" s="249"/>
      <c r="S32" s="216" t="str">
        <f t="shared" si="1"/>
        <v/>
      </c>
      <c r="T32" s="216">
        <f>IF($L32='11 FORMULAS'!$D$51,$C$28-($C$28*$S$28),$C$28)</f>
        <v>0.6</v>
      </c>
      <c r="U32" s="216">
        <f>IF(L32='11 FORMULAS'!$D$53,$D$28-($D$28*$S$28),$D$28)</f>
        <v>1</v>
      </c>
      <c r="V32" s="473"/>
      <c r="W32" s="476"/>
      <c r="X32" s="28"/>
      <c r="Y32" s="214"/>
      <c r="Z32" s="215"/>
      <c r="AA32" s="215"/>
    </row>
    <row r="33" spans="1:27" ht="29.55" customHeight="1" thickBot="1" x14ac:dyDescent="0.35">
      <c r="A33" s="452"/>
      <c r="B33" s="455"/>
      <c r="C33" s="449"/>
      <c r="D33" s="449"/>
      <c r="E33" s="250">
        <v>6</v>
      </c>
      <c r="F33" s="164"/>
      <c r="G33" s="164"/>
      <c r="H33" s="164"/>
      <c r="I33" s="329" t="str">
        <f t="shared" si="0"/>
        <v xml:space="preserve">  </v>
      </c>
      <c r="J33" s="330"/>
      <c r="K33" s="331" t="str">
        <f>+IFERROR(VLOOKUP($J33,'11 FORMULAS'!$B$51:$C$53,2,0),"")</f>
        <v/>
      </c>
      <c r="L33" s="331" t="str">
        <f>+IFERROR(VLOOKUP($J33,'11 FORMULAS'!$B$51:$D$53,3,0),"")</f>
        <v/>
      </c>
      <c r="M33" s="332"/>
      <c r="N33" s="331" t="str">
        <f>+IFERROR(VLOOKUP($M33,'11 FORMULAS'!$B$54:$C$55,2,0),"")</f>
        <v/>
      </c>
      <c r="O33" s="333"/>
      <c r="P33" s="333"/>
      <c r="Q33" s="333"/>
      <c r="R33" s="333"/>
      <c r="S33" s="331" t="str">
        <f t="shared" si="1"/>
        <v/>
      </c>
      <c r="T33" s="331">
        <f>IF($L33='11 FORMULAS'!$D$51,$C$28-($C$28*$S$28),$C$28)</f>
        <v>0.6</v>
      </c>
      <c r="U33" s="331">
        <f>IF(L33='11 FORMULAS'!$D$53,$D$28-($D$28*$S$28),$D$28)</f>
        <v>1</v>
      </c>
      <c r="V33" s="474"/>
      <c r="W33" s="477"/>
      <c r="X33" s="28"/>
    </row>
    <row r="34" spans="1:27" ht="82.8" x14ac:dyDescent="0.3">
      <c r="A34" s="450" t="str">
        <f>'2 IDENTIFICACIÓN'!A14</f>
        <v>R5</v>
      </c>
      <c r="B34" s="453" t="str">
        <f>+'2 IDENTIFICACIÓN'!J14</f>
        <v>Posibilidad de afectación reputacional por  investigaciones disciplinarias y sanciones por entes de control, debido a  la deficiente planeación de las necesidades del Plan Anual de Adquisiciones por parte de la Secretaría de Infraestructura.</v>
      </c>
      <c r="C34" s="447">
        <f>+'3 PROBABIL E IMPACTO INHERENTE'!E14</f>
        <v>0.6</v>
      </c>
      <c r="D34" s="447">
        <f>+'3 PROBABIL E IMPACTO INHERENTE'!M14</f>
        <v>0.6</v>
      </c>
      <c r="E34" s="324">
        <v>1</v>
      </c>
      <c r="F34" s="35" t="s">
        <v>413</v>
      </c>
      <c r="G34" s="35" t="s">
        <v>414</v>
      </c>
      <c r="H34" s="35" t="s">
        <v>415</v>
      </c>
      <c r="I34" s="325" t="str">
        <f t="shared" si="0"/>
        <v>El equipo profesional misional verifica las necesidades de contratación incluidas en el Plan Anual de Adquisiciones - PAA, mediante la revisión periódica de la contratación programada y, en caso de requerirse, solicita su actualización o modificación, con el fin de prevenir deficiencias en la planeación contractual.</v>
      </c>
      <c r="J34" s="326" t="s">
        <v>133</v>
      </c>
      <c r="K34" s="248">
        <f>+IFERROR(VLOOKUP($J34,'11 FORMULAS'!$B$51:$C$53,2,0),"")</f>
        <v>0.25</v>
      </c>
      <c r="L34" s="248" t="str">
        <f>+IFERROR(VLOOKUP($J34,'11 FORMULAS'!$B$51:$D$53,3,0),"")</f>
        <v>Probabilidad</v>
      </c>
      <c r="M34" s="327" t="s">
        <v>145</v>
      </c>
      <c r="N34" s="248">
        <f>+IFERROR(VLOOKUP($M34,'11 FORMULAS'!$B$54:$C$55,2,0),"")</f>
        <v>0.15</v>
      </c>
      <c r="O34" s="328" t="s">
        <v>135</v>
      </c>
      <c r="P34" s="328" t="s">
        <v>241</v>
      </c>
      <c r="Q34" s="328" t="s">
        <v>137</v>
      </c>
      <c r="R34" s="328" t="s">
        <v>138</v>
      </c>
      <c r="S34" s="248">
        <f t="shared" si="1"/>
        <v>0.4</v>
      </c>
      <c r="T34" s="248">
        <f>IF($L34='11 FORMULAS'!$D$51,$C$34-($C$34*$S$34),$C$34)</f>
        <v>0.36</v>
      </c>
      <c r="U34" s="248">
        <f>IF($L34='11 FORMULAS'!$D$53,$D$34-($D$34*$S$34),$D$34)</f>
        <v>0.6</v>
      </c>
      <c r="V34" s="472">
        <f>+IF(T39="","",T39)</f>
        <v>0.6</v>
      </c>
      <c r="W34" s="475">
        <f>+IF(U39="","",U39)</f>
        <v>0.6</v>
      </c>
      <c r="X34" s="28"/>
      <c r="Y34" s="214"/>
      <c r="Z34" s="215"/>
      <c r="AA34" s="215"/>
    </row>
    <row r="35" spans="1:27" ht="29.55" customHeight="1" x14ac:dyDescent="0.3">
      <c r="A35" s="451"/>
      <c r="B35" s="454"/>
      <c r="C35" s="448"/>
      <c r="D35" s="448"/>
      <c r="E35" s="246">
        <v>2</v>
      </c>
      <c r="F35" s="163"/>
      <c r="G35" s="163"/>
      <c r="H35" s="163"/>
      <c r="I35" s="212" t="str">
        <f t="shared" si="0"/>
        <v xml:space="preserve">  </v>
      </c>
      <c r="J35" s="283"/>
      <c r="K35" s="216" t="str">
        <f>+IFERROR(VLOOKUP($J35,'11 FORMULAS'!$B$51:$C$53,2,0),"")</f>
        <v/>
      </c>
      <c r="L35" s="216" t="str">
        <f>+IFERROR(VLOOKUP($J35,'11 FORMULAS'!$B$51:$D$53,3,0),"")</f>
        <v/>
      </c>
      <c r="M35" s="247"/>
      <c r="N35" s="216" t="str">
        <f>+IFERROR(VLOOKUP($M35,'11 FORMULAS'!$B$54:$C$55,2,0),"")</f>
        <v/>
      </c>
      <c r="O35" s="249"/>
      <c r="P35" s="249"/>
      <c r="Q35" s="249"/>
      <c r="R35" s="249"/>
      <c r="S35" s="216" t="str">
        <f t="shared" si="1"/>
        <v/>
      </c>
      <c r="T35" s="216">
        <f>IF($L35='11 FORMULAS'!$D$51,$C$34-($C$34*$S$34),$C$34)</f>
        <v>0.6</v>
      </c>
      <c r="U35" s="216">
        <f>IF($L35='11 FORMULAS'!$D$53,$D$34-($D$34*$S$34),$D$34)</f>
        <v>0.6</v>
      </c>
      <c r="V35" s="473"/>
      <c r="W35" s="476"/>
      <c r="X35" s="28"/>
      <c r="Y35" s="214"/>
      <c r="Z35" s="215"/>
      <c r="AA35" s="215"/>
    </row>
    <row r="36" spans="1:27" ht="29.55" customHeight="1" x14ac:dyDescent="0.3">
      <c r="A36" s="451"/>
      <c r="B36" s="454"/>
      <c r="C36" s="448"/>
      <c r="D36" s="448"/>
      <c r="E36" s="246">
        <v>3</v>
      </c>
      <c r="F36" s="163"/>
      <c r="G36" s="163"/>
      <c r="H36" s="163"/>
      <c r="I36" s="212" t="str">
        <f t="shared" si="0"/>
        <v xml:space="preserve">  </v>
      </c>
      <c r="J36" s="283"/>
      <c r="K36" s="216" t="str">
        <f>+IFERROR(VLOOKUP($J36,'11 FORMULAS'!$B$51:$C$53,2,0),"")</f>
        <v/>
      </c>
      <c r="L36" s="216" t="str">
        <f>+IFERROR(VLOOKUP($J36,'11 FORMULAS'!$B$51:$D$53,3,0),"")</f>
        <v/>
      </c>
      <c r="M36" s="247"/>
      <c r="N36" s="216" t="str">
        <f>+IFERROR(VLOOKUP($M36,'11 FORMULAS'!$B$54:$C$55,2,0),"")</f>
        <v/>
      </c>
      <c r="O36" s="249"/>
      <c r="P36" s="249"/>
      <c r="Q36" s="249"/>
      <c r="R36" s="249"/>
      <c r="S36" s="216" t="str">
        <f t="shared" si="1"/>
        <v/>
      </c>
      <c r="T36" s="216">
        <f>IF($L36='11 FORMULAS'!$D$51,$C$34-($C$34*$S$34),$C$34)</f>
        <v>0.6</v>
      </c>
      <c r="U36" s="216">
        <f>IF($L36='11 FORMULAS'!$D$53,$D$34-($D$34*$S$34),$D$34)</f>
        <v>0.6</v>
      </c>
      <c r="V36" s="473"/>
      <c r="W36" s="476"/>
      <c r="X36" s="28"/>
      <c r="Y36" s="214"/>
      <c r="Z36" s="215"/>
      <c r="AA36" s="215"/>
    </row>
    <row r="37" spans="1:27" ht="29.55" customHeight="1" x14ac:dyDescent="0.3">
      <c r="A37" s="451"/>
      <c r="B37" s="454"/>
      <c r="C37" s="448"/>
      <c r="D37" s="448"/>
      <c r="E37" s="246">
        <v>4</v>
      </c>
      <c r="F37" s="163"/>
      <c r="G37" s="163"/>
      <c r="H37" s="163"/>
      <c r="I37" s="212" t="str">
        <f t="shared" si="0"/>
        <v xml:space="preserve">  </v>
      </c>
      <c r="J37" s="283"/>
      <c r="K37" s="216" t="str">
        <f>+IFERROR(VLOOKUP($J37,'11 FORMULAS'!$B$51:$C$53,2,0),"")</f>
        <v/>
      </c>
      <c r="L37" s="216" t="str">
        <f>+IFERROR(VLOOKUP($J37,'11 FORMULAS'!$B$51:$D$53,3,0),"")</f>
        <v/>
      </c>
      <c r="M37" s="247"/>
      <c r="N37" s="216" t="str">
        <f>+IFERROR(VLOOKUP($M37,'11 FORMULAS'!$B$54:$C$55,2,0),"")</f>
        <v/>
      </c>
      <c r="O37" s="249"/>
      <c r="P37" s="249"/>
      <c r="Q37" s="249"/>
      <c r="R37" s="249"/>
      <c r="S37" s="216" t="str">
        <f t="shared" si="1"/>
        <v/>
      </c>
      <c r="T37" s="216">
        <f>IF($L37='11 FORMULAS'!$D$51,$C$34-($C$34*$S$34),$C$34)</f>
        <v>0.6</v>
      </c>
      <c r="U37" s="216">
        <f>IF($L37='11 FORMULAS'!$D$53,$D$34-($D$34*$S$34),$D$34)</f>
        <v>0.6</v>
      </c>
      <c r="V37" s="473"/>
      <c r="W37" s="476"/>
      <c r="X37" s="28"/>
      <c r="Y37" s="214"/>
      <c r="Z37" s="215"/>
      <c r="AA37" s="215"/>
    </row>
    <row r="38" spans="1:27" ht="29.55" customHeight="1" x14ac:dyDescent="0.3">
      <c r="A38" s="451"/>
      <c r="B38" s="454"/>
      <c r="C38" s="448"/>
      <c r="D38" s="448"/>
      <c r="E38" s="246">
        <v>5</v>
      </c>
      <c r="F38" s="163"/>
      <c r="G38" s="163"/>
      <c r="H38" s="163"/>
      <c r="I38" s="212" t="str">
        <f t="shared" si="0"/>
        <v xml:space="preserve">  </v>
      </c>
      <c r="J38" s="283"/>
      <c r="K38" s="216" t="str">
        <f>+IFERROR(VLOOKUP($J38,'11 FORMULAS'!$B$51:$C$53,2,0),"")</f>
        <v/>
      </c>
      <c r="L38" s="216" t="str">
        <f>+IFERROR(VLOOKUP($J38,'11 FORMULAS'!$B$51:$D$53,3,0),"")</f>
        <v/>
      </c>
      <c r="M38" s="247"/>
      <c r="N38" s="216" t="str">
        <f>+IFERROR(VLOOKUP($M38,'11 FORMULAS'!$B$54:$C$55,2,0),"")</f>
        <v/>
      </c>
      <c r="O38" s="249"/>
      <c r="P38" s="249"/>
      <c r="Q38" s="249"/>
      <c r="R38" s="249"/>
      <c r="S38" s="216" t="str">
        <f t="shared" si="1"/>
        <v/>
      </c>
      <c r="T38" s="216">
        <f>IF($L38='11 FORMULAS'!$D$51,$C$34-($C$34*$S$34),$C$34)</f>
        <v>0.6</v>
      </c>
      <c r="U38" s="216">
        <f>IF($L38='11 FORMULAS'!$D$53,$D$34-($D$34*$S$34),$D$34)</f>
        <v>0.6</v>
      </c>
      <c r="V38" s="473"/>
      <c r="W38" s="476"/>
      <c r="X38" s="28"/>
      <c r="Y38" s="214"/>
      <c r="Z38" s="215"/>
      <c r="AA38" s="215"/>
    </row>
    <row r="39" spans="1:27" ht="29.55" customHeight="1" thickBot="1" x14ac:dyDescent="0.35">
      <c r="A39" s="452"/>
      <c r="B39" s="455"/>
      <c r="C39" s="449"/>
      <c r="D39" s="449"/>
      <c r="E39" s="250">
        <v>6</v>
      </c>
      <c r="F39" s="164"/>
      <c r="G39" s="164"/>
      <c r="H39" s="164"/>
      <c r="I39" s="329" t="str">
        <f t="shared" si="0"/>
        <v xml:space="preserve">  </v>
      </c>
      <c r="J39" s="330"/>
      <c r="K39" s="331" t="str">
        <f>+IFERROR(VLOOKUP($J39,'11 FORMULAS'!$B$51:$C$53,2,0),"")</f>
        <v/>
      </c>
      <c r="L39" s="331" t="str">
        <f>+IFERROR(VLOOKUP($J39,'11 FORMULAS'!$B$51:$D$53,3,0),"")</f>
        <v/>
      </c>
      <c r="M39" s="332"/>
      <c r="N39" s="331" t="str">
        <f>+IFERROR(VLOOKUP($M39,'11 FORMULAS'!$B$54:$C$55,2,0),"")</f>
        <v/>
      </c>
      <c r="O39" s="333"/>
      <c r="P39" s="333"/>
      <c r="Q39" s="333"/>
      <c r="R39" s="333"/>
      <c r="S39" s="331" t="str">
        <f t="shared" si="1"/>
        <v/>
      </c>
      <c r="T39" s="331">
        <f>IF($L39='11 FORMULAS'!$D$51,$C$34-($C$34*$S$34),$C$34)</f>
        <v>0.6</v>
      </c>
      <c r="U39" s="331">
        <f>IF($L39='11 FORMULAS'!$D$53,$D$34-($D$34*$S$34),$D$34)</f>
        <v>0.6</v>
      </c>
      <c r="V39" s="474"/>
      <c r="W39" s="477"/>
      <c r="X39" s="28"/>
    </row>
    <row r="40" spans="1:27" ht="82.8" x14ac:dyDescent="0.3">
      <c r="A40" s="450" t="str">
        <f>'2 IDENTIFICACIÓN'!A15</f>
        <v>R6</v>
      </c>
      <c r="B40" s="453" t="str">
        <f>+'2 IDENTIFICACIÓN'!J15</f>
        <v>Posibilidad de afectación reputacional por   investigaciones y sanciones disciplinarias por entes de control, debido a  incumplimiento de la norma NTC 6047 de accesibilidad en proyectos de obra pública, a causa de la inapropiada implementación de los principios de diseño universal en las fases de diseño y licitación.</v>
      </c>
      <c r="C40" s="447">
        <f>+'3 PROBABIL E IMPACTO INHERENTE'!E15</f>
        <v>0.6</v>
      </c>
      <c r="D40" s="447">
        <f>+'3 PROBABIL E IMPACTO INHERENTE'!M15</f>
        <v>0.6</v>
      </c>
      <c r="E40" s="324">
        <v>1</v>
      </c>
      <c r="F40" s="35" t="s">
        <v>416</v>
      </c>
      <c r="G40" s="35" t="s">
        <v>417</v>
      </c>
      <c r="H40" s="35" t="s">
        <v>418</v>
      </c>
      <c r="I40" s="325" t="str">
        <f t="shared" si="0"/>
        <v>El Profesional encargado del área de obra, supervisa que los estudios y diseños de los proyectos de obra cumplan con los lineamientos de accesibilidad y las NTC vigentes, mediante la revisión y seguimiento a los diseños elaborados, con el fin de prevenir incumplimientos normativos en materia de accesibilidad al medio físico.</v>
      </c>
      <c r="J40" s="326" t="s">
        <v>133</v>
      </c>
      <c r="K40" s="248">
        <f>+IFERROR(VLOOKUP($J40,'11 FORMULAS'!$B$51:$C$53,2,0),"")</f>
        <v>0.25</v>
      </c>
      <c r="L40" s="248" t="str">
        <f>+IFERROR(VLOOKUP($J40,'11 FORMULAS'!$B$51:$D$53,3,0),"")</f>
        <v>Probabilidad</v>
      </c>
      <c r="M40" s="327" t="s">
        <v>145</v>
      </c>
      <c r="N40" s="248">
        <f>+IFERROR(VLOOKUP($M40,'11 FORMULAS'!$B$54:$C$55,2,0),"")</f>
        <v>0.15</v>
      </c>
      <c r="O40" s="328" t="s">
        <v>135</v>
      </c>
      <c r="P40" s="328" t="s">
        <v>242</v>
      </c>
      <c r="Q40" s="328" t="s">
        <v>137</v>
      </c>
      <c r="R40" s="328" t="s">
        <v>138</v>
      </c>
      <c r="S40" s="248">
        <f t="shared" si="1"/>
        <v>0.4</v>
      </c>
      <c r="T40" s="248">
        <f>IF($L40='11 FORMULAS'!$D$51,$C$40-($C$40*$S$40),$C$40)</f>
        <v>0.36</v>
      </c>
      <c r="U40" s="248">
        <f>IF($L40='11 FORMULAS'!$D$53,$D$40-($D$40*$S$40),$D$40)</f>
        <v>0.6</v>
      </c>
      <c r="V40" s="472">
        <f>+IF(T45="","",T45)</f>
        <v>0.6</v>
      </c>
      <c r="W40" s="475">
        <f>+IF(U45="","",U45)</f>
        <v>0.6</v>
      </c>
      <c r="X40" s="28"/>
      <c r="Y40" s="214"/>
      <c r="Z40" s="215"/>
      <c r="AA40" s="215"/>
    </row>
    <row r="41" spans="1:27" ht="29.55" customHeight="1" x14ac:dyDescent="0.3">
      <c r="A41" s="451"/>
      <c r="B41" s="454"/>
      <c r="C41" s="448"/>
      <c r="D41" s="448"/>
      <c r="E41" s="246">
        <v>2</v>
      </c>
      <c r="F41" s="163"/>
      <c r="G41" s="163"/>
      <c r="H41" s="163"/>
      <c r="I41" s="212" t="str">
        <f t="shared" si="0"/>
        <v xml:space="preserve">  </v>
      </c>
      <c r="J41" s="283"/>
      <c r="K41" s="216" t="str">
        <f>+IFERROR(VLOOKUP($J41,'11 FORMULAS'!$B$51:$C$53,2,0),"")</f>
        <v/>
      </c>
      <c r="L41" s="216" t="str">
        <f>+IFERROR(VLOOKUP($J41,'11 FORMULAS'!$B$51:$D$53,3,0),"")</f>
        <v/>
      </c>
      <c r="M41" s="247"/>
      <c r="N41" s="216" t="str">
        <f>+IFERROR(VLOOKUP($M41,'11 FORMULAS'!$B$54:$C$55,2,0),"")</f>
        <v/>
      </c>
      <c r="O41" s="249"/>
      <c r="P41" s="249"/>
      <c r="Q41" s="249"/>
      <c r="R41" s="249"/>
      <c r="S41" s="216" t="str">
        <f t="shared" si="1"/>
        <v/>
      </c>
      <c r="T41" s="216">
        <f>IF($L41='11 FORMULAS'!$D$51,$C$40-($C$40*$S$40),$C$40)</f>
        <v>0.6</v>
      </c>
      <c r="U41" s="216">
        <f>IF($L41='11 FORMULAS'!$D$53,$D$40-($D$40*$S$40),$D$40)</f>
        <v>0.6</v>
      </c>
      <c r="V41" s="473"/>
      <c r="W41" s="476"/>
      <c r="X41" s="28"/>
      <c r="Y41" s="214"/>
      <c r="Z41" s="215"/>
      <c r="AA41" s="215"/>
    </row>
    <row r="42" spans="1:27" ht="29.55" customHeight="1" x14ac:dyDescent="0.3">
      <c r="A42" s="451"/>
      <c r="B42" s="454"/>
      <c r="C42" s="448"/>
      <c r="D42" s="448"/>
      <c r="E42" s="246">
        <v>3</v>
      </c>
      <c r="F42" s="163"/>
      <c r="G42" s="163"/>
      <c r="H42" s="163"/>
      <c r="I42" s="212" t="str">
        <f t="shared" si="0"/>
        <v xml:space="preserve">  </v>
      </c>
      <c r="J42" s="283"/>
      <c r="K42" s="216" t="str">
        <f>+IFERROR(VLOOKUP($J42,'11 FORMULAS'!$B$51:$C$53,2,0),"")</f>
        <v/>
      </c>
      <c r="L42" s="216" t="str">
        <f>+IFERROR(VLOOKUP($J42,'11 FORMULAS'!$B$51:$D$53,3,0),"")</f>
        <v/>
      </c>
      <c r="M42" s="247"/>
      <c r="N42" s="216" t="str">
        <f>+IFERROR(VLOOKUP($M42,'11 FORMULAS'!$B$54:$C$55,2,0),"")</f>
        <v/>
      </c>
      <c r="O42" s="249"/>
      <c r="P42" s="249"/>
      <c r="Q42" s="249"/>
      <c r="R42" s="249"/>
      <c r="S42" s="216" t="str">
        <f t="shared" si="1"/>
        <v/>
      </c>
      <c r="T42" s="216">
        <f>IF($L42='11 FORMULAS'!$D$51,$C$40-($C$40*$S$40),$C$40)</f>
        <v>0.6</v>
      </c>
      <c r="U42" s="216">
        <f>IF($L42='11 FORMULAS'!$D$53,$D$40-($D$40*$S$40),$D$40)</f>
        <v>0.6</v>
      </c>
      <c r="V42" s="473"/>
      <c r="W42" s="476"/>
      <c r="X42" s="28"/>
      <c r="Y42" s="214"/>
      <c r="Z42" s="215"/>
      <c r="AA42" s="215"/>
    </row>
    <row r="43" spans="1:27" ht="29.55" customHeight="1" x14ac:dyDescent="0.3">
      <c r="A43" s="451"/>
      <c r="B43" s="454"/>
      <c r="C43" s="448"/>
      <c r="D43" s="448"/>
      <c r="E43" s="246">
        <v>4</v>
      </c>
      <c r="F43" s="163"/>
      <c r="G43" s="163"/>
      <c r="H43" s="163"/>
      <c r="I43" s="212" t="str">
        <f t="shared" si="0"/>
        <v xml:space="preserve">  </v>
      </c>
      <c r="J43" s="283"/>
      <c r="K43" s="216" t="str">
        <f>+IFERROR(VLOOKUP($J43,'11 FORMULAS'!$B$51:$C$53,2,0),"")</f>
        <v/>
      </c>
      <c r="L43" s="216" t="str">
        <f>+IFERROR(VLOOKUP($J43,'11 FORMULAS'!$B$51:$D$53,3,0),"")</f>
        <v/>
      </c>
      <c r="M43" s="247"/>
      <c r="N43" s="216" t="str">
        <f>+IFERROR(VLOOKUP($M43,'11 FORMULAS'!$B$54:$C$55,2,0),"")</f>
        <v/>
      </c>
      <c r="O43" s="249"/>
      <c r="P43" s="249"/>
      <c r="Q43" s="249"/>
      <c r="R43" s="249"/>
      <c r="S43" s="216" t="str">
        <f t="shared" si="1"/>
        <v/>
      </c>
      <c r="T43" s="216">
        <f>IF($L43='11 FORMULAS'!$D$51,$C$40-($C$40*$S$40),$C$40)</f>
        <v>0.6</v>
      </c>
      <c r="U43" s="216">
        <f>IF($L43='11 FORMULAS'!$D$53,$D$40-($D$40*$S$40),$D$40)</f>
        <v>0.6</v>
      </c>
      <c r="V43" s="473"/>
      <c r="W43" s="476"/>
      <c r="X43" s="28"/>
      <c r="Y43" s="214"/>
      <c r="Z43" s="215"/>
      <c r="AA43" s="215"/>
    </row>
    <row r="44" spans="1:27" ht="29.55" customHeight="1" x14ac:dyDescent="0.3">
      <c r="A44" s="451"/>
      <c r="B44" s="454"/>
      <c r="C44" s="448"/>
      <c r="D44" s="448"/>
      <c r="E44" s="246">
        <v>5</v>
      </c>
      <c r="F44" s="163"/>
      <c r="G44" s="163"/>
      <c r="H44" s="163"/>
      <c r="I44" s="212" t="str">
        <f t="shared" si="0"/>
        <v xml:space="preserve">  </v>
      </c>
      <c r="J44" s="283"/>
      <c r="K44" s="216" t="str">
        <f>+IFERROR(VLOOKUP($J44,'11 FORMULAS'!$B$51:$C$53,2,0),"")</f>
        <v/>
      </c>
      <c r="L44" s="216" t="str">
        <f>+IFERROR(VLOOKUP($J44,'11 FORMULAS'!$B$51:$D$53,3,0),"")</f>
        <v/>
      </c>
      <c r="M44" s="247"/>
      <c r="N44" s="216" t="str">
        <f>+IFERROR(VLOOKUP($M44,'11 FORMULAS'!$B$54:$C$55,2,0),"")</f>
        <v/>
      </c>
      <c r="O44" s="249"/>
      <c r="P44" s="249"/>
      <c r="Q44" s="249"/>
      <c r="R44" s="249"/>
      <c r="S44" s="216" t="str">
        <f t="shared" si="1"/>
        <v/>
      </c>
      <c r="T44" s="216">
        <f>IF($L44='11 FORMULAS'!$D$51,$C$40-($C$40*$S$40),$C$40)</f>
        <v>0.6</v>
      </c>
      <c r="U44" s="216">
        <f>IF($L44='11 FORMULAS'!$D$53,$D$40-($D$40*$S$40),$D$40)</f>
        <v>0.6</v>
      </c>
      <c r="V44" s="473"/>
      <c r="W44" s="476"/>
      <c r="X44" s="28"/>
      <c r="Y44" s="214"/>
      <c r="Z44" s="215"/>
      <c r="AA44" s="215"/>
    </row>
    <row r="45" spans="1:27" ht="29.55" customHeight="1" thickBot="1" x14ac:dyDescent="0.35">
      <c r="A45" s="452"/>
      <c r="B45" s="455"/>
      <c r="C45" s="449"/>
      <c r="D45" s="449"/>
      <c r="E45" s="250">
        <v>6</v>
      </c>
      <c r="F45" s="164"/>
      <c r="G45" s="164"/>
      <c r="H45" s="164"/>
      <c r="I45" s="329" t="str">
        <f t="shared" si="0"/>
        <v xml:space="preserve">  </v>
      </c>
      <c r="J45" s="330"/>
      <c r="K45" s="331" t="str">
        <f>+IFERROR(VLOOKUP($J45,'11 FORMULAS'!$B$51:$C$53,2,0),"")</f>
        <v/>
      </c>
      <c r="L45" s="331" t="str">
        <f>+IFERROR(VLOOKUP($J45,'11 FORMULAS'!$B$51:$D$53,3,0),"")</f>
        <v/>
      </c>
      <c r="M45" s="332"/>
      <c r="N45" s="331" t="str">
        <f>+IFERROR(VLOOKUP($M45,'11 FORMULAS'!$B$54:$C$55,2,0),"")</f>
        <v/>
      </c>
      <c r="O45" s="333"/>
      <c r="P45" s="333"/>
      <c r="Q45" s="333"/>
      <c r="R45" s="333"/>
      <c r="S45" s="331" t="str">
        <f t="shared" si="1"/>
        <v/>
      </c>
      <c r="T45" s="216">
        <f>IF($L45='11 FORMULAS'!$D$51,$C$40-($C$40*$S$40),$C$40)</f>
        <v>0.6</v>
      </c>
      <c r="U45" s="331">
        <f>IF($L45='11 FORMULAS'!$D$53,$D$40-($D$40*$S$40),$D$40)</f>
        <v>0.6</v>
      </c>
      <c r="V45" s="474"/>
      <c r="W45" s="477"/>
      <c r="X45" s="28"/>
    </row>
    <row r="46" spans="1:27" ht="69" x14ac:dyDescent="0.3">
      <c r="A46" s="450" t="str">
        <f>'2 IDENTIFICACIÓN'!A16</f>
        <v>R7</v>
      </c>
      <c r="B46" s="453" t="str">
        <f>+'2 IDENTIFICACIÓN'!J16</f>
        <v>Posibilidad de afectación reputacional por    investigaciones disciplinarias y sanciones por entes de control, debido a  las debilidades en la formulación y ejecución de los proyectos de presupuestos participativos.</v>
      </c>
      <c r="C46" s="447">
        <f>+'3 PROBABIL E IMPACTO INHERENTE'!E16</f>
        <v>0.6</v>
      </c>
      <c r="D46" s="447">
        <f>+'3 PROBABIL E IMPACTO INHERENTE'!M16</f>
        <v>0.6</v>
      </c>
      <c r="E46" s="324">
        <v>1</v>
      </c>
      <c r="F46" s="35" t="s">
        <v>419</v>
      </c>
      <c r="G46" s="35" t="s">
        <v>420</v>
      </c>
      <c r="H46" s="35" t="s">
        <v>421</v>
      </c>
      <c r="I46" s="325" t="str">
        <f t="shared" si="0"/>
        <v>El Profesional encargado del equipo de Presupuestos Participativos, verifica el avance en la formulación y ejecución de los proyectos,  mediante la herramienta de seguimiento y control implementada por la Estrategia de Presupuestos Participativos de la Administración Municipal.</v>
      </c>
      <c r="J46" s="326" t="s">
        <v>133</v>
      </c>
      <c r="K46" s="248">
        <f>+IFERROR(VLOOKUP($J46,'11 FORMULAS'!$B$51:$C$53,2,0),"")</f>
        <v>0.25</v>
      </c>
      <c r="L46" s="248" t="str">
        <f>+IFERROR(VLOOKUP($J46,'11 FORMULAS'!$B$51:$D$53,3,0),"")</f>
        <v>Probabilidad</v>
      </c>
      <c r="M46" s="327" t="s">
        <v>145</v>
      </c>
      <c r="N46" s="248">
        <f>+IFERROR(VLOOKUP($M46,'11 FORMULAS'!$B$54:$C$55,2,0),"")</f>
        <v>0.15</v>
      </c>
      <c r="O46" s="328" t="s">
        <v>135</v>
      </c>
      <c r="P46" s="328" t="s">
        <v>242</v>
      </c>
      <c r="Q46" s="328" t="s">
        <v>137</v>
      </c>
      <c r="R46" s="328" t="s">
        <v>138</v>
      </c>
      <c r="S46" s="248">
        <f t="shared" si="1"/>
        <v>0.4</v>
      </c>
      <c r="T46" s="248">
        <f>IF($L46='11 FORMULAS'!$D$51,$C$46-($C$46*$S$46),$C$46)</f>
        <v>0.36</v>
      </c>
      <c r="U46" s="248">
        <f>IF($L46='11 FORMULAS'!$D$53,$D$46-($D$46*$S$46),$D$46)</f>
        <v>0.6</v>
      </c>
      <c r="V46" s="472">
        <f>+IF(T51="","",T51)</f>
        <v>0.6</v>
      </c>
      <c r="W46" s="475">
        <f>+IF(U51="","",U51)</f>
        <v>0.6</v>
      </c>
      <c r="X46" s="28"/>
      <c r="Y46" s="214"/>
      <c r="Z46" s="215"/>
      <c r="AA46" s="215"/>
    </row>
    <row r="47" spans="1:27" ht="29.55" customHeight="1" x14ac:dyDescent="0.3">
      <c r="A47" s="451"/>
      <c r="B47" s="454"/>
      <c r="C47" s="448"/>
      <c r="D47" s="448"/>
      <c r="E47" s="246">
        <v>2</v>
      </c>
      <c r="F47" s="163"/>
      <c r="G47" s="163"/>
      <c r="H47" s="163"/>
      <c r="I47" s="212" t="str">
        <f t="shared" si="0"/>
        <v xml:space="preserve">  </v>
      </c>
      <c r="J47" s="283"/>
      <c r="K47" s="216" t="str">
        <f>+IFERROR(VLOOKUP($J47,'11 FORMULAS'!$B$51:$C$53,2,0),"")</f>
        <v/>
      </c>
      <c r="L47" s="216" t="str">
        <f>+IFERROR(VLOOKUP($J47,'11 FORMULAS'!$B$51:$D$53,3,0),"")</f>
        <v/>
      </c>
      <c r="M47" s="247"/>
      <c r="N47" s="216" t="str">
        <f>+IFERROR(VLOOKUP($M47,'11 FORMULAS'!$B$54:$C$55,2,0),"")</f>
        <v/>
      </c>
      <c r="O47" s="249"/>
      <c r="P47" s="249"/>
      <c r="Q47" s="249"/>
      <c r="R47" s="249"/>
      <c r="S47" s="216" t="str">
        <f t="shared" si="1"/>
        <v/>
      </c>
      <c r="T47" s="216">
        <f>IF($L47='11 FORMULAS'!$D$51,$C$46-($C$46*$S$46),$C$46)</f>
        <v>0.6</v>
      </c>
      <c r="U47" s="216">
        <f>IF($L47='11 FORMULAS'!$D$53,$D$46-($D$46*$S$46),$D$46)</f>
        <v>0.6</v>
      </c>
      <c r="V47" s="473"/>
      <c r="W47" s="476"/>
      <c r="X47" s="28"/>
      <c r="Y47" s="214"/>
      <c r="Z47" s="215"/>
      <c r="AA47" s="215"/>
    </row>
    <row r="48" spans="1:27" ht="29.55" customHeight="1" x14ac:dyDescent="0.3">
      <c r="A48" s="451"/>
      <c r="B48" s="454"/>
      <c r="C48" s="448"/>
      <c r="D48" s="448"/>
      <c r="E48" s="246">
        <v>3</v>
      </c>
      <c r="F48" s="163"/>
      <c r="G48" s="163"/>
      <c r="H48" s="163"/>
      <c r="I48" s="212" t="str">
        <f t="shared" si="0"/>
        <v xml:space="preserve">  </v>
      </c>
      <c r="J48" s="283"/>
      <c r="K48" s="216" t="str">
        <f>+IFERROR(VLOOKUP($J48,'11 FORMULAS'!$B$51:$C$53,2,0),"")</f>
        <v/>
      </c>
      <c r="L48" s="216" t="str">
        <f>+IFERROR(VLOOKUP($J48,'11 FORMULAS'!$B$51:$D$53,3,0),"")</f>
        <v/>
      </c>
      <c r="M48" s="247"/>
      <c r="N48" s="216" t="str">
        <f>+IFERROR(VLOOKUP($M48,'11 FORMULAS'!$B$54:$C$55,2,0),"")</f>
        <v/>
      </c>
      <c r="O48" s="249"/>
      <c r="P48" s="249"/>
      <c r="Q48" s="249"/>
      <c r="R48" s="249"/>
      <c r="S48" s="216" t="str">
        <f t="shared" si="1"/>
        <v/>
      </c>
      <c r="T48" s="216">
        <f>IF($L48='11 FORMULAS'!$D$51,$C$46-($C$46*$S$46),$C$46)</f>
        <v>0.6</v>
      </c>
      <c r="U48" s="216">
        <f>IF($L48='11 FORMULAS'!$D$53,$D$46-($D$46*$S$46),$D$46)</f>
        <v>0.6</v>
      </c>
      <c r="V48" s="473"/>
      <c r="W48" s="476"/>
      <c r="X48" s="28"/>
      <c r="Y48" s="214"/>
      <c r="Z48" s="215"/>
      <c r="AA48" s="215"/>
    </row>
    <row r="49" spans="1:27" ht="29.55" customHeight="1" x14ac:dyDescent="0.3">
      <c r="A49" s="451"/>
      <c r="B49" s="454"/>
      <c r="C49" s="448"/>
      <c r="D49" s="448"/>
      <c r="E49" s="246">
        <v>4</v>
      </c>
      <c r="F49" s="163"/>
      <c r="G49" s="163"/>
      <c r="H49" s="163"/>
      <c r="I49" s="212" t="str">
        <f t="shared" si="0"/>
        <v xml:space="preserve">  </v>
      </c>
      <c r="J49" s="283"/>
      <c r="K49" s="216" t="str">
        <f>+IFERROR(VLOOKUP($J49,'11 FORMULAS'!$B$51:$C$53,2,0),"")</f>
        <v/>
      </c>
      <c r="L49" s="216" t="str">
        <f>+IFERROR(VLOOKUP($J49,'11 FORMULAS'!$B$51:$D$53,3,0),"")</f>
        <v/>
      </c>
      <c r="M49" s="247"/>
      <c r="N49" s="216" t="str">
        <f>+IFERROR(VLOOKUP($M49,'11 FORMULAS'!$B$54:$C$55,2,0),"")</f>
        <v/>
      </c>
      <c r="O49" s="249"/>
      <c r="P49" s="249"/>
      <c r="Q49" s="249"/>
      <c r="R49" s="249"/>
      <c r="S49" s="216" t="str">
        <f t="shared" si="1"/>
        <v/>
      </c>
      <c r="T49" s="216">
        <f>IF($L49='11 FORMULAS'!$D$51,$C$46-($C$46*$S$46),$C$46)</f>
        <v>0.6</v>
      </c>
      <c r="U49" s="216">
        <f>IF($L49='11 FORMULAS'!$D$53,$D$46-($D$46*$S$46),$D$46)</f>
        <v>0.6</v>
      </c>
      <c r="V49" s="473"/>
      <c r="W49" s="476"/>
      <c r="X49" s="28"/>
      <c r="Y49" s="214"/>
      <c r="Z49" s="215"/>
      <c r="AA49" s="215"/>
    </row>
    <row r="50" spans="1:27" ht="29.55" customHeight="1" x14ac:dyDescent="0.3">
      <c r="A50" s="451"/>
      <c r="B50" s="454"/>
      <c r="C50" s="448"/>
      <c r="D50" s="448"/>
      <c r="E50" s="246">
        <v>5</v>
      </c>
      <c r="F50" s="163"/>
      <c r="G50" s="163"/>
      <c r="H50" s="163"/>
      <c r="I50" s="212" t="str">
        <f t="shared" si="0"/>
        <v xml:space="preserve">  </v>
      </c>
      <c r="J50" s="283"/>
      <c r="K50" s="216" t="str">
        <f>+IFERROR(VLOOKUP($J50,'11 FORMULAS'!$B$51:$C$53,2,0),"")</f>
        <v/>
      </c>
      <c r="L50" s="216" t="str">
        <f>+IFERROR(VLOOKUP($J50,'11 FORMULAS'!$B$51:$D$53,3,0),"")</f>
        <v/>
      </c>
      <c r="M50" s="247"/>
      <c r="N50" s="216" t="str">
        <f>+IFERROR(VLOOKUP($M50,'11 FORMULAS'!$B$54:$C$55,2,0),"")</f>
        <v/>
      </c>
      <c r="O50" s="249"/>
      <c r="P50" s="249"/>
      <c r="Q50" s="249"/>
      <c r="R50" s="249"/>
      <c r="S50" s="216" t="str">
        <f t="shared" si="1"/>
        <v/>
      </c>
      <c r="T50" s="216">
        <f>IF($L50='11 FORMULAS'!$D$51,$C$46-($C$46*$S$46),$C$46)</f>
        <v>0.6</v>
      </c>
      <c r="U50" s="216">
        <f>IF($L50='11 FORMULAS'!$D$53,$D$46-($D$46*$S$46),$D$46)</f>
        <v>0.6</v>
      </c>
      <c r="V50" s="473"/>
      <c r="W50" s="476"/>
      <c r="X50" s="28"/>
      <c r="Y50" s="214"/>
      <c r="Z50" s="215"/>
      <c r="AA50" s="215"/>
    </row>
    <row r="51" spans="1:27" ht="29.55" customHeight="1" thickBot="1" x14ac:dyDescent="0.35">
      <c r="A51" s="452"/>
      <c r="B51" s="455"/>
      <c r="C51" s="449"/>
      <c r="D51" s="449"/>
      <c r="E51" s="250">
        <v>6</v>
      </c>
      <c r="F51" s="164"/>
      <c r="G51" s="164"/>
      <c r="H51" s="164"/>
      <c r="I51" s="329" t="str">
        <f t="shared" si="0"/>
        <v xml:space="preserve">  </v>
      </c>
      <c r="J51" s="330"/>
      <c r="K51" s="331" t="str">
        <f>+IFERROR(VLOOKUP($J51,'11 FORMULAS'!$B$51:$C$53,2,0),"")</f>
        <v/>
      </c>
      <c r="L51" s="331" t="str">
        <f>+IFERROR(VLOOKUP($J51,'11 FORMULAS'!$B$51:$D$53,3,0),"")</f>
        <v/>
      </c>
      <c r="M51" s="332"/>
      <c r="N51" s="331" t="str">
        <f>+IFERROR(VLOOKUP($M51,'11 FORMULAS'!$B$54:$C$55,2,0),"")</f>
        <v/>
      </c>
      <c r="O51" s="333"/>
      <c r="P51" s="333"/>
      <c r="Q51" s="333"/>
      <c r="R51" s="333"/>
      <c r="S51" s="331" t="str">
        <f t="shared" si="1"/>
        <v/>
      </c>
      <c r="T51" s="216">
        <f>IF($L51='11 FORMULAS'!$D$51,$C$46-($C$46*$S$46),$C$46)</f>
        <v>0.6</v>
      </c>
      <c r="U51" s="331">
        <f>IF($L51='11 FORMULAS'!$D$53,$D$46-($D$46*$S$46),$D$46)</f>
        <v>0.6</v>
      </c>
      <c r="V51" s="474"/>
      <c r="W51" s="477"/>
      <c r="X51" s="28"/>
    </row>
    <row r="52" spans="1:27" ht="96.6" x14ac:dyDescent="0.3">
      <c r="A52" s="450" t="str">
        <f>'2 IDENTIFICACIÓN'!A17</f>
        <v>R8</v>
      </c>
      <c r="B52" s="453" t="str">
        <f>+'2 IDENTIFICACIÓN'!J17</f>
        <v>Posibilidad de afectación económica por  investigaciones disciplinarias y sanciones por entes de control, debido a  la adición de contratos en tiempo y valor sin haber ejecutado el 50% del contrato inicial, por deficiencias en la planeación de la etapa precontractual.</v>
      </c>
      <c r="C52" s="447">
        <f>+'3 PROBABIL E IMPACTO INHERENTE'!E17</f>
        <v>0.6</v>
      </c>
      <c r="D52" s="447">
        <f>+'3 PROBABIL E IMPACTO INHERENTE'!M17</f>
        <v>0.6</v>
      </c>
      <c r="E52" s="324">
        <v>1</v>
      </c>
      <c r="F52" s="35" t="s">
        <v>422</v>
      </c>
      <c r="G52" s="35" t="s">
        <v>423</v>
      </c>
      <c r="H52" s="35" t="s">
        <v>424</v>
      </c>
      <c r="I52" s="325" t="str">
        <f t="shared" si="0"/>
        <v>El Ordenador del Gasto y el Supervisor designado,  verifica las solicitudes de adición en tiempo y valor de los contratos, mediante la revisión del porcentaje de ejecución contractual y el cumplimiento de los requisitos normativos aplicables, con el fin de prevenir adiciones injustificadas por deficiencias en la planeación precontractual.</v>
      </c>
      <c r="J52" s="326" t="s">
        <v>133</v>
      </c>
      <c r="K52" s="248">
        <f>+IFERROR(VLOOKUP($J52,'11 FORMULAS'!$B$51:$C$53,2,0),"")</f>
        <v>0.25</v>
      </c>
      <c r="L52" s="248" t="str">
        <f>+IFERROR(VLOOKUP($J52,'11 FORMULAS'!$B$51:$D$53,3,0),"")</f>
        <v>Probabilidad</v>
      </c>
      <c r="M52" s="327" t="s">
        <v>145</v>
      </c>
      <c r="N52" s="248">
        <f>+IFERROR(VLOOKUP($M52,'11 FORMULAS'!$B$54:$C$55,2,0),"")</f>
        <v>0.15</v>
      </c>
      <c r="O52" s="328" t="s">
        <v>135</v>
      </c>
      <c r="P52" s="328" t="s">
        <v>242</v>
      </c>
      <c r="Q52" s="328" t="s">
        <v>137</v>
      </c>
      <c r="R52" s="328" t="s">
        <v>138</v>
      </c>
      <c r="S52" s="248">
        <f t="shared" si="1"/>
        <v>0.4</v>
      </c>
      <c r="T52" s="248">
        <f>IF($L52='11 FORMULAS'!$D$51,$C$52-($C$52*$S$52),$C$52)</f>
        <v>0.36</v>
      </c>
      <c r="U52" s="248">
        <f>IF($L52='11 FORMULAS'!$D$53,$D$52-($D$52*$S$52),$D$52)</f>
        <v>0.6</v>
      </c>
      <c r="V52" s="472">
        <f>+IF(T57="","",T57)</f>
        <v>0.6</v>
      </c>
      <c r="W52" s="475">
        <f>+IF(U57="","",U57)</f>
        <v>0.6</v>
      </c>
      <c r="X52" s="28"/>
      <c r="Y52" s="214"/>
      <c r="Z52" s="215"/>
      <c r="AA52" s="215"/>
    </row>
    <row r="53" spans="1:27" ht="29.55" customHeight="1" x14ac:dyDescent="0.3">
      <c r="A53" s="451"/>
      <c r="B53" s="454"/>
      <c r="C53" s="448"/>
      <c r="D53" s="448"/>
      <c r="E53" s="246">
        <v>2</v>
      </c>
      <c r="F53" s="163"/>
      <c r="G53" s="163"/>
      <c r="H53" s="163"/>
      <c r="I53" s="212" t="str">
        <f t="shared" si="0"/>
        <v xml:space="preserve">  </v>
      </c>
      <c r="J53" s="283"/>
      <c r="K53" s="216" t="str">
        <f>+IFERROR(VLOOKUP($J53,'11 FORMULAS'!$B$51:$C$53,2,0),"")</f>
        <v/>
      </c>
      <c r="L53" s="216" t="str">
        <f>+IFERROR(VLOOKUP($J53,'11 FORMULAS'!$B$51:$D$53,3,0),"")</f>
        <v/>
      </c>
      <c r="M53" s="247"/>
      <c r="N53" s="216" t="str">
        <f>+IFERROR(VLOOKUP($M53,'11 FORMULAS'!$B$54:$C$55,2,0),"")</f>
        <v/>
      </c>
      <c r="O53" s="249"/>
      <c r="P53" s="249"/>
      <c r="Q53" s="249"/>
      <c r="R53" s="249"/>
      <c r="S53" s="216" t="str">
        <f t="shared" si="1"/>
        <v/>
      </c>
      <c r="T53" s="216">
        <f>IF($L53='11 FORMULAS'!$D$51,$C$52-($C$52*$S$52),$C$52)</f>
        <v>0.6</v>
      </c>
      <c r="U53" s="216">
        <f>IF($L53='11 FORMULAS'!$D$53,$D$52-($D$52*$S$52),$D$52)</f>
        <v>0.6</v>
      </c>
      <c r="V53" s="473"/>
      <c r="W53" s="476"/>
      <c r="X53" s="28"/>
      <c r="Y53" s="214"/>
      <c r="Z53" s="215"/>
      <c r="AA53" s="215"/>
    </row>
    <row r="54" spans="1:27" ht="29.55" customHeight="1" x14ac:dyDescent="0.3">
      <c r="A54" s="451"/>
      <c r="B54" s="454"/>
      <c r="C54" s="448"/>
      <c r="D54" s="448"/>
      <c r="E54" s="246">
        <v>3</v>
      </c>
      <c r="F54" s="163"/>
      <c r="G54" s="163"/>
      <c r="H54" s="163"/>
      <c r="I54" s="212" t="str">
        <f t="shared" si="0"/>
        <v xml:space="preserve">  </v>
      </c>
      <c r="J54" s="283"/>
      <c r="K54" s="216" t="str">
        <f>+IFERROR(VLOOKUP($J54,'11 FORMULAS'!$B$51:$C$53,2,0),"")</f>
        <v/>
      </c>
      <c r="L54" s="216" t="str">
        <f>+IFERROR(VLOOKUP($J54,'11 FORMULAS'!$B$51:$D$53,3,0),"")</f>
        <v/>
      </c>
      <c r="M54" s="247"/>
      <c r="N54" s="216" t="str">
        <f>+IFERROR(VLOOKUP($M54,'11 FORMULAS'!$B$54:$C$55,2,0),"")</f>
        <v/>
      </c>
      <c r="O54" s="249"/>
      <c r="P54" s="249"/>
      <c r="Q54" s="249"/>
      <c r="R54" s="249"/>
      <c r="S54" s="216" t="str">
        <f t="shared" si="1"/>
        <v/>
      </c>
      <c r="T54" s="216">
        <f>IF($L54='11 FORMULAS'!$D$51,$C$52-($C$52*$S$52),$C$52)</f>
        <v>0.6</v>
      </c>
      <c r="U54" s="216">
        <f>IF($L54='11 FORMULAS'!$D$53,$D$52-($D$52*$S$52),$D$52)</f>
        <v>0.6</v>
      </c>
      <c r="V54" s="473"/>
      <c r="W54" s="476"/>
      <c r="X54" s="28"/>
      <c r="Y54" s="214"/>
      <c r="Z54" s="215"/>
      <c r="AA54" s="215"/>
    </row>
    <row r="55" spans="1:27" ht="29.55" customHeight="1" x14ac:dyDescent="0.3">
      <c r="A55" s="451"/>
      <c r="B55" s="454"/>
      <c r="C55" s="448"/>
      <c r="D55" s="448"/>
      <c r="E55" s="246">
        <v>4</v>
      </c>
      <c r="F55" s="163"/>
      <c r="G55" s="163"/>
      <c r="H55" s="163"/>
      <c r="I55" s="212" t="str">
        <f t="shared" si="0"/>
        <v xml:space="preserve">  </v>
      </c>
      <c r="J55" s="283"/>
      <c r="K55" s="216" t="str">
        <f>+IFERROR(VLOOKUP($J55,'11 FORMULAS'!$B$51:$C$53,2,0),"")</f>
        <v/>
      </c>
      <c r="L55" s="216" t="str">
        <f>+IFERROR(VLOOKUP($J55,'11 FORMULAS'!$B$51:$D$53,3,0),"")</f>
        <v/>
      </c>
      <c r="M55" s="247"/>
      <c r="N55" s="216" t="str">
        <f>+IFERROR(VLOOKUP($M55,'11 FORMULAS'!$B$54:$C$55,2,0),"")</f>
        <v/>
      </c>
      <c r="O55" s="249"/>
      <c r="P55" s="249"/>
      <c r="Q55" s="249"/>
      <c r="R55" s="249"/>
      <c r="S55" s="216" t="str">
        <f t="shared" si="1"/>
        <v/>
      </c>
      <c r="T55" s="216">
        <f>IF($L55='11 FORMULAS'!$D$51,$C$52-($C$52*$S$52),$C$52)</f>
        <v>0.6</v>
      </c>
      <c r="U55" s="216">
        <f>IF($L55='11 FORMULAS'!$D$53,$D$52-($D$52*$S$52),$D$52)</f>
        <v>0.6</v>
      </c>
      <c r="V55" s="473"/>
      <c r="W55" s="476"/>
      <c r="X55" s="28"/>
      <c r="Y55" s="214"/>
      <c r="Z55" s="215"/>
      <c r="AA55" s="215"/>
    </row>
    <row r="56" spans="1:27" ht="29.55" customHeight="1" x14ac:dyDescent="0.3">
      <c r="A56" s="451"/>
      <c r="B56" s="454"/>
      <c r="C56" s="448"/>
      <c r="D56" s="448"/>
      <c r="E56" s="246">
        <v>5</v>
      </c>
      <c r="F56" s="163"/>
      <c r="G56" s="163"/>
      <c r="H56" s="163"/>
      <c r="I56" s="212" t="str">
        <f t="shared" si="0"/>
        <v xml:space="preserve">  </v>
      </c>
      <c r="J56" s="283"/>
      <c r="K56" s="216" t="str">
        <f>+IFERROR(VLOOKUP($J56,'11 FORMULAS'!$B$51:$C$53,2,0),"")</f>
        <v/>
      </c>
      <c r="L56" s="216" t="str">
        <f>+IFERROR(VLOOKUP($J56,'11 FORMULAS'!$B$51:$D$53,3,0),"")</f>
        <v/>
      </c>
      <c r="M56" s="247"/>
      <c r="N56" s="216" t="str">
        <f>+IFERROR(VLOOKUP($M56,'11 FORMULAS'!$B$54:$C$55,2,0),"")</f>
        <v/>
      </c>
      <c r="O56" s="249"/>
      <c r="P56" s="249"/>
      <c r="Q56" s="249"/>
      <c r="R56" s="249"/>
      <c r="S56" s="216" t="str">
        <f t="shared" si="1"/>
        <v/>
      </c>
      <c r="T56" s="216">
        <f>IF($L56='11 FORMULAS'!$D$51,$C$52-($C$52*$S$52),$C$52)</f>
        <v>0.6</v>
      </c>
      <c r="U56" s="216">
        <f>IF($L56='11 FORMULAS'!$D$53,$D$52-($D$52*$S$52),$D$52)</f>
        <v>0.6</v>
      </c>
      <c r="V56" s="473"/>
      <c r="W56" s="476"/>
      <c r="X56" s="28"/>
      <c r="Y56" s="214"/>
      <c r="Z56" s="215"/>
      <c r="AA56" s="215"/>
    </row>
    <row r="57" spans="1:27" ht="29.55" customHeight="1" thickBot="1" x14ac:dyDescent="0.35">
      <c r="A57" s="452"/>
      <c r="B57" s="455"/>
      <c r="C57" s="449"/>
      <c r="D57" s="449"/>
      <c r="E57" s="250">
        <v>6</v>
      </c>
      <c r="F57" s="164"/>
      <c r="G57" s="164"/>
      <c r="H57" s="164"/>
      <c r="I57" s="329" t="str">
        <f t="shared" si="0"/>
        <v xml:space="preserve">  </v>
      </c>
      <c r="J57" s="330"/>
      <c r="K57" s="331" t="str">
        <f>+IFERROR(VLOOKUP($J57,'11 FORMULAS'!$B$51:$C$53,2,0),"")</f>
        <v/>
      </c>
      <c r="L57" s="331" t="str">
        <f>+IFERROR(VLOOKUP($J57,'11 FORMULAS'!$B$51:$D$53,3,0),"")</f>
        <v/>
      </c>
      <c r="M57" s="332"/>
      <c r="N57" s="331" t="str">
        <f>+IFERROR(VLOOKUP($M57,'11 FORMULAS'!$B$54:$C$55,2,0),"")</f>
        <v/>
      </c>
      <c r="O57" s="333"/>
      <c r="P57" s="333"/>
      <c r="Q57" s="333"/>
      <c r="R57" s="333"/>
      <c r="S57" s="331" t="str">
        <f t="shared" si="1"/>
        <v/>
      </c>
      <c r="T57" s="216">
        <f>IF($L57='11 FORMULAS'!$D$51,$C$52-($C$52*$S$52),$C$52)</f>
        <v>0.6</v>
      </c>
      <c r="U57" s="331">
        <f>IF($L57='11 FORMULAS'!$D$53,$D$52-($D$52*$S$52),$D$52)</f>
        <v>0.6</v>
      </c>
      <c r="V57" s="474"/>
      <c r="W57" s="477"/>
      <c r="X57" s="28"/>
    </row>
    <row r="58" spans="1:27" ht="69" x14ac:dyDescent="0.3">
      <c r="A58" s="450" t="str">
        <f>'2 IDENTIFICACIÓN'!A18</f>
        <v>R9</v>
      </c>
      <c r="B58" s="453" t="str">
        <f>+'2 IDENTIFICACIÓN'!J18</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58" s="447">
        <f>+'3 PROBABIL E IMPACTO INHERENTE'!E18</f>
        <v>0.6</v>
      </c>
      <c r="D58" s="447">
        <f>+'3 PROBABIL E IMPACTO INHERENTE'!M18</f>
        <v>0.6</v>
      </c>
      <c r="E58" s="324">
        <v>1</v>
      </c>
      <c r="F58" s="35" t="s">
        <v>425</v>
      </c>
      <c r="G58" s="35" t="s">
        <v>426</v>
      </c>
      <c r="H58" s="35" t="s">
        <v>427</v>
      </c>
      <c r="I58" s="325" t="str">
        <f t="shared" si="0"/>
        <v>La profesional encargada, revisa las acciones correctivas establecidas y plasmadas en los Planes de Mejoramiento de auditorías internas y externas suscritos,   a través de seguimientos con los responsables de su cumplimiento</v>
      </c>
      <c r="J58" s="326" t="s">
        <v>133</v>
      </c>
      <c r="K58" s="248">
        <f>+IFERROR(VLOOKUP($J58,'11 FORMULAS'!$B$51:$C$53,2,0),"")</f>
        <v>0.25</v>
      </c>
      <c r="L58" s="248" t="str">
        <f>+IFERROR(VLOOKUP($J58,'11 FORMULAS'!$B$51:$D$53,3,0),"")</f>
        <v>Probabilidad</v>
      </c>
      <c r="M58" s="327" t="s">
        <v>145</v>
      </c>
      <c r="N58" s="248">
        <f>+IFERROR(VLOOKUP($M58,'11 FORMULAS'!$B$54:$C$55,2,0),"")</f>
        <v>0.15</v>
      </c>
      <c r="O58" s="328" t="s">
        <v>135</v>
      </c>
      <c r="P58" s="328" t="s">
        <v>242</v>
      </c>
      <c r="Q58" s="328" t="s">
        <v>137</v>
      </c>
      <c r="R58" s="328" t="s">
        <v>138</v>
      </c>
      <c r="S58" s="248">
        <f t="shared" si="1"/>
        <v>0.4</v>
      </c>
      <c r="T58" s="248">
        <f>IF($L58='11 FORMULAS'!$D$51,$C$58-($C$58*$S$58),$C$58)</f>
        <v>0.36</v>
      </c>
      <c r="U58" s="248">
        <f>IF($L58='11 FORMULAS'!$D$53,$D$58-($D$58*$S$58),$D$58)</f>
        <v>0.6</v>
      </c>
      <c r="V58" s="472">
        <f>+IF(T63="","",T63)</f>
        <v>0.6</v>
      </c>
      <c r="W58" s="475">
        <f>+IF(U63="","",U63)</f>
        <v>0.6</v>
      </c>
      <c r="X58" s="28"/>
      <c r="Y58" s="214"/>
      <c r="Z58" s="215"/>
      <c r="AA58" s="215"/>
    </row>
    <row r="59" spans="1:27" ht="29.55" customHeight="1" x14ac:dyDescent="0.3">
      <c r="A59" s="451"/>
      <c r="B59" s="454"/>
      <c r="C59" s="448"/>
      <c r="D59" s="448"/>
      <c r="E59" s="246">
        <v>2</v>
      </c>
      <c r="F59" s="163"/>
      <c r="G59" s="163"/>
      <c r="H59" s="163"/>
      <c r="I59" s="212" t="str">
        <f t="shared" si="0"/>
        <v xml:space="preserve">  </v>
      </c>
      <c r="J59" s="283"/>
      <c r="K59" s="216" t="str">
        <f>+IFERROR(VLOOKUP($J59,'11 FORMULAS'!$B$51:$C$53,2,0),"")</f>
        <v/>
      </c>
      <c r="L59" s="216" t="str">
        <f>+IFERROR(VLOOKUP($J59,'11 FORMULAS'!$B$51:$D$53,3,0),"")</f>
        <v/>
      </c>
      <c r="M59" s="247"/>
      <c r="N59" s="216" t="str">
        <f>+IFERROR(VLOOKUP($M59,'11 FORMULAS'!$B$54:$C$55,2,0),"")</f>
        <v/>
      </c>
      <c r="O59" s="249"/>
      <c r="P59" s="249"/>
      <c r="Q59" s="249"/>
      <c r="R59" s="249"/>
      <c r="S59" s="216" t="str">
        <f t="shared" si="1"/>
        <v/>
      </c>
      <c r="T59" s="216">
        <f>IF($L59='11 FORMULAS'!$D$51,$C$58-($C$58*$S$58),$C$58)</f>
        <v>0.6</v>
      </c>
      <c r="U59" s="216">
        <f>IF($L59='11 FORMULAS'!$D$53,$D$58-($D$58*$S$58),$D$58)</f>
        <v>0.6</v>
      </c>
      <c r="V59" s="473"/>
      <c r="W59" s="476"/>
      <c r="X59" s="28"/>
      <c r="Y59" s="214"/>
      <c r="Z59" s="215"/>
      <c r="AA59" s="215"/>
    </row>
    <row r="60" spans="1:27" ht="29.55" customHeight="1" x14ac:dyDescent="0.3">
      <c r="A60" s="451"/>
      <c r="B60" s="454"/>
      <c r="C60" s="448"/>
      <c r="D60" s="448"/>
      <c r="E60" s="246">
        <v>3</v>
      </c>
      <c r="F60" s="163"/>
      <c r="G60" s="163"/>
      <c r="H60" s="163"/>
      <c r="I60" s="212" t="str">
        <f t="shared" si="0"/>
        <v xml:space="preserve">  </v>
      </c>
      <c r="J60" s="283"/>
      <c r="K60" s="216" t="str">
        <f>+IFERROR(VLOOKUP($J60,'11 FORMULAS'!$B$51:$C$53,2,0),"")</f>
        <v/>
      </c>
      <c r="L60" s="216" t="str">
        <f>+IFERROR(VLOOKUP($J60,'11 FORMULAS'!$B$51:$D$53,3,0),"")</f>
        <v/>
      </c>
      <c r="M60" s="247"/>
      <c r="N60" s="216" t="str">
        <f>+IFERROR(VLOOKUP($M60,'11 FORMULAS'!$B$54:$C$55,2,0),"")</f>
        <v/>
      </c>
      <c r="O60" s="249"/>
      <c r="P60" s="249"/>
      <c r="Q60" s="249"/>
      <c r="R60" s="249"/>
      <c r="S60" s="216" t="str">
        <f t="shared" si="1"/>
        <v/>
      </c>
      <c r="T60" s="216">
        <f>IF($L60='11 FORMULAS'!$D$51,$C$58-($C$58*$S$58),$C$58)</f>
        <v>0.6</v>
      </c>
      <c r="U60" s="216">
        <f>IF($L60='11 FORMULAS'!$D$53,$D$58-($D$58*$S$58),$D$58)</f>
        <v>0.6</v>
      </c>
      <c r="V60" s="473"/>
      <c r="W60" s="476"/>
      <c r="X60" s="28"/>
      <c r="Y60" s="214"/>
      <c r="Z60" s="215"/>
      <c r="AA60" s="215"/>
    </row>
    <row r="61" spans="1:27" ht="29.55" customHeight="1" x14ac:dyDescent="0.3">
      <c r="A61" s="451"/>
      <c r="B61" s="454"/>
      <c r="C61" s="448"/>
      <c r="D61" s="448"/>
      <c r="E61" s="246">
        <v>4</v>
      </c>
      <c r="F61" s="163"/>
      <c r="G61" s="163"/>
      <c r="H61" s="163"/>
      <c r="I61" s="212" t="str">
        <f t="shared" si="0"/>
        <v xml:space="preserve">  </v>
      </c>
      <c r="J61" s="283"/>
      <c r="K61" s="216" t="str">
        <f>+IFERROR(VLOOKUP($J61,'11 FORMULAS'!$B$51:$C$53,2,0),"")</f>
        <v/>
      </c>
      <c r="L61" s="216" t="str">
        <f>+IFERROR(VLOOKUP($J61,'11 FORMULAS'!$B$51:$D$53,3,0),"")</f>
        <v/>
      </c>
      <c r="M61" s="247"/>
      <c r="N61" s="216" t="str">
        <f>+IFERROR(VLOOKUP($M61,'11 FORMULAS'!$B$54:$C$55,2,0),"")</f>
        <v/>
      </c>
      <c r="O61" s="249"/>
      <c r="P61" s="249"/>
      <c r="Q61" s="249"/>
      <c r="R61" s="249"/>
      <c r="S61" s="216" t="str">
        <f t="shared" si="1"/>
        <v/>
      </c>
      <c r="T61" s="216">
        <f>IF($L61='11 FORMULAS'!$D$51,$C$58-($C$58*$S$58),$C$58)</f>
        <v>0.6</v>
      </c>
      <c r="U61" s="216">
        <f>IF($L61='11 FORMULAS'!$D$53,$D$58-($D$58*$S$58),$D$58)</f>
        <v>0.6</v>
      </c>
      <c r="V61" s="473"/>
      <c r="W61" s="476"/>
      <c r="X61" s="28"/>
      <c r="Y61" s="214"/>
      <c r="Z61" s="215"/>
      <c r="AA61" s="215"/>
    </row>
    <row r="62" spans="1:27" ht="29.55" customHeight="1" x14ac:dyDescent="0.3">
      <c r="A62" s="451"/>
      <c r="B62" s="454"/>
      <c r="C62" s="448"/>
      <c r="D62" s="448"/>
      <c r="E62" s="246">
        <v>5</v>
      </c>
      <c r="F62" s="163"/>
      <c r="G62" s="163"/>
      <c r="H62" s="163"/>
      <c r="I62" s="212" t="str">
        <f t="shared" si="0"/>
        <v xml:space="preserve">  </v>
      </c>
      <c r="J62" s="283"/>
      <c r="K62" s="216" t="str">
        <f>+IFERROR(VLOOKUP($J62,'11 FORMULAS'!$B$51:$C$53,2,0),"")</f>
        <v/>
      </c>
      <c r="L62" s="216" t="str">
        <f>+IFERROR(VLOOKUP($J62,'11 FORMULAS'!$B$51:$D$53,3,0),"")</f>
        <v/>
      </c>
      <c r="M62" s="247"/>
      <c r="N62" s="216" t="str">
        <f>+IFERROR(VLOOKUP($M62,'11 FORMULAS'!$B$54:$C$55,2,0),"")</f>
        <v/>
      </c>
      <c r="O62" s="249"/>
      <c r="P62" s="249"/>
      <c r="Q62" s="249"/>
      <c r="R62" s="249"/>
      <c r="S62" s="216" t="str">
        <f t="shared" si="1"/>
        <v/>
      </c>
      <c r="T62" s="216">
        <f>IF($L62='11 FORMULAS'!$D$51,$C$58-($C$58*$S$58),$C$58)</f>
        <v>0.6</v>
      </c>
      <c r="U62" s="216">
        <f>IF($L62='11 FORMULAS'!$D$53,$D$58-($D$58*$S$58),$D$58)</f>
        <v>0.6</v>
      </c>
      <c r="V62" s="473"/>
      <c r="W62" s="476"/>
      <c r="X62" s="28"/>
      <c r="Y62" s="214"/>
      <c r="Z62" s="215"/>
      <c r="AA62" s="215"/>
    </row>
    <row r="63" spans="1:27" ht="29.55" customHeight="1" thickBot="1" x14ac:dyDescent="0.35">
      <c r="A63" s="452"/>
      <c r="B63" s="455"/>
      <c r="C63" s="449"/>
      <c r="D63" s="449"/>
      <c r="E63" s="250">
        <v>6</v>
      </c>
      <c r="F63" s="164"/>
      <c r="G63" s="164"/>
      <c r="H63" s="164"/>
      <c r="I63" s="329" t="str">
        <f t="shared" si="0"/>
        <v xml:space="preserve">  </v>
      </c>
      <c r="J63" s="330"/>
      <c r="K63" s="331" t="str">
        <f>+IFERROR(VLOOKUP($J63,'11 FORMULAS'!$B$51:$C$53,2,0),"")</f>
        <v/>
      </c>
      <c r="L63" s="331" t="str">
        <f>+IFERROR(VLOOKUP($J63,'11 FORMULAS'!$B$51:$D$53,3,0),"")</f>
        <v/>
      </c>
      <c r="M63" s="332"/>
      <c r="N63" s="331" t="str">
        <f>+IFERROR(VLOOKUP($M63,'11 FORMULAS'!$B$54:$C$55,2,0),"")</f>
        <v/>
      </c>
      <c r="O63" s="333"/>
      <c r="P63" s="333"/>
      <c r="Q63" s="333"/>
      <c r="R63" s="333"/>
      <c r="S63" s="331" t="str">
        <f t="shared" si="1"/>
        <v/>
      </c>
      <c r="T63" s="216">
        <f>IF($L63='11 FORMULAS'!$D$51,$C$58-($C$58*$S$58),$C$58)</f>
        <v>0.6</v>
      </c>
      <c r="U63" s="331">
        <f>IF($L63='11 FORMULAS'!$D$53,$D$58-($D$58*$S$58),$D$58)</f>
        <v>0.6</v>
      </c>
      <c r="V63" s="474"/>
      <c r="W63" s="477"/>
      <c r="X63" s="28"/>
    </row>
    <row r="64" spans="1:27" ht="110.4" x14ac:dyDescent="0.3">
      <c r="A64" s="450" t="str">
        <f>'2 IDENTIFICACIÓN'!A19</f>
        <v>R10</v>
      </c>
      <c r="B64" s="453"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64" s="447">
        <f>+'3 PROBABIL E IMPACTO INHERENTE'!E19</f>
        <v>0.8</v>
      </c>
      <c r="D64" s="447">
        <f>+'3 PROBABIL E IMPACTO INHERENTE'!M19</f>
        <v>1</v>
      </c>
      <c r="E64" s="324">
        <v>1</v>
      </c>
      <c r="F64" s="35" t="s">
        <v>428</v>
      </c>
      <c r="G64" s="35" t="s">
        <v>429</v>
      </c>
      <c r="H64" s="35" t="s">
        <v>430</v>
      </c>
      <c r="I64" s="325" t="str">
        <f t="shared" si="0"/>
        <v>El Supervisor designado verifica el cumplimiento de las condiciones y especificaciones técnicas pactadas en los contratos, mediante el seguimiento a la ejecución contractual y la revisión de las obligaciones establecidas en la etapa precontractual, conforme a la normatividad vigente, con el fin de prevenir deficiencias en la supervisión e interventoría contractual.</v>
      </c>
      <c r="J64" s="326" t="s">
        <v>133</v>
      </c>
      <c r="K64" s="248">
        <f>+IFERROR(VLOOKUP($J64,'11 FORMULAS'!$B$51:$C$53,2,0),"")</f>
        <v>0.25</v>
      </c>
      <c r="L64" s="248" t="str">
        <f>+IFERROR(VLOOKUP($J64,'11 FORMULAS'!$B$51:$D$53,3,0),"")</f>
        <v>Probabilidad</v>
      </c>
      <c r="M64" s="327" t="s">
        <v>145</v>
      </c>
      <c r="N64" s="248">
        <f>+IFERROR(VLOOKUP($M64,'11 FORMULAS'!$B$54:$C$55,2,0),"")</f>
        <v>0.15</v>
      </c>
      <c r="O64" s="328" t="s">
        <v>135</v>
      </c>
      <c r="P64" s="328" t="s">
        <v>242</v>
      </c>
      <c r="Q64" s="328" t="s">
        <v>137</v>
      </c>
      <c r="R64" s="328" t="s">
        <v>138</v>
      </c>
      <c r="S64" s="248">
        <f t="shared" si="1"/>
        <v>0.4</v>
      </c>
      <c r="T64" s="248">
        <f>IF($L64='11 FORMULAS'!$D$51,$C$64-($C$64*$S$64),$C$64)</f>
        <v>0.48</v>
      </c>
      <c r="U64" s="248">
        <f>IF($L64='11 FORMULAS'!$D$53,$D$64-($D$64*$S$64),$D$64)</f>
        <v>1</v>
      </c>
      <c r="V64" s="472">
        <f>+IF(T69="","",T69)</f>
        <v>0.8</v>
      </c>
      <c r="W64" s="475">
        <f>+IF(U69="","",U69)</f>
        <v>1</v>
      </c>
      <c r="X64" s="28"/>
      <c r="Y64" s="214"/>
      <c r="Z64" s="215"/>
      <c r="AA64" s="215"/>
    </row>
    <row r="65" spans="1:27" ht="29.55" customHeight="1" x14ac:dyDescent="0.3">
      <c r="A65" s="451"/>
      <c r="B65" s="454"/>
      <c r="C65" s="448"/>
      <c r="D65" s="448"/>
      <c r="E65" s="246">
        <v>2</v>
      </c>
      <c r="F65" s="163"/>
      <c r="G65" s="163"/>
      <c r="H65" s="163"/>
      <c r="I65" s="212" t="str">
        <f t="shared" si="0"/>
        <v xml:space="preserve">  </v>
      </c>
      <c r="J65" s="283"/>
      <c r="K65" s="216" t="str">
        <f>+IFERROR(VLOOKUP($J65,'11 FORMULAS'!$B$51:$C$53,2,0),"")</f>
        <v/>
      </c>
      <c r="L65" s="216" t="str">
        <f>+IFERROR(VLOOKUP($J65,'11 FORMULAS'!$B$51:$D$53,3,0),"")</f>
        <v/>
      </c>
      <c r="M65" s="247"/>
      <c r="N65" s="216" t="str">
        <f>+IFERROR(VLOOKUP($M65,'11 FORMULAS'!$B$54:$C$55,2,0),"")</f>
        <v/>
      </c>
      <c r="O65" s="249"/>
      <c r="P65" s="249"/>
      <c r="Q65" s="249"/>
      <c r="R65" s="249"/>
      <c r="S65" s="216" t="str">
        <f t="shared" si="1"/>
        <v/>
      </c>
      <c r="T65" s="216">
        <f>IF($L65='11 FORMULAS'!$D$51,$C$64-($C$64*$S$64),$C$64)</f>
        <v>0.8</v>
      </c>
      <c r="U65" s="216">
        <f>IF($L65='11 FORMULAS'!$D$53,$D$64-($D$64*$S$64),$D$64)</f>
        <v>1</v>
      </c>
      <c r="V65" s="473"/>
      <c r="W65" s="476"/>
      <c r="X65" s="28"/>
      <c r="Y65" s="214"/>
      <c r="Z65" s="215"/>
      <c r="AA65" s="215"/>
    </row>
    <row r="66" spans="1:27" ht="29.55" customHeight="1" x14ac:dyDescent="0.3">
      <c r="A66" s="451"/>
      <c r="B66" s="454"/>
      <c r="C66" s="448"/>
      <c r="D66" s="448"/>
      <c r="E66" s="246">
        <v>3</v>
      </c>
      <c r="F66" s="163"/>
      <c r="G66" s="163"/>
      <c r="H66" s="163"/>
      <c r="I66" s="212" t="str">
        <f t="shared" si="0"/>
        <v xml:space="preserve">  </v>
      </c>
      <c r="J66" s="283"/>
      <c r="K66" s="216" t="str">
        <f>+IFERROR(VLOOKUP($J66,'11 FORMULAS'!$B$51:$C$53,2,0),"")</f>
        <v/>
      </c>
      <c r="L66" s="216" t="str">
        <f>+IFERROR(VLOOKUP($J66,'11 FORMULAS'!$B$51:$D$53,3,0),"")</f>
        <v/>
      </c>
      <c r="M66" s="247"/>
      <c r="N66" s="216" t="str">
        <f>+IFERROR(VLOOKUP($M66,'11 FORMULAS'!$B$54:$C$55,2,0),"")</f>
        <v/>
      </c>
      <c r="O66" s="249"/>
      <c r="P66" s="249"/>
      <c r="Q66" s="249"/>
      <c r="R66" s="249"/>
      <c r="S66" s="216" t="str">
        <f t="shared" si="1"/>
        <v/>
      </c>
      <c r="T66" s="216">
        <f>IF($L66='11 FORMULAS'!$D$51,$C$64-($C$64*$S$64),$C$64)</f>
        <v>0.8</v>
      </c>
      <c r="U66" s="216">
        <f>IF($L66='11 FORMULAS'!$D$53,$D$64-($D$64*$S$64),$D$64)</f>
        <v>1</v>
      </c>
      <c r="V66" s="473"/>
      <c r="W66" s="476"/>
      <c r="X66" s="28"/>
      <c r="Y66" s="214"/>
      <c r="Z66" s="215"/>
      <c r="AA66" s="215"/>
    </row>
    <row r="67" spans="1:27" ht="29.55" customHeight="1" x14ac:dyDescent="0.3">
      <c r="A67" s="451"/>
      <c r="B67" s="454"/>
      <c r="C67" s="448"/>
      <c r="D67" s="448"/>
      <c r="E67" s="246">
        <v>4</v>
      </c>
      <c r="F67" s="163"/>
      <c r="G67" s="163"/>
      <c r="H67" s="163"/>
      <c r="I67" s="212" t="str">
        <f t="shared" si="0"/>
        <v xml:space="preserve">  </v>
      </c>
      <c r="J67" s="283"/>
      <c r="K67" s="216" t="str">
        <f>+IFERROR(VLOOKUP($J67,'11 FORMULAS'!$B$51:$C$53,2,0),"")</f>
        <v/>
      </c>
      <c r="L67" s="216" t="str">
        <f>+IFERROR(VLOOKUP($J67,'11 FORMULAS'!$B$51:$D$53,3,0),"")</f>
        <v/>
      </c>
      <c r="M67" s="247"/>
      <c r="N67" s="216" t="str">
        <f>+IFERROR(VLOOKUP($M67,'11 FORMULAS'!$B$54:$C$55,2,0),"")</f>
        <v/>
      </c>
      <c r="O67" s="249"/>
      <c r="P67" s="249"/>
      <c r="Q67" s="249"/>
      <c r="R67" s="249"/>
      <c r="S67" s="216" t="str">
        <f t="shared" si="1"/>
        <v/>
      </c>
      <c r="T67" s="216">
        <f>IF($L67='11 FORMULAS'!$D$51,$C$64-($C$64*$S$64),$C$64)</f>
        <v>0.8</v>
      </c>
      <c r="U67" s="216">
        <f>IF($L67='11 FORMULAS'!$D$53,$D$64-($D$64*$S$64),$D$64)</f>
        <v>1</v>
      </c>
      <c r="V67" s="473"/>
      <c r="W67" s="476"/>
      <c r="X67" s="28"/>
      <c r="Y67" s="214"/>
      <c r="Z67" s="215"/>
      <c r="AA67" s="215"/>
    </row>
    <row r="68" spans="1:27" ht="29.55" customHeight="1" x14ac:dyDescent="0.3">
      <c r="A68" s="451"/>
      <c r="B68" s="454"/>
      <c r="C68" s="448"/>
      <c r="D68" s="448"/>
      <c r="E68" s="246">
        <v>5</v>
      </c>
      <c r="F68" s="163"/>
      <c r="G68" s="163"/>
      <c r="H68" s="163"/>
      <c r="I68" s="212" t="str">
        <f t="shared" si="0"/>
        <v xml:space="preserve">  </v>
      </c>
      <c r="J68" s="283"/>
      <c r="K68" s="216" t="str">
        <f>+IFERROR(VLOOKUP($J68,'11 FORMULAS'!$B$51:$C$53,2,0),"")</f>
        <v/>
      </c>
      <c r="L68" s="216" t="str">
        <f>+IFERROR(VLOOKUP($J68,'11 FORMULAS'!$B$51:$D$53,3,0),"")</f>
        <v/>
      </c>
      <c r="M68" s="247"/>
      <c r="N68" s="216" t="str">
        <f>+IFERROR(VLOOKUP($M68,'11 FORMULAS'!$B$54:$C$55,2,0),"")</f>
        <v/>
      </c>
      <c r="O68" s="249"/>
      <c r="P68" s="249"/>
      <c r="Q68" s="249"/>
      <c r="R68" s="249"/>
      <c r="S68" s="216" t="str">
        <f t="shared" si="1"/>
        <v/>
      </c>
      <c r="T68" s="216">
        <f>IF($L68='11 FORMULAS'!$D$51,$C$64-($C$64*$S$64),$C$64)</f>
        <v>0.8</v>
      </c>
      <c r="U68" s="216">
        <f>IF($L68='11 FORMULAS'!$D$53,$D$64-($D$64*$S$64),$D$64)</f>
        <v>1</v>
      </c>
      <c r="V68" s="473"/>
      <c r="W68" s="476"/>
      <c r="X68" s="28"/>
      <c r="Y68" s="214"/>
      <c r="Z68" s="215"/>
      <c r="AA68" s="215"/>
    </row>
    <row r="69" spans="1:27" ht="29.55" customHeight="1" thickBot="1" x14ac:dyDescent="0.35">
      <c r="A69" s="452"/>
      <c r="B69" s="455"/>
      <c r="C69" s="449"/>
      <c r="D69" s="449"/>
      <c r="E69" s="250">
        <v>6</v>
      </c>
      <c r="F69" s="164"/>
      <c r="G69" s="164"/>
      <c r="H69" s="164"/>
      <c r="I69" s="329" t="str">
        <f t="shared" si="0"/>
        <v xml:space="preserve">  </v>
      </c>
      <c r="J69" s="330"/>
      <c r="K69" s="331" t="str">
        <f>+IFERROR(VLOOKUP($J69,'11 FORMULAS'!$B$51:$C$53,2,0),"")</f>
        <v/>
      </c>
      <c r="L69" s="331" t="str">
        <f>+IFERROR(VLOOKUP($J69,'11 FORMULAS'!$B$51:$D$53,3,0),"")</f>
        <v/>
      </c>
      <c r="M69" s="332"/>
      <c r="N69" s="331" t="str">
        <f>+IFERROR(VLOOKUP($M69,'11 FORMULAS'!$B$54:$C$55,2,0),"")</f>
        <v/>
      </c>
      <c r="O69" s="333"/>
      <c r="P69" s="333"/>
      <c r="Q69" s="333"/>
      <c r="R69" s="333"/>
      <c r="S69" s="331" t="str">
        <f t="shared" si="1"/>
        <v/>
      </c>
      <c r="T69" s="216">
        <f>IF($L69='11 FORMULAS'!$D$51,$C$64-($C$64*$S$64),$C$64)</f>
        <v>0.8</v>
      </c>
      <c r="U69" s="331">
        <f>IF($L69='11 FORMULAS'!$D$53,$D$64-($D$64*$S$64),$D$64)</f>
        <v>1</v>
      </c>
      <c r="V69" s="474"/>
      <c r="W69" s="477"/>
      <c r="X69" s="28"/>
    </row>
    <row r="70" spans="1:27" ht="69" x14ac:dyDescent="0.3">
      <c r="A70" s="450" t="str">
        <f>'2 IDENTIFICACIÓN'!A20</f>
        <v>R11</v>
      </c>
      <c r="B70" s="453" t="str">
        <f>+'2 IDENTIFICACIÓN'!J20</f>
        <v>Posibilidad  de efecto dañoso sobre el recurso público por anticipos entregados al contratista sin legalizar, debido a  la deficiencias en el seguimiento y control del proceso de amortización del anticipo.</v>
      </c>
      <c r="C70" s="447">
        <f>+'3 PROBABIL E IMPACTO INHERENTE'!E20</f>
        <v>0.6</v>
      </c>
      <c r="D70" s="447">
        <f>+'3 PROBABIL E IMPACTO INHERENTE'!M20</f>
        <v>1</v>
      </c>
      <c r="E70" s="324">
        <v>1</v>
      </c>
      <c r="F70" s="35" t="s">
        <v>431</v>
      </c>
      <c r="G70" s="35" t="s">
        <v>432</v>
      </c>
      <c r="H70" s="35" t="s">
        <v>433</v>
      </c>
      <c r="I70" s="325" t="str">
        <f t="shared" si="0"/>
        <v>El Profesional asignado a la supervisión de la obra verifica la amortización de los anticipos entregados al contratista, mediante la revisión de las actas parciales de pago y del acta final conforme a lo estipulado en los pliegos de condiciones, con el fin de prevenir anticipos sin legalizar.</v>
      </c>
      <c r="J70" s="326" t="s">
        <v>133</v>
      </c>
      <c r="K70" s="248">
        <f>+IFERROR(VLOOKUP($J70,'11 FORMULAS'!$B$51:$C$53,2,0),"")</f>
        <v>0.25</v>
      </c>
      <c r="L70" s="248" t="str">
        <f>+IFERROR(VLOOKUP($J70,'11 FORMULAS'!$B$51:$D$53,3,0),"")</f>
        <v>Probabilidad</v>
      </c>
      <c r="M70" s="327" t="s">
        <v>145</v>
      </c>
      <c r="N70" s="248">
        <f>+IFERROR(VLOOKUP($M70,'11 FORMULAS'!$B$54:$C$55,2,0),"")</f>
        <v>0.15</v>
      </c>
      <c r="O70" s="328" t="s">
        <v>135</v>
      </c>
      <c r="P70" s="328" t="s">
        <v>242</v>
      </c>
      <c r="Q70" s="328" t="s">
        <v>137</v>
      </c>
      <c r="R70" s="328" t="s">
        <v>138</v>
      </c>
      <c r="S70" s="248">
        <f t="shared" si="1"/>
        <v>0.4</v>
      </c>
      <c r="T70" s="248">
        <f>IF($L70='11 FORMULAS'!$D$51,$C$70-($C$70*$S$70),$C$70)</f>
        <v>0.36</v>
      </c>
      <c r="U70" s="248">
        <f>IF($L70='11 FORMULAS'!$D$53,$D$70-($D$70*$S$70),$D$70)</f>
        <v>1</v>
      </c>
      <c r="V70" s="472">
        <f>+IF(T75="","",T75)</f>
        <v>0.6</v>
      </c>
      <c r="W70" s="475">
        <f>+IF(U75="","",U75)</f>
        <v>1</v>
      </c>
      <c r="X70" s="28"/>
      <c r="Y70" s="214"/>
      <c r="Z70" s="215"/>
      <c r="AA70" s="215"/>
    </row>
    <row r="71" spans="1:27" ht="29.55" customHeight="1" x14ac:dyDescent="0.3">
      <c r="A71" s="451"/>
      <c r="B71" s="454"/>
      <c r="C71" s="448"/>
      <c r="D71" s="448"/>
      <c r="E71" s="246">
        <v>2</v>
      </c>
      <c r="F71" s="163"/>
      <c r="G71" s="163"/>
      <c r="H71" s="163"/>
      <c r="I71" s="212" t="str">
        <f t="shared" si="0"/>
        <v xml:space="preserve">  </v>
      </c>
      <c r="J71" s="283"/>
      <c r="K71" s="216" t="str">
        <f>+IFERROR(VLOOKUP($J71,'11 FORMULAS'!$B$51:$C$53,2,0),"")</f>
        <v/>
      </c>
      <c r="L71" s="216" t="str">
        <f>+IFERROR(VLOOKUP($J71,'11 FORMULAS'!$B$51:$D$53,3,0),"")</f>
        <v/>
      </c>
      <c r="M71" s="247"/>
      <c r="N71" s="216" t="str">
        <f>+IFERROR(VLOOKUP($M71,'11 FORMULAS'!$B$54:$C$55,2,0),"")</f>
        <v/>
      </c>
      <c r="O71" s="249"/>
      <c r="P71" s="249"/>
      <c r="Q71" s="249"/>
      <c r="R71" s="249"/>
      <c r="S71" s="216" t="str">
        <f t="shared" si="1"/>
        <v/>
      </c>
      <c r="T71" s="216">
        <f>IF($L71='11 FORMULAS'!$D$51,$C$70-($C$70*$S$70),$C$70)</f>
        <v>0.6</v>
      </c>
      <c r="U71" s="216">
        <f>IF($L71='11 FORMULAS'!$D$53,$D$70-($D$70*$S$70),$D$70)</f>
        <v>1</v>
      </c>
      <c r="V71" s="473"/>
      <c r="W71" s="476"/>
      <c r="X71" s="28"/>
      <c r="Y71" s="214"/>
      <c r="Z71" s="215"/>
      <c r="AA71" s="215"/>
    </row>
    <row r="72" spans="1:27" ht="29.55" customHeight="1" x14ac:dyDescent="0.3">
      <c r="A72" s="451"/>
      <c r="B72" s="454"/>
      <c r="C72" s="448"/>
      <c r="D72" s="448"/>
      <c r="E72" s="246">
        <v>3</v>
      </c>
      <c r="F72" s="163"/>
      <c r="G72" s="163"/>
      <c r="H72" s="163"/>
      <c r="I72" s="212" t="str">
        <f t="shared" si="0"/>
        <v xml:space="preserve">  </v>
      </c>
      <c r="J72" s="283"/>
      <c r="K72" s="216" t="str">
        <f>+IFERROR(VLOOKUP($J72,'11 FORMULAS'!$B$51:$C$53,2,0),"")</f>
        <v/>
      </c>
      <c r="L72" s="216" t="str">
        <f>+IFERROR(VLOOKUP($J72,'11 FORMULAS'!$B$51:$D$53,3,0),"")</f>
        <v/>
      </c>
      <c r="M72" s="247"/>
      <c r="N72" s="216" t="str">
        <f>+IFERROR(VLOOKUP($M72,'11 FORMULAS'!$B$54:$C$55,2,0),"")</f>
        <v/>
      </c>
      <c r="O72" s="249"/>
      <c r="P72" s="249"/>
      <c r="Q72" s="249"/>
      <c r="R72" s="249"/>
      <c r="S72" s="216" t="str">
        <f t="shared" si="1"/>
        <v/>
      </c>
      <c r="T72" s="216">
        <f>IF($L72='11 FORMULAS'!$D$51,$C$70-($C$70*$S$70),$C$70)</f>
        <v>0.6</v>
      </c>
      <c r="U72" s="216">
        <f>IF($L72='11 FORMULAS'!$D$53,$D$70-($D$70*$S$70),$D$70)</f>
        <v>1</v>
      </c>
      <c r="V72" s="473"/>
      <c r="W72" s="476"/>
      <c r="X72" s="28"/>
      <c r="Y72" s="214"/>
      <c r="Z72" s="215"/>
      <c r="AA72" s="215"/>
    </row>
    <row r="73" spans="1:27" ht="29.55" customHeight="1" x14ac:dyDescent="0.3">
      <c r="A73" s="451"/>
      <c r="B73" s="454"/>
      <c r="C73" s="448"/>
      <c r="D73" s="448"/>
      <c r="E73" s="246">
        <v>4</v>
      </c>
      <c r="F73" s="163"/>
      <c r="G73" s="163"/>
      <c r="H73" s="163"/>
      <c r="I73" s="212" t="str">
        <f t="shared" si="0"/>
        <v xml:space="preserve">  </v>
      </c>
      <c r="J73" s="283"/>
      <c r="K73" s="216" t="str">
        <f>+IFERROR(VLOOKUP($J73,'11 FORMULAS'!$B$51:$C$53,2,0),"")</f>
        <v/>
      </c>
      <c r="L73" s="216" t="str">
        <f>+IFERROR(VLOOKUP($J73,'11 FORMULAS'!$B$51:$D$53,3,0),"")</f>
        <v/>
      </c>
      <c r="M73" s="247"/>
      <c r="N73" s="216" t="str">
        <f>+IFERROR(VLOOKUP($M73,'11 FORMULAS'!$B$54:$C$55,2,0),"")</f>
        <v/>
      </c>
      <c r="O73" s="249"/>
      <c r="P73" s="249"/>
      <c r="Q73" s="249"/>
      <c r="R73" s="249"/>
      <c r="S73" s="216" t="str">
        <f t="shared" si="1"/>
        <v/>
      </c>
      <c r="T73" s="216">
        <f>IF($L73='11 FORMULAS'!$D$51,$C$70-($C$70*$S$70),$C$70)</f>
        <v>0.6</v>
      </c>
      <c r="U73" s="216">
        <f>IF($L73='11 FORMULAS'!$D$53,$D$70-($D$70*$S$70),$D$70)</f>
        <v>1</v>
      </c>
      <c r="V73" s="473"/>
      <c r="W73" s="476"/>
      <c r="X73" s="28"/>
      <c r="Y73" s="214"/>
      <c r="Z73" s="215"/>
      <c r="AA73" s="215"/>
    </row>
    <row r="74" spans="1:27" ht="29.55" customHeight="1" x14ac:dyDescent="0.3">
      <c r="A74" s="451"/>
      <c r="B74" s="454"/>
      <c r="C74" s="448"/>
      <c r="D74" s="448"/>
      <c r="E74" s="246">
        <v>5</v>
      </c>
      <c r="F74" s="163"/>
      <c r="G74" s="163"/>
      <c r="H74" s="163"/>
      <c r="I74" s="212" t="str">
        <f t="shared" ref="I74:I189" si="2">+CONCATENATE(F74," ",G74," ",H74)</f>
        <v xml:space="preserve">  </v>
      </c>
      <c r="J74" s="283"/>
      <c r="K74" s="216" t="str">
        <f>+IFERROR(VLOOKUP($J74,'11 FORMULAS'!$B$51:$C$53,2,0),"")</f>
        <v/>
      </c>
      <c r="L74" s="216" t="str">
        <f>+IFERROR(VLOOKUP($J74,'11 FORMULAS'!$B$51:$D$53,3,0),"")</f>
        <v/>
      </c>
      <c r="M74" s="247"/>
      <c r="N74" s="216" t="str">
        <f>+IFERROR(VLOOKUP($M74,'11 FORMULAS'!$B$54:$C$55,2,0),"")</f>
        <v/>
      </c>
      <c r="O74" s="249"/>
      <c r="P74" s="249"/>
      <c r="Q74" s="249"/>
      <c r="R74" s="249"/>
      <c r="S74" s="216" t="str">
        <f t="shared" si="1"/>
        <v/>
      </c>
      <c r="T74" s="216">
        <f>IF($L74='11 FORMULAS'!$D$51,$C$70-($C$70*$S$70),$C$70)</f>
        <v>0.6</v>
      </c>
      <c r="U74" s="216">
        <f>IF($L74='11 FORMULAS'!$D$53,$D$70-($D$70*$S$70),$D$70)</f>
        <v>1</v>
      </c>
      <c r="V74" s="473"/>
      <c r="W74" s="476"/>
      <c r="X74" s="28"/>
      <c r="Y74" s="214"/>
      <c r="Z74" s="215"/>
      <c r="AA74" s="215"/>
    </row>
    <row r="75" spans="1:27" ht="29.55" customHeight="1" thickBot="1" x14ac:dyDescent="0.35">
      <c r="A75" s="452"/>
      <c r="B75" s="455"/>
      <c r="C75" s="449"/>
      <c r="D75" s="449"/>
      <c r="E75" s="250">
        <v>6</v>
      </c>
      <c r="F75" s="164"/>
      <c r="G75" s="164"/>
      <c r="H75" s="164"/>
      <c r="I75" s="329" t="str">
        <f t="shared" si="2"/>
        <v xml:space="preserve">  </v>
      </c>
      <c r="J75" s="330"/>
      <c r="K75" s="331" t="str">
        <f>+IFERROR(VLOOKUP($J75,'11 FORMULAS'!$B$51:$C$53,2,0),"")</f>
        <v/>
      </c>
      <c r="L75" s="331" t="str">
        <f>+IFERROR(VLOOKUP($J75,'11 FORMULAS'!$B$51:$D$53,3,0),"")</f>
        <v/>
      </c>
      <c r="M75" s="332"/>
      <c r="N75" s="331" t="str">
        <f>+IFERROR(VLOOKUP($M75,'11 FORMULAS'!$B$54:$C$55,2,0),"")</f>
        <v/>
      </c>
      <c r="O75" s="333"/>
      <c r="P75" s="333"/>
      <c r="Q75" s="333"/>
      <c r="R75" s="333"/>
      <c r="S75" s="331" t="str">
        <f t="shared" ref="S75:S189" si="3">+IFERROR($K75+$N75,"")</f>
        <v/>
      </c>
      <c r="T75" s="216">
        <f>IF($L75='11 FORMULAS'!$D$51,$C$70-($C$70*$S$70),$C$70)</f>
        <v>0.6</v>
      </c>
      <c r="U75" s="331">
        <f>IF($L75='11 FORMULAS'!$D$53,$D$70-($D$70*$S$70),$D$70)</f>
        <v>1</v>
      </c>
      <c r="V75" s="474"/>
      <c r="W75" s="477"/>
      <c r="X75" s="28"/>
    </row>
    <row r="76" spans="1:27" ht="110.4" x14ac:dyDescent="0.3">
      <c r="A76" s="450" t="str">
        <f>'2 IDENTIFICACIÓN'!A21</f>
        <v>R12</v>
      </c>
      <c r="B76" s="453" t="str">
        <f>+'2 IDENTIFICACIÓN'!J21</f>
        <v>Posibilidad  de efecto dañoso sobre el recurso público por  el pago de sanciones impuestas por entes de control, debido a  incumplimiento de las normas vigentes en las etapas precontractual, contractual y postcontractual de la contratación, afectando la obtención y cumplimiento del objeto contractual.</v>
      </c>
      <c r="C76" s="447">
        <f>+'3 PROBABIL E IMPACTO INHERENTE'!E21</f>
        <v>0.6</v>
      </c>
      <c r="D76" s="447">
        <f>+'3 PROBABIL E IMPACTO INHERENTE'!M21</f>
        <v>1</v>
      </c>
      <c r="E76" s="324">
        <v>1</v>
      </c>
      <c r="F76" s="35" t="s">
        <v>434</v>
      </c>
      <c r="G76" s="35" t="s">
        <v>435</v>
      </c>
      <c r="H76" s="35" t="s">
        <v>436</v>
      </c>
      <c r="I76" s="325" t="str">
        <f t="shared" si="2"/>
        <v>Los Profesionales encargados de la contratación y/o Supervisores designados verifican el cumplimiento de las normas vigentes en las etapas precontractual, contractual y postcontractual de los procesos celebrados por la Secretaría de Infraestructura, diferentes a contratos de prestación de servicios, mediante la revisión de los documentos y actuaciones contractuales, con el fin de prevenir incumplimientos que afecten el objeto contractual.</v>
      </c>
      <c r="J76" s="326" t="s">
        <v>133</v>
      </c>
      <c r="K76" s="248">
        <f>+IFERROR(VLOOKUP($J76,'11 FORMULAS'!$B$51:$C$53,2,0),"")</f>
        <v>0.25</v>
      </c>
      <c r="L76" s="248" t="str">
        <f>+IFERROR(VLOOKUP($J76,'11 FORMULAS'!$B$51:$D$53,3,0),"")</f>
        <v>Probabilidad</v>
      </c>
      <c r="M76" s="327" t="s">
        <v>145</v>
      </c>
      <c r="N76" s="248">
        <f>+IFERROR(VLOOKUP($M76,'11 FORMULAS'!$B$54:$C$55,2,0),"")</f>
        <v>0.15</v>
      </c>
      <c r="O76" s="328" t="s">
        <v>135</v>
      </c>
      <c r="P76" s="328" t="s">
        <v>242</v>
      </c>
      <c r="Q76" s="328" t="s">
        <v>137</v>
      </c>
      <c r="R76" s="328" t="s">
        <v>138</v>
      </c>
      <c r="S76" s="248">
        <f t="shared" si="3"/>
        <v>0.4</v>
      </c>
      <c r="T76" s="248">
        <f>IF($L76='11 FORMULAS'!$D$51,$C$76-($C$76*$S$76),$C$76)</f>
        <v>0.36</v>
      </c>
      <c r="U76" s="248">
        <f>IF($L76='11 FORMULAS'!$D$53,$D$76-($D$76*$S$76),$D$76)</f>
        <v>1</v>
      </c>
      <c r="V76" s="472">
        <f>+IF(T81="","",T81)</f>
        <v>0.6</v>
      </c>
      <c r="W76" s="475">
        <f>+IF(U81="","",U81)</f>
        <v>1</v>
      </c>
      <c r="X76" s="28"/>
      <c r="Y76" s="214"/>
      <c r="Z76" s="215"/>
      <c r="AA76" s="215"/>
    </row>
    <row r="77" spans="1:27" ht="29.55" customHeight="1" x14ac:dyDescent="0.3">
      <c r="A77" s="451"/>
      <c r="B77" s="454"/>
      <c r="C77" s="448"/>
      <c r="D77" s="448"/>
      <c r="E77" s="246">
        <v>2</v>
      </c>
      <c r="F77" s="163"/>
      <c r="G77" s="163"/>
      <c r="H77" s="163"/>
      <c r="I77" s="212" t="str">
        <f t="shared" si="2"/>
        <v xml:space="preserve">  </v>
      </c>
      <c r="J77" s="283"/>
      <c r="K77" s="216" t="str">
        <f>+IFERROR(VLOOKUP($J77,'11 FORMULAS'!$B$51:$C$53,2,0),"")</f>
        <v/>
      </c>
      <c r="L77" s="216" t="str">
        <f>+IFERROR(VLOOKUP($J77,'11 FORMULAS'!$B$51:$D$53,3,0),"")</f>
        <v/>
      </c>
      <c r="M77" s="247"/>
      <c r="N77" s="216" t="str">
        <f>+IFERROR(VLOOKUP($M77,'11 FORMULAS'!$B$54:$C$55,2,0),"")</f>
        <v/>
      </c>
      <c r="O77" s="249"/>
      <c r="P77" s="249"/>
      <c r="Q77" s="249"/>
      <c r="R77" s="249"/>
      <c r="S77" s="216" t="str">
        <f t="shared" si="3"/>
        <v/>
      </c>
      <c r="T77" s="216">
        <f>IF($L77='11 FORMULAS'!$D$51,$C$76-($C$76*$S$76),$C$76)</f>
        <v>0.6</v>
      </c>
      <c r="U77" s="216">
        <f>IF($L77='11 FORMULAS'!$D$53,$D$76-($D$76*$S$76),$D$76)</f>
        <v>1</v>
      </c>
      <c r="V77" s="473"/>
      <c r="W77" s="476"/>
      <c r="X77" s="28"/>
      <c r="Y77" s="214"/>
      <c r="Z77" s="215"/>
      <c r="AA77" s="215"/>
    </row>
    <row r="78" spans="1:27" ht="29.55" customHeight="1" x14ac:dyDescent="0.3">
      <c r="A78" s="451"/>
      <c r="B78" s="454"/>
      <c r="C78" s="448"/>
      <c r="D78" s="448"/>
      <c r="E78" s="246">
        <v>3</v>
      </c>
      <c r="F78" s="163"/>
      <c r="G78" s="163"/>
      <c r="H78" s="163"/>
      <c r="I78" s="212" t="str">
        <f t="shared" si="2"/>
        <v xml:space="preserve">  </v>
      </c>
      <c r="J78" s="283"/>
      <c r="K78" s="216" t="str">
        <f>+IFERROR(VLOOKUP($J78,'11 FORMULAS'!$B$51:$C$53,2,0),"")</f>
        <v/>
      </c>
      <c r="L78" s="216" t="str">
        <f>+IFERROR(VLOOKUP($J78,'11 FORMULAS'!$B$51:$D$53,3,0),"")</f>
        <v/>
      </c>
      <c r="M78" s="247"/>
      <c r="N78" s="216" t="str">
        <f>+IFERROR(VLOOKUP($M78,'11 FORMULAS'!$B$54:$C$55,2,0),"")</f>
        <v/>
      </c>
      <c r="O78" s="249"/>
      <c r="P78" s="249"/>
      <c r="Q78" s="249"/>
      <c r="R78" s="249"/>
      <c r="S78" s="216" t="str">
        <f t="shared" si="3"/>
        <v/>
      </c>
      <c r="T78" s="216">
        <f>IF($L78='11 FORMULAS'!$D$51,$C$76-($C$76*$S$76),$C$76)</f>
        <v>0.6</v>
      </c>
      <c r="U78" s="216">
        <f>IF($L78='11 FORMULAS'!$D$53,$D$76-($D$76*$S$76),$D$76)</f>
        <v>1</v>
      </c>
      <c r="V78" s="473"/>
      <c r="W78" s="476"/>
      <c r="X78" s="28"/>
      <c r="Y78" s="214"/>
      <c r="Z78" s="215"/>
      <c r="AA78" s="215"/>
    </row>
    <row r="79" spans="1:27" ht="29.55" customHeight="1" x14ac:dyDescent="0.3">
      <c r="A79" s="451"/>
      <c r="B79" s="454"/>
      <c r="C79" s="448"/>
      <c r="D79" s="448"/>
      <c r="E79" s="246">
        <v>4</v>
      </c>
      <c r="F79" s="163"/>
      <c r="G79" s="163"/>
      <c r="H79" s="163"/>
      <c r="I79" s="212" t="str">
        <f t="shared" si="2"/>
        <v xml:space="preserve">  </v>
      </c>
      <c r="J79" s="283"/>
      <c r="K79" s="216" t="str">
        <f>+IFERROR(VLOOKUP($J79,'11 FORMULAS'!$B$51:$C$53,2,0),"")</f>
        <v/>
      </c>
      <c r="L79" s="216" t="str">
        <f>+IFERROR(VLOOKUP($J79,'11 FORMULAS'!$B$51:$D$53,3,0),"")</f>
        <v/>
      </c>
      <c r="M79" s="247"/>
      <c r="N79" s="216" t="str">
        <f>+IFERROR(VLOOKUP($M79,'11 FORMULAS'!$B$54:$C$55,2,0),"")</f>
        <v/>
      </c>
      <c r="O79" s="249"/>
      <c r="P79" s="249"/>
      <c r="Q79" s="249"/>
      <c r="R79" s="249"/>
      <c r="S79" s="216" t="str">
        <f t="shared" si="3"/>
        <v/>
      </c>
      <c r="T79" s="216">
        <f>IF($L79='11 FORMULAS'!$D$51,$C$76-($C$76*$S$76),$C$76)</f>
        <v>0.6</v>
      </c>
      <c r="U79" s="216">
        <f>IF($L79='11 FORMULAS'!$D$53,$D$76-($D$76*$S$76),$D$76)</f>
        <v>1</v>
      </c>
      <c r="V79" s="473"/>
      <c r="W79" s="476"/>
      <c r="X79" s="28"/>
      <c r="Y79" s="214"/>
      <c r="Z79" s="215"/>
      <c r="AA79" s="215"/>
    </row>
    <row r="80" spans="1:27" ht="29.55" customHeight="1" x14ac:dyDescent="0.3">
      <c r="A80" s="451"/>
      <c r="B80" s="454"/>
      <c r="C80" s="448"/>
      <c r="D80" s="448"/>
      <c r="E80" s="246">
        <v>5</v>
      </c>
      <c r="F80" s="163"/>
      <c r="G80" s="163"/>
      <c r="H80" s="163"/>
      <c r="I80" s="212" t="str">
        <f t="shared" si="2"/>
        <v xml:space="preserve">  </v>
      </c>
      <c r="J80" s="283"/>
      <c r="K80" s="216" t="str">
        <f>+IFERROR(VLOOKUP($J80,'11 FORMULAS'!$B$51:$C$53,2,0),"")</f>
        <v/>
      </c>
      <c r="L80" s="216" t="str">
        <f>+IFERROR(VLOOKUP($J80,'11 FORMULAS'!$B$51:$D$53,3,0),"")</f>
        <v/>
      </c>
      <c r="M80" s="247"/>
      <c r="N80" s="216" t="str">
        <f>+IFERROR(VLOOKUP($M80,'11 FORMULAS'!$B$54:$C$55,2,0),"")</f>
        <v/>
      </c>
      <c r="O80" s="249"/>
      <c r="P80" s="249"/>
      <c r="Q80" s="249"/>
      <c r="R80" s="249"/>
      <c r="S80" s="216" t="str">
        <f t="shared" si="3"/>
        <v/>
      </c>
      <c r="T80" s="216">
        <f>IF($L80='11 FORMULAS'!$D$51,$C$76-($C$76*$S$76),$C$76)</f>
        <v>0.6</v>
      </c>
      <c r="U80" s="216">
        <f>IF($L80='11 FORMULAS'!$D$53,$D$76-($D$76*$S$76),$D$76)</f>
        <v>1</v>
      </c>
      <c r="V80" s="473"/>
      <c r="W80" s="476"/>
      <c r="X80" s="28"/>
      <c r="Y80" s="214"/>
      <c r="Z80" s="215"/>
      <c r="AA80" s="215"/>
    </row>
    <row r="81" spans="1:27" ht="29.55" customHeight="1" thickBot="1" x14ac:dyDescent="0.35">
      <c r="A81" s="452"/>
      <c r="B81" s="455"/>
      <c r="C81" s="449"/>
      <c r="D81" s="449"/>
      <c r="E81" s="250">
        <v>6</v>
      </c>
      <c r="F81" s="164"/>
      <c r="G81" s="164"/>
      <c r="H81" s="164"/>
      <c r="I81" s="329" t="str">
        <f t="shared" si="2"/>
        <v xml:space="preserve">  </v>
      </c>
      <c r="J81" s="330"/>
      <c r="K81" s="331" t="str">
        <f>+IFERROR(VLOOKUP($J81,'11 FORMULAS'!$B$51:$C$53,2,0),"")</f>
        <v/>
      </c>
      <c r="L81" s="331" t="str">
        <f>+IFERROR(VLOOKUP($J81,'11 FORMULAS'!$B$51:$D$53,3,0),"")</f>
        <v/>
      </c>
      <c r="M81" s="332"/>
      <c r="N81" s="331" t="str">
        <f>+IFERROR(VLOOKUP($M81,'11 FORMULAS'!$B$54:$C$55,2,0),"")</f>
        <v/>
      </c>
      <c r="O81" s="333"/>
      <c r="P81" s="333"/>
      <c r="Q81" s="333"/>
      <c r="R81" s="333"/>
      <c r="S81" s="331" t="str">
        <f t="shared" si="3"/>
        <v/>
      </c>
      <c r="T81" s="216">
        <f>IF($L81='11 FORMULAS'!$D$51,$C$76-($C$76*$S$76),$C$76)</f>
        <v>0.6</v>
      </c>
      <c r="U81" s="331">
        <f>IF($L81='11 FORMULAS'!$D$53,$D$76-($D$76*$S$76),$D$76)</f>
        <v>1</v>
      </c>
      <c r="V81" s="474"/>
      <c r="W81" s="477"/>
      <c r="X81" s="28"/>
    </row>
    <row r="82" spans="1:27" ht="69" x14ac:dyDescent="0.3">
      <c r="A82" s="450" t="str">
        <f>'2 IDENTIFICACIÓN'!A22</f>
        <v>R13</v>
      </c>
      <c r="B82" s="453" t="str">
        <f>+'2 IDENTIFICACIÓN'!J22</f>
        <v>Posibilidad  de efecto dañoso sobre el recurso público por  el pago de sanciones y/o condenas impuestas por entes de control,  debido a  incumplimiento en la cobertura de las garantías que amparan los riesgos definidos en la etapa precontractual, conforme al Manual de Contratación M-GJ-1140-170-001.</v>
      </c>
      <c r="C82" s="447">
        <f>+'3 PROBABIL E IMPACTO INHERENTE'!E22</f>
        <v>0.6</v>
      </c>
      <c r="D82" s="447">
        <f>+'3 PROBABIL E IMPACTO INHERENTE'!M22</f>
        <v>1</v>
      </c>
      <c r="E82" s="324">
        <v>1</v>
      </c>
      <c r="F82" s="35" t="s">
        <v>437</v>
      </c>
      <c r="G82" s="35" t="s">
        <v>438</v>
      </c>
      <c r="H82" s="35" t="s">
        <v>439</v>
      </c>
      <c r="I82" s="325" t="str">
        <f t="shared" si="2"/>
        <v>La persona encargada por el Ordenador del Gasto, verifica los amparos exigidos en los contratos suscritos por la Secretaría de Infraestructura, mediante la revisión de las garantías constituidas conforme al Manual de Contratación M-GJ-1140-170-001</v>
      </c>
      <c r="J82" s="326" t="s">
        <v>133</v>
      </c>
      <c r="K82" s="248">
        <f>+IFERROR(VLOOKUP($J82,'11 FORMULAS'!$B$51:$C$53,2,0),"")</f>
        <v>0.25</v>
      </c>
      <c r="L82" s="248" t="str">
        <f>+IFERROR(VLOOKUP($J82,'11 FORMULAS'!$B$51:$D$53,3,0),"")</f>
        <v>Probabilidad</v>
      </c>
      <c r="M82" s="327" t="s">
        <v>145</v>
      </c>
      <c r="N82" s="248">
        <f>+IFERROR(VLOOKUP($M82,'11 FORMULAS'!$B$54:$C$55,2,0),"")</f>
        <v>0.15</v>
      </c>
      <c r="O82" s="328" t="s">
        <v>135</v>
      </c>
      <c r="P82" s="328" t="s">
        <v>242</v>
      </c>
      <c r="Q82" s="328" t="s">
        <v>137</v>
      </c>
      <c r="R82" s="328" t="s">
        <v>138</v>
      </c>
      <c r="S82" s="248">
        <f t="shared" si="3"/>
        <v>0.4</v>
      </c>
      <c r="T82" s="248">
        <f>IF($L82='11 FORMULAS'!$D$51,$C$82-($C$82*$S$82),$C$82)</f>
        <v>0.36</v>
      </c>
      <c r="U82" s="248">
        <f>IF($L82='11 FORMULAS'!$D$53,$D$82-($D$82*$S$82),$D$82)</f>
        <v>1</v>
      </c>
      <c r="V82" s="472">
        <f>+IF(T87="","",T87)</f>
        <v>0.6</v>
      </c>
      <c r="W82" s="475">
        <f>+IF(U87="","",U87)</f>
        <v>1</v>
      </c>
      <c r="X82" s="28"/>
      <c r="Y82" s="214"/>
      <c r="Z82" s="215"/>
      <c r="AA82" s="215"/>
    </row>
    <row r="83" spans="1:27" ht="29.55" customHeight="1" x14ac:dyDescent="0.3">
      <c r="A83" s="451"/>
      <c r="B83" s="454"/>
      <c r="C83" s="448"/>
      <c r="D83" s="448"/>
      <c r="E83" s="246">
        <v>2</v>
      </c>
      <c r="F83" s="163"/>
      <c r="G83" s="163"/>
      <c r="H83" s="163"/>
      <c r="I83" s="212" t="str">
        <f t="shared" si="2"/>
        <v xml:space="preserve">  </v>
      </c>
      <c r="J83" s="283"/>
      <c r="K83" s="216" t="str">
        <f>+IFERROR(VLOOKUP($J83,'11 FORMULAS'!$B$51:$C$53,2,0),"")</f>
        <v/>
      </c>
      <c r="L83" s="216" t="str">
        <f>+IFERROR(VLOOKUP($J83,'11 FORMULAS'!$B$51:$D$53,3,0),"")</f>
        <v/>
      </c>
      <c r="M83" s="247"/>
      <c r="N83" s="216" t="str">
        <f>+IFERROR(VLOOKUP($M83,'11 FORMULAS'!$B$54:$C$55,2,0),"")</f>
        <v/>
      </c>
      <c r="O83" s="249"/>
      <c r="P83" s="249"/>
      <c r="Q83" s="249"/>
      <c r="R83" s="249"/>
      <c r="S83" s="216" t="str">
        <f t="shared" si="3"/>
        <v/>
      </c>
      <c r="T83" s="216">
        <f>IF($L83='11 FORMULAS'!$D$51,$C$82-($C$82*$S$82),$C$82)</f>
        <v>0.6</v>
      </c>
      <c r="U83" s="216">
        <f>IF($L83='11 FORMULAS'!$D$53,$D$82-($D$82*$S$82),$D$82)</f>
        <v>1</v>
      </c>
      <c r="V83" s="473"/>
      <c r="W83" s="476"/>
      <c r="X83" s="28"/>
      <c r="Y83" s="214"/>
      <c r="Z83" s="215"/>
      <c r="AA83" s="215"/>
    </row>
    <row r="84" spans="1:27" ht="29.55" customHeight="1" x14ac:dyDescent="0.3">
      <c r="A84" s="451"/>
      <c r="B84" s="454"/>
      <c r="C84" s="448"/>
      <c r="D84" s="448"/>
      <c r="E84" s="246">
        <v>3</v>
      </c>
      <c r="F84" s="163"/>
      <c r="G84" s="163"/>
      <c r="H84" s="163"/>
      <c r="I84" s="212" t="str">
        <f t="shared" si="2"/>
        <v xml:space="preserve">  </v>
      </c>
      <c r="J84" s="283"/>
      <c r="K84" s="216" t="str">
        <f>+IFERROR(VLOOKUP($J84,'11 FORMULAS'!$B$51:$C$53,2,0),"")</f>
        <v/>
      </c>
      <c r="L84" s="216" t="str">
        <f>+IFERROR(VLOOKUP($J84,'11 FORMULAS'!$B$51:$D$53,3,0),"")</f>
        <v/>
      </c>
      <c r="M84" s="247"/>
      <c r="N84" s="216" t="str">
        <f>+IFERROR(VLOOKUP($M84,'11 FORMULAS'!$B$54:$C$55,2,0),"")</f>
        <v/>
      </c>
      <c r="O84" s="249"/>
      <c r="P84" s="249"/>
      <c r="Q84" s="249"/>
      <c r="R84" s="249"/>
      <c r="S84" s="216" t="str">
        <f t="shared" si="3"/>
        <v/>
      </c>
      <c r="T84" s="216">
        <f>IF($L84='11 FORMULAS'!$D$51,$C$82-($C$82*$S$82),$C$82)</f>
        <v>0.6</v>
      </c>
      <c r="U84" s="216">
        <f>IF($L84='11 FORMULAS'!$D$53,$D$82-($D$82*$S$82),$D$82)</f>
        <v>1</v>
      </c>
      <c r="V84" s="473"/>
      <c r="W84" s="476"/>
      <c r="X84" s="28"/>
      <c r="Y84" s="214"/>
      <c r="Z84" s="215"/>
      <c r="AA84" s="215"/>
    </row>
    <row r="85" spans="1:27" ht="29.55" customHeight="1" x14ac:dyDescent="0.3">
      <c r="A85" s="451"/>
      <c r="B85" s="454"/>
      <c r="C85" s="448"/>
      <c r="D85" s="448"/>
      <c r="E85" s="246">
        <v>4</v>
      </c>
      <c r="F85" s="163"/>
      <c r="G85" s="163"/>
      <c r="H85" s="163"/>
      <c r="I85" s="212" t="str">
        <f t="shared" si="2"/>
        <v xml:space="preserve">  </v>
      </c>
      <c r="J85" s="283"/>
      <c r="K85" s="216" t="str">
        <f>+IFERROR(VLOOKUP($J85,'11 FORMULAS'!$B$51:$C$53,2,0),"")</f>
        <v/>
      </c>
      <c r="L85" s="216" t="str">
        <f>+IFERROR(VLOOKUP($J85,'11 FORMULAS'!$B$51:$D$53,3,0),"")</f>
        <v/>
      </c>
      <c r="M85" s="247"/>
      <c r="N85" s="216" t="str">
        <f>+IFERROR(VLOOKUP($M85,'11 FORMULAS'!$B$54:$C$55,2,0),"")</f>
        <v/>
      </c>
      <c r="O85" s="249"/>
      <c r="P85" s="249"/>
      <c r="Q85" s="249"/>
      <c r="R85" s="249"/>
      <c r="S85" s="216" t="str">
        <f t="shared" si="3"/>
        <v/>
      </c>
      <c r="T85" s="216">
        <f>IF($L85='11 FORMULAS'!$D$51,$C$82-($C$82*$S$82),$C$82)</f>
        <v>0.6</v>
      </c>
      <c r="U85" s="216">
        <f>IF($L85='11 FORMULAS'!$D$53,$D$82-($D$82*$S$82),$D$82)</f>
        <v>1</v>
      </c>
      <c r="V85" s="473"/>
      <c r="W85" s="476"/>
      <c r="X85" s="28"/>
      <c r="Y85" s="214"/>
      <c r="Z85" s="215"/>
      <c r="AA85" s="215"/>
    </row>
    <row r="86" spans="1:27" ht="29.55" customHeight="1" x14ac:dyDescent="0.3">
      <c r="A86" s="451"/>
      <c r="B86" s="454"/>
      <c r="C86" s="448"/>
      <c r="D86" s="448"/>
      <c r="E86" s="246">
        <v>5</v>
      </c>
      <c r="F86" s="163"/>
      <c r="G86" s="163"/>
      <c r="H86" s="163"/>
      <c r="I86" s="212" t="str">
        <f t="shared" si="2"/>
        <v xml:space="preserve">  </v>
      </c>
      <c r="J86" s="283"/>
      <c r="K86" s="216" t="str">
        <f>+IFERROR(VLOOKUP($J86,'11 FORMULAS'!$B$51:$C$53,2,0),"")</f>
        <v/>
      </c>
      <c r="L86" s="216" t="str">
        <f>+IFERROR(VLOOKUP($J86,'11 FORMULAS'!$B$51:$D$53,3,0),"")</f>
        <v/>
      </c>
      <c r="M86" s="247"/>
      <c r="N86" s="216" t="str">
        <f>+IFERROR(VLOOKUP($M86,'11 FORMULAS'!$B$54:$C$55,2,0),"")</f>
        <v/>
      </c>
      <c r="O86" s="249"/>
      <c r="P86" s="249"/>
      <c r="Q86" s="249"/>
      <c r="R86" s="249"/>
      <c r="S86" s="216" t="str">
        <f t="shared" si="3"/>
        <v/>
      </c>
      <c r="T86" s="216">
        <f>IF($L86='11 FORMULAS'!$D$51,$C$82-($C$82*$S$82),$C$82)</f>
        <v>0.6</v>
      </c>
      <c r="U86" s="216">
        <f>IF($L86='11 FORMULAS'!$D$53,$D$82-($D$82*$S$82),$D$82)</f>
        <v>1</v>
      </c>
      <c r="V86" s="473"/>
      <c r="W86" s="476"/>
      <c r="X86" s="28"/>
      <c r="Y86" s="214"/>
      <c r="Z86" s="215"/>
      <c r="AA86" s="215"/>
    </row>
    <row r="87" spans="1:27" ht="29.55" customHeight="1" thickBot="1" x14ac:dyDescent="0.35">
      <c r="A87" s="452"/>
      <c r="B87" s="455"/>
      <c r="C87" s="449"/>
      <c r="D87" s="449"/>
      <c r="E87" s="250">
        <v>6</v>
      </c>
      <c r="F87" s="164"/>
      <c r="G87" s="164"/>
      <c r="H87" s="164"/>
      <c r="I87" s="329" t="str">
        <f t="shared" si="2"/>
        <v xml:space="preserve">  </v>
      </c>
      <c r="J87" s="330"/>
      <c r="K87" s="331" t="str">
        <f>+IFERROR(VLOOKUP($J87,'11 FORMULAS'!$B$51:$C$53,2,0),"")</f>
        <v/>
      </c>
      <c r="L87" s="331" t="str">
        <f>+IFERROR(VLOOKUP($J87,'11 FORMULAS'!$B$51:$D$53,3,0),"")</f>
        <v/>
      </c>
      <c r="M87" s="332"/>
      <c r="N87" s="331" t="str">
        <f>+IFERROR(VLOOKUP($M87,'11 FORMULAS'!$B$54:$C$55,2,0),"")</f>
        <v/>
      </c>
      <c r="O87" s="333"/>
      <c r="P87" s="333"/>
      <c r="Q87" s="333"/>
      <c r="R87" s="333"/>
      <c r="S87" s="331" t="str">
        <f t="shared" si="3"/>
        <v/>
      </c>
      <c r="T87" s="216">
        <f>IF($L87='11 FORMULAS'!$D$51,$C$82-($C$82*$S$82),$C$82)</f>
        <v>0.6</v>
      </c>
      <c r="U87" s="331">
        <f>IF($L87='11 FORMULAS'!$D$53,$D$82-($D$82*$S$82),$D$82)</f>
        <v>1</v>
      </c>
      <c r="V87" s="474"/>
      <c r="W87" s="477"/>
      <c r="X87" s="28"/>
    </row>
    <row r="88" spans="1:27" ht="69" x14ac:dyDescent="0.3">
      <c r="A88" s="450" t="str">
        <f>'2 IDENTIFICACIÓN'!A23</f>
        <v>R14</v>
      </c>
      <c r="B88" s="453" t="str">
        <f>+'2 IDENTIFICACIÓN'!J23</f>
        <v>Posibilidad  de efecto dañoso sobre el recurso público por Pago de sanciones impuestas por la Contraloría General de la República,  debido a  reporte extemporáneo de la información de obras inconclusas a través de la plataforma SIRECI por parte de la Secretaría de Infraestructura.</v>
      </c>
      <c r="C88" s="447">
        <f>+'3 PROBABIL E IMPACTO INHERENTE'!E23</f>
        <v>0.4</v>
      </c>
      <c r="D88" s="447">
        <f>+'3 PROBABIL E IMPACTO INHERENTE'!M23</f>
        <v>1</v>
      </c>
      <c r="E88" s="324">
        <v>1</v>
      </c>
      <c r="F88" s="35" t="s">
        <v>440</v>
      </c>
      <c r="G88" s="35" t="s">
        <v>441</v>
      </c>
      <c r="H88" s="35" t="s">
        <v>442</v>
      </c>
      <c r="I88" s="325" t="str">
        <f t="shared" si="2"/>
        <v>El Ordenador del Gasto y el Profesional asignado, verifican el reporte oportuno de la información de obras inconclusas al área de TICs, mediante seguimiento al cumplimiento del cronograma establecido para su envío, para prevenir reportes extemporáneos en la plataforma SIRECI.</v>
      </c>
      <c r="J88" s="326" t="s">
        <v>133</v>
      </c>
      <c r="K88" s="248">
        <f>+IFERROR(VLOOKUP($J88,'11 FORMULAS'!$B$51:$C$53,2,0),"")</f>
        <v>0.25</v>
      </c>
      <c r="L88" s="248" t="str">
        <f>+IFERROR(VLOOKUP($J88,'11 FORMULAS'!$B$51:$D$53,3,0),"")</f>
        <v>Probabilidad</v>
      </c>
      <c r="M88" s="327" t="s">
        <v>145</v>
      </c>
      <c r="N88" s="248">
        <f>+IFERROR(VLOOKUP($M88,'11 FORMULAS'!$B$54:$C$55,2,0),"")</f>
        <v>0.15</v>
      </c>
      <c r="O88" s="328" t="s">
        <v>135</v>
      </c>
      <c r="P88" s="328" t="s">
        <v>239</v>
      </c>
      <c r="Q88" s="328" t="s">
        <v>137</v>
      </c>
      <c r="R88" s="328" t="s">
        <v>138</v>
      </c>
      <c r="S88" s="248">
        <f t="shared" si="3"/>
        <v>0.4</v>
      </c>
      <c r="T88" s="248">
        <f>IF($L88='11 FORMULAS'!$D$51,$C$88-($C$88*$S$88),$C$88)</f>
        <v>0.24</v>
      </c>
      <c r="U88" s="248">
        <f>IF($L88='11 FORMULAS'!$D$53,$D$88-($D$88*$S$88),$D$88)</f>
        <v>1</v>
      </c>
      <c r="V88" s="472">
        <f>+IF(T93="","",T93)</f>
        <v>0.4</v>
      </c>
      <c r="W88" s="475">
        <f>+IF(U93="","",U93)</f>
        <v>1</v>
      </c>
      <c r="X88" s="28"/>
      <c r="Y88" s="214"/>
      <c r="Z88" s="215"/>
      <c r="AA88" s="215"/>
    </row>
    <row r="89" spans="1:27" ht="29.55" customHeight="1" x14ac:dyDescent="0.3">
      <c r="A89" s="451"/>
      <c r="B89" s="454"/>
      <c r="C89" s="448"/>
      <c r="D89" s="448"/>
      <c r="E89" s="246">
        <v>2</v>
      </c>
      <c r="F89" s="163"/>
      <c r="G89" s="163"/>
      <c r="H89" s="163"/>
      <c r="I89" s="212" t="str">
        <f t="shared" si="2"/>
        <v xml:space="preserve">  </v>
      </c>
      <c r="J89" s="283"/>
      <c r="K89" s="216" t="str">
        <f>+IFERROR(VLOOKUP($J89,'11 FORMULAS'!$B$51:$C$53,2,0),"")</f>
        <v/>
      </c>
      <c r="L89" s="216" t="str">
        <f>+IFERROR(VLOOKUP($J89,'11 FORMULAS'!$B$51:$D$53,3,0),"")</f>
        <v/>
      </c>
      <c r="M89" s="247"/>
      <c r="N89" s="216" t="str">
        <f>+IFERROR(VLOOKUP($M89,'11 FORMULAS'!$B$54:$C$55,2,0),"")</f>
        <v/>
      </c>
      <c r="O89" s="249"/>
      <c r="P89" s="249"/>
      <c r="Q89" s="249"/>
      <c r="R89" s="249"/>
      <c r="S89" s="216" t="str">
        <f t="shared" si="3"/>
        <v/>
      </c>
      <c r="T89" s="216">
        <f>IF($L89='11 FORMULAS'!$D$51,$C$88-($C$88*$S$88),$C$88)</f>
        <v>0.4</v>
      </c>
      <c r="U89" s="216">
        <f>IF($L89='11 FORMULAS'!$D$53,$D$88-($D$88*$S$88),$D$88)</f>
        <v>1</v>
      </c>
      <c r="V89" s="473"/>
      <c r="W89" s="476"/>
      <c r="X89" s="28"/>
      <c r="Y89" s="214"/>
      <c r="Z89" s="215"/>
      <c r="AA89" s="215"/>
    </row>
    <row r="90" spans="1:27" ht="29.55" customHeight="1" x14ac:dyDescent="0.3">
      <c r="A90" s="451"/>
      <c r="B90" s="454"/>
      <c r="C90" s="448"/>
      <c r="D90" s="448"/>
      <c r="E90" s="246">
        <v>3</v>
      </c>
      <c r="F90" s="163"/>
      <c r="G90" s="163"/>
      <c r="H90" s="163"/>
      <c r="I90" s="212" t="str">
        <f t="shared" si="2"/>
        <v xml:space="preserve">  </v>
      </c>
      <c r="J90" s="283"/>
      <c r="K90" s="216" t="str">
        <f>+IFERROR(VLOOKUP($J90,'11 FORMULAS'!$B$51:$C$53,2,0),"")</f>
        <v/>
      </c>
      <c r="L90" s="216" t="str">
        <f>+IFERROR(VLOOKUP($J90,'11 FORMULAS'!$B$51:$D$53,3,0),"")</f>
        <v/>
      </c>
      <c r="M90" s="247"/>
      <c r="N90" s="216" t="str">
        <f>+IFERROR(VLOOKUP($M90,'11 FORMULAS'!$B$54:$C$55,2,0),"")</f>
        <v/>
      </c>
      <c r="O90" s="249"/>
      <c r="P90" s="249"/>
      <c r="Q90" s="249"/>
      <c r="R90" s="249"/>
      <c r="S90" s="216" t="str">
        <f t="shared" si="3"/>
        <v/>
      </c>
      <c r="T90" s="216">
        <f>IF($L90='11 FORMULAS'!$D$51,$C$88-($C$88*$S$88),$C$88)</f>
        <v>0.4</v>
      </c>
      <c r="U90" s="216">
        <f>IF($L90='11 FORMULAS'!$D$53,$D$88-($D$88*$S$88),$D$88)</f>
        <v>1</v>
      </c>
      <c r="V90" s="473"/>
      <c r="W90" s="476"/>
      <c r="X90" s="28"/>
      <c r="Y90" s="214"/>
      <c r="Z90" s="215"/>
      <c r="AA90" s="215"/>
    </row>
    <row r="91" spans="1:27" ht="29.55" customHeight="1" x14ac:dyDescent="0.3">
      <c r="A91" s="451"/>
      <c r="B91" s="454"/>
      <c r="C91" s="448"/>
      <c r="D91" s="448"/>
      <c r="E91" s="246">
        <v>4</v>
      </c>
      <c r="F91" s="163"/>
      <c r="G91" s="163"/>
      <c r="H91" s="163"/>
      <c r="I91" s="212" t="str">
        <f t="shared" si="2"/>
        <v xml:space="preserve">  </v>
      </c>
      <c r="J91" s="283"/>
      <c r="K91" s="216" t="str">
        <f>+IFERROR(VLOOKUP($J91,'11 FORMULAS'!$B$51:$C$53,2,0),"")</f>
        <v/>
      </c>
      <c r="L91" s="216" t="str">
        <f>+IFERROR(VLOOKUP($J91,'11 FORMULAS'!$B$51:$D$53,3,0),"")</f>
        <v/>
      </c>
      <c r="M91" s="247"/>
      <c r="N91" s="216" t="str">
        <f>+IFERROR(VLOOKUP($M91,'11 FORMULAS'!$B$54:$C$55,2,0),"")</f>
        <v/>
      </c>
      <c r="O91" s="249"/>
      <c r="P91" s="249"/>
      <c r="Q91" s="249"/>
      <c r="R91" s="249"/>
      <c r="S91" s="216" t="str">
        <f t="shared" si="3"/>
        <v/>
      </c>
      <c r="T91" s="216">
        <f>IF($L91='11 FORMULAS'!$D$51,$C$88-($C$88*$S$88),$C$88)</f>
        <v>0.4</v>
      </c>
      <c r="U91" s="216">
        <f>IF($L91='11 FORMULAS'!$D$53,$D$88-($D$88*$S$88),$D$88)</f>
        <v>1</v>
      </c>
      <c r="V91" s="473"/>
      <c r="W91" s="476"/>
      <c r="X91" s="28"/>
      <c r="Y91" s="214"/>
      <c r="Z91" s="215"/>
      <c r="AA91" s="215"/>
    </row>
    <row r="92" spans="1:27" ht="29.55" customHeight="1" x14ac:dyDescent="0.3">
      <c r="A92" s="451"/>
      <c r="B92" s="454"/>
      <c r="C92" s="448"/>
      <c r="D92" s="448"/>
      <c r="E92" s="246">
        <v>5</v>
      </c>
      <c r="F92" s="163"/>
      <c r="G92" s="163"/>
      <c r="H92" s="163"/>
      <c r="I92" s="212" t="str">
        <f t="shared" si="2"/>
        <v xml:space="preserve">  </v>
      </c>
      <c r="J92" s="283"/>
      <c r="K92" s="216" t="str">
        <f>+IFERROR(VLOOKUP($J92,'11 FORMULAS'!$B$51:$C$53,2,0),"")</f>
        <v/>
      </c>
      <c r="L92" s="216" t="str">
        <f>+IFERROR(VLOOKUP($J92,'11 FORMULAS'!$B$51:$D$53,3,0),"")</f>
        <v/>
      </c>
      <c r="M92" s="247"/>
      <c r="N92" s="216" t="str">
        <f>+IFERROR(VLOOKUP($M92,'11 FORMULAS'!$B$54:$C$55,2,0),"")</f>
        <v/>
      </c>
      <c r="O92" s="249"/>
      <c r="P92" s="249"/>
      <c r="Q92" s="249"/>
      <c r="R92" s="249"/>
      <c r="S92" s="216" t="str">
        <f t="shared" si="3"/>
        <v/>
      </c>
      <c r="T92" s="216">
        <f>IF($L92='11 FORMULAS'!$D$51,$C$88-($C$88*$S$88),$C$88)</f>
        <v>0.4</v>
      </c>
      <c r="U92" s="216">
        <f>IF($L92='11 FORMULAS'!$D$53,$D$88-($D$88*$S$88),$D$88)</f>
        <v>1</v>
      </c>
      <c r="V92" s="473"/>
      <c r="W92" s="476"/>
      <c r="X92" s="28"/>
      <c r="Y92" s="214"/>
      <c r="Z92" s="215"/>
      <c r="AA92" s="215"/>
    </row>
    <row r="93" spans="1:27" ht="29.55" customHeight="1" thickBot="1" x14ac:dyDescent="0.35">
      <c r="A93" s="452"/>
      <c r="B93" s="455"/>
      <c r="C93" s="449"/>
      <c r="D93" s="449"/>
      <c r="E93" s="250">
        <v>6</v>
      </c>
      <c r="F93" s="164"/>
      <c r="G93" s="164"/>
      <c r="H93" s="164"/>
      <c r="I93" s="329" t="str">
        <f t="shared" si="2"/>
        <v xml:space="preserve">  </v>
      </c>
      <c r="J93" s="330"/>
      <c r="K93" s="331" t="str">
        <f>+IFERROR(VLOOKUP($J93,'11 FORMULAS'!$B$51:$C$53,2,0),"")</f>
        <v/>
      </c>
      <c r="L93" s="331" t="str">
        <f>+IFERROR(VLOOKUP($J93,'11 FORMULAS'!$B$51:$D$53,3,0),"")</f>
        <v/>
      </c>
      <c r="M93" s="332"/>
      <c r="N93" s="331" t="str">
        <f>+IFERROR(VLOOKUP($M93,'11 FORMULAS'!$B$54:$C$55,2,0),"")</f>
        <v/>
      </c>
      <c r="O93" s="333"/>
      <c r="P93" s="333"/>
      <c r="Q93" s="333"/>
      <c r="R93" s="333"/>
      <c r="S93" s="331" t="str">
        <f t="shared" si="3"/>
        <v/>
      </c>
      <c r="T93" s="216">
        <f>IF($L93='11 FORMULAS'!$D$51,$C$88-($C$88*$S$88),$C$88)</f>
        <v>0.4</v>
      </c>
      <c r="U93" s="331">
        <f>IF($L93='11 FORMULAS'!$D$53,$D$88-($D$88*$S$88),$D$88)</f>
        <v>1</v>
      </c>
      <c r="V93" s="474"/>
      <c r="W93" s="477"/>
      <c r="X93" s="28"/>
    </row>
    <row r="94" spans="1:27" ht="69" x14ac:dyDescent="0.3">
      <c r="A94" s="450" t="str">
        <f>'2 IDENTIFICACIÓN'!A24</f>
        <v>R15</v>
      </c>
      <c r="B94" s="453" t="str">
        <f>+'2 IDENTIFICACIÓN'!J24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94" s="447">
        <f>+'3 PROBABIL E IMPACTO INHERENTE'!E24</f>
        <v>0.6</v>
      </c>
      <c r="D94" s="447">
        <f>+'3 PROBABIL E IMPACTO INHERENTE'!M24</f>
        <v>0.6</v>
      </c>
      <c r="E94" s="324">
        <v>1</v>
      </c>
      <c r="F94" s="35" t="s">
        <v>443</v>
      </c>
      <c r="G94" s="35" t="s">
        <v>444</v>
      </c>
      <c r="H94" s="35" t="s">
        <v>445</v>
      </c>
      <c r="I94" s="325" t="str">
        <f t="shared" si="2"/>
        <v>El profesional asignado por el líder del proceso  revisa la información sujeta a publicación, de acuerdo con lo establecido en la Resolución 1519 de 2020 y sus anexos,  y verifica su publicación y actualización en la página web institucional.</v>
      </c>
      <c r="J94" s="326" t="s">
        <v>133</v>
      </c>
      <c r="K94" s="248">
        <f>+IFERROR(VLOOKUP($J94,'11 FORMULAS'!$B$51:$C$53,2,0),"")</f>
        <v>0.25</v>
      </c>
      <c r="L94" s="248" t="str">
        <f>+IFERROR(VLOOKUP($J94,'11 FORMULAS'!$B$51:$D$53,3,0),"")</f>
        <v>Probabilidad</v>
      </c>
      <c r="M94" s="327" t="s">
        <v>145</v>
      </c>
      <c r="N94" s="248">
        <f>+IFERROR(VLOOKUP($M94,'11 FORMULAS'!$B$54:$C$55,2,0),"")</f>
        <v>0.15</v>
      </c>
      <c r="O94" s="328" t="s">
        <v>135</v>
      </c>
      <c r="P94" s="328" t="s">
        <v>241</v>
      </c>
      <c r="Q94" s="328" t="s">
        <v>137</v>
      </c>
      <c r="R94" s="328" t="s">
        <v>138</v>
      </c>
      <c r="S94" s="248">
        <f t="shared" si="3"/>
        <v>0.4</v>
      </c>
      <c r="T94" s="248">
        <f>IF($L94='11 FORMULAS'!$D$51,$C$94-($C$94*$S$94),$C$94)</f>
        <v>0.36</v>
      </c>
      <c r="U94" s="248">
        <f>IF($L94='11 FORMULAS'!$D$53,$D$94-($D$94*$S$94),$D$94)</f>
        <v>0.6</v>
      </c>
      <c r="V94" s="472">
        <f>+IF(T99="","",T99)</f>
        <v>0.6</v>
      </c>
      <c r="W94" s="475">
        <f>+IF(U99="","",U99)</f>
        <v>0.6</v>
      </c>
      <c r="X94" s="28"/>
      <c r="Y94" s="214"/>
      <c r="Z94" s="215"/>
      <c r="AA94" s="215"/>
    </row>
    <row r="95" spans="1:27" ht="29.55" customHeight="1" x14ac:dyDescent="0.3">
      <c r="A95" s="451"/>
      <c r="B95" s="454"/>
      <c r="C95" s="448"/>
      <c r="D95" s="448"/>
      <c r="E95" s="246">
        <v>2</v>
      </c>
      <c r="F95" s="163"/>
      <c r="G95" s="163"/>
      <c r="H95" s="163"/>
      <c r="I95" s="212" t="str">
        <f t="shared" si="2"/>
        <v xml:space="preserve">  </v>
      </c>
      <c r="J95" s="283"/>
      <c r="K95" s="216" t="str">
        <f>+IFERROR(VLOOKUP($J95,'11 FORMULAS'!$B$51:$C$53,2,0),"")</f>
        <v/>
      </c>
      <c r="L95" s="216" t="str">
        <f>+IFERROR(VLOOKUP($J95,'11 FORMULAS'!$B$51:$D$53,3,0),"")</f>
        <v/>
      </c>
      <c r="M95" s="247"/>
      <c r="N95" s="216" t="str">
        <f>+IFERROR(VLOOKUP($M95,'11 FORMULAS'!$B$54:$C$55,2,0),"")</f>
        <v/>
      </c>
      <c r="O95" s="249"/>
      <c r="P95" s="249"/>
      <c r="Q95" s="249"/>
      <c r="R95" s="249"/>
      <c r="S95" s="216" t="str">
        <f t="shared" si="3"/>
        <v/>
      </c>
      <c r="T95" s="216">
        <f>IF($L95='11 FORMULAS'!$D$51,$C$94-($C$94*$S$94),$C$94)</f>
        <v>0.6</v>
      </c>
      <c r="U95" s="216">
        <f>IF($L95='11 FORMULAS'!$D$53,$D$94-($D$94*$S$94),$D$94)</f>
        <v>0.6</v>
      </c>
      <c r="V95" s="473"/>
      <c r="W95" s="476"/>
      <c r="X95" s="28"/>
      <c r="Y95" s="214"/>
      <c r="Z95" s="215"/>
      <c r="AA95" s="215"/>
    </row>
    <row r="96" spans="1:27" ht="29.55" customHeight="1" x14ac:dyDescent="0.3">
      <c r="A96" s="451"/>
      <c r="B96" s="454"/>
      <c r="C96" s="448"/>
      <c r="D96" s="448"/>
      <c r="E96" s="246">
        <v>3</v>
      </c>
      <c r="F96" s="163"/>
      <c r="G96" s="163"/>
      <c r="H96" s="163"/>
      <c r="I96" s="212" t="str">
        <f t="shared" si="2"/>
        <v xml:space="preserve">  </v>
      </c>
      <c r="J96" s="283"/>
      <c r="K96" s="216" t="str">
        <f>+IFERROR(VLOOKUP($J96,'11 FORMULAS'!$B$51:$C$53,2,0),"")</f>
        <v/>
      </c>
      <c r="L96" s="216" t="str">
        <f>+IFERROR(VLOOKUP($J96,'11 FORMULAS'!$B$51:$D$53,3,0),"")</f>
        <v/>
      </c>
      <c r="M96" s="247"/>
      <c r="N96" s="216" t="str">
        <f>+IFERROR(VLOOKUP($M96,'11 FORMULAS'!$B$54:$C$55,2,0),"")</f>
        <v/>
      </c>
      <c r="O96" s="249"/>
      <c r="P96" s="249"/>
      <c r="Q96" s="249"/>
      <c r="R96" s="249"/>
      <c r="S96" s="216" t="str">
        <f t="shared" si="3"/>
        <v/>
      </c>
      <c r="T96" s="216">
        <f>IF($L96='11 FORMULAS'!$D$51,$C$94-($C$94*$S$94),$C$94)</f>
        <v>0.6</v>
      </c>
      <c r="U96" s="216">
        <f>IF($L96='11 FORMULAS'!$D$53,$D$94-($D$94*$S$94),$D$94)</f>
        <v>0.6</v>
      </c>
      <c r="V96" s="473"/>
      <c r="W96" s="476"/>
      <c r="X96" s="28"/>
      <c r="Y96" s="214"/>
      <c r="Z96" s="215"/>
      <c r="AA96" s="215"/>
    </row>
    <row r="97" spans="1:27" ht="29.55" customHeight="1" x14ac:dyDescent="0.3">
      <c r="A97" s="451"/>
      <c r="B97" s="454"/>
      <c r="C97" s="448"/>
      <c r="D97" s="448"/>
      <c r="E97" s="246">
        <v>4</v>
      </c>
      <c r="F97" s="163"/>
      <c r="G97" s="163"/>
      <c r="H97" s="163"/>
      <c r="I97" s="212" t="str">
        <f t="shared" si="2"/>
        <v xml:space="preserve">  </v>
      </c>
      <c r="J97" s="283"/>
      <c r="K97" s="216" t="str">
        <f>+IFERROR(VLOOKUP($J97,'11 FORMULAS'!$B$51:$C$53,2,0),"")</f>
        <v/>
      </c>
      <c r="L97" s="216" t="str">
        <f>+IFERROR(VLOOKUP($J97,'11 FORMULAS'!$B$51:$D$53,3,0),"")</f>
        <v/>
      </c>
      <c r="M97" s="247"/>
      <c r="N97" s="216" t="str">
        <f>+IFERROR(VLOOKUP($M97,'11 FORMULAS'!$B$54:$C$55,2,0),"")</f>
        <v/>
      </c>
      <c r="O97" s="249"/>
      <c r="P97" s="249"/>
      <c r="Q97" s="249"/>
      <c r="R97" s="249"/>
      <c r="S97" s="216" t="str">
        <f t="shared" si="3"/>
        <v/>
      </c>
      <c r="T97" s="216">
        <f>IF($L97='11 FORMULAS'!$D$51,$C$94-($C$94*$S$94),$C$94)</f>
        <v>0.6</v>
      </c>
      <c r="U97" s="216">
        <f>IF($L97='11 FORMULAS'!$D$53,$D$94-($D$94*$S$94),$D$94)</f>
        <v>0.6</v>
      </c>
      <c r="V97" s="473"/>
      <c r="W97" s="476"/>
      <c r="X97" s="28"/>
      <c r="Y97" s="214"/>
      <c r="Z97" s="215"/>
      <c r="AA97" s="215"/>
    </row>
    <row r="98" spans="1:27" ht="29.55" customHeight="1" x14ac:dyDescent="0.3">
      <c r="A98" s="451"/>
      <c r="B98" s="454"/>
      <c r="C98" s="448"/>
      <c r="D98" s="448"/>
      <c r="E98" s="246">
        <v>5</v>
      </c>
      <c r="F98" s="163"/>
      <c r="G98" s="163"/>
      <c r="H98" s="163"/>
      <c r="I98" s="212" t="str">
        <f t="shared" si="2"/>
        <v xml:space="preserve">  </v>
      </c>
      <c r="J98" s="283"/>
      <c r="K98" s="216" t="str">
        <f>+IFERROR(VLOOKUP($J98,'11 FORMULAS'!$B$51:$C$53,2,0),"")</f>
        <v/>
      </c>
      <c r="L98" s="216" t="str">
        <f>+IFERROR(VLOOKUP($J98,'11 FORMULAS'!$B$51:$D$53,3,0),"")</f>
        <v/>
      </c>
      <c r="M98" s="247"/>
      <c r="N98" s="216" t="str">
        <f>+IFERROR(VLOOKUP($M98,'11 FORMULAS'!$B$54:$C$55,2,0),"")</f>
        <v/>
      </c>
      <c r="O98" s="249"/>
      <c r="P98" s="249"/>
      <c r="Q98" s="249"/>
      <c r="R98" s="249"/>
      <c r="S98" s="216" t="str">
        <f t="shared" si="3"/>
        <v/>
      </c>
      <c r="T98" s="216">
        <f>IF($L98='11 FORMULAS'!$D$51,$C$94-($C$94*$S$94),$C$94)</f>
        <v>0.6</v>
      </c>
      <c r="U98" s="216">
        <f>IF($L98='11 FORMULAS'!$D$53,$D$94-($D$94*$S$94),$D$94)</f>
        <v>0.6</v>
      </c>
      <c r="V98" s="473"/>
      <c r="W98" s="476"/>
      <c r="X98" s="28"/>
      <c r="Y98" s="214"/>
      <c r="Z98" s="215"/>
      <c r="AA98" s="215"/>
    </row>
    <row r="99" spans="1:27" ht="29.55" customHeight="1" thickBot="1" x14ac:dyDescent="0.35">
      <c r="A99" s="452"/>
      <c r="B99" s="455"/>
      <c r="C99" s="449"/>
      <c r="D99" s="449"/>
      <c r="E99" s="250">
        <v>6</v>
      </c>
      <c r="F99" s="164"/>
      <c r="G99" s="164"/>
      <c r="H99" s="164"/>
      <c r="I99" s="329" t="str">
        <f t="shared" si="2"/>
        <v xml:space="preserve">  </v>
      </c>
      <c r="J99" s="330"/>
      <c r="K99" s="331" t="str">
        <f>+IFERROR(VLOOKUP($J99,'11 FORMULAS'!$B$51:$C$53,2,0),"")</f>
        <v/>
      </c>
      <c r="L99" s="331" t="str">
        <f>+IFERROR(VLOOKUP($J99,'11 FORMULAS'!$B$51:$D$53,3,0),"")</f>
        <v/>
      </c>
      <c r="M99" s="332"/>
      <c r="N99" s="331" t="str">
        <f>+IFERROR(VLOOKUP($M99,'11 FORMULAS'!$B$54:$C$55,2,0),"")</f>
        <v/>
      </c>
      <c r="O99" s="333"/>
      <c r="P99" s="333"/>
      <c r="Q99" s="333"/>
      <c r="R99" s="333"/>
      <c r="S99" s="331" t="str">
        <f t="shared" si="3"/>
        <v/>
      </c>
      <c r="T99" s="216">
        <f>IF($L99='11 FORMULAS'!$D$51,$C$94-($C$94*$S$94),$C$94)</f>
        <v>0.6</v>
      </c>
      <c r="U99" s="216">
        <f>IF($L99='11 FORMULAS'!$D$53,$D$94-($D$94*$S$94),$D$94)</f>
        <v>0.6</v>
      </c>
      <c r="V99" s="474"/>
      <c r="W99" s="477"/>
      <c r="X99" s="28"/>
    </row>
    <row r="100" spans="1:27" ht="96.6" x14ac:dyDescent="0.3">
      <c r="A100" s="450" t="str">
        <f>'2 IDENTIFICACIÓN'!A25</f>
        <v>R16</v>
      </c>
      <c r="B100" s="453" t="str">
        <f>+'2 IDENTIFICACIÓN'!J25</f>
        <v>Posibilidad  de efecto dañoso sobre el recurso público por or pago de sanción e intereses moratorios, debido a  trámite inoportuno a los requerimientos de los entes de control y vigilancia, de acuerdo con sus lineamientos y términos de ley.</v>
      </c>
      <c r="C100" s="447">
        <f>+'3 PROBABIL E IMPACTO INHERENTE'!E25</f>
        <v>0.6</v>
      </c>
      <c r="D100" s="447">
        <f>+'3 PROBABIL E IMPACTO INHERENTE'!M25</f>
        <v>0.4</v>
      </c>
      <c r="E100" s="324">
        <v>1</v>
      </c>
      <c r="F100" s="35" t="s">
        <v>446</v>
      </c>
      <c r="G100" s="35" t="s">
        <v>545</v>
      </c>
      <c r="H100" s="35" t="s">
        <v>546</v>
      </c>
      <c r="I100" s="325" t="str">
        <f t="shared" si="2"/>
        <v>La persona encargada verifica el cumplimiento de los términos establecidos para la atención de los requerimientos de los entes de control y vigilancia asignados a la Secretaría de Infraestructura a través del seguimiento y validación de las fechas de vencimiento y respuesta registradas en los mecanismos institucionales de control y seguimiento, identificando alertas frente a posibles incumplimientos</v>
      </c>
      <c r="J100" s="326" t="s">
        <v>133</v>
      </c>
      <c r="K100" s="248">
        <f>+IFERROR(VLOOKUP($J100,'11 FORMULAS'!$B$51:$C$53,2,0),"")</f>
        <v>0.25</v>
      </c>
      <c r="L100" s="248" t="str">
        <f>+IFERROR(VLOOKUP($J100,'11 FORMULAS'!$B$51:$D$53,3,0),"")</f>
        <v>Probabilidad</v>
      </c>
      <c r="M100" s="327" t="s">
        <v>145</v>
      </c>
      <c r="N100" s="248">
        <f>+IFERROR(VLOOKUP($M100,'11 FORMULAS'!$B$54:$C$55,2,0),"")</f>
        <v>0.15</v>
      </c>
      <c r="O100" s="328" t="s">
        <v>135</v>
      </c>
      <c r="P100" s="328" t="s">
        <v>241</v>
      </c>
      <c r="Q100" s="328" t="s">
        <v>137</v>
      </c>
      <c r="R100" s="328" t="s">
        <v>138</v>
      </c>
      <c r="S100" s="248">
        <f t="shared" si="3"/>
        <v>0.4</v>
      </c>
      <c r="T100" s="248">
        <f>IF($L100='11 FORMULAS'!$D$51,$C$100-($C$100*$S$100),$C$100)</f>
        <v>0.36</v>
      </c>
      <c r="U100" s="248">
        <f>IF($L100='11 FORMULAS'!$D$53,$D$100-($D$100*$S$100),$D$100)</f>
        <v>0.4</v>
      </c>
      <c r="V100" s="472">
        <f>+IF(T105="","",T105)</f>
        <v>0.6</v>
      </c>
      <c r="W100" s="475">
        <f>+IF(U105="","",U105)</f>
        <v>0.4</v>
      </c>
      <c r="X100" s="28"/>
      <c r="Y100" s="214"/>
      <c r="Z100" s="215"/>
      <c r="AA100" s="215"/>
    </row>
    <row r="101" spans="1:27" ht="29.55" customHeight="1" x14ac:dyDescent="0.3">
      <c r="A101" s="451"/>
      <c r="B101" s="454"/>
      <c r="C101" s="448"/>
      <c r="D101" s="448"/>
      <c r="E101" s="246">
        <v>2</v>
      </c>
      <c r="F101" s="163"/>
      <c r="G101" s="163"/>
      <c r="H101" s="163"/>
      <c r="I101" s="212" t="str">
        <f t="shared" si="2"/>
        <v xml:space="preserve">  </v>
      </c>
      <c r="J101" s="283"/>
      <c r="K101" s="216" t="str">
        <f>+IFERROR(VLOOKUP($J101,'11 FORMULAS'!$B$51:$C$53,2,0),"")</f>
        <v/>
      </c>
      <c r="L101" s="216" t="str">
        <f>+IFERROR(VLOOKUP($J101,'11 FORMULAS'!$B$51:$D$53,3,0),"")</f>
        <v/>
      </c>
      <c r="M101" s="247"/>
      <c r="N101" s="216" t="str">
        <f>+IFERROR(VLOOKUP($M101,'11 FORMULAS'!$B$54:$C$55,2,0),"")</f>
        <v/>
      </c>
      <c r="O101" s="249"/>
      <c r="P101" s="249"/>
      <c r="Q101" s="249"/>
      <c r="R101" s="249"/>
      <c r="S101" s="216" t="str">
        <f t="shared" si="3"/>
        <v/>
      </c>
      <c r="T101" s="216">
        <f>IF($L101='11 FORMULAS'!$D$51,$C$100-($C$100*$S$100),$C$100)</f>
        <v>0.6</v>
      </c>
      <c r="U101" s="216">
        <f>IF($L101='11 FORMULAS'!$D$53,$D$100-($D$100*$S$100),$D$100)</f>
        <v>0.4</v>
      </c>
      <c r="V101" s="473"/>
      <c r="W101" s="476"/>
      <c r="X101" s="28"/>
      <c r="Y101" s="214"/>
      <c r="Z101" s="215"/>
      <c r="AA101" s="215"/>
    </row>
    <row r="102" spans="1:27" ht="29.55" customHeight="1" x14ac:dyDescent="0.3">
      <c r="A102" s="451"/>
      <c r="B102" s="454"/>
      <c r="C102" s="448"/>
      <c r="D102" s="448"/>
      <c r="E102" s="246">
        <v>3</v>
      </c>
      <c r="F102" s="163"/>
      <c r="G102" s="163"/>
      <c r="H102" s="163"/>
      <c r="I102" s="212" t="str">
        <f t="shared" si="2"/>
        <v xml:space="preserve">  </v>
      </c>
      <c r="J102" s="283"/>
      <c r="K102" s="216" t="str">
        <f>+IFERROR(VLOOKUP($J102,'11 FORMULAS'!$B$51:$C$53,2,0),"")</f>
        <v/>
      </c>
      <c r="L102" s="216" t="str">
        <f>+IFERROR(VLOOKUP($J102,'11 FORMULAS'!$B$51:$D$53,3,0),"")</f>
        <v/>
      </c>
      <c r="M102" s="247"/>
      <c r="N102" s="216" t="str">
        <f>+IFERROR(VLOOKUP($M102,'11 FORMULAS'!$B$54:$C$55,2,0),"")</f>
        <v/>
      </c>
      <c r="O102" s="249"/>
      <c r="P102" s="249"/>
      <c r="Q102" s="249"/>
      <c r="R102" s="249"/>
      <c r="S102" s="216" t="str">
        <f t="shared" si="3"/>
        <v/>
      </c>
      <c r="T102" s="216">
        <f>IF($L102='11 FORMULAS'!$D$51,$C$100-($C$100*$S$100),$C$100)</f>
        <v>0.6</v>
      </c>
      <c r="U102" s="216">
        <f>IF($L102='11 FORMULAS'!$D$53,$D$100-($D$100*$S$100),$D$100)</f>
        <v>0.4</v>
      </c>
      <c r="V102" s="473"/>
      <c r="W102" s="476"/>
      <c r="X102" s="28"/>
      <c r="Y102" s="214"/>
      <c r="Z102" s="215"/>
      <c r="AA102" s="215"/>
    </row>
    <row r="103" spans="1:27" ht="29.55" customHeight="1" x14ac:dyDescent="0.3">
      <c r="A103" s="451"/>
      <c r="B103" s="454"/>
      <c r="C103" s="448"/>
      <c r="D103" s="448"/>
      <c r="E103" s="246">
        <v>4</v>
      </c>
      <c r="F103" s="163"/>
      <c r="G103" s="163"/>
      <c r="H103" s="163"/>
      <c r="I103" s="212" t="str">
        <f t="shared" si="2"/>
        <v xml:space="preserve">  </v>
      </c>
      <c r="J103" s="283"/>
      <c r="K103" s="216" t="str">
        <f>+IFERROR(VLOOKUP($J103,'11 FORMULAS'!$B$51:$C$53,2,0),"")</f>
        <v/>
      </c>
      <c r="L103" s="216" t="str">
        <f>+IFERROR(VLOOKUP($J103,'11 FORMULAS'!$B$51:$D$53,3,0),"")</f>
        <v/>
      </c>
      <c r="M103" s="247"/>
      <c r="N103" s="216" t="str">
        <f>+IFERROR(VLOOKUP($M103,'11 FORMULAS'!$B$54:$C$55,2,0),"")</f>
        <v/>
      </c>
      <c r="O103" s="249"/>
      <c r="P103" s="249"/>
      <c r="Q103" s="249"/>
      <c r="R103" s="249"/>
      <c r="S103" s="216" t="str">
        <f t="shared" si="3"/>
        <v/>
      </c>
      <c r="T103" s="216">
        <f>IF($L103='11 FORMULAS'!$D$51,$C$100-($C$100*$S$100),$C$100)</f>
        <v>0.6</v>
      </c>
      <c r="U103" s="216">
        <f>IF($L103='11 FORMULAS'!$D$53,$D$100-($D$100*$S$100),$D$100)</f>
        <v>0.4</v>
      </c>
      <c r="V103" s="473"/>
      <c r="W103" s="476"/>
      <c r="X103" s="28"/>
      <c r="Y103" s="214"/>
      <c r="Z103" s="215"/>
      <c r="AA103" s="215"/>
    </row>
    <row r="104" spans="1:27" ht="29.55" customHeight="1" x14ac:dyDescent="0.3">
      <c r="A104" s="451"/>
      <c r="B104" s="454"/>
      <c r="C104" s="448"/>
      <c r="D104" s="448"/>
      <c r="E104" s="246">
        <v>5</v>
      </c>
      <c r="F104" s="163"/>
      <c r="G104" s="163"/>
      <c r="H104" s="163"/>
      <c r="I104" s="212" t="str">
        <f t="shared" si="2"/>
        <v xml:space="preserve">  </v>
      </c>
      <c r="J104" s="283"/>
      <c r="K104" s="216" t="str">
        <f>+IFERROR(VLOOKUP($J104,'11 FORMULAS'!$B$51:$C$53,2,0),"")</f>
        <v/>
      </c>
      <c r="L104" s="216" t="str">
        <f>+IFERROR(VLOOKUP($J104,'11 FORMULAS'!$B$51:$D$53,3,0),"")</f>
        <v/>
      </c>
      <c r="M104" s="247"/>
      <c r="N104" s="216" t="str">
        <f>+IFERROR(VLOOKUP($M104,'11 FORMULAS'!$B$54:$C$55,2,0),"")</f>
        <v/>
      </c>
      <c r="O104" s="249"/>
      <c r="P104" s="249"/>
      <c r="Q104" s="249"/>
      <c r="R104" s="249"/>
      <c r="S104" s="216" t="str">
        <f t="shared" si="3"/>
        <v/>
      </c>
      <c r="T104" s="216">
        <f>IF($L104='11 FORMULAS'!$D$51,$C$100-($C$100*$S$100),$C$100)</f>
        <v>0.6</v>
      </c>
      <c r="U104" s="216">
        <f>IF($L104='11 FORMULAS'!$D$53,$D$100-($D$100*$S$100),$D$100)</f>
        <v>0.4</v>
      </c>
      <c r="V104" s="473"/>
      <c r="W104" s="476"/>
      <c r="X104" s="28"/>
      <c r="Y104" s="214"/>
      <c r="Z104" s="215"/>
      <c r="AA104" s="215"/>
    </row>
    <row r="105" spans="1:27" ht="29.55" customHeight="1" thickBot="1" x14ac:dyDescent="0.35">
      <c r="A105" s="452"/>
      <c r="B105" s="455"/>
      <c r="C105" s="449"/>
      <c r="D105" s="449"/>
      <c r="E105" s="250">
        <v>6</v>
      </c>
      <c r="F105" s="164"/>
      <c r="G105" s="164"/>
      <c r="H105" s="164"/>
      <c r="I105" s="329" t="str">
        <f t="shared" si="2"/>
        <v xml:space="preserve">  </v>
      </c>
      <c r="J105" s="330"/>
      <c r="K105" s="331" t="str">
        <f>+IFERROR(VLOOKUP($J105,'11 FORMULAS'!$B$51:$C$53,2,0),"")</f>
        <v/>
      </c>
      <c r="L105" s="331" t="str">
        <f>+IFERROR(VLOOKUP($J105,'11 FORMULAS'!$B$51:$D$53,3,0),"")</f>
        <v/>
      </c>
      <c r="M105" s="332"/>
      <c r="N105" s="331" t="str">
        <f>+IFERROR(VLOOKUP($M105,'11 FORMULAS'!$B$54:$C$55,2,0),"")</f>
        <v/>
      </c>
      <c r="O105" s="333"/>
      <c r="P105" s="333"/>
      <c r="Q105" s="333"/>
      <c r="R105" s="333"/>
      <c r="S105" s="331" t="str">
        <f t="shared" si="3"/>
        <v/>
      </c>
      <c r="T105" s="216">
        <f>IF($L105='11 FORMULAS'!$D$51,$C$100-($C$100*$S$100),$C$100)</f>
        <v>0.6</v>
      </c>
      <c r="U105" s="216">
        <f>IF($L105='11 FORMULAS'!$D$53,$D$100-($D$100*$S$100),$D$100)</f>
        <v>0.4</v>
      </c>
      <c r="V105" s="474"/>
      <c r="W105" s="477"/>
      <c r="X105" s="28"/>
    </row>
    <row r="106" spans="1:27" ht="82.8" x14ac:dyDescent="0.3">
      <c r="A106" s="450" t="str">
        <f>'2 IDENTIFICACIÓN'!A26</f>
        <v>R17</v>
      </c>
      <c r="B106" s="453" t="str">
        <f>+'2 IDENTIFICACIÓN'!J26</f>
        <v>Posibilidad  de efecto dañoso sobre bienes de uso fiscal por por pérdida, extravío, hurto o faltantes en inventario de bienes muebles de la entidad,  debido a deficiencias en la actualización, verificación y control del inventario de bienes muebles.</v>
      </c>
      <c r="C106" s="447">
        <f>+'3 PROBABIL E IMPACTO INHERENTE'!E26</f>
        <v>0.6</v>
      </c>
      <c r="D106" s="447">
        <f>+'3 PROBABIL E IMPACTO INHERENTE'!M26</f>
        <v>1</v>
      </c>
      <c r="E106" s="324">
        <v>1</v>
      </c>
      <c r="F106" s="35" t="s">
        <v>447</v>
      </c>
      <c r="G106" s="35" t="s">
        <v>448</v>
      </c>
      <c r="H106" s="35" t="s">
        <v>449</v>
      </c>
      <c r="I106" s="325" t="str">
        <f t="shared" si="2"/>
        <v xml:space="preserve">Los profesionales encargados de la secretaría de infraestructura y del área de alumbrado público  ejercerán el control periódico para verificar que los datos registrados en el sistema de inventarios coincida con los inventarios físicos,  teniendo en cuenta la información documentada establecida por el proceso de Gestión de Almacén e Inventarios. </v>
      </c>
      <c r="J106" s="326" t="s">
        <v>133</v>
      </c>
      <c r="K106" s="248">
        <f>+IFERROR(VLOOKUP($J106,'11 FORMULAS'!$B$51:$C$53,2,0),"")</f>
        <v>0.25</v>
      </c>
      <c r="L106" s="248" t="str">
        <f>+IFERROR(VLOOKUP($J106,'11 FORMULAS'!$B$51:$D$53,3,0),"")</f>
        <v>Probabilidad</v>
      </c>
      <c r="M106" s="327" t="s">
        <v>145</v>
      </c>
      <c r="N106" s="248">
        <f>+IFERROR(VLOOKUP($M106,'11 FORMULAS'!$B$54:$C$55,2,0),"")</f>
        <v>0.15</v>
      </c>
      <c r="O106" s="328" t="s">
        <v>135</v>
      </c>
      <c r="P106" s="328" t="s">
        <v>242</v>
      </c>
      <c r="Q106" s="328" t="s">
        <v>137</v>
      </c>
      <c r="R106" s="328" t="s">
        <v>138</v>
      </c>
      <c r="S106" s="248">
        <f t="shared" si="3"/>
        <v>0.4</v>
      </c>
      <c r="T106" s="248">
        <f>IF($L106='11 FORMULAS'!$D$51,$C$106-($C$106*$S$106),$C$106)</f>
        <v>0.36</v>
      </c>
      <c r="U106" s="248">
        <f>IF($L106='11 FORMULAS'!$D$53,$D$106-($D$106*$S$106),$D$106)</f>
        <v>1</v>
      </c>
      <c r="V106" s="472">
        <f>+IF(T111="","",T111)</f>
        <v>0.6</v>
      </c>
      <c r="W106" s="475">
        <f>+IF(U111="","",U111)</f>
        <v>1</v>
      </c>
      <c r="X106" s="28"/>
      <c r="Y106" s="214"/>
      <c r="Z106" s="215"/>
      <c r="AA106" s="215"/>
    </row>
    <row r="107" spans="1:27" ht="29.55" customHeight="1" x14ac:dyDescent="0.3">
      <c r="A107" s="451"/>
      <c r="B107" s="454"/>
      <c r="C107" s="448"/>
      <c r="D107" s="448"/>
      <c r="E107" s="246">
        <v>2</v>
      </c>
      <c r="F107" s="163"/>
      <c r="G107" s="163"/>
      <c r="H107" s="163"/>
      <c r="I107" s="212" t="str">
        <f t="shared" si="2"/>
        <v xml:space="preserve">  </v>
      </c>
      <c r="J107" s="283"/>
      <c r="K107" s="216" t="str">
        <f>+IFERROR(VLOOKUP($J107,'11 FORMULAS'!$B$51:$C$53,2,0),"")</f>
        <v/>
      </c>
      <c r="L107" s="216" t="str">
        <f>+IFERROR(VLOOKUP($J107,'11 FORMULAS'!$B$51:$D$53,3,0),"")</f>
        <v/>
      </c>
      <c r="M107" s="247"/>
      <c r="N107" s="216" t="str">
        <f>+IFERROR(VLOOKUP($M107,'11 FORMULAS'!$B$54:$C$55,2,0),"")</f>
        <v/>
      </c>
      <c r="O107" s="249"/>
      <c r="P107" s="249"/>
      <c r="Q107" s="249"/>
      <c r="R107" s="249"/>
      <c r="S107" s="216" t="str">
        <f t="shared" si="3"/>
        <v/>
      </c>
      <c r="T107" s="216">
        <f>IF($L107='11 FORMULAS'!$D$51,$C$106-($C$106*$S$106),$C$106)</f>
        <v>0.6</v>
      </c>
      <c r="U107" s="216">
        <f>IF($L107='11 FORMULAS'!$D$53,$D$106-($D$106*$S$106),$D$106)</f>
        <v>1</v>
      </c>
      <c r="V107" s="473"/>
      <c r="W107" s="476"/>
      <c r="X107" s="28"/>
      <c r="Y107" s="214"/>
      <c r="Z107" s="215"/>
      <c r="AA107" s="215"/>
    </row>
    <row r="108" spans="1:27" ht="29.55" customHeight="1" x14ac:dyDescent="0.3">
      <c r="A108" s="451"/>
      <c r="B108" s="454"/>
      <c r="C108" s="448"/>
      <c r="D108" s="448"/>
      <c r="E108" s="246">
        <v>3</v>
      </c>
      <c r="F108" s="163"/>
      <c r="G108" s="163"/>
      <c r="H108" s="163"/>
      <c r="I108" s="212" t="str">
        <f t="shared" si="2"/>
        <v xml:space="preserve">  </v>
      </c>
      <c r="J108" s="283"/>
      <c r="K108" s="216" t="str">
        <f>+IFERROR(VLOOKUP($J108,'11 FORMULAS'!$B$51:$C$53,2,0),"")</f>
        <v/>
      </c>
      <c r="L108" s="216" t="str">
        <f>+IFERROR(VLOOKUP($J108,'11 FORMULAS'!$B$51:$D$53,3,0),"")</f>
        <v/>
      </c>
      <c r="M108" s="247"/>
      <c r="N108" s="216" t="str">
        <f>+IFERROR(VLOOKUP($M108,'11 FORMULAS'!$B$54:$C$55,2,0),"")</f>
        <v/>
      </c>
      <c r="O108" s="249"/>
      <c r="P108" s="249"/>
      <c r="Q108" s="249"/>
      <c r="R108" s="249"/>
      <c r="S108" s="216" t="str">
        <f t="shared" si="3"/>
        <v/>
      </c>
      <c r="T108" s="216">
        <f>IF($L108='11 FORMULAS'!$D$51,$C$106-($C$106*$S$106),$C$106)</f>
        <v>0.6</v>
      </c>
      <c r="U108" s="216">
        <f>IF($L108='11 FORMULAS'!$D$53,$D$106-($D$106*$S$106),$D$106)</f>
        <v>1</v>
      </c>
      <c r="V108" s="473"/>
      <c r="W108" s="476"/>
      <c r="X108" s="28"/>
      <c r="Y108" s="214"/>
      <c r="Z108" s="215"/>
      <c r="AA108" s="215"/>
    </row>
    <row r="109" spans="1:27" ht="29.55" customHeight="1" x14ac:dyDescent="0.3">
      <c r="A109" s="451"/>
      <c r="B109" s="454"/>
      <c r="C109" s="448"/>
      <c r="D109" s="448"/>
      <c r="E109" s="246">
        <v>4</v>
      </c>
      <c r="F109" s="163"/>
      <c r="G109" s="163"/>
      <c r="H109" s="163"/>
      <c r="I109" s="212" t="str">
        <f t="shared" si="2"/>
        <v xml:space="preserve">  </v>
      </c>
      <c r="J109" s="283"/>
      <c r="K109" s="216" t="str">
        <f>+IFERROR(VLOOKUP($J109,'11 FORMULAS'!$B$51:$C$53,2,0),"")</f>
        <v/>
      </c>
      <c r="L109" s="216" t="str">
        <f>+IFERROR(VLOOKUP($J109,'11 FORMULAS'!$B$51:$D$53,3,0),"")</f>
        <v/>
      </c>
      <c r="M109" s="247"/>
      <c r="N109" s="216" t="str">
        <f>+IFERROR(VLOOKUP($M109,'11 FORMULAS'!$B$54:$C$55,2,0),"")</f>
        <v/>
      </c>
      <c r="O109" s="249"/>
      <c r="P109" s="249"/>
      <c r="Q109" s="249"/>
      <c r="R109" s="249"/>
      <c r="S109" s="216" t="str">
        <f t="shared" si="3"/>
        <v/>
      </c>
      <c r="T109" s="216">
        <f>IF($L109='11 FORMULAS'!$D$51,$C$106-($C$106*$S$106),$C$106)</f>
        <v>0.6</v>
      </c>
      <c r="U109" s="216">
        <f>IF($L109='11 FORMULAS'!$D$53,$D$106-($D$106*$S$106),$D$106)</f>
        <v>1</v>
      </c>
      <c r="V109" s="473"/>
      <c r="W109" s="476"/>
      <c r="X109" s="28"/>
      <c r="Y109" s="214"/>
      <c r="Z109" s="215"/>
      <c r="AA109" s="215"/>
    </row>
    <row r="110" spans="1:27" ht="29.55" customHeight="1" x14ac:dyDescent="0.3">
      <c r="A110" s="451"/>
      <c r="B110" s="454"/>
      <c r="C110" s="448"/>
      <c r="D110" s="448"/>
      <c r="E110" s="246">
        <v>5</v>
      </c>
      <c r="F110" s="163"/>
      <c r="G110" s="163"/>
      <c r="H110" s="163"/>
      <c r="I110" s="212" t="str">
        <f t="shared" si="2"/>
        <v xml:space="preserve">  </v>
      </c>
      <c r="J110" s="283"/>
      <c r="K110" s="216" t="str">
        <f>+IFERROR(VLOOKUP($J110,'11 FORMULAS'!$B$51:$C$53,2,0),"")</f>
        <v/>
      </c>
      <c r="L110" s="216" t="str">
        <f>+IFERROR(VLOOKUP($J110,'11 FORMULAS'!$B$51:$D$53,3,0),"")</f>
        <v/>
      </c>
      <c r="M110" s="247"/>
      <c r="N110" s="216" t="str">
        <f>+IFERROR(VLOOKUP($M110,'11 FORMULAS'!$B$54:$C$55,2,0),"")</f>
        <v/>
      </c>
      <c r="O110" s="249"/>
      <c r="P110" s="249"/>
      <c r="Q110" s="249"/>
      <c r="R110" s="249"/>
      <c r="S110" s="216" t="str">
        <f t="shared" si="3"/>
        <v/>
      </c>
      <c r="T110" s="216">
        <f>IF($L110='11 FORMULAS'!$D$51,$C$106-($C$106*$S$106),$C$106)</f>
        <v>0.6</v>
      </c>
      <c r="U110" s="216">
        <f>IF($L110='11 FORMULAS'!$D$53,$D$106-($D$106*$S$106),$D$106)</f>
        <v>1</v>
      </c>
      <c r="V110" s="473"/>
      <c r="W110" s="476"/>
      <c r="X110" s="28"/>
      <c r="Y110" s="214"/>
      <c r="Z110" s="215"/>
      <c r="AA110" s="215"/>
    </row>
    <row r="111" spans="1:27" ht="29.55" customHeight="1" thickBot="1" x14ac:dyDescent="0.35">
      <c r="A111" s="452"/>
      <c r="B111" s="455"/>
      <c r="C111" s="449"/>
      <c r="D111" s="449"/>
      <c r="E111" s="250">
        <v>6</v>
      </c>
      <c r="F111" s="164"/>
      <c r="G111" s="164"/>
      <c r="H111" s="164"/>
      <c r="I111" s="329" t="str">
        <f t="shared" si="2"/>
        <v xml:space="preserve">  </v>
      </c>
      <c r="J111" s="330"/>
      <c r="K111" s="331" t="str">
        <f>+IFERROR(VLOOKUP($J111,'11 FORMULAS'!$B$51:$C$53,2,0),"")</f>
        <v/>
      </c>
      <c r="L111" s="331" t="str">
        <f>+IFERROR(VLOOKUP($J111,'11 FORMULAS'!$B$51:$D$53,3,0),"")</f>
        <v/>
      </c>
      <c r="M111" s="332"/>
      <c r="N111" s="331" t="str">
        <f>+IFERROR(VLOOKUP($M111,'11 FORMULAS'!$B$54:$C$55,2,0),"")</f>
        <v/>
      </c>
      <c r="O111" s="333"/>
      <c r="P111" s="333"/>
      <c r="Q111" s="333"/>
      <c r="R111" s="333"/>
      <c r="S111" s="331" t="str">
        <f t="shared" si="3"/>
        <v/>
      </c>
      <c r="T111" s="216">
        <f>IF($L111='11 FORMULAS'!$D$51,$C$106-($C$106*$S$106),$C$106)</f>
        <v>0.6</v>
      </c>
      <c r="U111" s="216">
        <f>IF($L111='11 FORMULAS'!$D$53,$D$106-($D$106*$S$106),$D$106)</f>
        <v>1</v>
      </c>
      <c r="V111" s="474"/>
      <c r="W111" s="477"/>
      <c r="X111" s="28"/>
    </row>
    <row r="112" spans="1:27" ht="110.4" x14ac:dyDescent="0.3">
      <c r="A112" s="450" t="str">
        <f>'2 IDENTIFICACIÓN'!A27</f>
        <v>R18</v>
      </c>
      <c r="B112" s="453" t="str">
        <f>+'2 IDENTIFICACIÓN'!J27</f>
        <v xml:space="preserve">Posibilidad  de efecto dañoso sobre el recurso público por  Pago de agencias en derecho y costas procesales, en  primera y segunda instancia, debido a  fallos en contra del ente territorial,  que impone el deber de sufragar estos conceptos  a favor de los actores populares. </v>
      </c>
      <c r="C112" s="447">
        <f>+'3 PROBABIL E IMPACTO INHERENTE'!E27</f>
        <v>0.6</v>
      </c>
      <c r="D112" s="447">
        <f>+'3 PROBABIL E IMPACTO INHERENTE'!M27</f>
        <v>1</v>
      </c>
      <c r="E112" s="324">
        <v>1</v>
      </c>
      <c r="F112" s="35" t="s">
        <v>450</v>
      </c>
      <c r="G112" s="35" t="s">
        <v>451</v>
      </c>
      <c r="H112" s="35" t="s">
        <v>452</v>
      </c>
      <c r="I112" s="325" t="str">
        <f t="shared" si="2"/>
        <v>El apoderado judicial de las acciones populare, deberá cumplir con los trámites relacionados con el cumplimiento de sentencias judiciales, pago de agencias en derecho y costas procesales dentro de las acciones populares,   de acuerdo a lo contemplado en la ley 472 de 1998, artículo 192 del CPACA y al "PROCEDIMIENTO DE PAGO DE SENTENCIAS JUDICIALES, CONCILIACIONES Y LAUDOS ARBITRALES P-GJ-1120-170-002".</v>
      </c>
      <c r="J112" s="326" t="s">
        <v>133</v>
      </c>
      <c r="K112" s="248">
        <f>+IFERROR(VLOOKUP($J112,'11 FORMULAS'!$B$51:$C$53,2,0),"")</f>
        <v>0.25</v>
      </c>
      <c r="L112" s="248" t="str">
        <f>+IFERROR(VLOOKUP($J112,'11 FORMULAS'!$B$51:$D$53,3,0),"")</f>
        <v>Probabilidad</v>
      </c>
      <c r="M112" s="327" t="s">
        <v>145</v>
      </c>
      <c r="N112" s="248">
        <f>+IFERROR(VLOOKUP($M112,'11 FORMULAS'!$B$54:$C$55,2,0),"")</f>
        <v>0.15</v>
      </c>
      <c r="O112" s="328" t="s">
        <v>135</v>
      </c>
      <c r="P112" s="328" t="s">
        <v>242</v>
      </c>
      <c r="Q112" s="328" t="s">
        <v>137</v>
      </c>
      <c r="R112" s="328" t="s">
        <v>138</v>
      </c>
      <c r="S112" s="248">
        <f t="shared" si="3"/>
        <v>0.4</v>
      </c>
      <c r="T112" s="248">
        <f>IF($L112='11 FORMULAS'!$D$51,$C$112-($C$112*$S$112),$C$112)</f>
        <v>0.36</v>
      </c>
      <c r="U112" s="248">
        <f>IF($L112='11 FORMULAS'!$D$53,$D$112-($D$112*$S$112),$D$112)</f>
        <v>1</v>
      </c>
      <c r="V112" s="472">
        <f>+IF(T117="","",T117)</f>
        <v>0.6</v>
      </c>
      <c r="W112" s="475">
        <f>+IF(U117="","",U117)</f>
        <v>1</v>
      </c>
      <c r="X112" s="28"/>
      <c r="Y112" s="214"/>
      <c r="Z112" s="215"/>
      <c r="AA112" s="215"/>
    </row>
    <row r="113" spans="1:27" ht="29.55" customHeight="1" x14ac:dyDescent="0.3">
      <c r="A113" s="451"/>
      <c r="B113" s="454"/>
      <c r="C113" s="448"/>
      <c r="D113" s="448"/>
      <c r="E113" s="246">
        <v>2</v>
      </c>
      <c r="F113" s="163"/>
      <c r="G113" s="163"/>
      <c r="H113" s="163"/>
      <c r="I113" s="212" t="str">
        <f t="shared" si="2"/>
        <v xml:space="preserve">  </v>
      </c>
      <c r="J113" s="283"/>
      <c r="K113" s="216" t="str">
        <f>+IFERROR(VLOOKUP($J113,'11 FORMULAS'!$B$51:$C$53,2,0),"")</f>
        <v/>
      </c>
      <c r="L113" s="216" t="str">
        <f>+IFERROR(VLOOKUP($J113,'11 FORMULAS'!$B$51:$D$53,3,0),"")</f>
        <v/>
      </c>
      <c r="M113" s="247"/>
      <c r="N113" s="216" t="str">
        <f>+IFERROR(VLOOKUP($M113,'11 FORMULAS'!$B$54:$C$55,2,0),"")</f>
        <v/>
      </c>
      <c r="O113" s="249"/>
      <c r="P113" s="249"/>
      <c r="Q113" s="249"/>
      <c r="R113" s="249"/>
      <c r="S113" s="216" t="str">
        <f t="shared" si="3"/>
        <v/>
      </c>
      <c r="T113" s="216">
        <f>IF($L113='11 FORMULAS'!$D$51,$C$112-($C$112*$S$112),$C$112)</f>
        <v>0.6</v>
      </c>
      <c r="U113" s="216">
        <f>IF($L113='11 FORMULAS'!$D$53,$D$112-($D$112*$S$112),$D$112)</f>
        <v>1</v>
      </c>
      <c r="V113" s="473"/>
      <c r="W113" s="476"/>
      <c r="X113" s="28"/>
      <c r="Y113" s="214"/>
      <c r="Z113" s="215"/>
      <c r="AA113" s="215"/>
    </row>
    <row r="114" spans="1:27" ht="29.55" customHeight="1" x14ac:dyDescent="0.3">
      <c r="A114" s="451"/>
      <c r="B114" s="454"/>
      <c r="C114" s="448"/>
      <c r="D114" s="448"/>
      <c r="E114" s="246">
        <v>3</v>
      </c>
      <c r="F114" s="163"/>
      <c r="G114" s="163"/>
      <c r="H114" s="163"/>
      <c r="I114" s="212" t="str">
        <f t="shared" si="2"/>
        <v xml:space="preserve">  </v>
      </c>
      <c r="J114" s="283"/>
      <c r="K114" s="216" t="str">
        <f>+IFERROR(VLOOKUP($J114,'11 FORMULAS'!$B$51:$C$53,2,0),"")</f>
        <v/>
      </c>
      <c r="L114" s="216" t="str">
        <f>+IFERROR(VLOOKUP($J114,'11 FORMULAS'!$B$51:$D$53,3,0),"")</f>
        <v/>
      </c>
      <c r="M114" s="247"/>
      <c r="N114" s="216" t="str">
        <f>+IFERROR(VLOOKUP($M114,'11 FORMULAS'!$B$54:$C$55,2,0),"")</f>
        <v/>
      </c>
      <c r="O114" s="249"/>
      <c r="P114" s="249"/>
      <c r="Q114" s="249"/>
      <c r="R114" s="249"/>
      <c r="S114" s="216" t="str">
        <f t="shared" si="3"/>
        <v/>
      </c>
      <c r="T114" s="216">
        <f>IF($L114='11 FORMULAS'!$D$51,$C$112-($C$112*$S$112),$C$112)</f>
        <v>0.6</v>
      </c>
      <c r="U114" s="216">
        <f>IF($L114='11 FORMULAS'!$D$53,$D$112-($D$112*$S$112),$D$112)</f>
        <v>1</v>
      </c>
      <c r="V114" s="473"/>
      <c r="W114" s="476"/>
      <c r="X114" s="28"/>
      <c r="Y114" s="214"/>
      <c r="Z114" s="215"/>
      <c r="AA114" s="215"/>
    </row>
    <row r="115" spans="1:27" ht="29.55" customHeight="1" x14ac:dyDescent="0.3">
      <c r="A115" s="451"/>
      <c r="B115" s="454"/>
      <c r="C115" s="448"/>
      <c r="D115" s="448"/>
      <c r="E115" s="246">
        <v>4</v>
      </c>
      <c r="F115" s="163"/>
      <c r="G115" s="163"/>
      <c r="H115" s="163"/>
      <c r="I115" s="212" t="str">
        <f t="shared" si="2"/>
        <v xml:space="preserve">  </v>
      </c>
      <c r="J115" s="283"/>
      <c r="K115" s="216" t="str">
        <f>+IFERROR(VLOOKUP($J115,'11 FORMULAS'!$B$51:$C$53,2,0),"")</f>
        <v/>
      </c>
      <c r="L115" s="216" t="str">
        <f>+IFERROR(VLOOKUP($J115,'11 FORMULAS'!$B$51:$D$53,3,0),"")</f>
        <v/>
      </c>
      <c r="M115" s="247"/>
      <c r="N115" s="216" t="str">
        <f>+IFERROR(VLOOKUP($M115,'11 FORMULAS'!$B$54:$C$55,2,0),"")</f>
        <v/>
      </c>
      <c r="O115" s="249"/>
      <c r="P115" s="249"/>
      <c r="Q115" s="249"/>
      <c r="R115" s="249"/>
      <c r="S115" s="216" t="str">
        <f t="shared" si="3"/>
        <v/>
      </c>
      <c r="T115" s="216">
        <f>IF($L115='11 FORMULAS'!$D$51,$C$112-($C$112*$S$112),$C$112)</f>
        <v>0.6</v>
      </c>
      <c r="U115" s="216">
        <f>IF($L115='11 FORMULAS'!$D$53,$D$112-($D$112*$S$112),$D$112)</f>
        <v>1</v>
      </c>
      <c r="V115" s="473"/>
      <c r="W115" s="476"/>
      <c r="X115" s="28"/>
      <c r="Y115" s="214"/>
      <c r="Z115" s="215"/>
      <c r="AA115" s="215"/>
    </row>
    <row r="116" spans="1:27" ht="29.55" customHeight="1" x14ac:dyDescent="0.3">
      <c r="A116" s="451"/>
      <c r="B116" s="454"/>
      <c r="C116" s="448"/>
      <c r="D116" s="448"/>
      <c r="E116" s="246">
        <v>5</v>
      </c>
      <c r="F116" s="163"/>
      <c r="G116" s="163"/>
      <c r="H116" s="163"/>
      <c r="I116" s="212" t="str">
        <f t="shared" si="2"/>
        <v xml:space="preserve">  </v>
      </c>
      <c r="J116" s="283"/>
      <c r="K116" s="216" t="str">
        <f>+IFERROR(VLOOKUP($J116,'11 FORMULAS'!$B$51:$C$53,2,0),"")</f>
        <v/>
      </c>
      <c r="L116" s="216" t="str">
        <f>+IFERROR(VLOOKUP($J116,'11 FORMULAS'!$B$51:$D$53,3,0),"")</f>
        <v/>
      </c>
      <c r="M116" s="247"/>
      <c r="N116" s="216" t="str">
        <f>+IFERROR(VLOOKUP($M116,'11 FORMULAS'!$B$54:$C$55,2,0),"")</f>
        <v/>
      </c>
      <c r="O116" s="249"/>
      <c r="P116" s="249"/>
      <c r="Q116" s="249"/>
      <c r="R116" s="249"/>
      <c r="S116" s="216" t="str">
        <f t="shared" si="3"/>
        <v/>
      </c>
      <c r="T116" s="216">
        <f>IF($L116='11 FORMULAS'!$D$51,$C$112-($C$112*$S$112),$C$112)</f>
        <v>0.6</v>
      </c>
      <c r="U116" s="216">
        <f>IF($L116='11 FORMULAS'!$D$53,$D$112-($D$112*$S$112),$D$112)</f>
        <v>1</v>
      </c>
      <c r="V116" s="473"/>
      <c r="W116" s="476"/>
      <c r="X116" s="28"/>
      <c r="Y116" s="214"/>
      <c r="Z116" s="215"/>
      <c r="AA116" s="215"/>
    </row>
    <row r="117" spans="1:27" ht="29.55" customHeight="1" thickBot="1" x14ac:dyDescent="0.35">
      <c r="A117" s="452"/>
      <c r="B117" s="455"/>
      <c r="C117" s="449"/>
      <c r="D117" s="449"/>
      <c r="E117" s="250">
        <v>6</v>
      </c>
      <c r="F117" s="164"/>
      <c r="G117" s="164"/>
      <c r="H117" s="164"/>
      <c r="I117" s="329" t="str">
        <f t="shared" si="2"/>
        <v xml:space="preserve">  </v>
      </c>
      <c r="J117" s="330"/>
      <c r="K117" s="331" t="str">
        <f>+IFERROR(VLOOKUP($J117,'11 FORMULAS'!$B$51:$C$53,2,0),"")</f>
        <v/>
      </c>
      <c r="L117" s="331" t="str">
        <f>+IFERROR(VLOOKUP($J117,'11 FORMULAS'!$B$51:$D$53,3,0),"")</f>
        <v/>
      </c>
      <c r="M117" s="332"/>
      <c r="N117" s="331" t="str">
        <f>+IFERROR(VLOOKUP($M117,'11 FORMULAS'!$B$54:$C$55,2,0),"")</f>
        <v/>
      </c>
      <c r="O117" s="333"/>
      <c r="P117" s="333"/>
      <c r="Q117" s="333"/>
      <c r="R117" s="333"/>
      <c r="S117" s="331" t="str">
        <f t="shared" si="3"/>
        <v/>
      </c>
      <c r="T117" s="216">
        <f>IF($L117='11 FORMULAS'!$D$51,$C$112-($C$112*$S$112),$C$112)</f>
        <v>0.6</v>
      </c>
      <c r="U117" s="216">
        <f>IF($L117='11 FORMULAS'!$D$53,$D$112-($D$112*$S$112),$D$112)</f>
        <v>1</v>
      </c>
      <c r="V117" s="474"/>
      <c r="W117" s="477"/>
      <c r="X117" s="28"/>
    </row>
    <row r="118" spans="1:27" ht="96.6" x14ac:dyDescent="0.3">
      <c r="A118" s="450" t="str">
        <f>'2 IDENTIFICACIÓN'!A28</f>
        <v>R19</v>
      </c>
      <c r="B118" s="453" t="str">
        <f>+'2 IDENTIFICACIÓN'!J28</f>
        <v>Posibilidad  de efecto dañoso sobre el recurso público por  deficiencias en la planeación, seguimiento y control de los proyectos de infraestructura educativa financiados con recursos de empréstito, generando retrasos en la ejecución y pagos financieros sin avance proporcional de las obras, debido a debilidades en el monitoreo y supervisión contractual.</v>
      </c>
      <c r="C118" s="447">
        <f>+'3 PROBABIL E IMPACTO INHERENTE'!E28</f>
        <v>0.6</v>
      </c>
      <c r="D118" s="447">
        <f>+'3 PROBABIL E IMPACTO INHERENTE'!M28</f>
        <v>1</v>
      </c>
      <c r="E118" s="324">
        <v>1</v>
      </c>
      <c r="F118" s="35" t="s">
        <v>453</v>
      </c>
      <c r="G118" s="35" t="s">
        <v>454</v>
      </c>
      <c r="H118" s="35" t="s">
        <v>455</v>
      </c>
      <c r="I118" s="325" t="str">
        <f t="shared" si="2"/>
        <v>El profesional delegado  verifica periódicamente la ejecución física, financiera y documental de los proyectos de infraestructura educativa financiados con recursos de empréstito, mediante la revisión de informes, actas, cronogramas y soportes contractuales, con el fin de identificar desviaciones y realizar seguimiento oportuno al cumplimiento de las obligaciones pactadas</v>
      </c>
      <c r="J118" s="326" t="s">
        <v>133</v>
      </c>
      <c r="K118" s="248">
        <f>+IFERROR(VLOOKUP($J118,'11 FORMULAS'!$B$51:$C$53,2,0),"")</f>
        <v>0.25</v>
      </c>
      <c r="L118" s="248" t="str">
        <f>+IFERROR(VLOOKUP($J118,'11 FORMULAS'!$B$51:$D$53,3,0),"")</f>
        <v>Probabilidad</v>
      </c>
      <c r="M118" s="327" t="s">
        <v>145</v>
      </c>
      <c r="N118" s="248">
        <f>+IFERROR(VLOOKUP($M118,'11 FORMULAS'!$B$54:$C$55,2,0),"")</f>
        <v>0.15</v>
      </c>
      <c r="O118" s="328" t="s">
        <v>135</v>
      </c>
      <c r="P118" s="328" t="s">
        <v>239</v>
      </c>
      <c r="Q118" s="328" t="s">
        <v>137</v>
      </c>
      <c r="R118" s="328" t="s">
        <v>138</v>
      </c>
      <c r="S118" s="248">
        <f t="shared" si="3"/>
        <v>0.4</v>
      </c>
      <c r="T118" s="248">
        <f>IF($L118='11 FORMULAS'!$D$51,$C$118-($C$118*$S$118),$C$118)</f>
        <v>0.36</v>
      </c>
      <c r="U118" s="248">
        <f>IF($L118='11 FORMULAS'!$D$53,$D$118-($D$118*$S$118),$D$118)</f>
        <v>1</v>
      </c>
      <c r="V118" s="472">
        <f>+IF(T123="","",T123)</f>
        <v>0.6</v>
      </c>
      <c r="W118" s="475">
        <f>+IF(U123="","",U123)</f>
        <v>1</v>
      </c>
      <c r="X118" s="28"/>
      <c r="Y118" s="214"/>
      <c r="Z118" s="215"/>
      <c r="AA118" s="215"/>
    </row>
    <row r="119" spans="1:27" ht="29.55" customHeight="1" x14ac:dyDescent="0.3">
      <c r="A119" s="451"/>
      <c r="B119" s="454"/>
      <c r="C119" s="448"/>
      <c r="D119" s="448"/>
      <c r="E119" s="246">
        <v>2</v>
      </c>
      <c r="F119" s="163"/>
      <c r="G119" s="163"/>
      <c r="H119" s="163"/>
      <c r="I119" s="212" t="str">
        <f t="shared" si="2"/>
        <v xml:space="preserve">  </v>
      </c>
      <c r="J119" s="283"/>
      <c r="K119" s="216" t="str">
        <f>+IFERROR(VLOOKUP($J119,'11 FORMULAS'!$B$51:$C$53,2,0),"")</f>
        <v/>
      </c>
      <c r="L119" s="216" t="str">
        <f>+IFERROR(VLOOKUP($J119,'11 FORMULAS'!$B$51:$D$53,3,0),"")</f>
        <v/>
      </c>
      <c r="M119" s="247"/>
      <c r="N119" s="216" t="str">
        <f>+IFERROR(VLOOKUP($M119,'11 FORMULAS'!$B$54:$C$55,2,0),"")</f>
        <v/>
      </c>
      <c r="O119" s="249"/>
      <c r="P119" s="249"/>
      <c r="Q119" s="249"/>
      <c r="R119" s="249"/>
      <c r="S119" s="216" t="str">
        <f t="shared" si="3"/>
        <v/>
      </c>
      <c r="T119" s="216">
        <f>IF($L119='11 FORMULAS'!$D$51,$C$118-($C$118*$S$118),$C$118)</f>
        <v>0.6</v>
      </c>
      <c r="U119" s="216">
        <f>IF($L119='11 FORMULAS'!$D$53,$D$118-($D$118*$S$118),$D$118)</f>
        <v>1</v>
      </c>
      <c r="V119" s="473"/>
      <c r="W119" s="476"/>
      <c r="X119" s="28"/>
      <c r="Y119" s="214"/>
      <c r="Z119" s="215"/>
      <c r="AA119" s="215"/>
    </row>
    <row r="120" spans="1:27" ht="29.55" customHeight="1" x14ac:dyDescent="0.3">
      <c r="A120" s="451"/>
      <c r="B120" s="454"/>
      <c r="C120" s="448"/>
      <c r="D120" s="448"/>
      <c r="E120" s="246">
        <v>3</v>
      </c>
      <c r="F120" s="163"/>
      <c r="G120" s="163"/>
      <c r="H120" s="163"/>
      <c r="I120" s="212" t="str">
        <f t="shared" si="2"/>
        <v xml:space="preserve">  </v>
      </c>
      <c r="J120" s="283"/>
      <c r="K120" s="216" t="str">
        <f>+IFERROR(VLOOKUP($J120,'11 FORMULAS'!$B$51:$C$53,2,0),"")</f>
        <v/>
      </c>
      <c r="L120" s="216" t="str">
        <f>+IFERROR(VLOOKUP($J120,'11 FORMULAS'!$B$51:$D$53,3,0),"")</f>
        <v/>
      </c>
      <c r="M120" s="247"/>
      <c r="N120" s="216" t="str">
        <f>+IFERROR(VLOOKUP($M120,'11 FORMULAS'!$B$54:$C$55,2,0),"")</f>
        <v/>
      </c>
      <c r="O120" s="249"/>
      <c r="P120" s="249"/>
      <c r="Q120" s="249"/>
      <c r="R120" s="249"/>
      <c r="S120" s="216" t="str">
        <f t="shared" si="3"/>
        <v/>
      </c>
      <c r="T120" s="216">
        <f>IF($L120='11 FORMULAS'!$D$51,$C$118-($C$118*$S$118),$C$118)</f>
        <v>0.6</v>
      </c>
      <c r="U120" s="216">
        <f>IF($L120='11 FORMULAS'!$D$53,$D$118-($D$118*$S$118),$D$118)</f>
        <v>1</v>
      </c>
      <c r="V120" s="473"/>
      <c r="W120" s="476"/>
      <c r="X120" s="28"/>
      <c r="Y120" s="214"/>
      <c r="Z120" s="215"/>
      <c r="AA120" s="215"/>
    </row>
    <row r="121" spans="1:27" ht="29.55" customHeight="1" x14ac:dyDescent="0.3">
      <c r="A121" s="451"/>
      <c r="B121" s="454"/>
      <c r="C121" s="448"/>
      <c r="D121" s="448"/>
      <c r="E121" s="246">
        <v>4</v>
      </c>
      <c r="F121" s="163"/>
      <c r="G121" s="163"/>
      <c r="H121" s="163"/>
      <c r="I121" s="212" t="str">
        <f t="shared" si="2"/>
        <v xml:space="preserve">  </v>
      </c>
      <c r="J121" s="283"/>
      <c r="K121" s="216" t="str">
        <f>+IFERROR(VLOOKUP($J121,'11 FORMULAS'!$B$51:$C$53,2,0),"")</f>
        <v/>
      </c>
      <c r="L121" s="216" t="str">
        <f>+IFERROR(VLOOKUP($J121,'11 FORMULAS'!$B$51:$D$53,3,0),"")</f>
        <v/>
      </c>
      <c r="M121" s="247"/>
      <c r="N121" s="216" t="str">
        <f>+IFERROR(VLOOKUP($M121,'11 FORMULAS'!$B$54:$C$55,2,0),"")</f>
        <v/>
      </c>
      <c r="O121" s="249"/>
      <c r="P121" s="249"/>
      <c r="Q121" s="249"/>
      <c r="R121" s="249"/>
      <c r="S121" s="216" t="str">
        <f t="shared" si="3"/>
        <v/>
      </c>
      <c r="T121" s="216">
        <f>IF($L121='11 FORMULAS'!$D$51,$C$118-($C$118*$S$118),$C$118)</f>
        <v>0.6</v>
      </c>
      <c r="U121" s="216">
        <f>IF($L121='11 FORMULAS'!$D$53,$D$118-($D$118*$S$118),$D$118)</f>
        <v>1</v>
      </c>
      <c r="V121" s="473"/>
      <c r="W121" s="476"/>
      <c r="X121" s="28"/>
      <c r="Y121" s="214"/>
      <c r="Z121" s="215"/>
      <c r="AA121" s="215"/>
    </row>
    <row r="122" spans="1:27" ht="29.55" customHeight="1" x14ac:dyDescent="0.3">
      <c r="A122" s="451"/>
      <c r="B122" s="454"/>
      <c r="C122" s="448"/>
      <c r="D122" s="448"/>
      <c r="E122" s="246">
        <v>5</v>
      </c>
      <c r="F122" s="163"/>
      <c r="G122" s="163"/>
      <c r="H122" s="163"/>
      <c r="I122" s="212" t="str">
        <f t="shared" si="2"/>
        <v xml:space="preserve">  </v>
      </c>
      <c r="J122" s="283"/>
      <c r="K122" s="216" t="str">
        <f>+IFERROR(VLOOKUP($J122,'11 FORMULAS'!$B$51:$C$53,2,0),"")</f>
        <v/>
      </c>
      <c r="L122" s="216" t="str">
        <f>+IFERROR(VLOOKUP($J122,'11 FORMULAS'!$B$51:$D$53,3,0),"")</f>
        <v/>
      </c>
      <c r="M122" s="247"/>
      <c r="N122" s="216" t="str">
        <f>+IFERROR(VLOOKUP($M122,'11 FORMULAS'!$B$54:$C$55,2,0),"")</f>
        <v/>
      </c>
      <c r="O122" s="249"/>
      <c r="P122" s="249"/>
      <c r="Q122" s="249"/>
      <c r="R122" s="249"/>
      <c r="S122" s="216" t="str">
        <f t="shared" si="3"/>
        <v/>
      </c>
      <c r="T122" s="216">
        <f>IF($L122='11 FORMULAS'!$D$51,$C$118-($C$118*$S$118),$C$118)</f>
        <v>0.6</v>
      </c>
      <c r="U122" s="216">
        <f>IF($L122='11 FORMULAS'!$D$53,$D$118-($D$118*$S$118),$D$118)</f>
        <v>1</v>
      </c>
      <c r="V122" s="473"/>
      <c r="W122" s="476"/>
      <c r="X122" s="28"/>
      <c r="Y122" s="214"/>
      <c r="Z122" s="215"/>
      <c r="AA122" s="215"/>
    </row>
    <row r="123" spans="1:27" ht="29.55" customHeight="1" thickBot="1" x14ac:dyDescent="0.35">
      <c r="A123" s="452"/>
      <c r="B123" s="455"/>
      <c r="C123" s="449"/>
      <c r="D123" s="449"/>
      <c r="E123" s="250">
        <v>6</v>
      </c>
      <c r="F123" s="164"/>
      <c r="G123" s="164"/>
      <c r="H123" s="164"/>
      <c r="I123" s="329" t="str">
        <f t="shared" si="2"/>
        <v xml:space="preserve">  </v>
      </c>
      <c r="J123" s="330"/>
      <c r="K123" s="331" t="str">
        <f>+IFERROR(VLOOKUP($J123,'11 FORMULAS'!$B$51:$C$53,2,0),"")</f>
        <v/>
      </c>
      <c r="L123" s="331" t="str">
        <f>+IFERROR(VLOOKUP($J123,'11 FORMULAS'!$B$51:$D$53,3,0),"")</f>
        <v/>
      </c>
      <c r="M123" s="332"/>
      <c r="N123" s="331" t="str">
        <f>+IFERROR(VLOOKUP($M123,'11 FORMULAS'!$B$54:$C$55,2,0),"")</f>
        <v/>
      </c>
      <c r="O123" s="333"/>
      <c r="P123" s="333"/>
      <c r="Q123" s="333"/>
      <c r="R123" s="333"/>
      <c r="S123" s="331" t="str">
        <f t="shared" si="3"/>
        <v/>
      </c>
      <c r="T123" s="216">
        <f>IF($L123='11 FORMULAS'!$D$51,$C$118-($C$118*$S$118),$C$118)</f>
        <v>0.6</v>
      </c>
      <c r="U123" s="216">
        <f>IF($L123='11 FORMULAS'!$D$53,$D$118-($D$118*$S$118),$D$118)</f>
        <v>1</v>
      </c>
      <c r="V123" s="474"/>
      <c r="W123" s="477"/>
      <c r="X123" s="28"/>
    </row>
    <row r="124" spans="1:27" ht="82.8" x14ac:dyDescent="0.3">
      <c r="A124" s="450" t="str">
        <f>'2 IDENTIFICACIÓN'!A29</f>
        <v>R20</v>
      </c>
      <c r="B124" s="453" t="str">
        <f>+'2 IDENTIFICACIÓN'!J29</f>
        <v>Posibilidad de afectación reputacional por  ocupación o desarrollo urbanístico no controlado en zonas intervenidas con obras de mitigación del riesgo,  debido a  deficiencias en el seguimiento de las actuaciones policivas y en la articulación interinstitucional para la atención de denuncias, reportes o alertas relacionadas con presuntas infracciones urbanísticas.</v>
      </c>
      <c r="C124" s="447">
        <f>+'3 PROBABIL E IMPACTO INHERENTE'!E29</f>
        <v>0.6</v>
      </c>
      <c r="D124" s="447">
        <f>+'3 PROBABIL E IMPACTO INHERENTE'!M29</f>
        <v>0.6</v>
      </c>
      <c r="E124" s="324">
        <v>1</v>
      </c>
      <c r="F124" s="35" t="s">
        <v>453</v>
      </c>
      <c r="G124" s="35" t="s">
        <v>456</v>
      </c>
      <c r="H124" s="35" t="s">
        <v>457</v>
      </c>
      <c r="I124" s="325" t="str">
        <f t="shared" ref="I124:I183" si="4">+CONCATENATE(F124," ",G124," ",H124)</f>
        <v>El profesional delegado  verifica mensualmente el cumplimiento del control urbanístico en el lugar de los trabajos, con el fin de identificar posibles incumplimientos y realizar seguimiento oportuno a las reiteraciones efectuadas ante la Secretaría de Planeación y la Secretaría del Interior para el adelanto de las actuaciones correspondientes</v>
      </c>
      <c r="J124" s="326" t="s">
        <v>133</v>
      </c>
      <c r="K124" s="248">
        <f>+IFERROR(VLOOKUP($J124,'11 FORMULAS'!$B$51:$C$53,2,0),"")</f>
        <v>0.25</v>
      </c>
      <c r="L124" s="248" t="str">
        <f>+IFERROR(VLOOKUP($J124,'11 FORMULAS'!$B$51:$D$53,3,0),"")</f>
        <v>Probabilidad</v>
      </c>
      <c r="M124" s="327" t="s">
        <v>145</v>
      </c>
      <c r="N124" s="248">
        <f>+IFERROR(VLOOKUP($M124,'11 FORMULAS'!$B$54:$C$55,2,0),"")</f>
        <v>0.15</v>
      </c>
      <c r="O124" s="328" t="s">
        <v>135</v>
      </c>
      <c r="P124" s="328" t="s">
        <v>239</v>
      </c>
      <c r="Q124" s="328" t="s">
        <v>137</v>
      </c>
      <c r="R124" s="328" t="s">
        <v>138</v>
      </c>
      <c r="S124" s="248">
        <f t="shared" si="3"/>
        <v>0.4</v>
      </c>
      <c r="T124" s="248">
        <f>IF($L124='11 FORMULAS'!$D$51,$C$124-($C$124*$S$124),$C$124)</f>
        <v>0.36</v>
      </c>
      <c r="U124" s="248">
        <f>IF($L124='11 FORMULAS'!$D$53,$D$124-($D$124*$S$124),$D$124)</f>
        <v>0.6</v>
      </c>
      <c r="V124" s="472">
        <f>+IF(T129="","",T129)</f>
        <v>0.6</v>
      </c>
      <c r="W124" s="475">
        <f>+IF(U129="","",U129)</f>
        <v>0.6</v>
      </c>
      <c r="X124" s="28"/>
    </row>
    <row r="125" spans="1:27" ht="29.55" customHeight="1" x14ac:dyDescent="0.3">
      <c r="A125" s="451"/>
      <c r="B125" s="454"/>
      <c r="C125" s="448"/>
      <c r="D125" s="448"/>
      <c r="E125" s="246">
        <v>2</v>
      </c>
      <c r="F125" s="163"/>
      <c r="G125" s="163"/>
      <c r="H125" s="163"/>
      <c r="I125" s="212" t="str">
        <f t="shared" si="4"/>
        <v xml:space="preserve">  </v>
      </c>
      <c r="J125" s="283"/>
      <c r="K125" s="216" t="str">
        <f>+IFERROR(VLOOKUP($J125,'11 FORMULAS'!$B$51:$C$53,2,0),"")</f>
        <v/>
      </c>
      <c r="L125" s="216" t="str">
        <f>+IFERROR(VLOOKUP($J125,'11 FORMULAS'!$B$51:$D$53,3,0),"")</f>
        <v/>
      </c>
      <c r="M125" s="247"/>
      <c r="N125" s="216" t="str">
        <f>+IFERROR(VLOOKUP($M125,'11 FORMULAS'!$B$54:$C$55,2,0),"")</f>
        <v/>
      </c>
      <c r="O125" s="249"/>
      <c r="P125" s="249"/>
      <c r="Q125" s="249"/>
      <c r="R125" s="249"/>
      <c r="S125" s="216" t="str">
        <f t="shared" si="3"/>
        <v/>
      </c>
      <c r="T125" s="216">
        <f>IF($L125='11 FORMULAS'!$D$51,$C$124-($C$124*$S$124),$C$124)</f>
        <v>0.6</v>
      </c>
      <c r="U125" s="216">
        <f>IF($L125='11 FORMULAS'!$D$53,$D$124-($D$124*$S$124),$D$124)</f>
        <v>0.6</v>
      </c>
      <c r="V125" s="473"/>
      <c r="W125" s="476"/>
      <c r="X125" s="28"/>
    </row>
    <row r="126" spans="1:27" ht="29.55" customHeight="1" x14ac:dyDescent="0.3">
      <c r="A126" s="451"/>
      <c r="B126" s="454"/>
      <c r="C126" s="448"/>
      <c r="D126" s="448"/>
      <c r="E126" s="246">
        <v>3</v>
      </c>
      <c r="F126" s="163"/>
      <c r="G126" s="163"/>
      <c r="H126" s="163"/>
      <c r="I126" s="212" t="str">
        <f t="shared" si="4"/>
        <v xml:space="preserve">  </v>
      </c>
      <c r="J126" s="283"/>
      <c r="K126" s="216" t="str">
        <f>+IFERROR(VLOOKUP($J126,'11 FORMULAS'!$B$51:$C$53,2,0),"")</f>
        <v/>
      </c>
      <c r="L126" s="216" t="str">
        <f>+IFERROR(VLOOKUP($J126,'11 FORMULAS'!$B$51:$D$53,3,0),"")</f>
        <v/>
      </c>
      <c r="M126" s="247"/>
      <c r="N126" s="216" t="str">
        <f>+IFERROR(VLOOKUP($M126,'11 FORMULAS'!$B$54:$C$55,2,0),"")</f>
        <v/>
      </c>
      <c r="O126" s="249"/>
      <c r="P126" s="249"/>
      <c r="Q126" s="249"/>
      <c r="R126" s="249"/>
      <c r="S126" s="216" t="str">
        <f t="shared" si="3"/>
        <v/>
      </c>
      <c r="T126" s="216">
        <f>IF($L126='11 FORMULAS'!$D$51,$C$124-($C$124*$S$124),$C$124)</f>
        <v>0.6</v>
      </c>
      <c r="U126" s="216">
        <f>IF($L126='11 FORMULAS'!$D$53,$D$124-($D$124*$S$124),$D$124)</f>
        <v>0.6</v>
      </c>
      <c r="V126" s="473"/>
      <c r="W126" s="476"/>
      <c r="X126" s="28"/>
    </row>
    <row r="127" spans="1:27" ht="29.55" customHeight="1" x14ac:dyDescent="0.3">
      <c r="A127" s="451"/>
      <c r="B127" s="454"/>
      <c r="C127" s="448"/>
      <c r="D127" s="448"/>
      <c r="E127" s="246">
        <v>4</v>
      </c>
      <c r="F127" s="163"/>
      <c r="G127" s="163"/>
      <c r="H127" s="163"/>
      <c r="I127" s="212" t="str">
        <f t="shared" si="4"/>
        <v xml:space="preserve">  </v>
      </c>
      <c r="J127" s="283"/>
      <c r="K127" s="216" t="str">
        <f>+IFERROR(VLOOKUP($J127,'11 FORMULAS'!$B$51:$C$53,2,0),"")</f>
        <v/>
      </c>
      <c r="L127" s="216" t="str">
        <f>+IFERROR(VLOOKUP($J127,'11 FORMULAS'!$B$51:$D$53,3,0),"")</f>
        <v/>
      </c>
      <c r="M127" s="247"/>
      <c r="N127" s="216" t="str">
        <f>+IFERROR(VLOOKUP($M127,'11 FORMULAS'!$B$54:$C$55,2,0),"")</f>
        <v/>
      </c>
      <c r="O127" s="249"/>
      <c r="P127" s="249"/>
      <c r="Q127" s="249"/>
      <c r="R127" s="249"/>
      <c r="S127" s="216" t="str">
        <f t="shared" si="3"/>
        <v/>
      </c>
      <c r="T127" s="216">
        <f>IF($L127='11 FORMULAS'!$D$51,$C$124-($C$124*$S$124),$C$124)</f>
        <v>0.6</v>
      </c>
      <c r="U127" s="216">
        <f>IF($L127='11 FORMULAS'!$D$53,$D$124-($D$124*$S$124),$D$124)</f>
        <v>0.6</v>
      </c>
      <c r="V127" s="473"/>
      <c r="W127" s="476"/>
      <c r="X127" s="28"/>
    </row>
    <row r="128" spans="1:27" ht="29.55" customHeight="1" x14ac:dyDescent="0.3">
      <c r="A128" s="451"/>
      <c r="B128" s="454"/>
      <c r="C128" s="448"/>
      <c r="D128" s="448"/>
      <c r="E128" s="246">
        <v>5</v>
      </c>
      <c r="F128" s="163"/>
      <c r="G128" s="163"/>
      <c r="H128" s="163"/>
      <c r="I128" s="212" t="str">
        <f t="shared" si="4"/>
        <v xml:space="preserve">  </v>
      </c>
      <c r="J128" s="283"/>
      <c r="K128" s="216" t="str">
        <f>+IFERROR(VLOOKUP($J128,'11 FORMULAS'!$B$51:$C$53,2,0),"")</f>
        <v/>
      </c>
      <c r="L128" s="216" t="str">
        <f>+IFERROR(VLOOKUP($J128,'11 FORMULAS'!$B$51:$D$53,3,0),"")</f>
        <v/>
      </c>
      <c r="M128" s="247"/>
      <c r="N128" s="216" t="str">
        <f>+IFERROR(VLOOKUP($M128,'11 FORMULAS'!$B$54:$C$55,2,0),"")</f>
        <v/>
      </c>
      <c r="O128" s="249"/>
      <c r="P128" s="249"/>
      <c r="Q128" s="249"/>
      <c r="R128" s="249"/>
      <c r="S128" s="216" t="str">
        <f t="shared" si="3"/>
        <v/>
      </c>
      <c r="T128" s="216">
        <f>IF($L128='11 FORMULAS'!$D$51,$C$124-($C$124*$S$124),$C$124)</f>
        <v>0.6</v>
      </c>
      <c r="U128" s="216">
        <f>IF($L128='11 FORMULAS'!$D$53,$D$124-($D$124*$S$124),$D$124)</f>
        <v>0.6</v>
      </c>
      <c r="V128" s="473"/>
      <c r="W128" s="476"/>
      <c r="X128" s="28"/>
    </row>
    <row r="129" spans="1:24" ht="29.55" customHeight="1" thickBot="1" x14ac:dyDescent="0.35">
      <c r="A129" s="452"/>
      <c r="B129" s="455"/>
      <c r="C129" s="449"/>
      <c r="D129" s="449"/>
      <c r="E129" s="250">
        <v>6</v>
      </c>
      <c r="F129" s="164"/>
      <c r="G129" s="164"/>
      <c r="H129" s="164"/>
      <c r="I129" s="329" t="str">
        <f t="shared" si="4"/>
        <v xml:space="preserve">  </v>
      </c>
      <c r="J129" s="330"/>
      <c r="K129" s="331" t="str">
        <f>+IFERROR(VLOOKUP($J129,'11 FORMULAS'!$B$51:$C$53,2,0),"")</f>
        <v/>
      </c>
      <c r="L129" s="331" t="str">
        <f>+IFERROR(VLOOKUP($J129,'11 FORMULAS'!$B$51:$D$53,3,0),"")</f>
        <v/>
      </c>
      <c r="M129" s="332"/>
      <c r="N129" s="331" t="str">
        <f>+IFERROR(VLOOKUP($M129,'11 FORMULAS'!$B$54:$C$55,2,0),"")</f>
        <v/>
      </c>
      <c r="O129" s="333"/>
      <c r="P129" s="333"/>
      <c r="Q129" s="333"/>
      <c r="R129" s="333"/>
      <c r="S129" s="331" t="str">
        <f t="shared" si="3"/>
        <v/>
      </c>
      <c r="T129" s="216">
        <f>IF($L129='11 FORMULAS'!$D$51,$C$124-($C$124*$S$124),$C$124)</f>
        <v>0.6</v>
      </c>
      <c r="U129" s="216">
        <f>IF($L129='11 FORMULAS'!$D$53,$D$124-($D$124*$S$124),$D$124)</f>
        <v>0.6</v>
      </c>
      <c r="V129" s="474"/>
      <c r="W129" s="477"/>
      <c r="X129" s="28"/>
    </row>
    <row r="130" spans="1:24" ht="82.8" x14ac:dyDescent="0.3">
      <c r="A130" s="450" t="str">
        <f>'2 IDENTIFICACIÓN'!A30</f>
        <v>R21</v>
      </c>
      <c r="B130" s="453" t="str">
        <f>+'2 IDENTIFICACIÓN'!J30</f>
        <v>Posibilidad de afectación reputacional por posibles investigaciones y sanciones disciplinarias por entes de control,  debido a debido al incumplimiento de la Ley 594 del 2000 en los documentos emanados por la Secretaría de Infraestructura.</v>
      </c>
      <c r="C130" s="447">
        <f>+'3 PROBABIL E IMPACTO INHERENTE'!E30</f>
        <v>0.6</v>
      </c>
      <c r="D130" s="447">
        <f>+'3 PROBABIL E IMPACTO INHERENTE'!M30</f>
        <v>0.6</v>
      </c>
      <c r="E130" s="324">
        <v>1</v>
      </c>
      <c r="F130" s="334" t="s">
        <v>460</v>
      </c>
      <c r="G130" s="35" t="s">
        <v>458</v>
      </c>
      <c r="H130" s="35" t="s">
        <v>459</v>
      </c>
      <c r="I130" s="325" t="str">
        <f t="shared" si="4"/>
        <v>El Área de Archivo de la Secretaría de Infraestructura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130" s="326" t="s">
        <v>133</v>
      </c>
      <c r="K130" s="248">
        <f>+IFERROR(VLOOKUP($J130,'11 FORMULAS'!$B$51:$C$53,2,0),"")</f>
        <v>0.25</v>
      </c>
      <c r="L130" s="248" t="str">
        <f>+IFERROR(VLOOKUP($J130,'11 FORMULAS'!$B$51:$D$53,3,0),"")</f>
        <v>Probabilidad</v>
      </c>
      <c r="M130" s="327" t="s">
        <v>145</v>
      </c>
      <c r="N130" s="248">
        <f>+IFERROR(VLOOKUP($M130,'11 FORMULAS'!$B$54:$C$55,2,0),"")</f>
        <v>0.15</v>
      </c>
      <c r="O130" s="328" t="s">
        <v>135</v>
      </c>
      <c r="P130" s="328" t="s">
        <v>242</v>
      </c>
      <c r="Q130" s="328" t="s">
        <v>137</v>
      </c>
      <c r="R130" s="328" t="s">
        <v>138</v>
      </c>
      <c r="S130" s="248">
        <f t="shared" si="3"/>
        <v>0.4</v>
      </c>
      <c r="T130" s="248">
        <f>IF($L130='11 FORMULAS'!$D$51,$C$130-($C$130*$S$130),$C$130)</f>
        <v>0.36</v>
      </c>
      <c r="U130" s="248">
        <f>IF($L130='11 FORMULAS'!$D$53,$D$130-($D$130*$S$130),$D$130)</f>
        <v>0.6</v>
      </c>
      <c r="V130" s="472">
        <f>+IF(T135="","",T135)</f>
        <v>0.6</v>
      </c>
      <c r="W130" s="475">
        <f>+IF(U135="","",U135)</f>
        <v>0.6</v>
      </c>
      <c r="X130" s="28"/>
    </row>
    <row r="131" spans="1:24" ht="29.55" customHeight="1" x14ac:dyDescent="0.3">
      <c r="A131" s="451"/>
      <c r="B131" s="454"/>
      <c r="C131" s="448"/>
      <c r="D131" s="448"/>
      <c r="E131" s="246">
        <v>2</v>
      </c>
      <c r="F131" s="163"/>
      <c r="G131" s="163"/>
      <c r="H131" s="163"/>
      <c r="I131" s="212" t="str">
        <f t="shared" si="4"/>
        <v xml:space="preserve">  </v>
      </c>
      <c r="J131" s="283"/>
      <c r="K131" s="216" t="str">
        <f>+IFERROR(VLOOKUP($J131,'11 FORMULAS'!$B$51:$C$53,2,0),"")</f>
        <v/>
      </c>
      <c r="L131" s="216" t="str">
        <f>+IFERROR(VLOOKUP($J131,'11 FORMULAS'!$B$51:$D$53,3,0),"")</f>
        <v/>
      </c>
      <c r="M131" s="247"/>
      <c r="N131" s="216" t="str">
        <f>+IFERROR(VLOOKUP($M131,'11 FORMULAS'!$B$54:$C$55,2,0),"")</f>
        <v/>
      </c>
      <c r="O131" s="249"/>
      <c r="P131" s="249"/>
      <c r="Q131" s="249"/>
      <c r="R131" s="249"/>
      <c r="S131" s="216" t="str">
        <f t="shared" si="3"/>
        <v/>
      </c>
      <c r="T131" s="216">
        <f>IF($L131='11 FORMULAS'!$D$51,$C$130-($C$130*$S$130),$C$130)</f>
        <v>0.6</v>
      </c>
      <c r="U131" s="216">
        <f>IF($L131='11 FORMULAS'!$D$53,$D$130-($D$130*$S$130),$D$130)</f>
        <v>0.6</v>
      </c>
      <c r="V131" s="473"/>
      <c r="W131" s="476"/>
      <c r="X131" s="28"/>
    </row>
    <row r="132" spans="1:24" ht="29.55" customHeight="1" x14ac:dyDescent="0.3">
      <c r="A132" s="451"/>
      <c r="B132" s="454"/>
      <c r="C132" s="448"/>
      <c r="D132" s="448"/>
      <c r="E132" s="246">
        <v>3</v>
      </c>
      <c r="F132" s="163"/>
      <c r="G132" s="163"/>
      <c r="H132" s="163"/>
      <c r="I132" s="212" t="str">
        <f t="shared" si="4"/>
        <v xml:space="preserve">  </v>
      </c>
      <c r="J132" s="283"/>
      <c r="K132" s="216" t="str">
        <f>+IFERROR(VLOOKUP($J132,'11 FORMULAS'!$B$51:$C$53,2,0),"")</f>
        <v/>
      </c>
      <c r="L132" s="216" t="str">
        <f>+IFERROR(VLOOKUP($J132,'11 FORMULAS'!$B$51:$D$53,3,0),"")</f>
        <v/>
      </c>
      <c r="M132" s="247"/>
      <c r="N132" s="216" t="str">
        <f>+IFERROR(VLOOKUP($M132,'11 FORMULAS'!$B$54:$C$55,2,0),"")</f>
        <v/>
      </c>
      <c r="O132" s="249"/>
      <c r="P132" s="249"/>
      <c r="Q132" s="249"/>
      <c r="R132" s="249"/>
      <c r="S132" s="216" t="str">
        <f t="shared" si="3"/>
        <v/>
      </c>
      <c r="T132" s="216">
        <f>IF($L132='11 FORMULAS'!$D$51,$C$130-($C$130*$S$130),$C$130)</f>
        <v>0.6</v>
      </c>
      <c r="U132" s="216">
        <f>IF($L132='11 FORMULAS'!$D$53,$D$130-($D$130*$S$130),$D$130)</f>
        <v>0.6</v>
      </c>
      <c r="V132" s="473"/>
      <c r="W132" s="476"/>
      <c r="X132" s="28"/>
    </row>
    <row r="133" spans="1:24" ht="29.55" customHeight="1" x14ac:dyDescent="0.3">
      <c r="A133" s="451"/>
      <c r="B133" s="454"/>
      <c r="C133" s="448"/>
      <c r="D133" s="448"/>
      <c r="E133" s="246">
        <v>4</v>
      </c>
      <c r="F133" s="163"/>
      <c r="G133" s="163"/>
      <c r="H133" s="163"/>
      <c r="I133" s="212" t="str">
        <f t="shared" si="4"/>
        <v xml:space="preserve">  </v>
      </c>
      <c r="J133" s="283"/>
      <c r="K133" s="216" t="str">
        <f>+IFERROR(VLOOKUP($J133,'11 FORMULAS'!$B$51:$C$53,2,0),"")</f>
        <v/>
      </c>
      <c r="L133" s="216" t="str">
        <f>+IFERROR(VLOOKUP($J133,'11 FORMULAS'!$B$51:$D$53,3,0),"")</f>
        <v/>
      </c>
      <c r="M133" s="247"/>
      <c r="N133" s="216" t="str">
        <f>+IFERROR(VLOOKUP($M133,'11 FORMULAS'!$B$54:$C$55,2,0),"")</f>
        <v/>
      </c>
      <c r="O133" s="249"/>
      <c r="P133" s="249"/>
      <c r="Q133" s="249"/>
      <c r="R133" s="249"/>
      <c r="S133" s="216" t="str">
        <f t="shared" si="3"/>
        <v/>
      </c>
      <c r="T133" s="216">
        <f>IF($L133='11 FORMULAS'!$D$51,$C$130-($C$130*$S$130),$C$130)</f>
        <v>0.6</v>
      </c>
      <c r="U133" s="216">
        <f>IF($L133='11 FORMULAS'!$D$53,$D$130-($D$130*$S$130),$D$130)</f>
        <v>0.6</v>
      </c>
      <c r="V133" s="473"/>
      <c r="W133" s="476"/>
      <c r="X133" s="28"/>
    </row>
    <row r="134" spans="1:24" ht="29.55" customHeight="1" x14ac:dyDescent="0.3">
      <c r="A134" s="451"/>
      <c r="B134" s="454"/>
      <c r="C134" s="448"/>
      <c r="D134" s="448"/>
      <c r="E134" s="246">
        <v>5</v>
      </c>
      <c r="F134" s="163"/>
      <c r="G134" s="163"/>
      <c r="H134" s="163"/>
      <c r="I134" s="212" t="str">
        <f t="shared" si="4"/>
        <v xml:space="preserve">  </v>
      </c>
      <c r="J134" s="283"/>
      <c r="K134" s="216" t="str">
        <f>+IFERROR(VLOOKUP($J134,'11 FORMULAS'!$B$51:$C$53,2,0),"")</f>
        <v/>
      </c>
      <c r="L134" s="216" t="str">
        <f>+IFERROR(VLOOKUP($J134,'11 FORMULAS'!$B$51:$D$53,3,0),"")</f>
        <v/>
      </c>
      <c r="M134" s="247"/>
      <c r="N134" s="216" t="str">
        <f>+IFERROR(VLOOKUP($M134,'11 FORMULAS'!$B$54:$C$55,2,0),"")</f>
        <v/>
      </c>
      <c r="O134" s="249"/>
      <c r="P134" s="249"/>
      <c r="Q134" s="249"/>
      <c r="R134" s="249"/>
      <c r="S134" s="216" t="str">
        <f t="shared" si="3"/>
        <v/>
      </c>
      <c r="T134" s="216">
        <f>IF($L134='11 FORMULAS'!$D$51,$C$130-($C$130*$S$130),$C$130)</f>
        <v>0.6</v>
      </c>
      <c r="U134" s="216">
        <f>IF($L134='11 FORMULAS'!$D$53,$D$130-($D$130*$S$130),$D$130)</f>
        <v>0.6</v>
      </c>
      <c r="V134" s="473"/>
      <c r="W134" s="476"/>
      <c r="X134" s="28"/>
    </row>
    <row r="135" spans="1:24" ht="29.55" customHeight="1" thickBot="1" x14ac:dyDescent="0.35">
      <c r="A135" s="452"/>
      <c r="B135" s="455"/>
      <c r="C135" s="449"/>
      <c r="D135" s="449"/>
      <c r="E135" s="250">
        <v>6</v>
      </c>
      <c r="F135" s="164"/>
      <c r="G135" s="164"/>
      <c r="H135" s="164"/>
      <c r="I135" s="329" t="str">
        <f t="shared" si="4"/>
        <v xml:space="preserve">  </v>
      </c>
      <c r="J135" s="330"/>
      <c r="K135" s="331" t="str">
        <f>+IFERROR(VLOOKUP($J135,'11 FORMULAS'!$B$51:$C$53,2,0),"")</f>
        <v/>
      </c>
      <c r="L135" s="331" t="str">
        <f>+IFERROR(VLOOKUP($J135,'11 FORMULAS'!$B$51:$D$53,3,0),"")</f>
        <v/>
      </c>
      <c r="M135" s="332"/>
      <c r="N135" s="331" t="str">
        <f>+IFERROR(VLOOKUP($M135,'11 FORMULAS'!$B$54:$C$55,2,0),"")</f>
        <v/>
      </c>
      <c r="O135" s="333"/>
      <c r="P135" s="333"/>
      <c r="Q135" s="333"/>
      <c r="R135" s="333"/>
      <c r="S135" s="331" t="str">
        <f t="shared" si="3"/>
        <v/>
      </c>
      <c r="T135" s="216">
        <f>IF($L135='11 FORMULAS'!$D$51,$C$130-($C$130*$S$130),$C$130)</f>
        <v>0.6</v>
      </c>
      <c r="U135" s="216">
        <f>IF($L135='11 FORMULAS'!$D$53,$D$130-($D$130*$S$130),$D$130)</f>
        <v>0.6</v>
      </c>
      <c r="V135" s="474"/>
      <c r="W135" s="477"/>
      <c r="X135" s="28"/>
    </row>
    <row r="136" spans="1:24" ht="82.8" x14ac:dyDescent="0.3">
      <c r="A136" s="450" t="str">
        <f>'2 IDENTIFICACIÓN'!A31</f>
        <v>R22</v>
      </c>
      <c r="B136" s="453" t="str">
        <f>+'2 IDENTIFICACIÓN'!J31</f>
        <v>Posibilidad de pérdida reputacional por soborno para favorecer a un proponente en la adjudicación de un contrato de obra, debido a deficiencias en la verificación, evaluación y control de los procesos contractuales adelantados por la entidad..</v>
      </c>
      <c r="C136" s="447">
        <f>+'3 PROBABIL E IMPACTO INHERENTE'!E31</f>
        <v>0.6</v>
      </c>
      <c r="D136" s="447">
        <f>+'3 PROBABIL E IMPACTO INHERENTE'!M31</f>
        <v>1</v>
      </c>
      <c r="E136" s="324">
        <v>1</v>
      </c>
      <c r="F136" s="35" t="s">
        <v>531</v>
      </c>
      <c r="G136" s="35" t="s">
        <v>532</v>
      </c>
      <c r="H136" s="35" t="s">
        <v>533</v>
      </c>
      <c r="I136" s="325" t="str">
        <f t="shared" si="4"/>
        <v>El Secretario de Infraestructura y el profesional encargado del proceso contractual verifican la aplicación de los requisitos establecidos en los pliegos tipo y monitorean la pluralidad de oferentes en los procesos de contratación de obra, mediante seguimiento cuatrimestral a la documentación y participación de proponentes, conforme a la normatividad vigente</v>
      </c>
      <c r="J136" s="326" t="s">
        <v>133</v>
      </c>
      <c r="K136" s="248">
        <f>+IFERROR(VLOOKUP($J136,'11 FORMULAS'!$B$51:$C$53,2,0),"")</f>
        <v>0.25</v>
      </c>
      <c r="L136" s="248" t="str">
        <f>+IFERROR(VLOOKUP($J136,'11 FORMULAS'!$B$51:$D$53,3,0),"")</f>
        <v>Probabilidad</v>
      </c>
      <c r="M136" s="327" t="s">
        <v>145</v>
      </c>
      <c r="N136" s="248">
        <f>+IFERROR(VLOOKUP($M136,'11 FORMULAS'!$B$54:$C$55,2,0),"")</f>
        <v>0.15</v>
      </c>
      <c r="O136" s="328" t="s">
        <v>135</v>
      </c>
      <c r="P136" s="328" t="s">
        <v>371</v>
      </c>
      <c r="Q136" s="328" t="s">
        <v>137</v>
      </c>
      <c r="R136" s="328" t="s">
        <v>138</v>
      </c>
      <c r="S136" s="248">
        <f t="shared" si="3"/>
        <v>0.4</v>
      </c>
      <c r="T136" s="248">
        <f>IF($L136='11 FORMULAS'!$D$51,$C$136-($C$136*$S$136),$C$136)</f>
        <v>0.36</v>
      </c>
      <c r="U136" s="248">
        <f>IF($L136='11 FORMULAS'!$D$53,$D$136-($D$136*$S$136),$D$136)</f>
        <v>1</v>
      </c>
      <c r="V136" s="472">
        <f>+IF(T141="","",T141)</f>
        <v>0.6</v>
      </c>
      <c r="W136" s="475">
        <f>+IF(U141="","",U141)</f>
        <v>1</v>
      </c>
      <c r="X136" s="28"/>
    </row>
    <row r="137" spans="1:24" ht="29.55" customHeight="1" x14ac:dyDescent="0.3">
      <c r="A137" s="451"/>
      <c r="B137" s="454"/>
      <c r="C137" s="448"/>
      <c r="D137" s="448"/>
      <c r="E137" s="246">
        <v>2</v>
      </c>
      <c r="F137" s="163"/>
      <c r="G137" s="163"/>
      <c r="H137" s="163"/>
      <c r="I137" s="212" t="str">
        <f t="shared" si="4"/>
        <v xml:space="preserve">  </v>
      </c>
      <c r="J137" s="283"/>
      <c r="K137" s="216" t="str">
        <f>+IFERROR(VLOOKUP($J137,'11 FORMULAS'!$B$51:$C$53,2,0),"")</f>
        <v/>
      </c>
      <c r="L137" s="216" t="str">
        <f>+IFERROR(VLOOKUP($J137,'11 FORMULAS'!$B$51:$D$53,3,0),"")</f>
        <v/>
      </c>
      <c r="M137" s="247"/>
      <c r="N137" s="216" t="str">
        <f>+IFERROR(VLOOKUP($M137,'11 FORMULAS'!$B$54:$C$55,2,0),"")</f>
        <v/>
      </c>
      <c r="O137" s="249"/>
      <c r="P137" s="249"/>
      <c r="Q137" s="249"/>
      <c r="R137" s="249"/>
      <c r="S137" s="216" t="str">
        <f t="shared" si="3"/>
        <v/>
      </c>
      <c r="T137" s="216">
        <f>IF($L137='11 FORMULAS'!$D$51,$C$136-($C$136*$S$136),$C$136)</f>
        <v>0.6</v>
      </c>
      <c r="U137" s="216">
        <f>IF($L137='11 FORMULAS'!$D$53,$D$136-($D$136*$S$136),$D$136)</f>
        <v>1</v>
      </c>
      <c r="V137" s="473"/>
      <c r="W137" s="476"/>
      <c r="X137" s="28"/>
    </row>
    <row r="138" spans="1:24" ht="29.55" customHeight="1" x14ac:dyDescent="0.3">
      <c r="A138" s="451"/>
      <c r="B138" s="454"/>
      <c r="C138" s="448"/>
      <c r="D138" s="448"/>
      <c r="E138" s="246">
        <v>3</v>
      </c>
      <c r="F138" s="163"/>
      <c r="G138" s="163"/>
      <c r="H138" s="163"/>
      <c r="I138" s="212" t="str">
        <f t="shared" si="4"/>
        <v xml:space="preserve">  </v>
      </c>
      <c r="J138" s="283"/>
      <c r="K138" s="216" t="str">
        <f>+IFERROR(VLOOKUP($J138,'11 FORMULAS'!$B$51:$C$53,2,0),"")</f>
        <v/>
      </c>
      <c r="L138" s="216" t="str">
        <f>+IFERROR(VLOOKUP($J138,'11 FORMULAS'!$B$51:$D$53,3,0),"")</f>
        <v/>
      </c>
      <c r="M138" s="247"/>
      <c r="N138" s="216" t="str">
        <f>+IFERROR(VLOOKUP($M138,'11 FORMULAS'!$B$54:$C$55,2,0),"")</f>
        <v/>
      </c>
      <c r="O138" s="249"/>
      <c r="P138" s="249"/>
      <c r="Q138" s="249"/>
      <c r="R138" s="249"/>
      <c r="S138" s="216" t="str">
        <f t="shared" si="3"/>
        <v/>
      </c>
      <c r="T138" s="216">
        <f>IF($L138='11 FORMULAS'!$D$51,$C$136-($C$136*$S$136),$C$136)</f>
        <v>0.6</v>
      </c>
      <c r="U138" s="216">
        <f>IF($L138='11 FORMULAS'!$D$53,$D$136-($D$136*$S$136),$D$136)</f>
        <v>1</v>
      </c>
      <c r="V138" s="473"/>
      <c r="W138" s="476"/>
      <c r="X138" s="28"/>
    </row>
    <row r="139" spans="1:24" ht="29.55" customHeight="1" x14ac:dyDescent="0.3">
      <c r="A139" s="451"/>
      <c r="B139" s="454"/>
      <c r="C139" s="448"/>
      <c r="D139" s="448"/>
      <c r="E139" s="246">
        <v>4</v>
      </c>
      <c r="F139" s="163"/>
      <c r="G139" s="163"/>
      <c r="H139" s="163"/>
      <c r="I139" s="212" t="str">
        <f t="shared" si="4"/>
        <v xml:space="preserve">  </v>
      </c>
      <c r="J139" s="283"/>
      <c r="K139" s="216" t="str">
        <f>+IFERROR(VLOOKUP($J139,'11 FORMULAS'!$B$51:$C$53,2,0),"")</f>
        <v/>
      </c>
      <c r="L139" s="216" t="str">
        <f>+IFERROR(VLOOKUP($J139,'11 FORMULAS'!$B$51:$D$53,3,0),"")</f>
        <v/>
      </c>
      <c r="M139" s="247"/>
      <c r="N139" s="216" t="str">
        <f>+IFERROR(VLOOKUP($M139,'11 FORMULAS'!$B$54:$C$55,2,0),"")</f>
        <v/>
      </c>
      <c r="O139" s="249"/>
      <c r="P139" s="249"/>
      <c r="Q139" s="249"/>
      <c r="R139" s="249"/>
      <c r="S139" s="216" t="str">
        <f t="shared" si="3"/>
        <v/>
      </c>
      <c r="T139" s="216">
        <f>IF($L139='11 FORMULAS'!$D$51,$C$136-($C$136*$S$136),$C$136)</f>
        <v>0.6</v>
      </c>
      <c r="U139" s="216">
        <f>IF($L139='11 FORMULAS'!$D$53,$D$136-($D$136*$S$136),$D$136)</f>
        <v>1</v>
      </c>
      <c r="V139" s="473"/>
      <c r="W139" s="476"/>
      <c r="X139" s="28"/>
    </row>
    <row r="140" spans="1:24" ht="29.55" customHeight="1" x14ac:dyDescent="0.3">
      <c r="A140" s="451"/>
      <c r="B140" s="454"/>
      <c r="C140" s="448"/>
      <c r="D140" s="448"/>
      <c r="E140" s="246">
        <v>5</v>
      </c>
      <c r="F140" s="163"/>
      <c r="G140" s="163"/>
      <c r="H140" s="163"/>
      <c r="I140" s="212" t="str">
        <f t="shared" si="4"/>
        <v xml:space="preserve">  </v>
      </c>
      <c r="J140" s="283"/>
      <c r="K140" s="216" t="str">
        <f>+IFERROR(VLOOKUP($J140,'11 FORMULAS'!$B$51:$C$53,2,0),"")</f>
        <v/>
      </c>
      <c r="L140" s="216" t="str">
        <f>+IFERROR(VLOOKUP($J140,'11 FORMULAS'!$B$51:$D$53,3,0),"")</f>
        <v/>
      </c>
      <c r="M140" s="247"/>
      <c r="N140" s="216" t="str">
        <f>+IFERROR(VLOOKUP($M140,'11 FORMULAS'!$B$54:$C$55,2,0),"")</f>
        <v/>
      </c>
      <c r="O140" s="249"/>
      <c r="P140" s="249"/>
      <c r="Q140" s="249"/>
      <c r="R140" s="249"/>
      <c r="S140" s="216" t="str">
        <f t="shared" si="3"/>
        <v/>
      </c>
      <c r="T140" s="216">
        <f>IF($L140='11 FORMULAS'!$D$51,$C$136-($C$136*$S$136),$C$136)</f>
        <v>0.6</v>
      </c>
      <c r="U140" s="216">
        <f>IF($L140='11 FORMULAS'!$D$53,$D$136-($D$136*$S$136),$D$136)</f>
        <v>1</v>
      </c>
      <c r="V140" s="473"/>
      <c r="W140" s="476"/>
      <c r="X140" s="28"/>
    </row>
    <row r="141" spans="1:24" ht="29.55" customHeight="1" thickBot="1" x14ac:dyDescent="0.35">
      <c r="A141" s="452"/>
      <c r="B141" s="455"/>
      <c r="C141" s="449"/>
      <c r="D141" s="449"/>
      <c r="E141" s="250">
        <v>6</v>
      </c>
      <c r="F141" s="164"/>
      <c r="G141" s="164"/>
      <c r="H141" s="164"/>
      <c r="I141" s="329" t="str">
        <f t="shared" si="4"/>
        <v xml:space="preserve">  </v>
      </c>
      <c r="J141" s="330"/>
      <c r="K141" s="331" t="str">
        <f>+IFERROR(VLOOKUP($J141,'11 FORMULAS'!$B$51:$C$53,2,0),"")</f>
        <v/>
      </c>
      <c r="L141" s="331" t="str">
        <f>+IFERROR(VLOOKUP($J141,'11 FORMULAS'!$B$51:$D$53,3,0),"")</f>
        <v/>
      </c>
      <c r="M141" s="332"/>
      <c r="N141" s="331" t="str">
        <f>+IFERROR(VLOOKUP($M141,'11 FORMULAS'!$B$54:$C$55,2,0),"")</f>
        <v/>
      </c>
      <c r="O141" s="333"/>
      <c r="P141" s="333"/>
      <c r="Q141" s="333"/>
      <c r="R141" s="333"/>
      <c r="S141" s="331" t="str">
        <f t="shared" si="3"/>
        <v/>
      </c>
      <c r="T141" s="216">
        <f>IF($L141='11 FORMULAS'!$D$51,$C$136-($C$136*$S$136),$C$136)</f>
        <v>0.6</v>
      </c>
      <c r="U141" s="216">
        <f>IF($L141='11 FORMULAS'!$D$53,$D$136-($D$136*$S$136),$D$136)</f>
        <v>1</v>
      </c>
      <c r="V141" s="474"/>
      <c r="W141" s="477"/>
      <c r="X141" s="28"/>
    </row>
    <row r="142" spans="1:24" ht="29.55" hidden="1" customHeight="1" x14ac:dyDescent="0.3">
      <c r="A142" s="450" t="str">
        <f>'2 IDENTIFICACIÓN'!A32</f>
        <v>R23</v>
      </c>
      <c r="B142" s="453" t="str">
        <f>+'2 IDENTIFICACIÓN'!J32</f>
        <v xml:space="preserve"> por  debido a </v>
      </c>
      <c r="C142" s="447" t="str">
        <f>+'3 PROBABIL E IMPACTO INHERENTE'!E32</f>
        <v/>
      </c>
      <c r="D142" s="447" t="str">
        <f>+'3 PROBABIL E IMPACTO INHERENTE'!M32</f>
        <v/>
      </c>
      <c r="E142" s="324">
        <v>1</v>
      </c>
      <c r="F142" s="35"/>
      <c r="G142" s="35"/>
      <c r="H142" s="35"/>
      <c r="I142" s="325" t="str">
        <f t="shared" si="4"/>
        <v xml:space="preserve">  </v>
      </c>
      <c r="J142" s="326" t="s">
        <v>133</v>
      </c>
      <c r="K142" s="248">
        <f>+IFERROR(VLOOKUP($J142,'11 FORMULAS'!$B$51:$C$53,2,0),"")</f>
        <v>0.25</v>
      </c>
      <c r="L142" s="248" t="str">
        <f>+IFERROR(VLOOKUP($J142,'11 FORMULAS'!$B$51:$D$53,3,0),"")</f>
        <v>Probabilidad</v>
      </c>
      <c r="M142" s="327" t="s">
        <v>134</v>
      </c>
      <c r="N142" s="248">
        <f>+IFERROR(VLOOKUP($M142,'11 FORMULAS'!$B$54:$C$55,2,0),"")</f>
        <v>0.25</v>
      </c>
      <c r="O142" s="328" t="s">
        <v>146</v>
      </c>
      <c r="P142" s="328" t="s">
        <v>239</v>
      </c>
      <c r="Q142" s="328" t="s">
        <v>137</v>
      </c>
      <c r="R142" s="328" t="s">
        <v>247</v>
      </c>
      <c r="S142" s="248">
        <f t="shared" si="3"/>
        <v>0.5</v>
      </c>
      <c r="T142" s="248" t="e">
        <f>IF($L142='11 FORMULAS'!$D$51,$C$142-($C$142*$S$142),$C$142)</f>
        <v>#VALUE!</v>
      </c>
      <c r="U142" s="248" t="str">
        <f>IF($L142='11 FORMULAS'!$D$53,$D$142-($D$142*$S$142),$D$142)</f>
        <v/>
      </c>
      <c r="V142" s="472" t="str">
        <f>+IF(T147="","",T147)</f>
        <v/>
      </c>
      <c r="W142" s="475" t="str">
        <f>+IF(U147="","",U147)</f>
        <v/>
      </c>
      <c r="X142" s="28"/>
    </row>
    <row r="143" spans="1:24" ht="29.55" hidden="1" customHeight="1" x14ac:dyDescent="0.3">
      <c r="A143" s="451"/>
      <c r="B143" s="454"/>
      <c r="C143" s="448"/>
      <c r="D143" s="448"/>
      <c r="E143" s="246">
        <v>2</v>
      </c>
      <c r="F143" s="163"/>
      <c r="G143" s="163"/>
      <c r="H143" s="163"/>
      <c r="I143" s="212" t="str">
        <f t="shared" si="4"/>
        <v xml:space="preserve">  </v>
      </c>
      <c r="J143" s="283"/>
      <c r="K143" s="216" t="str">
        <f>+IFERROR(VLOOKUP($J143,'11 FORMULAS'!$B$51:$C$53,2,0),"")</f>
        <v/>
      </c>
      <c r="L143" s="216" t="str">
        <f>+IFERROR(VLOOKUP($J143,'11 FORMULAS'!$B$51:$D$53,3,0),"")</f>
        <v/>
      </c>
      <c r="M143" s="247"/>
      <c r="N143" s="216" t="str">
        <f>+IFERROR(VLOOKUP($M143,'11 FORMULAS'!$B$54:$C$55,2,0),"")</f>
        <v/>
      </c>
      <c r="O143" s="249"/>
      <c r="P143" s="249"/>
      <c r="Q143" s="249"/>
      <c r="R143" s="249"/>
      <c r="S143" s="216" t="str">
        <f t="shared" si="3"/>
        <v/>
      </c>
      <c r="T143" s="216" t="str">
        <f>IF($L143='11 FORMULAS'!$D$51,$C$142-($C$142*$S$142),$C$142)</f>
        <v/>
      </c>
      <c r="U143" s="216" t="str">
        <f>IF($L143='11 FORMULAS'!$D$53,$D$142-($D$142*$S$142),$D$142)</f>
        <v/>
      </c>
      <c r="V143" s="473"/>
      <c r="W143" s="476"/>
      <c r="X143" s="28"/>
    </row>
    <row r="144" spans="1:24" ht="29.55" hidden="1" customHeight="1" x14ac:dyDescent="0.3">
      <c r="A144" s="451"/>
      <c r="B144" s="454"/>
      <c r="C144" s="448"/>
      <c r="D144" s="448"/>
      <c r="E144" s="246">
        <v>3</v>
      </c>
      <c r="F144" s="163"/>
      <c r="G144" s="163"/>
      <c r="H144" s="163"/>
      <c r="I144" s="212" t="str">
        <f t="shared" si="4"/>
        <v xml:space="preserve">  </v>
      </c>
      <c r="J144" s="283"/>
      <c r="K144" s="216" t="str">
        <f>+IFERROR(VLOOKUP($J144,'11 FORMULAS'!$B$51:$C$53,2,0),"")</f>
        <v/>
      </c>
      <c r="L144" s="216" t="str">
        <f>+IFERROR(VLOOKUP($J144,'11 FORMULAS'!$B$51:$D$53,3,0),"")</f>
        <v/>
      </c>
      <c r="M144" s="247"/>
      <c r="N144" s="216" t="str">
        <f>+IFERROR(VLOOKUP($M144,'11 FORMULAS'!$B$54:$C$55,2,0),"")</f>
        <v/>
      </c>
      <c r="O144" s="249"/>
      <c r="P144" s="249"/>
      <c r="Q144" s="249"/>
      <c r="R144" s="249"/>
      <c r="S144" s="216" t="str">
        <f t="shared" si="3"/>
        <v/>
      </c>
      <c r="T144" s="216" t="str">
        <f>IF($L144='11 FORMULAS'!$D$51,$C$142-($C$142*$S$142),$C$142)</f>
        <v/>
      </c>
      <c r="U144" s="216" t="str">
        <f>IF($L144='11 FORMULAS'!$D$53,$D$142-($D$142*$S$142),$D$142)</f>
        <v/>
      </c>
      <c r="V144" s="473"/>
      <c r="W144" s="476"/>
      <c r="X144" s="28"/>
    </row>
    <row r="145" spans="1:24" ht="29.55" hidden="1" customHeight="1" x14ac:dyDescent="0.3">
      <c r="A145" s="451"/>
      <c r="B145" s="454"/>
      <c r="C145" s="448"/>
      <c r="D145" s="448"/>
      <c r="E145" s="246">
        <v>4</v>
      </c>
      <c r="F145" s="163"/>
      <c r="G145" s="163"/>
      <c r="H145" s="163"/>
      <c r="I145" s="212" t="str">
        <f t="shared" si="4"/>
        <v xml:space="preserve">  </v>
      </c>
      <c r="J145" s="283"/>
      <c r="K145" s="216" t="str">
        <f>+IFERROR(VLOOKUP($J145,'11 FORMULAS'!$B$51:$C$53,2,0),"")</f>
        <v/>
      </c>
      <c r="L145" s="216" t="str">
        <f>+IFERROR(VLOOKUP($J145,'11 FORMULAS'!$B$51:$D$53,3,0),"")</f>
        <v/>
      </c>
      <c r="M145" s="247"/>
      <c r="N145" s="216" t="str">
        <f>+IFERROR(VLOOKUP($M145,'11 FORMULAS'!$B$54:$C$55,2,0),"")</f>
        <v/>
      </c>
      <c r="O145" s="249"/>
      <c r="P145" s="249"/>
      <c r="Q145" s="249"/>
      <c r="R145" s="249"/>
      <c r="S145" s="216" t="str">
        <f t="shared" si="3"/>
        <v/>
      </c>
      <c r="T145" s="216" t="str">
        <f>IF($L145='11 FORMULAS'!$D$51,$C$142-($C$142*$S$142),$C$142)</f>
        <v/>
      </c>
      <c r="U145" s="216" t="str">
        <f>IF($L145='11 FORMULAS'!$D$53,$D$142-($D$142*$S$142),$D$142)</f>
        <v/>
      </c>
      <c r="V145" s="473"/>
      <c r="W145" s="476"/>
      <c r="X145" s="28"/>
    </row>
    <row r="146" spans="1:24" ht="29.55" hidden="1" customHeight="1" x14ac:dyDescent="0.3">
      <c r="A146" s="451"/>
      <c r="B146" s="454"/>
      <c r="C146" s="448"/>
      <c r="D146" s="448"/>
      <c r="E146" s="246">
        <v>5</v>
      </c>
      <c r="F146" s="163"/>
      <c r="G146" s="163"/>
      <c r="H146" s="163"/>
      <c r="I146" s="212" t="str">
        <f t="shared" si="4"/>
        <v xml:space="preserve">  </v>
      </c>
      <c r="J146" s="283"/>
      <c r="K146" s="216" t="str">
        <f>+IFERROR(VLOOKUP($J146,'11 FORMULAS'!$B$51:$C$53,2,0),"")</f>
        <v/>
      </c>
      <c r="L146" s="216" t="str">
        <f>+IFERROR(VLOOKUP($J146,'11 FORMULAS'!$B$51:$D$53,3,0),"")</f>
        <v/>
      </c>
      <c r="M146" s="247"/>
      <c r="N146" s="216" t="str">
        <f>+IFERROR(VLOOKUP($M146,'11 FORMULAS'!$B$54:$C$55,2,0),"")</f>
        <v/>
      </c>
      <c r="O146" s="249"/>
      <c r="P146" s="249"/>
      <c r="Q146" s="249"/>
      <c r="R146" s="249"/>
      <c r="S146" s="216" t="str">
        <f t="shared" si="3"/>
        <v/>
      </c>
      <c r="T146" s="216" t="str">
        <f>IF($L146='11 FORMULAS'!$D$51,$C$142-($C$142*$S$142),$C$142)</f>
        <v/>
      </c>
      <c r="U146" s="216" t="str">
        <f>IF($L146='11 FORMULAS'!$D$53,$D$142-($D$142*$S$142),$D$142)</f>
        <v/>
      </c>
      <c r="V146" s="473"/>
      <c r="W146" s="476"/>
      <c r="X146" s="28"/>
    </row>
    <row r="147" spans="1:24" ht="29.55" hidden="1" customHeight="1" thickBot="1" x14ac:dyDescent="0.35">
      <c r="A147" s="452"/>
      <c r="B147" s="455"/>
      <c r="C147" s="449"/>
      <c r="D147" s="449"/>
      <c r="E147" s="250">
        <v>6</v>
      </c>
      <c r="F147" s="164"/>
      <c r="G147" s="164"/>
      <c r="H147" s="164"/>
      <c r="I147" s="329" t="str">
        <f t="shared" si="4"/>
        <v xml:space="preserve">  </v>
      </c>
      <c r="J147" s="330"/>
      <c r="K147" s="331" t="str">
        <f>+IFERROR(VLOOKUP($J147,'11 FORMULAS'!$B$51:$C$53,2,0),"")</f>
        <v/>
      </c>
      <c r="L147" s="331" t="str">
        <f>+IFERROR(VLOOKUP($J147,'11 FORMULAS'!$B$51:$D$53,3,0),"")</f>
        <v/>
      </c>
      <c r="M147" s="332"/>
      <c r="N147" s="331" t="str">
        <f>+IFERROR(VLOOKUP($M147,'11 FORMULAS'!$B$54:$C$55,2,0),"")</f>
        <v/>
      </c>
      <c r="O147" s="333"/>
      <c r="P147" s="333"/>
      <c r="Q147" s="333"/>
      <c r="R147" s="333"/>
      <c r="S147" s="331" t="str">
        <f t="shared" si="3"/>
        <v/>
      </c>
      <c r="T147" s="216" t="str">
        <f>IF($L147='11 FORMULAS'!$D$51,$C$142-($C$142*$S$142),$C$142)</f>
        <v/>
      </c>
      <c r="U147" s="216" t="str">
        <f>IF($L147='11 FORMULAS'!$D$53,$D$142-($D$142*$S$142),$D$142)</f>
        <v/>
      </c>
      <c r="V147" s="474"/>
      <c r="W147" s="477"/>
      <c r="X147" s="28"/>
    </row>
    <row r="148" spans="1:24" ht="29.55" hidden="1" customHeight="1" x14ac:dyDescent="0.3">
      <c r="A148" s="450" t="str">
        <f>'2 IDENTIFICACIÓN'!A33</f>
        <v>R24</v>
      </c>
      <c r="B148" s="453" t="str">
        <f>+'2 IDENTIFICACIÓN'!J33</f>
        <v xml:space="preserve"> por  debido a </v>
      </c>
      <c r="C148" s="447" t="str">
        <f>+'3 PROBABIL E IMPACTO INHERENTE'!E33</f>
        <v/>
      </c>
      <c r="D148" s="447" t="str">
        <f>+'3 PROBABIL E IMPACTO INHERENTE'!M33</f>
        <v/>
      </c>
      <c r="E148" s="324">
        <v>1</v>
      </c>
      <c r="F148" s="35"/>
      <c r="G148" s="35"/>
      <c r="H148" s="35"/>
      <c r="I148" s="325" t="str">
        <f t="shared" si="4"/>
        <v xml:space="preserve">  </v>
      </c>
      <c r="J148" s="326"/>
      <c r="K148" s="248" t="str">
        <f>+IFERROR(VLOOKUP($J148,'11 FORMULAS'!$B$51:$C$53,2,0),"")</f>
        <v/>
      </c>
      <c r="L148" s="248" t="str">
        <f>+IFERROR(VLOOKUP($J148,'11 FORMULAS'!$B$51:$D$53,3,0),"")</f>
        <v/>
      </c>
      <c r="M148" s="327" t="s">
        <v>134</v>
      </c>
      <c r="N148" s="248">
        <f>+IFERROR(VLOOKUP($M148,'11 FORMULAS'!$B$54:$C$55,2,0),"")</f>
        <v>0.25</v>
      </c>
      <c r="O148" s="328" t="s">
        <v>146</v>
      </c>
      <c r="P148" s="328" t="s">
        <v>239</v>
      </c>
      <c r="Q148" s="328" t="s">
        <v>137</v>
      </c>
      <c r="R148" s="328" t="s">
        <v>247</v>
      </c>
      <c r="S148" s="248" t="str">
        <f t="shared" si="3"/>
        <v/>
      </c>
      <c r="T148" s="248" t="str">
        <f>IF($L148='11 FORMULAS'!$D$51,$C$148-($C$148*$S$148),$C$148)</f>
        <v/>
      </c>
      <c r="U148" s="248" t="str">
        <f>IF($L148='11 FORMULAS'!$D$53,$D$148-($D$148*$S$148),$D$148)</f>
        <v/>
      </c>
      <c r="V148" s="472" t="str">
        <f>+IF(T153="","",T153)</f>
        <v/>
      </c>
      <c r="W148" s="475" t="str">
        <f>+IF(U153="","",U153)</f>
        <v/>
      </c>
      <c r="X148" s="28"/>
    </row>
    <row r="149" spans="1:24" ht="29.55" hidden="1" customHeight="1" x14ac:dyDescent="0.3">
      <c r="A149" s="451"/>
      <c r="B149" s="454"/>
      <c r="C149" s="448"/>
      <c r="D149" s="448"/>
      <c r="E149" s="246">
        <v>2</v>
      </c>
      <c r="F149" s="163"/>
      <c r="G149" s="163"/>
      <c r="H149" s="163"/>
      <c r="I149" s="212" t="str">
        <f t="shared" si="4"/>
        <v xml:space="preserve">  </v>
      </c>
      <c r="J149" s="283"/>
      <c r="K149" s="216" t="str">
        <f>+IFERROR(VLOOKUP($J149,'11 FORMULAS'!$B$51:$C$53,2,0),"")</f>
        <v/>
      </c>
      <c r="L149" s="216" t="str">
        <f>+IFERROR(VLOOKUP($J149,'11 FORMULAS'!$B$51:$D$53,3,0),"")</f>
        <v/>
      </c>
      <c r="M149" s="247"/>
      <c r="N149" s="216" t="str">
        <f>+IFERROR(VLOOKUP($M149,'11 FORMULAS'!$B$54:$C$55,2,0),"")</f>
        <v/>
      </c>
      <c r="O149" s="249"/>
      <c r="P149" s="249"/>
      <c r="Q149" s="249"/>
      <c r="R149" s="249"/>
      <c r="S149" s="216" t="str">
        <f t="shared" si="3"/>
        <v/>
      </c>
      <c r="T149" s="216" t="str">
        <f>IF($L149='11 FORMULAS'!$D$51,$C$148-($C$148*$S$148),$C$148)</f>
        <v/>
      </c>
      <c r="U149" s="216" t="str">
        <f>IF($L149='11 FORMULAS'!$D$53,$D$148-($D$148*$S$148),$D$148)</f>
        <v/>
      </c>
      <c r="V149" s="473"/>
      <c r="W149" s="476"/>
      <c r="X149" s="28"/>
    </row>
    <row r="150" spans="1:24" ht="29.55" hidden="1" customHeight="1" x14ac:dyDescent="0.3">
      <c r="A150" s="451"/>
      <c r="B150" s="454"/>
      <c r="C150" s="448"/>
      <c r="D150" s="448"/>
      <c r="E150" s="246">
        <v>3</v>
      </c>
      <c r="F150" s="163"/>
      <c r="G150" s="163"/>
      <c r="H150" s="163"/>
      <c r="I150" s="212" t="str">
        <f t="shared" si="4"/>
        <v xml:space="preserve">  </v>
      </c>
      <c r="J150" s="283"/>
      <c r="K150" s="216" t="str">
        <f>+IFERROR(VLOOKUP($J150,'11 FORMULAS'!$B$51:$C$53,2,0),"")</f>
        <v/>
      </c>
      <c r="L150" s="216" t="str">
        <f>+IFERROR(VLOOKUP($J150,'11 FORMULAS'!$B$51:$D$53,3,0),"")</f>
        <v/>
      </c>
      <c r="M150" s="247"/>
      <c r="N150" s="216" t="str">
        <f>+IFERROR(VLOOKUP($M150,'11 FORMULAS'!$B$54:$C$55,2,0),"")</f>
        <v/>
      </c>
      <c r="O150" s="249"/>
      <c r="P150" s="249"/>
      <c r="Q150" s="249"/>
      <c r="R150" s="249"/>
      <c r="S150" s="216" t="str">
        <f t="shared" si="3"/>
        <v/>
      </c>
      <c r="T150" s="216" t="str">
        <f>IF($L150='11 FORMULAS'!$D$51,$C$148-($C$148*$S$148),$C$148)</f>
        <v/>
      </c>
      <c r="U150" s="216" t="str">
        <f>IF($L150='11 FORMULAS'!$D$53,$D$148-($D$148*$S$148),$D$148)</f>
        <v/>
      </c>
      <c r="V150" s="473"/>
      <c r="W150" s="476"/>
      <c r="X150" s="28"/>
    </row>
    <row r="151" spans="1:24" ht="29.55" hidden="1" customHeight="1" x14ac:dyDescent="0.3">
      <c r="A151" s="451"/>
      <c r="B151" s="454"/>
      <c r="C151" s="448"/>
      <c r="D151" s="448"/>
      <c r="E151" s="246">
        <v>4</v>
      </c>
      <c r="F151" s="163"/>
      <c r="G151" s="163"/>
      <c r="H151" s="163"/>
      <c r="I151" s="212" t="str">
        <f t="shared" si="4"/>
        <v xml:space="preserve">  </v>
      </c>
      <c r="J151" s="283"/>
      <c r="K151" s="216" t="str">
        <f>+IFERROR(VLOOKUP($J151,'11 FORMULAS'!$B$51:$C$53,2,0),"")</f>
        <v/>
      </c>
      <c r="L151" s="216" t="str">
        <f>+IFERROR(VLOOKUP($J151,'11 FORMULAS'!$B$51:$D$53,3,0),"")</f>
        <v/>
      </c>
      <c r="M151" s="247"/>
      <c r="N151" s="216" t="str">
        <f>+IFERROR(VLOOKUP($M151,'11 FORMULAS'!$B$54:$C$55,2,0),"")</f>
        <v/>
      </c>
      <c r="O151" s="249"/>
      <c r="P151" s="249"/>
      <c r="Q151" s="249"/>
      <c r="R151" s="249"/>
      <c r="S151" s="216" t="str">
        <f t="shared" si="3"/>
        <v/>
      </c>
      <c r="T151" s="216" t="str">
        <f>IF($L151='11 FORMULAS'!$D$51,$C$148-($C$148*$S$148),$C$148)</f>
        <v/>
      </c>
      <c r="U151" s="216" t="str">
        <f>IF($L151='11 FORMULAS'!$D$53,$D$148-($D$148*$S$148),$D$148)</f>
        <v/>
      </c>
      <c r="V151" s="473"/>
      <c r="W151" s="476"/>
      <c r="X151" s="28"/>
    </row>
    <row r="152" spans="1:24" ht="29.55" hidden="1" customHeight="1" x14ac:dyDescent="0.3">
      <c r="A152" s="451"/>
      <c r="B152" s="454"/>
      <c r="C152" s="448"/>
      <c r="D152" s="448"/>
      <c r="E152" s="246">
        <v>5</v>
      </c>
      <c r="F152" s="163"/>
      <c r="G152" s="163"/>
      <c r="H152" s="163"/>
      <c r="I152" s="212" t="str">
        <f t="shared" si="4"/>
        <v xml:space="preserve">  </v>
      </c>
      <c r="J152" s="283"/>
      <c r="K152" s="216" t="str">
        <f>+IFERROR(VLOOKUP($J152,'11 FORMULAS'!$B$51:$C$53,2,0),"")</f>
        <v/>
      </c>
      <c r="L152" s="216" t="str">
        <f>+IFERROR(VLOOKUP($J152,'11 FORMULAS'!$B$51:$D$53,3,0),"")</f>
        <v/>
      </c>
      <c r="M152" s="247"/>
      <c r="N152" s="216" t="str">
        <f>+IFERROR(VLOOKUP($M152,'11 FORMULAS'!$B$54:$C$55,2,0),"")</f>
        <v/>
      </c>
      <c r="O152" s="249"/>
      <c r="P152" s="249"/>
      <c r="Q152" s="249"/>
      <c r="R152" s="249"/>
      <c r="S152" s="216" t="str">
        <f t="shared" si="3"/>
        <v/>
      </c>
      <c r="T152" s="216" t="str">
        <f>IF($L152='11 FORMULAS'!$D$51,$C$148-($C$148*$S$148),$C$148)</f>
        <v/>
      </c>
      <c r="U152" s="216" t="str">
        <f>IF($L152='11 FORMULAS'!$D$53,$D$148-($D$148*$S$148),$D$148)</f>
        <v/>
      </c>
      <c r="V152" s="473"/>
      <c r="W152" s="476"/>
      <c r="X152" s="28"/>
    </row>
    <row r="153" spans="1:24" ht="29.55" hidden="1" customHeight="1" thickBot="1" x14ac:dyDescent="0.35">
      <c r="A153" s="452"/>
      <c r="B153" s="455"/>
      <c r="C153" s="449"/>
      <c r="D153" s="449"/>
      <c r="E153" s="250">
        <v>6</v>
      </c>
      <c r="F153" s="164"/>
      <c r="G153" s="164"/>
      <c r="H153" s="164"/>
      <c r="I153" s="329" t="str">
        <f t="shared" si="4"/>
        <v xml:space="preserve">  </v>
      </c>
      <c r="J153" s="330"/>
      <c r="K153" s="331" t="str">
        <f>+IFERROR(VLOOKUP($J153,'11 FORMULAS'!$B$51:$C$53,2,0),"")</f>
        <v/>
      </c>
      <c r="L153" s="331" t="str">
        <f>+IFERROR(VLOOKUP($J153,'11 FORMULAS'!$B$51:$D$53,3,0),"")</f>
        <v/>
      </c>
      <c r="M153" s="332"/>
      <c r="N153" s="331" t="str">
        <f>+IFERROR(VLOOKUP($M153,'11 FORMULAS'!$B$54:$C$55,2,0),"")</f>
        <v/>
      </c>
      <c r="O153" s="333"/>
      <c r="P153" s="333"/>
      <c r="Q153" s="333"/>
      <c r="R153" s="333"/>
      <c r="S153" s="331" t="str">
        <f t="shared" si="3"/>
        <v/>
      </c>
      <c r="T153" s="216" t="str">
        <f>IF($L153='11 FORMULAS'!$D$51,$C$148-($C$148*$S$148),$C$148)</f>
        <v/>
      </c>
      <c r="U153" s="216" t="str">
        <f>IF($L153='11 FORMULAS'!$D$53,$D$148-($D$148*$S$148),$D$148)</f>
        <v/>
      </c>
      <c r="V153" s="474"/>
      <c r="W153" s="477"/>
      <c r="X153" s="28"/>
    </row>
    <row r="154" spans="1:24" ht="29.55" hidden="1" customHeight="1" x14ac:dyDescent="0.3">
      <c r="A154" s="450" t="str">
        <f>'2 IDENTIFICACIÓN'!A34</f>
        <v>R25</v>
      </c>
      <c r="B154" s="453" t="str">
        <f>+'2 IDENTIFICACIÓN'!J34</f>
        <v xml:space="preserve"> por  debido a </v>
      </c>
      <c r="C154" s="447" t="str">
        <f>+'3 PROBABIL E IMPACTO INHERENTE'!E34</f>
        <v/>
      </c>
      <c r="D154" s="447" t="str">
        <f>+'3 PROBABIL E IMPACTO INHERENTE'!M34</f>
        <v/>
      </c>
      <c r="E154" s="324">
        <v>1</v>
      </c>
      <c r="F154" s="35"/>
      <c r="G154" s="35"/>
      <c r="H154" s="35"/>
      <c r="I154" s="325" t="str">
        <f t="shared" si="4"/>
        <v xml:space="preserve">  </v>
      </c>
      <c r="J154" s="326"/>
      <c r="K154" s="248" t="str">
        <f>+IFERROR(VLOOKUP($J154,'11 FORMULAS'!$B$51:$C$53,2,0),"")</f>
        <v/>
      </c>
      <c r="L154" s="248" t="str">
        <f>+IFERROR(VLOOKUP($J154,'11 FORMULAS'!$B$51:$D$53,3,0),"")</f>
        <v/>
      </c>
      <c r="M154" s="327" t="s">
        <v>134</v>
      </c>
      <c r="N154" s="248">
        <f>+IFERROR(VLOOKUP($M154,'11 FORMULAS'!$B$54:$C$55,2,0),"")</f>
        <v>0.25</v>
      </c>
      <c r="O154" s="328" t="s">
        <v>146</v>
      </c>
      <c r="P154" s="328" t="s">
        <v>239</v>
      </c>
      <c r="Q154" s="328" t="s">
        <v>137</v>
      </c>
      <c r="R154" s="328" t="s">
        <v>247</v>
      </c>
      <c r="S154" s="248" t="str">
        <f t="shared" si="3"/>
        <v/>
      </c>
      <c r="T154" s="248" t="str">
        <f>IF($L154='11 FORMULAS'!$D$51,$C$154-($C$154*$S$154),$C$154)</f>
        <v/>
      </c>
      <c r="U154" s="248" t="str">
        <f>IF($L154='11 FORMULAS'!$D$53,$D$154-($D$154*$S$154),$D$154)</f>
        <v/>
      </c>
      <c r="V154" s="472" t="str">
        <f>+IF(T159="","",T159)</f>
        <v/>
      </c>
      <c r="W154" s="475" t="str">
        <f>+IF(U159="","",U159)</f>
        <v/>
      </c>
      <c r="X154" s="28"/>
    </row>
    <row r="155" spans="1:24" ht="29.55" hidden="1" customHeight="1" x14ac:dyDescent="0.3">
      <c r="A155" s="451"/>
      <c r="B155" s="454"/>
      <c r="C155" s="448"/>
      <c r="D155" s="448"/>
      <c r="E155" s="246">
        <v>2</v>
      </c>
      <c r="F155" s="163"/>
      <c r="G155" s="163"/>
      <c r="H155" s="163"/>
      <c r="I155" s="212" t="str">
        <f t="shared" si="4"/>
        <v xml:space="preserve">  </v>
      </c>
      <c r="J155" s="283"/>
      <c r="K155" s="216" t="str">
        <f>+IFERROR(VLOOKUP($J155,'11 FORMULAS'!$B$51:$C$53,2,0),"")</f>
        <v/>
      </c>
      <c r="L155" s="216" t="str">
        <f>+IFERROR(VLOOKUP($J155,'11 FORMULAS'!$B$51:$D$53,3,0),"")</f>
        <v/>
      </c>
      <c r="M155" s="247"/>
      <c r="N155" s="216" t="str">
        <f>+IFERROR(VLOOKUP($M155,'11 FORMULAS'!$B$54:$C$55,2,0),"")</f>
        <v/>
      </c>
      <c r="O155" s="249"/>
      <c r="P155" s="249"/>
      <c r="Q155" s="249"/>
      <c r="R155" s="249"/>
      <c r="S155" s="216" t="str">
        <f t="shared" si="3"/>
        <v/>
      </c>
      <c r="T155" s="216" t="str">
        <f>IF($L155='11 FORMULAS'!$D$51,$C$154-($C$154*$S$154),$C$154)</f>
        <v/>
      </c>
      <c r="U155" s="216" t="str">
        <f>IF($L155='11 FORMULAS'!$D$53,$D$154-($D$154*$S$154),$D$154)</f>
        <v/>
      </c>
      <c r="V155" s="473"/>
      <c r="W155" s="476"/>
      <c r="X155" s="28"/>
    </row>
    <row r="156" spans="1:24" ht="29.55" hidden="1" customHeight="1" x14ac:dyDescent="0.3">
      <c r="A156" s="451"/>
      <c r="B156" s="454"/>
      <c r="C156" s="448"/>
      <c r="D156" s="448"/>
      <c r="E156" s="246">
        <v>3</v>
      </c>
      <c r="F156" s="163"/>
      <c r="G156" s="163"/>
      <c r="H156" s="163"/>
      <c r="I156" s="212" t="str">
        <f t="shared" si="4"/>
        <v xml:space="preserve">  </v>
      </c>
      <c r="J156" s="283"/>
      <c r="K156" s="216" t="str">
        <f>+IFERROR(VLOOKUP($J156,'11 FORMULAS'!$B$51:$C$53,2,0),"")</f>
        <v/>
      </c>
      <c r="L156" s="216" t="str">
        <f>+IFERROR(VLOOKUP($J156,'11 FORMULAS'!$B$51:$D$53,3,0),"")</f>
        <v/>
      </c>
      <c r="M156" s="247"/>
      <c r="N156" s="216" t="str">
        <f>+IFERROR(VLOOKUP($M156,'11 FORMULAS'!$B$54:$C$55,2,0),"")</f>
        <v/>
      </c>
      <c r="O156" s="249"/>
      <c r="P156" s="249"/>
      <c r="Q156" s="249"/>
      <c r="R156" s="249"/>
      <c r="S156" s="216" t="str">
        <f t="shared" si="3"/>
        <v/>
      </c>
      <c r="T156" s="216" t="str">
        <f>IF($L156='11 FORMULAS'!$D$51,$C$154-($C$154*$S$154),$C$154)</f>
        <v/>
      </c>
      <c r="U156" s="216" t="str">
        <f>IF($L156='11 FORMULAS'!$D$53,$D$154-($D$154*$S$154),$D$154)</f>
        <v/>
      </c>
      <c r="V156" s="473"/>
      <c r="W156" s="476"/>
      <c r="X156" s="28"/>
    </row>
    <row r="157" spans="1:24" ht="29.55" hidden="1" customHeight="1" x14ac:dyDescent="0.3">
      <c r="A157" s="451"/>
      <c r="B157" s="454"/>
      <c r="C157" s="448"/>
      <c r="D157" s="448"/>
      <c r="E157" s="246">
        <v>4</v>
      </c>
      <c r="F157" s="163"/>
      <c r="G157" s="163"/>
      <c r="H157" s="163"/>
      <c r="I157" s="212" t="str">
        <f t="shared" si="4"/>
        <v xml:space="preserve">  </v>
      </c>
      <c r="J157" s="283"/>
      <c r="K157" s="216" t="str">
        <f>+IFERROR(VLOOKUP($J157,'11 FORMULAS'!$B$51:$C$53,2,0),"")</f>
        <v/>
      </c>
      <c r="L157" s="216" t="str">
        <f>+IFERROR(VLOOKUP($J157,'11 FORMULAS'!$B$51:$D$53,3,0),"")</f>
        <v/>
      </c>
      <c r="M157" s="247"/>
      <c r="N157" s="216" t="str">
        <f>+IFERROR(VLOOKUP($M157,'11 FORMULAS'!$B$54:$C$55,2,0),"")</f>
        <v/>
      </c>
      <c r="O157" s="249"/>
      <c r="P157" s="249"/>
      <c r="Q157" s="249"/>
      <c r="R157" s="249"/>
      <c r="S157" s="216" t="str">
        <f t="shared" si="3"/>
        <v/>
      </c>
      <c r="T157" s="216" t="str">
        <f>IF($L157='11 FORMULAS'!$D$51,$C$154-($C$154*$S$154),$C$154)</f>
        <v/>
      </c>
      <c r="U157" s="216" t="str">
        <f>IF($L157='11 FORMULAS'!$D$53,$D$154-($D$154*$S$154),$D$154)</f>
        <v/>
      </c>
      <c r="V157" s="473"/>
      <c r="W157" s="476"/>
      <c r="X157" s="28"/>
    </row>
    <row r="158" spans="1:24" ht="29.55" hidden="1" customHeight="1" x14ac:dyDescent="0.3">
      <c r="A158" s="451"/>
      <c r="B158" s="454"/>
      <c r="C158" s="448"/>
      <c r="D158" s="448"/>
      <c r="E158" s="246">
        <v>5</v>
      </c>
      <c r="F158" s="163"/>
      <c r="G158" s="163"/>
      <c r="H158" s="163"/>
      <c r="I158" s="212" t="str">
        <f t="shared" si="4"/>
        <v xml:space="preserve">  </v>
      </c>
      <c r="J158" s="283"/>
      <c r="K158" s="216" t="str">
        <f>+IFERROR(VLOOKUP($J158,'11 FORMULAS'!$B$51:$C$53,2,0),"")</f>
        <v/>
      </c>
      <c r="L158" s="216" t="str">
        <f>+IFERROR(VLOOKUP($J158,'11 FORMULAS'!$B$51:$D$53,3,0),"")</f>
        <v/>
      </c>
      <c r="M158" s="247"/>
      <c r="N158" s="216" t="str">
        <f>+IFERROR(VLOOKUP($M158,'11 FORMULAS'!$B$54:$C$55,2,0),"")</f>
        <v/>
      </c>
      <c r="O158" s="249"/>
      <c r="P158" s="249"/>
      <c r="Q158" s="249"/>
      <c r="R158" s="249"/>
      <c r="S158" s="216" t="str">
        <f t="shared" si="3"/>
        <v/>
      </c>
      <c r="T158" s="216" t="str">
        <f>IF($L158='11 FORMULAS'!$D$51,$C$154-($C$154*$S$154),$C$154)</f>
        <v/>
      </c>
      <c r="U158" s="216" t="str">
        <f>IF($L158='11 FORMULAS'!$D$53,$D$154-($D$154*$S$154),$D$154)</f>
        <v/>
      </c>
      <c r="V158" s="473"/>
      <c r="W158" s="476"/>
      <c r="X158" s="28"/>
    </row>
    <row r="159" spans="1:24" ht="29.55" hidden="1" customHeight="1" thickBot="1" x14ac:dyDescent="0.35">
      <c r="A159" s="452"/>
      <c r="B159" s="455"/>
      <c r="C159" s="449"/>
      <c r="D159" s="449"/>
      <c r="E159" s="250">
        <v>6</v>
      </c>
      <c r="F159" s="164"/>
      <c r="G159" s="164"/>
      <c r="H159" s="164"/>
      <c r="I159" s="329" t="str">
        <f t="shared" si="4"/>
        <v xml:space="preserve">  </v>
      </c>
      <c r="J159" s="330"/>
      <c r="K159" s="331" t="str">
        <f>+IFERROR(VLOOKUP($J159,'11 FORMULAS'!$B$51:$C$53,2,0),"")</f>
        <v/>
      </c>
      <c r="L159" s="331" t="str">
        <f>+IFERROR(VLOOKUP($J159,'11 FORMULAS'!$B$51:$D$53,3,0),"")</f>
        <v/>
      </c>
      <c r="M159" s="332"/>
      <c r="N159" s="331" t="str">
        <f>+IFERROR(VLOOKUP($M159,'11 FORMULAS'!$B$54:$C$55,2,0),"")</f>
        <v/>
      </c>
      <c r="O159" s="333"/>
      <c r="P159" s="333"/>
      <c r="Q159" s="333"/>
      <c r="R159" s="333"/>
      <c r="S159" s="331" t="str">
        <f t="shared" si="3"/>
        <v/>
      </c>
      <c r="T159" s="216" t="str">
        <f>IF($L159='11 FORMULAS'!$D$51,$C$154-($C$154*$S$154),$C$154)</f>
        <v/>
      </c>
      <c r="U159" s="216" t="str">
        <f>IF($L159='11 FORMULAS'!$D$53,$D$154-($D$154*$S$154),$D$154)</f>
        <v/>
      </c>
      <c r="V159" s="474"/>
      <c r="W159" s="477"/>
      <c r="X159" s="28"/>
    </row>
    <row r="160" spans="1:24" ht="29.55" hidden="1" customHeight="1" x14ac:dyDescent="0.3">
      <c r="A160" s="450" t="str">
        <f>'2 IDENTIFICACIÓN'!A35</f>
        <v>R26</v>
      </c>
      <c r="B160" s="453" t="str">
        <f>+'2 IDENTIFICACIÓN'!J35</f>
        <v xml:space="preserve"> por  debido a </v>
      </c>
      <c r="C160" s="447" t="str">
        <f>+'3 PROBABIL E IMPACTO INHERENTE'!E35</f>
        <v/>
      </c>
      <c r="D160" s="447" t="str">
        <f>+'3 PROBABIL E IMPACTO INHERENTE'!M35</f>
        <v/>
      </c>
      <c r="E160" s="324">
        <v>1</v>
      </c>
      <c r="F160" s="35"/>
      <c r="G160" s="35"/>
      <c r="H160" s="35"/>
      <c r="I160" s="325" t="str">
        <f t="shared" si="4"/>
        <v xml:space="preserve">  </v>
      </c>
      <c r="J160" s="326"/>
      <c r="K160" s="248" t="str">
        <f>+IFERROR(VLOOKUP($J160,'11 FORMULAS'!$B$51:$C$53,2,0),"")</f>
        <v/>
      </c>
      <c r="L160" s="248" t="str">
        <f>+IFERROR(VLOOKUP($J160,'11 FORMULAS'!$B$51:$D$53,3,0),"")</f>
        <v/>
      </c>
      <c r="M160" s="327" t="s">
        <v>134</v>
      </c>
      <c r="N160" s="248">
        <f>+IFERROR(VLOOKUP($M160,'11 FORMULAS'!$B$54:$C$55,2,0),"")</f>
        <v>0.25</v>
      </c>
      <c r="O160" s="328" t="s">
        <v>146</v>
      </c>
      <c r="P160" s="328" t="s">
        <v>239</v>
      </c>
      <c r="Q160" s="328" t="s">
        <v>137</v>
      </c>
      <c r="R160" s="328" t="s">
        <v>247</v>
      </c>
      <c r="S160" s="248" t="str">
        <f t="shared" si="3"/>
        <v/>
      </c>
      <c r="T160" s="248" t="str">
        <f>IF($L160='11 FORMULAS'!$D$51,$C$160-($C$160*$S$160),$C$160)</f>
        <v/>
      </c>
      <c r="U160" s="248" t="str">
        <f>IF($L160='11 FORMULAS'!$D$53,$D$160-($D$160*$S$160),$D$160)</f>
        <v/>
      </c>
      <c r="V160" s="472" t="str">
        <f>+IF(T165="","",T165)</f>
        <v/>
      </c>
      <c r="W160" s="475" t="str">
        <f>+IF(U165="","",U165)</f>
        <v/>
      </c>
      <c r="X160" s="28"/>
    </row>
    <row r="161" spans="1:24" ht="29.55" hidden="1" customHeight="1" x14ac:dyDescent="0.3">
      <c r="A161" s="451"/>
      <c r="B161" s="454"/>
      <c r="C161" s="448"/>
      <c r="D161" s="448"/>
      <c r="E161" s="246">
        <v>2</v>
      </c>
      <c r="F161" s="163"/>
      <c r="G161" s="163"/>
      <c r="H161" s="163"/>
      <c r="I161" s="212" t="str">
        <f t="shared" si="4"/>
        <v xml:space="preserve">  </v>
      </c>
      <c r="J161" s="283"/>
      <c r="K161" s="216" t="str">
        <f>+IFERROR(VLOOKUP($J161,'11 FORMULAS'!$B$51:$C$53,2,0),"")</f>
        <v/>
      </c>
      <c r="L161" s="216" t="str">
        <f>+IFERROR(VLOOKUP($J161,'11 FORMULAS'!$B$51:$D$53,3,0),"")</f>
        <v/>
      </c>
      <c r="M161" s="247"/>
      <c r="N161" s="216" t="str">
        <f>+IFERROR(VLOOKUP($M161,'11 FORMULAS'!$B$54:$C$55,2,0),"")</f>
        <v/>
      </c>
      <c r="O161" s="249"/>
      <c r="P161" s="249"/>
      <c r="Q161" s="249"/>
      <c r="R161" s="249"/>
      <c r="S161" s="216" t="str">
        <f t="shared" si="3"/>
        <v/>
      </c>
      <c r="T161" s="216" t="str">
        <f>IF($L161='11 FORMULAS'!$D$51,$C$160-($C$160*$S$160),$C$160)</f>
        <v/>
      </c>
      <c r="U161" s="216" t="str">
        <f>IF($L161='11 FORMULAS'!$D$53,$D$160-($D$160*$S$160),$D$160)</f>
        <v/>
      </c>
      <c r="V161" s="473"/>
      <c r="W161" s="476"/>
      <c r="X161" s="28"/>
    </row>
    <row r="162" spans="1:24" ht="29.55" hidden="1" customHeight="1" x14ac:dyDescent="0.3">
      <c r="A162" s="451"/>
      <c r="B162" s="454"/>
      <c r="C162" s="448"/>
      <c r="D162" s="448"/>
      <c r="E162" s="246">
        <v>3</v>
      </c>
      <c r="F162" s="163"/>
      <c r="G162" s="163"/>
      <c r="H162" s="163"/>
      <c r="I162" s="212" t="str">
        <f t="shared" si="4"/>
        <v xml:space="preserve">  </v>
      </c>
      <c r="J162" s="283"/>
      <c r="K162" s="216" t="str">
        <f>+IFERROR(VLOOKUP($J162,'11 FORMULAS'!$B$51:$C$53,2,0),"")</f>
        <v/>
      </c>
      <c r="L162" s="216" t="str">
        <f>+IFERROR(VLOOKUP($J162,'11 FORMULAS'!$B$51:$D$53,3,0),"")</f>
        <v/>
      </c>
      <c r="M162" s="247"/>
      <c r="N162" s="216" t="str">
        <f>+IFERROR(VLOOKUP($M162,'11 FORMULAS'!$B$54:$C$55,2,0),"")</f>
        <v/>
      </c>
      <c r="O162" s="249"/>
      <c r="P162" s="249"/>
      <c r="Q162" s="249"/>
      <c r="R162" s="249"/>
      <c r="S162" s="216" t="str">
        <f t="shared" si="3"/>
        <v/>
      </c>
      <c r="T162" s="216" t="str">
        <f>IF($L162='11 FORMULAS'!$D$51,$C$160-($C$160*$S$160),$C$160)</f>
        <v/>
      </c>
      <c r="U162" s="216" t="str">
        <f>IF($L162='11 FORMULAS'!$D$53,$D$160-($D$160*$S$160),$D$160)</f>
        <v/>
      </c>
      <c r="V162" s="473"/>
      <c r="W162" s="476"/>
      <c r="X162" s="28"/>
    </row>
    <row r="163" spans="1:24" ht="29.55" hidden="1" customHeight="1" x14ac:dyDescent="0.3">
      <c r="A163" s="451"/>
      <c r="B163" s="454"/>
      <c r="C163" s="448"/>
      <c r="D163" s="448"/>
      <c r="E163" s="246">
        <v>4</v>
      </c>
      <c r="F163" s="163"/>
      <c r="G163" s="163"/>
      <c r="H163" s="163"/>
      <c r="I163" s="212" t="str">
        <f t="shared" si="4"/>
        <v xml:space="preserve">  </v>
      </c>
      <c r="J163" s="283"/>
      <c r="K163" s="216" t="str">
        <f>+IFERROR(VLOOKUP($J163,'11 FORMULAS'!$B$51:$C$53,2,0),"")</f>
        <v/>
      </c>
      <c r="L163" s="216" t="str">
        <f>+IFERROR(VLOOKUP($J163,'11 FORMULAS'!$B$51:$D$53,3,0),"")</f>
        <v/>
      </c>
      <c r="M163" s="247"/>
      <c r="N163" s="216" t="str">
        <f>+IFERROR(VLOOKUP($M163,'11 FORMULAS'!$B$54:$C$55,2,0),"")</f>
        <v/>
      </c>
      <c r="O163" s="249"/>
      <c r="P163" s="249"/>
      <c r="Q163" s="249"/>
      <c r="R163" s="249"/>
      <c r="S163" s="216" t="str">
        <f t="shared" si="3"/>
        <v/>
      </c>
      <c r="T163" s="216" t="str">
        <f>IF($L163='11 FORMULAS'!$D$51,$C$160-($C$160*$S$160),$C$160)</f>
        <v/>
      </c>
      <c r="U163" s="216" t="str">
        <f>IF($L163='11 FORMULAS'!$D$53,$D$160-($D$160*$S$160),$D$160)</f>
        <v/>
      </c>
      <c r="V163" s="473"/>
      <c r="W163" s="476"/>
      <c r="X163" s="28"/>
    </row>
    <row r="164" spans="1:24" ht="29.55" hidden="1" customHeight="1" x14ac:dyDescent="0.3">
      <c r="A164" s="451"/>
      <c r="B164" s="454"/>
      <c r="C164" s="448"/>
      <c r="D164" s="448"/>
      <c r="E164" s="246">
        <v>5</v>
      </c>
      <c r="F164" s="163"/>
      <c r="G164" s="163"/>
      <c r="H164" s="163"/>
      <c r="I164" s="212" t="str">
        <f t="shared" si="4"/>
        <v xml:space="preserve">  </v>
      </c>
      <c r="J164" s="283"/>
      <c r="K164" s="216" t="str">
        <f>+IFERROR(VLOOKUP($J164,'11 FORMULAS'!$B$51:$C$53,2,0),"")</f>
        <v/>
      </c>
      <c r="L164" s="216" t="str">
        <f>+IFERROR(VLOOKUP($J164,'11 FORMULAS'!$B$51:$D$53,3,0),"")</f>
        <v/>
      </c>
      <c r="M164" s="247"/>
      <c r="N164" s="216" t="str">
        <f>+IFERROR(VLOOKUP($M164,'11 FORMULAS'!$B$54:$C$55,2,0),"")</f>
        <v/>
      </c>
      <c r="O164" s="249"/>
      <c r="P164" s="249"/>
      <c r="Q164" s="249"/>
      <c r="R164" s="249"/>
      <c r="S164" s="216" t="str">
        <f t="shared" si="3"/>
        <v/>
      </c>
      <c r="T164" s="216" t="str">
        <f>IF($L164='11 FORMULAS'!$D$51,$C$160-($C$160*$S$160),$C$160)</f>
        <v/>
      </c>
      <c r="U164" s="216" t="str">
        <f>IF($L164='11 FORMULAS'!$D$53,$D$160-($D$160*$S$160),$D$160)</f>
        <v/>
      </c>
      <c r="V164" s="473"/>
      <c r="W164" s="476"/>
      <c r="X164" s="28"/>
    </row>
    <row r="165" spans="1:24" ht="29.55" hidden="1" customHeight="1" thickBot="1" x14ac:dyDescent="0.35">
      <c r="A165" s="452"/>
      <c r="B165" s="455"/>
      <c r="C165" s="449"/>
      <c r="D165" s="449"/>
      <c r="E165" s="250">
        <v>6</v>
      </c>
      <c r="F165" s="164"/>
      <c r="G165" s="164"/>
      <c r="H165" s="164"/>
      <c r="I165" s="329" t="str">
        <f t="shared" si="4"/>
        <v xml:space="preserve">  </v>
      </c>
      <c r="J165" s="330"/>
      <c r="K165" s="331" t="str">
        <f>+IFERROR(VLOOKUP($J165,'11 FORMULAS'!$B$51:$C$53,2,0),"")</f>
        <v/>
      </c>
      <c r="L165" s="331" t="str">
        <f>+IFERROR(VLOOKUP($J165,'11 FORMULAS'!$B$51:$D$53,3,0),"")</f>
        <v/>
      </c>
      <c r="M165" s="332"/>
      <c r="N165" s="331" t="str">
        <f>+IFERROR(VLOOKUP($M165,'11 FORMULAS'!$B$54:$C$55,2,0),"")</f>
        <v/>
      </c>
      <c r="O165" s="333"/>
      <c r="P165" s="333"/>
      <c r="Q165" s="333"/>
      <c r="R165" s="333"/>
      <c r="S165" s="331" t="str">
        <f t="shared" si="3"/>
        <v/>
      </c>
      <c r="T165" s="216" t="str">
        <f>IF($L165='11 FORMULAS'!$D$51,$C$160-($C$160*$S$160),$C$160)</f>
        <v/>
      </c>
      <c r="U165" s="216" t="str">
        <f>IF($L165='11 FORMULAS'!$D$53,$D$160-($D$160*$S$160),$D$160)</f>
        <v/>
      </c>
      <c r="V165" s="474"/>
      <c r="W165" s="477"/>
      <c r="X165" s="28"/>
    </row>
    <row r="166" spans="1:24" ht="29.55" hidden="1" customHeight="1" x14ac:dyDescent="0.3">
      <c r="A166" s="450" t="str">
        <f>'2 IDENTIFICACIÓN'!A36</f>
        <v>R27</v>
      </c>
      <c r="B166" s="453" t="str">
        <f>+'2 IDENTIFICACIÓN'!J36</f>
        <v xml:space="preserve"> por  debido a </v>
      </c>
      <c r="C166" s="447" t="str">
        <f>+'3 PROBABIL E IMPACTO INHERENTE'!E36</f>
        <v/>
      </c>
      <c r="D166" s="447" t="str">
        <f>+'3 PROBABIL E IMPACTO INHERENTE'!M36</f>
        <v/>
      </c>
      <c r="E166" s="324">
        <v>1</v>
      </c>
      <c r="F166" s="35"/>
      <c r="G166" s="35"/>
      <c r="H166" s="35"/>
      <c r="I166" s="325" t="str">
        <f t="shared" si="4"/>
        <v xml:space="preserve">  </v>
      </c>
      <c r="J166" s="326"/>
      <c r="K166" s="248" t="str">
        <f>+IFERROR(VLOOKUP($J166,'11 FORMULAS'!$B$51:$C$53,2,0),"")</f>
        <v/>
      </c>
      <c r="L166" s="248" t="str">
        <f>+IFERROR(VLOOKUP($J166,'11 FORMULAS'!$B$51:$D$53,3,0),"")</f>
        <v/>
      </c>
      <c r="M166" s="327" t="s">
        <v>134</v>
      </c>
      <c r="N166" s="248">
        <f>+IFERROR(VLOOKUP($M166,'11 FORMULAS'!$B$54:$C$55,2,0),"")</f>
        <v>0.25</v>
      </c>
      <c r="O166" s="328" t="s">
        <v>146</v>
      </c>
      <c r="P166" s="328" t="s">
        <v>239</v>
      </c>
      <c r="Q166" s="328" t="s">
        <v>137</v>
      </c>
      <c r="R166" s="328" t="s">
        <v>247</v>
      </c>
      <c r="S166" s="248" t="str">
        <f t="shared" si="3"/>
        <v/>
      </c>
      <c r="T166" s="248" t="str">
        <f>IF($L166='11 FORMULAS'!$D$51,$C$166-($C$166*$S$166),$C$166)</f>
        <v/>
      </c>
      <c r="U166" s="248" t="str">
        <f>IF($L166='11 FORMULAS'!$D$53,$D$166-($D$166*$S$166),$D$166)</f>
        <v/>
      </c>
      <c r="V166" s="472" t="str">
        <f>+IF(T171="","",T171)</f>
        <v/>
      </c>
      <c r="W166" s="475" t="str">
        <f>+IF(U171="","",U171)</f>
        <v/>
      </c>
      <c r="X166" s="28"/>
    </row>
    <row r="167" spans="1:24" ht="29.55" hidden="1" customHeight="1" x14ac:dyDescent="0.3">
      <c r="A167" s="451"/>
      <c r="B167" s="454"/>
      <c r="C167" s="448"/>
      <c r="D167" s="448"/>
      <c r="E167" s="246">
        <v>2</v>
      </c>
      <c r="F167" s="163"/>
      <c r="G167" s="163"/>
      <c r="H167" s="163"/>
      <c r="I167" s="212" t="str">
        <f t="shared" si="4"/>
        <v xml:space="preserve">  </v>
      </c>
      <c r="J167" s="283"/>
      <c r="K167" s="216" t="str">
        <f>+IFERROR(VLOOKUP($J167,'11 FORMULAS'!$B$51:$C$53,2,0),"")</f>
        <v/>
      </c>
      <c r="L167" s="216" t="str">
        <f>+IFERROR(VLOOKUP($J167,'11 FORMULAS'!$B$51:$D$53,3,0),"")</f>
        <v/>
      </c>
      <c r="M167" s="247"/>
      <c r="N167" s="216" t="str">
        <f>+IFERROR(VLOOKUP($M167,'11 FORMULAS'!$B$54:$C$55,2,0),"")</f>
        <v/>
      </c>
      <c r="O167" s="249"/>
      <c r="P167" s="249"/>
      <c r="Q167" s="249"/>
      <c r="R167" s="249"/>
      <c r="S167" s="216" t="str">
        <f t="shared" si="3"/>
        <v/>
      </c>
      <c r="T167" s="216" t="str">
        <f>IF($L167='11 FORMULAS'!$D$51,$C$166-($C$166*$S$166),$C$166)</f>
        <v/>
      </c>
      <c r="U167" s="216" t="str">
        <f>IF($L167='11 FORMULAS'!$D$53,$D$166-($D$166*$S$166),$D$166)</f>
        <v/>
      </c>
      <c r="V167" s="473"/>
      <c r="W167" s="476"/>
      <c r="X167" s="28"/>
    </row>
    <row r="168" spans="1:24" ht="29.55" hidden="1" customHeight="1" x14ac:dyDescent="0.3">
      <c r="A168" s="451"/>
      <c r="B168" s="454"/>
      <c r="C168" s="448"/>
      <c r="D168" s="448"/>
      <c r="E168" s="246">
        <v>3</v>
      </c>
      <c r="F168" s="163"/>
      <c r="G168" s="163"/>
      <c r="H168" s="163"/>
      <c r="I168" s="212" t="str">
        <f t="shared" si="4"/>
        <v xml:space="preserve">  </v>
      </c>
      <c r="J168" s="283"/>
      <c r="K168" s="216" t="str">
        <f>+IFERROR(VLOOKUP($J168,'11 FORMULAS'!$B$51:$C$53,2,0),"")</f>
        <v/>
      </c>
      <c r="L168" s="216" t="str">
        <f>+IFERROR(VLOOKUP($J168,'11 FORMULAS'!$B$51:$D$53,3,0),"")</f>
        <v/>
      </c>
      <c r="M168" s="247"/>
      <c r="N168" s="216" t="str">
        <f>+IFERROR(VLOOKUP($M168,'11 FORMULAS'!$B$54:$C$55,2,0),"")</f>
        <v/>
      </c>
      <c r="O168" s="249"/>
      <c r="P168" s="249"/>
      <c r="Q168" s="249"/>
      <c r="R168" s="249"/>
      <c r="S168" s="216" t="str">
        <f t="shared" si="3"/>
        <v/>
      </c>
      <c r="T168" s="216" t="str">
        <f>IF($L168='11 FORMULAS'!$D$51,$C$166-($C$166*$S$166),$C$166)</f>
        <v/>
      </c>
      <c r="U168" s="216" t="str">
        <f>IF($L168='11 FORMULAS'!$D$53,$D$166-($D$166*$S$166),$D$166)</f>
        <v/>
      </c>
      <c r="V168" s="473"/>
      <c r="W168" s="476"/>
      <c r="X168" s="28"/>
    </row>
    <row r="169" spans="1:24" ht="29.55" hidden="1" customHeight="1" x14ac:dyDescent="0.3">
      <c r="A169" s="451"/>
      <c r="B169" s="454"/>
      <c r="C169" s="448"/>
      <c r="D169" s="448"/>
      <c r="E169" s="246">
        <v>4</v>
      </c>
      <c r="F169" s="163"/>
      <c r="G169" s="163"/>
      <c r="H169" s="163"/>
      <c r="I169" s="212" t="str">
        <f t="shared" si="4"/>
        <v xml:space="preserve">  </v>
      </c>
      <c r="J169" s="283"/>
      <c r="K169" s="216" t="str">
        <f>+IFERROR(VLOOKUP($J169,'11 FORMULAS'!$B$51:$C$53,2,0),"")</f>
        <v/>
      </c>
      <c r="L169" s="216" t="str">
        <f>+IFERROR(VLOOKUP($J169,'11 FORMULAS'!$B$51:$D$53,3,0),"")</f>
        <v/>
      </c>
      <c r="M169" s="247"/>
      <c r="N169" s="216" t="str">
        <f>+IFERROR(VLOOKUP($M169,'11 FORMULAS'!$B$54:$C$55,2,0),"")</f>
        <v/>
      </c>
      <c r="O169" s="249"/>
      <c r="P169" s="249"/>
      <c r="Q169" s="249"/>
      <c r="R169" s="249"/>
      <c r="S169" s="216" t="str">
        <f t="shared" si="3"/>
        <v/>
      </c>
      <c r="T169" s="216" t="str">
        <f>IF($L169='11 FORMULAS'!$D$51,$C$166-($C$166*$S$166),$C$166)</f>
        <v/>
      </c>
      <c r="U169" s="216" t="str">
        <f>IF($L169='11 FORMULAS'!$D$53,$D$166-($D$166*$S$166),$D$166)</f>
        <v/>
      </c>
      <c r="V169" s="473"/>
      <c r="W169" s="476"/>
      <c r="X169" s="28"/>
    </row>
    <row r="170" spans="1:24" ht="29.55" hidden="1" customHeight="1" x14ac:dyDescent="0.3">
      <c r="A170" s="451"/>
      <c r="B170" s="454"/>
      <c r="C170" s="448"/>
      <c r="D170" s="448"/>
      <c r="E170" s="246">
        <v>5</v>
      </c>
      <c r="F170" s="163"/>
      <c r="G170" s="163"/>
      <c r="H170" s="163"/>
      <c r="I170" s="212" t="str">
        <f t="shared" si="4"/>
        <v xml:space="preserve">  </v>
      </c>
      <c r="J170" s="283"/>
      <c r="K170" s="216" t="str">
        <f>+IFERROR(VLOOKUP($J170,'11 FORMULAS'!$B$51:$C$53,2,0),"")</f>
        <v/>
      </c>
      <c r="L170" s="216" t="str">
        <f>+IFERROR(VLOOKUP($J170,'11 FORMULAS'!$B$51:$D$53,3,0),"")</f>
        <v/>
      </c>
      <c r="M170" s="247"/>
      <c r="N170" s="216" t="str">
        <f>+IFERROR(VLOOKUP($M170,'11 FORMULAS'!$B$54:$C$55,2,0),"")</f>
        <v/>
      </c>
      <c r="O170" s="249"/>
      <c r="P170" s="249"/>
      <c r="Q170" s="249"/>
      <c r="R170" s="249"/>
      <c r="S170" s="216" t="str">
        <f t="shared" si="3"/>
        <v/>
      </c>
      <c r="T170" s="216" t="str">
        <f>IF($L170='11 FORMULAS'!$D$51,$C$166-($C$166*$S$166),$C$166)</f>
        <v/>
      </c>
      <c r="U170" s="216" t="str">
        <f>IF($L170='11 FORMULAS'!$D$53,$D$166-($D$166*$S$166),$D$166)</f>
        <v/>
      </c>
      <c r="V170" s="473"/>
      <c r="W170" s="476"/>
      <c r="X170" s="28"/>
    </row>
    <row r="171" spans="1:24" ht="29.55" hidden="1" customHeight="1" thickBot="1" x14ac:dyDescent="0.35">
      <c r="A171" s="452"/>
      <c r="B171" s="455"/>
      <c r="C171" s="449"/>
      <c r="D171" s="449"/>
      <c r="E171" s="250">
        <v>6</v>
      </c>
      <c r="F171" s="164"/>
      <c r="G171" s="164"/>
      <c r="H171" s="164"/>
      <c r="I171" s="329" t="str">
        <f t="shared" si="4"/>
        <v xml:space="preserve">  </v>
      </c>
      <c r="J171" s="330"/>
      <c r="K171" s="331" t="str">
        <f>+IFERROR(VLOOKUP($J171,'11 FORMULAS'!$B$51:$C$53,2,0),"")</f>
        <v/>
      </c>
      <c r="L171" s="331" t="str">
        <f>+IFERROR(VLOOKUP($J171,'11 FORMULAS'!$B$51:$D$53,3,0),"")</f>
        <v/>
      </c>
      <c r="M171" s="332"/>
      <c r="N171" s="331" t="str">
        <f>+IFERROR(VLOOKUP($M171,'11 FORMULAS'!$B$54:$C$55,2,0),"")</f>
        <v/>
      </c>
      <c r="O171" s="333"/>
      <c r="P171" s="333"/>
      <c r="Q171" s="333"/>
      <c r="R171" s="333"/>
      <c r="S171" s="331" t="str">
        <f t="shared" si="3"/>
        <v/>
      </c>
      <c r="T171" s="216" t="str">
        <f>IF($L171='11 FORMULAS'!$D$51,$C$166-($C$166*$S$166),$C$166)</f>
        <v/>
      </c>
      <c r="U171" s="216" t="str">
        <f>IF($L171='11 FORMULAS'!$D$53,$D$166-($D$166*$S$166),$D$166)</f>
        <v/>
      </c>
      <c r="V171" s="474"/>
      <c r="W171" s="477"/>
      <c r="X171" s="28"/>
    </row>
    <row r="172" spans="1:24" ht="29.55" hidden="1" customHeight="1" x14ac:dyDescent="0.3">
      <c r="A172" s="450" t="str">
        <f>'2 IDENTIFICACIÓN'!A37</f>
        <v>R28</v>
      </c>
      <c r="B172" s="453" t="str">
        <f>+'2 IDENTIFICACIÓN'!J37</f>
        <v xml:space="preserve"> por  debido a </v>
      </c>
      <c r="C172" s="447" t="str">
        <f>+'3 PROBABIL E IMPACTO INHERENTE'!E37</f>
        <v/>
      </c>
      <c r="D172" s="447" t="str">
        <f>+'3 PROBABIL E IMPACTO INHERENTE'!M37</f>
        <v/>
      </c>
      <c r="E172" s="324">
        <v>1</v>
      </c>
      <c r="F172" s="35"/>
      <c r="G172" s="35"/>
      <c r="H172" s="35"/>
      <c r="I172" s="325" t="str">
        <f t="shared" si="4"/>
        <v xml:space="preserve">  </v>
      </c>
      <c r="J172" s="326"/>
      <c r="K172" s="248" t="str">
        <f>+IFERROR(VLOOKUP($J172,'11 FORMULAS'!$B$51:$C$53,2,0),"")</f>
        <v/>
      </c>
      <c r="L172" s="248" t="str">
        <f>+IFERROR(VLOOKUP($J172,'11 FORMULAS'!$B$51:$D$53,3,0),"")</f>
        <v/>
      </c>
      <c r="M172" s="327" t="s">
        <v>134</v>
      </c>
      <c r="N172" s="248">
        <f>+IFERROR(VLOOKUP($M172,'11 FORMULAS'!$B$54:$C$55,2,0),"")</f>
        <v>0.25</v>
      </c>
      <c r="O172" s="328" t="s">
        <v>146</v>
      </c>
      <c r="P172" s="328" t="s">
        <v>239</v>
      </c>
      <c r="Q172" s="328" t="s">
        <v>137</v>
      </c>
      <c r="R172" s="328" t="s">
        <v>247</v>
      </c>
      <c r="S172" s="248" t="str">
        <f t="shared" si="3"/>
        <v/>
      </c>
      <c r="T172" s="248" t="str">
        <f>IF($L172='11 FORMULAS'!$D$51,$C$172-($C$172*$S$172),$C$172)</f>
        <v/>
      </c>
      <c r="U172" s="248" t="str">
        <f>IF($L172='11 FORMULAS'!$D$53,$D$172-($D$172*$S$172),$D$172)</f>
        <v/>
      </c>
      <c r="V172" s="472" t="str">
        <f>+IF(T177="","",T177)</f>
        <v/>
      </c>
      <c r="W172" s="475" t="str">
        <f>+IF(U177="","",U177)</f>
        <v/>
      </c>
      <c r="X172" s="28"/>
    </row>
    <row r="173" spans="1:24" ht="29.55" hidden="1" customHeight="1" x14ac:dyDescent="0.3">
      <c r="A173" s="451"/>
      <c r="B173" s="454"/>
      <c r="C173" s="448"/>
      <c r="D173" s="448"/>
      <c r="E173" s="246">
        <v>2</v>
      </c>
      <c r="F173" s="163"/>
      <c r="G173" s="163"/>
      <c r="H173" s="163"/>
      <c r="I173" s="212" t="str">
        <f t="shared" si="4"/>
        <v xml:space="preserve">  </v>
      </c>
      <c r="J173" s="283"/>
      <c r="K173" s="216" t="str">
        <f>+IFERROR(VLOOKUP($J173,'11 FORMULAS'!$B$51:$C$53,2,0),"")</f>
        <v/>
      </c>
      <c r="L173" s="216" t="str">
        <f>+IFERROR(VLOOKUP($J173,'11 FORMULAS'!$B$51:$D$53,3,0),"")</f>
        <v/>
      </c>
      <c r="M173" s="247"/>
      <c r="N173" s="216" t="str">
        <f>+IFERROR(VLOOKUP($M173,'11 FORMULAS'!$B$54:$C$55,2,0),"")</f>
        <v/>
      </c>
      <c r="O173" s="249"/>
      <c r="P173" s="249"/>
      <c r="Q173" s="249"/>
      <c r="R173" s="249"/>
      <c r="S173" s="216" t="str">
        <f t="shared" si="3"/>
        <v/>
      </c>
      <c r="T173" s="216" t="str">
        <f>IF($L173='11 FORMULAS'!$D$51,$C$172-($C$172*$S$172),$C$172)</f>
        <v/>
      </c>
      <c r="U173" s="216" t="str">
        <f>IF($L173='11 FORMULAS'!$D$53,$D$172-($D$172*$S$172),$D$172)</f>
        <v/>
      </c>
      <c r="V173" s="473"/>
      <c r="W173" s="476"/>
      <c r="X173" s="28"/>
    </row>
    <row r="174" spans="1:24" ht="29.55" hidden="1" customHeight="1" x14ac:dyDescent="0.3">
      <c r="A174" s="451"/>
      <c r="B174" s="454"/>
      <c r="C174" s="448"/>
      <c r="D174" s="448"/>
      <c r="E174" s="246">
        <v>3</v>
      </c>
      <c r="F174" s="163"/>
      <c r="G174" s="163"/>
      <c r="H174" s="163"/>
      <c r="I174" s="212" t="str">
        <f t="shared" si="4"/>
        <v xml:space="preserve">  </v>
      </c>
      <c r="J174" s="283"/>
      <c r="K174" s="216" t="str">
        <f>+IFERROR(VLOOKUP($J174,'11 FORMULAS'!$B$51:$C$53,2,0),"")</f>
        <v/>
      </c>
      <c r="L174" s="216" t="str">
        <f>+IFERROR(VLOOKUP($J174,'11 FORMULAS'!$B$51:$D$53,3,0),"")</f>
        <v/>
      </c>
      <c r="M174" s="247"/>
      <c r="N174" s="216" t="str">
        <f>+IFERROR(VLOOKUP($M174,'11 FORMULAS'!$B$54:$C$55,2,0),"")</f>
        <v/>
      </c>
      <c r="O174" s="249"/>
      <c r="P174" s="249"/>
      <c r="Q174" s="249"/>
      <c r="R174" s="249"/>
      <c r="S174" s="216" t="str">
        <f t="shared" si="3"/>
        <v/>
      </c>
      <c r="T174" s="216" t="str">
        <f>IF($L174='11 FORMULAS'!$D$51,$C$172-($C$172*$S$172),$C$172)</f>
        <v/>
      </c>
      <c r="U174" s="216" t="str">
        <f>IF($L174='11 FORMULAS'!$D$53,$D$172-($D$172*$S$172),$D$172)</f>
        <v/>
      </c>
      <c r="V174" s="473"/>
      <c r="W174" s="476"/>
      <c r="X174" s="28"/>
    </row>
    <row r="175" spans="1:24" ht="29.55" hidden="1" customHeight="1" x14ac:dyDescent="0.3">
      <c r="A175" s="451"/>
      <c r="B175" s="454"/>
      <c r="C175" s="448"/>
      <c r="D175" s="448"/>
      <c r="E175" s="246">
        <v>4</v>
      </c>
      <c r="F175" s="163"/>
      <c r="G175" s="163"/>
      <c r="H175" s="163"/>
      <c r="I175" s="212" t="str">
        <f t="shared" si="4"/>
        <v xml:space="preserve">  </v>
      </c>
      <c r="J175" s="283"/>
      <c r="K175" s="216" t="str">
        <f>+IFERROR(VLOOKUP($J175,'11 FORMULAS'!$B$51:$C$53,2,0),"")</f>
        <v/>
      </c>
      <c r="L175" s="216" t="str">
        <f>+IFERROR(VLOOKUP($J175,'11 FORMULAS'!$B$51:$D$53,3,0),"")</f>
        <v/>
      </c>
      <c r="M175" s="247"/>
      <c r="N175" s="216" t="str">
        <f>+IFERROR(VLOOKUP($M175,'11 FORMULAS'!$B$54:$C$55,2,0),"")</f>
        <v/>
      </c>
      <c r="O175" s="249"/>
      <c r="P175" s="249"/>
      <c r="Q175" s="249"/>
      <c r="R175" s="249"/>
      <c r="S175" s="216" t="str">
        <f t="shared" si="3"/>
        <v/>
      </c>
      <c r="T175" s="216" t="str">
        <f>IF($L175='11 FORMULAS'!$D$51,$C$172-($C$172*$S$172),$C$172)</f>
        <v/>
      </c>
      <c r="U175" s="216" t="str">
        <f>IF($L175='11 FORMULAS'!$D$53,$D$172-($D$172*$S$172),$D$172)</f>
        <v/>
      </c>
      <c r="V175" s="473"/>
      <c r="W175" s="476"/>
      <c r="X175" s="28"/>
    </row>
    <row r="176" spans="1:24" ht="29.55" hidden="1" customHeight="1" x14ac:dyDescent="0.3">
      <c r="A176" s="451"/>
      <c r="B176" s="454"/>
      <c r="C176" s="448"/>
      <c r="D176" s="448"/>
      <c r="E176" s="246">
        <v>5</v>
      </c>
      <c r="F176" s="163"/>
      <c r="G176" s="163"/>
      <c r="H176" s="163"/>
      <c r="I176" s="212" t="str">
        <f t="shared" si="4"/>
        <v xml:space="preserve">  </v>
      </c>
      <c r="J176" s="283"/>
      <c r="K176" s="216" t="str">
        <f>+IFERROR(VLOOKUP($J176,'11 FORMULAS'!$B$51:$C$53,2,0),"")</f>
        <v/>
      </c>
      <c r="L176" s="216" t="str">
        <f>+IFERROR(VLOOKUP($J176,'11 FORMULAS'!$B$51:$D$53,3,0),"")</f>
        <v/>
      </c>
      <c r="M176" s="247"/>
      <c r="N176" s="216" t="str">
        <f>+IFERROR(VLOOKUP($M176,'11 FORMULAS'!$B$54:$C$55,2,0),"")</f>
        <v/>
      </c>
      <c r="O176" s="249"/>
      <c r="P176" s="249"/>
      <c r="Q176" s="249"/>
      <c r="R176" s="249"/>
      <c r="S176" s="216" t="str">
        <f t="shared" si="3"/>
        <v/>
      </c>
      <c r="T176" s="216" t="str">
        <f>IF($L176='11 FORMULAS'!$D$51,$C$172-($C$172*$S$172),$C$172)</f>
        <v/>
      </c>
      <c r="U176" s="216" t="str">
        <f>IF($L176='11 FORMULAS'!$D$53,$D$172-($D$172*$S$172),$D$172)</f>
        <v/>
      </c>
      <c r="V176" s="473"/>
      <c r="W176" s="476"/>
      <c r="X176" s="28"/>
    </row>
    <row r="177" spans="1:27" ht="29.55" hidden="1" customHeight="1" thickBot="1" x14ac:dyDescent="0.35">
      <c r="A177" s="452"/>
      <c r="B177" s="455"/>
      <c r="C177" s="449"/>
      <c r="D177" s="449"/>
      <c r="E177" s="250">
        <v>6</v>
      </c>
      <c r="F177" s="164"/>
      <c r="G177" s="164"/>
      <c r="H177" s="164"/>
      <c r="I177" s="329" t="str">
        <f t="shared" si="4"/>
        <v xml:space="preserve">  </v>
      </c>
      <c r="J177" s="330"/>
      <c r="K177" s="331" t="str">
        <f>+IFERROR(VLOOKUP($J177,'11 FORMULAS'!$B$51:$C$53,2,0),"")</f>
        <v/>
      </c>
      <c r="L177" s="331" t="str">
        <f>+IFERROR(VLOOKUP($J177,'11 FORMULAS'!$B$51:$D$53,3,0),"")</f>
        <v/>
      </c>
      <c r="M177" s="332"/>
      <c r="N177" s="331" t="str">
        <f>+IFERROR(VLOOKUP($M177,'11 FORMULAS'!$B$54:$C$55,2,0),"")</f>
        <v/>
      </c>
      <c r="O177" s="333"/>
      <c r="P177" s="333"/>
      <c r="Q177" s="333"/>
      <c r="R177" s="333"/>
      <c r="S177" s="331" t="str">
        <f t="shared" si="3"/>
        <v/>
      </c>
      <c r="T177" s="216" t="str">
        <f>IF($L177='11 FORMULAS'!$D$51,$C$172-($C$172*$S$172),$C$172)</f>
        <v/>
      </c>
      <c r="U177" s="216" t="str">
        <f>IF($L177='11 FORMULAS'!$D$53,$D$172-($D$172*$S$172),$D$172)</f>
        <v/>
      </c>
      <c r="V177" s="474"/>
      <c r="W177" s="477"/>
      <c r="X177" s="28"/>
    </row>
    <row r="178" spans="1:27" ht="29.55" hidden="1" customHeight="1" x14ac:dyDescent="0.3">
      <c r="A178" s="450" t="str">
        <f>'2 IDENTIFICACIÓN'!A38</f>
        <v>R29</v>
      </c>
      <c r="B178" s="453" t="str">
        <f>+'2 IDENTIFICACIÓN'!J38</f>
        <v xml:space="preserve"> por  debido a </v>
      </c>
      <c r="C178" s="447" t="str">
        <f>+'3 PROBABIL E IMPACTO INHERENTE'!E38</f>
        <v/>
      </c>
      <c r="D178" s="447" t="str">
        <f>+'3 PROBABIL E IMPACTO INHERENTE'!M38</f>
        <v/>
      </c>
      <c r="E178" s="324">
        <v>1</v>
      </c>
      <c r="F178" s="35"/>
      <c r="G178" s="35"/>
      <c r="H178" s="35"/>
      <c r="I178" s="325" t="str">
        <f t="shared" si="4"/>
        <v xml:space="preserve">  </v>
      </c>
      <c r="J178" s="326"/>
      <c r="K178" s="248" t="str">
        <f>+IFERROR(VLOOKUP($J178,'11 FORMULAS'!$B$51:$C$53,2,0),"")</f>
        <v/>
      </c>
      <c r="L178" s="248" t="str">
        <f>+IFERROR(VLOOKUP($J178,'11 FORMULAS'!$B$51:$D$53,3,0),"")</f>
        <v/>
      </c>
      <c r="M178" s="327" t="s">
        <v>134</v>
      </c>
      <c r="N178" s="248">
        <f>+IFERROR(VLOOKUP($M178,'11 FORMULAS'!$B$54:$C$55,2,0),"")</f>
        <v>0.25</v>
      </c>
      <c r="O178" s="328" t="s">
        <v>146</v>
      </c>
      <c r="P178" s="328" t="s">
        <v>239</v>
      </c>
      <c r="Q178" s="328" t="s">
        <v>137</v>
      </c>
      <c r="R178" s="328" t="s">
        <v>247</v>
      </c>
      <c r="S178" s="248" t="str">
        <f t="shared" si="3"/>
        <v/>
      </c>
      <c r="T178" s="248" t="str">
        <f>IF($L178='11 FORMULAS'!$D$51,$C$178-($C$178*$S$178),$C$178)</f>
        <v/>
      </c>
      <c r="U178" s="248" t="str">
        <f>IF($L178='11 FORMULAS'!$D$53,$D$178-($D$178*$S$178),$D$178)</f>
        <v/>
      </c>
      <c r="V178" s="472" t="str">
        <f>+IF(T183="","",T183)</f>
        <v/>
      </c>
      <c r="W178" s="475" t="str">
        <f>+IF(U183="","",U183)</f>
        <v/>
      </c>
      <c r="X178" s="28"/>
    </row>
    <row r="179" spans="1:27" ht="29.55" hidden="1" customHeight="1" x14ac:dyDescent="0.3">
      <c r="A179" s="451"/>
      <c r="B179" s="454"/>
      <c r="C179" s="448"/>
      <c r="D179" s="448"/>
      <c r="E179" s="246">
        <v>2</v>
      </c>
      <c r="F179" s="163"/>
      <c r="G179" s="163"/>
      <c r="H179" s="163"/>
      <c r="I179" s="212" t="str">
        <f t="shared" si="4"/>
        <v xml:space="preserve">  </v>
      </c>
      <c r="J179" s="283"/>
      <c r="K179" s="216" t="str">
        <f>+IFERROR(VLOOKUP($J179,'11 FORMULAS'!$B$51:$C$53,2,0),"")</f>
        <v/>
      </c>
      <c r="L179" s="216" t="str">
        <f>+IFERROR(VLOOKUP($J179,'11 FORMULAS'!$B$51:$D$53,3,0),"")</f>
        <v/>
      </c>
      <c r="M179" s="247"/>
      <c r="N179" s="216" t="str">
        <f>+IFERROR(VLOOKUP($M179,'11 FORMULAS'!$B$54:$C$55,2,0),"")</f>
        <v/>
      </c>
      <c r="O179" s="249"/>
      <c r="P179" s="249"/>
      <c r="Q179" s="249"/>
      <c r="R179" s="249"/>
      <c r="S179" s="216" t="str">
        <f t="shared" si="3"/>
        <v/>
      </c>
      <c r="T179" s="216" t="str">
        <f>IF($L179='11 FORMULAS'!$D$51,$C$178-($C$178*$S$178),$C$178)</f>
        <v/>
      </c>
      <c r="U179" s="216" t="str">
        <f>IF($L179='11 FORMULAS'!$D$53,$D$178-($D$178*$S$178),$D$178)</f>
        <v/>
      </c>
      <c r="V179" s="473"/>
      <c r="W179" s="476"/>
      <c r="X179" s="28"/>
    </row>
    <row r="180" spans="1:27" ht="29.55" hidden="1" customHeight="1" x14ac:dyDescent="0.3">
      <c r="A180" s="451"/>
      <c r="B180" s="454"/>
      <c r="C180" s="448"/>
      <c r="D180" s="448"/>
      <c r="E180" s="246">
        <v>3</v>
      </c>
      <c r="F180" s="163"/>
      <c r="G180" s="163"/>
      <c r="H180" s="163"/>
      <c r="I180" s="212" t="str">
        <f t="shared" si="4"/>
        <v xml:space="preserve">  </v>
      </c>
      <c r="J180" s="283"/>
      <c r="K180" s="216" t="str">
        <f>+IFERROR(VLOOKUP($J180,'11 FORMULAS'!$B$51:$C$53,2,0),"")</f>
        <v/>
      </c>
      <c r="L180" s="216" t="str">
        <f>+IFERROR(VLOOKUP($J180,'11 FORMULAS'!$B$51:$D$53,3,0),"")</f>
        <v/>
      </c>
      <c r="M180" s="247"/>
      <c r="N180" s="216" t="str">
        <f>+IFERROR(VLOOKUP($M180,'11 FORMULAS'!$B$54:$C$55,2,0),"")</f>
        <v/>
      </c>
      <c r="O180" s="249"/>
      <c r="P180" s="249"/>
      <c r="Q180" s="249"/>
      <c r="R180" s="249"/>
      <c r="S180" s="216" t="str">
        <f t="shared" si="3"/>
        <v/>
      </c>
      <c r="T180" s="216" t="str">
        <f>IF($L180='11 FORMULAS'!$D$51,$C$178-($C$178*$S$178),$C$178)</f>
        <v/>
      </c>
      <c r="U180" s="216" t="str">
        <f>IF($L180='11 FORMULAS'!$D$53,$D$178-($D$178*$S$178),$D$178)</f>
        <v/>
      </c>
      <c r="V180" s="473"/>
      <c r="W180" s="476"/>
      <c r="X180" s="28"/>
    </row>
    <row r="181" spans="1:27" ht="29.55" hidden="1" customHeight="1" x14ac:dyDescent="0.3">
      <c r="A181" s="451"/>
      <c r="B181" s="454"/>
      <c r="C181" s="448"/>
      <c r="D181" s="448"/>
      <c r="E181" s="246">
        <v>4</v>
      </c>
      <c r="F181" s="163"/>
      <c r="G181" s="163"/>
      <c r="H181" s="163"/>
      <c r="I181" s="212" t="str">
        <f t="shared" si="4"/>
        <v xml:space="preserve">  </v>
      </c>
      <c r="J181" s="283"/>
      <c r="K181" s="216" t="str">
        <f>+IFERROR(VLOOKUP($J181,'11 FORMULAS'!$B$51:$C$53,2,0),"")</f>
        <v/>
      </c>
      <c r="L181" s="216" t="str">
        <f>+IFERROR(VLOOKUP($J181,'11 FORMULAS'!$B$51:$D$53,3,0),"")</f>
        <v/>
      </c>
      <c r="M181" s="247"/>
      <c r="N181" s="216" t="str">
        <f>+IFERROR(VLOOKUP($M181,'11 FORMULAS'!$B$54:$C$55,2,0),"")</f>
        <v/>
      </c>
      <c r="O181" s="249"/>
      <c r="P181" s="249"/>
      <c r="Q181" s="249"/>
      <c r="R181" s="249"/>
      <c r="S181" s="216" t="str">
        <f t="shared" si="3"/>
        <v/>
      </c>
      <c r="T181" s="216" t="str">
        <f>IF($L181='11 FORMULAS'!$D$51,$C$178-($C$178*$S$178),$C$178)</f>
        <v/>
      </c>
      <c r="U181" s="216" t="str">
        <f>IF($L181='11 FORMULAS'!$D$53,$D$178-($D$178*$S$178),$D$178)</f>
        <v/>
      </c>
      <c r="V181" s="473"/>
      <c r="W181" s="476"/>
      <c r="X181" s="28"/>
    </row>
    <row r="182" spans="1:27" ht="29.55" hidden="1" customHeight="1" x14ac:dyDescent="0.3">
      <c r="A182" s="451"/>
      <c r="B182" s="454"/>
      <c r="C182" s="448"/>
      <c r="D182" s="448"/>
      <c r="E182" s="246">
        <v>5</v>
      </c>
      <c r="F182" s="163"/>
      <c r="G182" s="163"/>
      <c r="H182" s="163"/>
      <c r="I182" s="212" t="str">
        <f t="shared" si="4"/>
        <v xml:space="preserve">  </v>
      </c>
      <c r="J182" s="283"/>
      <c r="K182" s="216" t="str">
        <f>+IFERROR(VLOOKUP($J182,'11 FORMULAS'!$B$51:$C$53,2,0),"")</f>
        <v/>
      </c>
      <c r="L182" s="216" t="str">
        <f>+IFERROR(VLOOKUP($J182,'11 FORMULAS'!$B$51:$D$53,3,0),"")</f>
        <v/>
      </c>
      <c r="M182" s="247"/>
      <c r="N182" s="216" t="str">
        <f>+IFERROR(VLOOKUP($M182,'11 FORMULAS'!$B$54:$C$55,2,0),"")</f>
        <v/>
      </c>
      <c r="O182" s="249"/>
      <c r="P182" s="249"/>
      <c r="Q182" s="249"/>
      <c r="R182" s="249"/>
      <c r="S182" s="216" t="str">
        <f t="shared" si="3"/>
        <v/>
      </c>
      <c r="T182" s="216" t="str">
        <f>IF($L182='11 FORMULAS'!$D$51,$C$178-($C$178*$S$178),$C$178)</f>
        <v/>
      </c>
      <c r="U182" s="216" t="str">
        <f>IF($L182='11 FORMULAS'!$D$53,$D$178-($D$178*$S$178),$D$178)</f>
        <v/>
      </c>
      <c r="V182" s="473"/>
      <c r="W182" s="476"/>
      <c r="X182" s="28"/>
    </row>
    <row r="183" spans="1:27" ht="29.55" hidden="1" customHeight="1" thickBot="1" x14ac:dyDescent="0.35">
      <c r="A183" s="452"/>
      <c r="B183" s="455"/>
      <c r="C183" s="449"/>
      <c r="D183" s="449"/>
      <c r="E183" s="250">
        <v>6</v>
      </c>
      <c r="F183" s="164"/>
      <c r="G183" s="164"/>
      <c r="H183" s="164"/>
      <c r="I183" s="329" t="str">
        <f t="shared" si="4"/>
        <v xml:space="preserve">  </v>
      </c>
      <c r="J183" s="330"/>
      <c r="K183" s="331" t="str">
        <f>+IFERROR(VLOOKUP($J183,'11 FORMULAS'!$B$51:$C$53,2,0),"")</f>
        <v/>
      </c>
      <c r="L183" s="331" t="str">
        <f>+IFERROR(VLOOKUP($J183,'11 FORMULAS'!$B$51:$D$53,3,0),"")</f>
        <v/>
      </c>
      <c r="M183" s="332"/>
      <c r="N183" s="331" t="str">
        <f>+IFERROR(VLOOKUP($M183,'11 FORMULAS'!$B$54:$C$55,2,0),"")</f>
        <v/>
      </c>
      <c r="O183" s="333"/>
      <c r="P183" s="333"/>
      <c r="Q183" s="333"/>
      <c r="R183" s="333"/>
      <c r="S183" s="331" t="str">
        <f t="shared" si="3"/>
        <v/>
      </c>
      <c r="T183" s="216" t="str">
        <f>IF($L183='11 FORMULAS'!$D$51,$C$178-($C$178*$S$178),$C$178)</f>
        <v/>
      </c>
      <c r="U183" s="216" t="str">
        <f>IF($L183='11 FORMULAS'!$D$53,$D$178-($D$178*$S$178),$D$178)</f>
        <v/>
      </c>
      <c r="V183" s="474"/>
      <c r="W183" s="477"/>
      <c r="X183" s="28"/>
    </row>
    <row r="184" spans="1:27" ht="29.55" hidden="1" customHeight="1" x14ac:dyDescent="0.3">
      <c r="A184" s="450" t="str">
        <f>'2 IDENTIFICACIÓN'!A39</f>
        <v>R30</v>
      </c>
      <c r="B184" s="453" t="str">
        <f>+'2 IDENTIFICACIÓN'!J39</f>
        <v xml:space="preserve"> por  debido a </v>
      </c>
      <c r="C184" s="447" t="str">
        <f>+'3 PROBABIL E IMPACTO INHERENTE'!E39</f>
        <v/>
      </c>
      <c r="D184" s="447" t="str">
        <f>+'3 PROBABIL E IMPACTO INHERENTE'!M39</f>
        <v/>
      </c>
      <c r="E184" s="324">
        <v>1</v>
      </c>
      <c r="F184" s="35"/>
      <c r="G184" s="35"/>
      <c r="H184" s="35"/>
      <c r="I184" s="325" t="str">
        <f t="shared" si="2"/>
        <v xml:space="preserve">  </v>
      </c>
      <c r="J184" s="326"/>
      <c r="K184" s="248" t="str">
        <f>+IFERROR(VLOOKUP($J184,'11 FORMULAS'!$B$51:$C$53,2,0),"")</f>
        <v/>
      </c>
      <c r="L184" s="248" t="str">
        <f>+IFERROR(VLOOKUP($J184,'11 FORMULAS'!$B$51:$D$53,3,0),"")</f>
        <v/>
      </c>
      <c r="M184" s="327" t="s">
        <v>134</v>
      </c>
      <c r="N184" s="248">
        <f>+IFERROR(VLOOKUP($M184,'11 FORMULAS'!$B$54:$C$55,2,0),"")</f>
        <v>0.25</v>
      </c>
      <c r="O184" s="328" t="s">
        <v>146</v>
      </c>
      <c r="P184" s="328" t="s">
        <v>239</v>
      </c>
      <c r="Q184" s="328" t="s">
        <v>137</v>
      </c>
      <c r="R184" s="328" t="s">
        <v>247</v>
      </c>
      <c r="S184" s="248" t="str">
        <f t="shared" si="3"/>
        <v/>
      </c>
      <c r="T184" s="248" t="str">
        <f>IF($L184='11 FORMULAS'!$D$51,$C$184-($C$184*$S$184),$C$184)</f>
        <v/>
      </c>
      <c r="U184" s="248" t="str">
        <f>IF($L184='11 FORMULAS'!$D$53,$D$184-($D$184*$S$184),$D$184)</f>
        <v/>
      </c>
      <c r="V184" s="472" t="str">
        <f>+IF(T189="","",T189)</f>
        <v/>
      </c>
      <c r="W184" s="475" t="str">
        <f>+IF(U189="","",U189)</f>
        <v/>
      </c>
      <c r="X184" s="28"/>
      <c r="Y184" s="214"/>
      <c r="Z184" s="215"/>
      <c r="AA184" s="215"/>
    </row>
    <row r="185" spans="1:27" ht="29.55" hidden="1" customHeight="1" x14ac:dyDescent="0.3">
      <c r="A185" s="451"/>
      <c r="B185" s="454"/>
      <c r="C185" s="448"/>
      <c r="D185" s="448"/>
      <c r="E185" s="246">
        <v>2</v>
      </c>
      <c r="F185" s="163"/>
      <c r="G185" s="163"/>
      <c r="H185" s="163"/>
      <c r="I185" s="212" t="str">
        <f t="shared" si="2"/>
        <v xml:space="preserve">  </v>
      </c>
      <c r="J185" s="283"/>
      <c r="K185" s="216" t="str">
        <f>+IFERROR(VLOOKUP($J185,'11 FORMULAS'!$B$51:$C$53,2,0),"")</f>
        <v/>
      </c>
      <c r="L185" s="216" t="str">
        <f>+IFERROR(VLOOKUP($J185,'11 FORMULAS'!$B$51:$D$53,3,0),"")</f>
        <v/>
      </c>
      <c r="M185" s="247"/>
      <c r="N185" s="216" t="str">
        <f>+IFERROR(VLOOKUP($M185,'11 FORMULAS'!$B$54:$C$55,2,0),"")</f>
        <v/>
      </c>
      <c r="O185" s="249"/>
      <c r="P185" s="249"/>
      <c r="Q185" s="249"/>
      <c r="R185" s="249"/>
      <c r="S185" s="216" t="str">
        <f t="shared" si="3"/>
        <v/>
      </c>
      <c r="T185" s="216" t="str">
        <f>IF($L185='11 FORMULAS'!$D$51,$C$184-($C$184*$S$184),$C$184)</f>
        <v/>
      </c>
      <c r="U185" s="216" t="str">
        <f>IF($L185='11 FORMULAS'!$D$53,$D$184-($D$184*$S$184),$D$184)</f>
        <v/>
      </c>
      <c r="V185" s="473"/>
      <c r="W185" s="476"/>
      <c r="X185" s="28"/>
      <c r="Y185" s="214"/>
      <c r="Z185" s="215"/>
      <c r="AA185" s="215"/>
    </row>
    <row r="186" spans="1:27" ht="29.55" hidden="1" customHeight="1" x14ac:dyDescent="0.3">
      <c r="A186" s="451"/>
      <c r="B186" s="454"/>
      <c r="C186" s="448"/>
      <c r="D186" s="448"/>
      <c r="E186" s="246">
        <v>3</v>
      </c>
      <c r="F186" s="163"/>
      <c r="G186" s="163"/>
      <c r="H186" s="163"/>
      <c r="I186" s="212" t="str">
        <f t="shared" si="2"/>
        <v xml:space="preserve">  </v>
      </c>
      <c r="J186" s="283"/>
      <c r="K186" s="216" t="str">
        <f>+IFERROR(VLOOKUP($J186,'11 FORMULAS'!$B$51:$C$53,2,0),"")</f>
        <v/>
      </c>
      <c r="L186" s="216" t="str">
        <f>+IFERROR(VLOOKUP($J186,'11 FORMULAS'!$B$51:$D$53,3,0),"")</f>
        <v/>
      </c>
      <c r="M186" s="247"/>
      <c r="N186" s="216" t="str">
        <f>+IFERROR(VLOOKUP($M186,'11 FORMULAS'!$B$54:$C$55,2,0),"")</f>
        <v/>
      </c>
      <c r="O186" s="249"/>
      <c r="P186" s="249"/>
      <c r="Q186" s="249"/>
      <c r="R186" s="249"/>
      <c r="S186" s="216" t="str">
        <f t="shared" si="3"/>
        <v/>
      </c>
      <c r="T186" s="216" t="str">
        <f>IF($L186='11 FORMULAS'!$D$51,$C$184-($C$184*$S$184),$C$184)</f>
        <v/>
      </c>
      <c r="U186" s="216" t="str">
        <f>IF($L186='11 FORMULAS'!$D$53,$D$184-($D$184*$S$184),$D$184)</f>
        <v/>
      </c>
      <c r="V186" s="473"/>
      <c r="W186" s="476"/>
      <c r="X186" s="28"/>
      <c r="Y186" s="214"/>
      <c r="Z186" s="215"/>
      <c r="AA186" s="215"/>
    </row>
    <row r="187" spans="1:27" ht="29.55" hidden="1" customHeight="1" x14ac:dyDescent="0.3">
      <c r="A187" s="451"/>
      <c r="B187" s="454"/>
      <c r="C187" s="448"/>
      <c r="D187" s="448"/>
      <c r="E187" s="246">
        <v>4</v>
      </c>
      <c r="F187" s="163"/>
      <c r="G187" s="163"/>
      <c r="H187" s="163"/>
      <c r="I187" s="212" t="str">
        <f t="shared" si="2"/>
        <v xml:space="preserve">  </v>
      </c>
      <c r="J187" s="283"/>
      <c r="K187" s="216" t="str">
        <f>+IFERROR(VLOOKUP($J187,'11 FORMULAS'!$B$51:$C$53,2,0),"")</f>
        <v/>
      </c>
      <c r="L187" s="216" t="str">
        <f>+IFERROR(VLOOKUP($J187,'11 FORMULAS'!$B$51:$D$53,3,0),"")</f>
        <v/>
      </c>
      <c r="M187" s="247"/>
      <c r="N187" s="216" t="str">
        <f>+IFERROR(VLOOKUP($M187,'11 FORMULAS'!$B$54:$C$55,2,0),"")</f>
        <v/>
      </c>
      <c r="O187" s="249"/>
      <c r="P187" s="249"/>
      <c r="Q187" s="249"/>
      <c r="R187" s="249"/>
      <c r="S187" s="216" t="str">
        <f t="shared" si="3"/>
        <v/>
      </c>
      <c r="T187" s="216" t="str">
        <f>IF($L187='11 FORMULAS'!$D$51,$C$184-($C$184*$S$184),$C$184)</f>
        <v/>
      </c>
      <c r="U187" s="216" t="str">
        <f>IF($L187='11 FORMULAS'!$D$53,$D$184-($D$184*$S$184),$D$184)</f>
        <v/>
      </c>
      <c r="V187" s="473"/>
      <c r="W187" s="476"/>
      <c r="X187" s="28"/>
      <c r="Y187" s="214"/>
      <c r="Z187" s="215"/>
      <c r="AA187" s="215"/>
    </row>
    <row r="188" spans="1:27" ht="29.55" hidden="1" customHeight="1" x14ac:dyDescent="0.3">
      <c r="A188" s="451"/>
      <c r="B188" s="454"/>
      <c r="C188" s="448"/>
      <c r="D188" s="448"/>
      <c r="E188" s="246">
        <v>5</v>
      </c>
      <c r="F188" s="163"/>
      <c r="G188" s="163"/>
      <c r="H188" s="163"/>
      <c r="I188" s="212" t="str">
        <f t="shared" si="2"/>
        <v xml:space="preserve">  </v>
      </c>
      <c r="J188" s="283"/>
      <c r="K188" s="216" t="str">
        <f>+IFERROR(VLOOKUP($J188,'11 FORMULAS'!$B$51:$C$53,2,0),"")</f>
        <v/>
      </c>
      <c r="L188" s="216" t="str">
        <f>+IFERROR(VLOOKUP($J188,'11 FORMULAS'!$B$51:$D$53,3,0),"")</f>
        <v/>
      </c>
      <c r="M188" s="247"/>
      <c r="N188" s="216" t="str">
        <f>+IFERROR(VLOOKUP($M188,'11 FORMULAS'!$B$54:$C$55,2,0),"")</f>
        <v/>
      </c>
      <c r="O188" s="249"/>
      <c r="P188" s="249"/>
      <c r="Q188" s="249"/>
      <c r="R188" s="249"/>
      <c r="S188" s="216" t="str">
        <f t="shared" si="3"/>
        <v/>
      </c>
      <c r="T188" s="216" t="str">
        <f>IF($L188='11 FORMULAS'!$D$51,$C$184-($C$184*$S$184),$C$184)</f>
        <v/>
      </c>
      <c r="U188" s="216" t="str">
        <f>IF($L188='11 FORMULAS'!$D$53,$D$184-($D$184*$S$184),$D$184)</f>
        <v/>
      </c>
      <c r="V188" s="473"/>
      <c r="W188" s="476"/>
      <c r="X188" s="28"/>
      <c r="Y188" s="214"/>
      <c r="Z188" s="215"/>
      <c r="AA188" s="215"/>
    </row>
    <row r="189" spans="1:27" ht="29.55" hidden="1" customHeight="1" thickBot="1" x14ac:dyDescent="0.35">
      <c r="A189" s="452"/>
      <c r="B189" s="455"/>
      <c r="C189" s="449"/>
      <c r="D189" s="449"/>
      <c r="E189" s="250">
        <v>6</v>
      </c>
      <c r="F189" s="164"/>
      <c r="G189" s="164"/>
      <c r="H189" s="164"/>
      <c r="I189" s="329" t="str">
        <f t="shared" si="2"/>
        <v xml:space="preserve">  </v>
      </c>
      <c r="J189" s="330"/>
      <c r="K189" s="331" t="str">
        <f>+IFERROR(VLOOKUP($J189,'11 FORMULAS'!$B$51:$C$53,2,0),"")</f>
        <v/>
      </c>
      <c r="L189" s="331" t="str">
        <f>+IFERROR(VLOOKUP($J189,'11 FORMULAS'!$B$51:$D$53,3,0),"")</f>
        <v/>
      </c>
      <c r="M189" s="332"/>
      <c r="N189" s="331" t="str">
        <f>+IFERROR(VLOOKUP($M189,'11 FORMULAS'!$B$54:$C$55,2,0),"")</f>
        <v/>
      </c>
      <c r="O189" s="333"/>
      <c r="P189" s="333"/>
      <c r="Q189" s="333"/>
      <c r="R189" s="333"/>
      <c r="S189" s="331" t="str">
        <f t="shared" si="3"/>
        <v/>
      </c>
      <c r="T189" s="331" t="str">
        <f>IF($L189='11 FORMULAS'!$D$51,$C$184-($C$184*$S$184),$C$184)</f>
        <v/>
      </c>
      <c r="U189" s="331" t="str">
        <f>IF($L189='11 FORMULAS'!$D$53,$D$184-($D$184*$S$184),$D$184)</f>
        <v/>
      </c>
      <c r="V189" s="474"/>
      <c r="W189" s="477"/>
      <c r="X189" s="28"/>
    </row>
    <row r="190" spans="1:27" ht="14.4" thickBot="1" x14ac:dyDescent="0.35"/>
    <row r="191" spans="1:27" ht="15" thickTop="1" thickBot="1" x14ac:dyDescent="0.35">
      <c r="A191" s="335" t="s">
        <v>377</v>
      </c>
      <c r="B191" s="335"/>
      <c r="C191" s="335"/>
      <c r="D191" s="335"/>
      <c r="E191" s="335"/>
      <c r="F191" s="335"/>
      <c r="G191" s="335"/>
    </row>
    <row r="192" spans="1:27" ht="15" thickTop="1" thickBot="1" x14ac:dyDescent="0.35">
      <c r="A192" s="314" t="s">
        <v>378</v>
      </c>
      <c r="B192" s="335" t="s">
        <v>379</v>
      </c>
      <c r="C192" s="335"/>
      <c r="D192" s="335" t="s">
        <v>380</v>
      </c>
      <c r="E192" s="335"/>
      <c r="F192" s="335" t="s">
        <v>381</v>
      </c>
      <c r="G192" s="335"/>
    </row>
    <row r="193" spans="1:7" ht="115.05" customHeight="1" thickTop="1" thickBot="1" x14ac:dyDescent="0.35">
      <c r="A193" s="315" t="s">
        <v>382</v>
      </c>
      <c r="B193" s="336">
        <v>46163</v>
      </c>
      <c r="C193" s="336"/>
      <c r="D193" s="337" t="s">
        <v>383</v>
      </c>
      <c r="E193" s="337"/>
      <c r="F193" s="338" t="s">
        <v>384</v>
      </c>
      <c r="G193" s="338"/>
    </row>
    <row r="194" spans="1:7" ht="14.4" thickTop="1" x14ac:dyDescent="0.3"/>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485" t="s">
        <v>117</v>
      </c>
      <c r="B1" s="485"/>
      <c r="E1" s="484" t="s">
        <v>118</v>
      </c>
      <c r="F1" s="484"/>
      <c r="G1" s="484"/>
      <c r="H1" s="484"/>
    </row>
    <row r="2" spans="1:23" ht="49.05" customHeight="1" x14ac:dyDescent="0.25">
      <c r="B2" s="113" t="s">
        <v>84</v>
      </c>
      <c r="C2" s="113"/>
      <c r="E2" s="483" t="s">
        <v>119</v>
      </c>
      <c r="F2" s="483"/>
      <c r="G2" s="483"/>
      <c r="H2" s="483"/>
      <c r="I2" s="483"/>
      <c r="K2" s="483" t="s">
        <v>120</v>
      </c>
      <c r="L2" s="483"/>
      <c r="M2" s="483"/>
      <c r="N2" s="483"/>
      <c r="P2" s="483" t="s">
        <v>50</v>
      </c>
      <c r="Q2" s="483"/>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478" t="s">
        <v>227</v>
      </c>
      <c r="B50" s="479"/>
      <c r="C50" s="235" t="s">
        <v>228</v>
      </c>
      <c r="D50" s="235" t="s">
        <v>229</v>
      </c>
    </row>
    <row r="51" spans="1:4" ht="13.8" x14ac:dyDescent="0.25">
      <c r="A51" s="486" t="s">
        <v>230</v>
      </c>
      <c r="B51" s="234" t="s">
        <v>133</v>
      </c>
      <c r="C51" s="236">
        <v>0.25</v>
      </c>
      <c r="D51" s="236" t="s">
        <v>139</v>
      </c>
    </row>
    <row r="52" spans="1:4" ht="13.8" x14ac:dyDescent="0.25">
      <c r="A52" s="487"/>
      <c r="B52" s="234" t="s">
        <v>144</v>
      </c>
      <c r="C52" s="236">
        <v>0.15</v>
      </c>
      <c r="D52" s="236" t="s">
        <v>139</v>
      </c>
    </row>
    <row r="53" spans="1:4" ht="13.8" x14ac:dyDescent="0.25">
      <c r="A53" s="488"/>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478" t="s">
        <v>227</v>
      </c>
      <c r="B59" s="479"/>
      <c r="C59" s="237" t="s">
        <v>188</v>
      </c>
    </row>
    <row r="60" spans="1:4" ht="80.55" customHeight="1" x14ac:dyDescent="0.25">
      <c r="A60" s="480" t="s">
        <v>123</v>
      </c>
      <c r="B60" s="229" t="s">
        <v>135</v>
      </c>
      <c r="C60" s="229" t="s">
        <v>234</v>
      </c>
    </row>
    <row r="61" spans="1:4" ht="34.5" customHeight="1" x14ac:dyDescent="0.25">
      <c r="A61" s="481"/>
      <c r="B61" s="229" t="s">
        <v>146</v>
      </c>
      <c r="C61" s="229" t="s">
        <v>235</v>
      </c>
    </row>
    <row r="62" spans="1:4" ht="34.5" customHeight="1" x14ac:dyDescent="0.25">
      <c r="A62" s="482"/>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topLeftCell="A30" zoomScale="85" zoomScaleNormal="85" workbookViewId="0">
      <selection activeCell="A32" sqref="A32:XFD39"/>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358"/>
      <c r="B1" s="339" t="s">
        <v>375</v>
      </c>
      <c r="C1" s="340"/>
      <c r="D1" s="340"/>
      <c r="E1" s="340"/>
      <c r="F1" s="340"/>
      <c r="G1" s="340"/>
      <c r="H1" s="340"/>
      <c r="I1" s="341"/>
      <c r="J1" s="306" t="s">
        <v>373</v>
      </c>
      <c r="K1" s="307"/>
      <c r="L1" s="253"/>
    </row>
    <row r="2" spans="1:38" s="4" customFormat="1" ht="19.95" customHeight="1" x14ac:dyDescent="0.3">
      <c r="A2" s="359"/>
      <c r="B2" s="342"/>
      <c r="C2" s="343"/>
      <c r="D2" s="343"/>
      <c r="E2" s="343"/>
      <c r="F2" s="343"/>
      <c r="G2" s="343"/>
      <c r="H2" s="343"/>
      <c r="I2" s="344"/>
      <c r="J2" s="308" t="s">
        <v>376</v>
      </c>
      <c r="K2" s="309"/>
      <c r="L2" s="253"/>
    </row>
    <row r="3" spans="1:38" s="3" customFormat="1" ht="16.2" thickBot="1" x14ac:dyDescent="0.3">
      <c r="A3" s="360"/>
      <c r="B3" s="345" t="s">
        <v>359</v>
      </c>
      <c r="C3" s="346"/>
      <c r="D3" s="346"/>
      <c r="E3" s="346"/>
      <c r="F3" s="346"/>
      <c r="G3" s="346"/>
      <c r="H3" s="346"/>
      <c r="I3" s="347"/>
      <c r="J3" s="310" t="s">
        <v>374</v>
      </c>
      <c r="K3" s="311"/>
      <c r="L3" s="254"/>
    </row>
    <row r="4" spans="1:38" s="3" customFormat="1" ht="16.95" customHeight="1" thickTop="1" x14ac:dyDescent="0.25">
      <c r="A4" s="349"/>
      <c r="B4" s="350"/>
      <c r="C4" s="350"/>
      <c r="D4" s="350"/>
      <c r="E4" s="350"/>
      <c r="F4" s="350"/>
      <c r="G4" s="350"/>
      <c r="H4" s="350"/>
      <c r="I4" s="350"/>
      <c r="J4" s="350"/>
      <c r="K4" s="351"/>
    </row>
    <row r="5" spans="1:38" s="28" customFormat="1" ht="27" customHeight="1" x14ac:dyDescent="0.3">
      <c r="A5" s="108" t="s">
        <v>80</v>
      </c>
      <c r="B5" s="265" t="str">
        <f>'2 IDENTIFICACIÓN'!B5</f>
        <v>ALCALDIA DE BUCARAMANGA</v>
      </c>
      <c r="C5" s="287"/>
      <c r="D5" s="287"/>
      <c r="E5" s="284"/>
      <c r="F5" s="245" t="s">
        <v>81</v>
      </c>
      <c r="G5" s="265" t="str">
        <f>'2 IDENTIFICACIÓN'!G5</f>
        <v xml:space="preserve">GESTÓN Y DESARROLLO DE LA INFRAESTRUCTURA </v>
      </c>
      <c r="H5" s="284"/>
      <c r="I5" s="245" t="s">
        <v>353</v>
      </c>
      <c r="J5" s="282">
        <f>'2 IDENTIFICACIÓN'!J5</f>
        <v>2026</v>
      </c>
      <c r="K5" s="288"/>
    </row>
    <row r="6" spans="1:38" s="28" customFormat="1" ht="14.4" thickBot="1" x14ac:dyDescent="0.3">
      <c r="A6" s="256"/>
      <c r="B6" s="7"/>
      <c r="C6" s="7"/>
      <c r="D6" s="7"/>
      <c r="E6" s="7"/>
      <c r="F6" s="256"/>
      <c r="G6" s="169"/>
      <c r="H6" s="169"/>
      <c r="I6" s="169"/>
      <c r="J6" s="169"/>
      <c r="K6" s="169"/>
      <c r="S6" s="289"/>
      <c r="T6" s="289"/>
      <c r="U6" s="289"/>
    </row>
    <row r="7" spans="1:38" s="289" customFormat="1" ht="13.8" thickBot="1" x14ac:dyDescent="0.3">
      <c r="D7" s="39"/>
      <c r="E7" s="285"/>
      <c r="F7" s="39"/>
      <c r="I7" s="442" t="s">
        <v>320</v>
      </c>
      <c r="J7" s="443"/>
      <c r="K7" s="443"/>
      <c r="L7" s="443"/>
      <c r="M7" s="443"/>
      <c r="N7" s="443"/>
      <c r="O7" s="444"/>
      <c r="R7" s="290"/>
      <c r="S7" s="291"/>
      <c r="T7" s="438" t="s">
        <v>158</v>
      </c>
      <c r="U7" s="438"/>
      <c r="V7" s="438"/>
      <c r="W7" s="438"/>
      <c r="X7" s="439"/>
      <c r="AF7" s="38"/>
      <c r="AG7" s="38"/>
      <c r="AH7" s="38"/>
      <c r="AI7" s="38"/>
      <c r="AJ7" s="38"/>
    </row>
    <row r="8" spans="1:38" x14ac:dyDescent="0.3">
      <c r="A8" s="43"/>
      <c r="B8" s="43"/>
      <c r="C8" s="43"/>
      <c r="D8" s="43"/>
      <c r="E8" s="435" t="s">
        <v>321</v>
      </c>
      <c r="F8" s="435"/>
      <c r="G8" s="435"/>
      <c r="H8" s="43"/>
      <c r="I8" s="292"/>
      <c r="J8" s="293"/>
      <c r="K8" s="438" t="s">
        <v>158</v>
      </c>
      <c r="L8" s="438"/>
      <c r="M8" s="438"/>
      <c r="N8" s="438"/>
      <c r="O8" s="439"/>
      <c r="P8" s="43"/>
      <c r="R8" s="294"/>
      <c r="T8" s="48">
        <v>0.2</v>
      </c>
      <c r="U8" s="48">
        <v>0.4</v>
      </c>
      <c r="V8" s="48">
        <v>0.6</v>
      </c>
      <c r="W8" s="48">
        <v>0.8</v>
      </c>
      <c r="X8" s="49">
        <v>1</v>
      </c>
      <c r="Y8" s="295"/>
      <c r="Z8" s="295"/>
      <c r="AA8" s="295"/>
      <c r="AB8" s="295"/>
      <c r="AC8" s="295"/>
      <c r="AD8" s="295"/>
      <c r="AE8" s="295"/>
    </row>
    <row r="9" spans="1:38" ht="40.049999999999997" customHeight="1" x14ac:dyDescent="0.25">
      <c r="A9" s="53" t="s">
        <v>255</v>
      </c>
      <c r="B9" s="53" t="s">
        <v>297</v>
      </c>
      <c r="C9" s="53" t="s">
        <v>322</v>
      </c>
      <c r="D9" s="53" t="s">
        <v>322</v>
      </c>
      <c r="E9" s="53" t="s">
        <v>139</v>
      </c>
      <c r="F9" s="53" t="s">
        <v>158</v>
      </c>
      <c r="G9" s="53" t="s">
        <v>323</v>
      </c>
      <c r="H9" s="43"/>
      <c r="I9" s="294"/>
      <c r="J9" s="53"/>
      <c r="K9" s="56" t="s">
        <v>272</v>
      </c>
      <c r="L9" s="56" t="s">
        <v>276</v>
      </c>
      <c r="M9" s="56" t="s">
        <v>280</v>
      </c>
      <c r="N9" s="56" t="s">
        <v>285</v>
      </c>
      <c r="O9" s="57" t="s">
        <v>290</v>
      </c>
      <c r="P9" s="43"/>
      <c r="R9" s="294"/>
      <c r="S9" s="251"/>
      <c r="T9" s="59" t="s">
        <v>272</v>
      </c>
      <c r="U9" s="59" t="s">
        <v>276</v>
      </c>
      <c r="V9" s="59" t="s">
        <v>280</v>
      </c>
      <c r="W9" s="59" t="s">
        <v>285</v>
      </c>
      <c r="X9" s="60" t="s">
        <v>290</v>
      </c>
      <c r="AA9" s="295"/>
      <c r="AB9" s="295"/>
      <c r="AC9" s="296"/>
      <c r="AD9" s="296"/>
      <c r="AE9" s="296"/>
      <c r="AF9" s="296"/>
      <c r="AG9" s="296"/>
      <c r="AH9" s="296"/>
      <c r="AI9" s="296"/>
      <c r="AJ9" s="296"/>
      <c r="AK9" s="296"/>
      <c r="AL9" s="296"/>
    </row>
    <row r="10" spans="1:38" ht="93" customHeight="1" x14ac:dyDescent="0.25">
      <c r="A10" s="62" t="str">
        <f>'2 IDENTIFICACIÓN'!A10</f>
        <v>R1</v>
      </c>
      <c r="B10" s="251" t="str">
        <f>+'2 IDENTIFICACIÓN'!J10</f>
        <v>Posibilidad de afectación reputacional por  investigaciones disciplinarias promovidas por entes de control, debido a  inadecuada planeación y elaboración de diseños de obras, que genera entregas tardías en los servicios y afecta el beneficio esperado por la comunidad.</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51"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40"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489" t="s">
        <v>139</v>
      </c>
      <c r="R10" s="68">
        <v>1</v>
      </c>
      <c r="S10" s="59" t="s">
        <v>288</v>
      </c>
      <c r="T10" s="66" t="s">
        <v>298</v>
      </c>
      <c r="U10" s="66" t="s">
        <v>298</v>
      </c>
      <c r="V10" s="66" t="s">
        <v>298</v>
      </c>
      <c r="W10" s="66" t="s">
        <v>298</v>
      </c>
      <c r="X10" s="67" t="s">
        <v>299</v>
      </c>
      <c r="AA10" s="295"/>
      <c r="AB10" s="295"/>
      <c r="AC10" s="296"/>
      <c r="AD10" s="296"/>
      <c r="AE10" s="296"/>
      <c r="AF10" s="69"/>
      <c r="AG10" s="69"/>
      <c r="AH10" s="69"/>
      <c r="AI10" s="69"/>
      <c r="AJ10" s="69"/>
      <c r="AK10" s="296"/>
      <c r="AL10" s="296"/>
    </row>
    <row r="11" spans="1:38" ht="93" customHeight="1" x14ac:dyDescent="0.25">
      <c r="A11" s="62" t="str">
        <f>'2 IDENTIFICACIÓN'!A11</f>
        <v>R2</v>
      </c>
      <c r="B11" s="251" t="str">
        <f>+'2 IDENTIFICACIÓN'!J11</f>
        <v>Posibilidad de afectación reputacional por  debilidades en la planeación, gestión y ejecución de las obligaciones contractuales por parte de las unidades gestoras,  debido a  la deficiencias en la supervisión y ejecución oportuna de los procesos contractuales producto de la constitución de reservas presupuestales.</v>
      </c>
      <c r="C11" s="89">
        <f>+'5 VALORACIÓN DEL CONTROL'!T21</f>
        <v>0.6</v>
      </c>
      <c r="D11" s="64">
        <f>+'5 VALORACIÓN DEL CONTROL'!U21</f>
        <v>0.6</v>
      </c>
      <c r="E11" s="64" t="str">
        <f t="shared" ref="E11:E39" si="0">+IF(C11=0,"",IF(C11&lt;=$R$14,$S$14,IF(C11&lt;=$R$13,$S$13,IF(C11&lt;=$R$12,$S$12,IF(C11&lt;=$R$11,$S$11,IF(C11&lt;=$R$10,$S$10,""))))))</f>
        <v>Media</v>
      </c>
      <c r="F11" s="64" t="str">
        <f t="shared" ref="F11:F39" si="1">+IF(D11=0,"",IF(D11&lt;=$T$8,$T$9,IF(D11&lt;=$U$8,$U$9,IF(D11&lt;=$V$8,$V$9,IF(D11&lt;=$W$8,$W$9,IF(D11&lt;=$X$8,$X$9,""))))))</f>
        <v>Moderado</v>
      </c>
      <c r="G11" s="251"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40"/>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R10          </v>
      </c>
      <c r="Q11" s="489"/>
      <c r="R11" s="68">
        <v>0.8</v>
      </c>
      <c r="S11" s="59" t="s">
        <v>283</v>
      </c>
      <c r="T11" s="70" t="s">
        <v>280</v>
      </c>
      <c r="U11" s="70" t="s">
        <v>280</v>
      </c>
      <c r="V11" s="66" t="s">
        <v>298</v>
      </c>
      <c r="W11" s="66" t="s">
        <v>298</v>
      </c>
      <c r="X11" s="67" t="s">
        <v>299</v>
      </c>
      <c r="AA11" s="295"/>
      <c r="AB11" s="295"/>
      <c r="AC11" s="296"/>
      <c r="AD11" s="297"/>
      <c r="AE11" s="72"/>
      <c r="AF11" s="69"/>
      <c r="AG11" s="69"/>
      <c r="AH11" s="69"/>
      <c r="AI11" s="69"/>
      <c r="AJ11" s="69"/>
      <c r="AK11" s="296"/>
      <c r="AL11" s="296"/>
    </row>
    <row r="12" spans="1:38" ht="93" customHeight="1" x14ac:dyDescent="0.25">
      <c r="A12" s="62" t="str">
        <f>'2 IDENTIFICACIÓN'!A12</f>
        <v>R3</v>
      </c>
      <c r="B12" s="251" t="str">
        <f>+'2 IDENTIFICACIÓN'!J12</f>
        <v>Posibilidad de afectación económica y reputacional por  manejo inadecuado de pasivos exigibles y vigencias expiradas, debido a  incumplimiento de los procedimientos establecidos en la Resolución 193 de 2016 de la Contaduría General de la Nación.</v>
      </c>
      <c r="C12" s="89">
        <f>+'5 VALORACIÓN DEL CONTROL'!T27</f>
        <v>0.6</v>
      </c>
      <c r="D12" s="64">
        <f>+'5 VALORACIÓN DEL CONTROL'!U27</f>
        <v>1</v>
      </c>
      <c r="E12" s="64" t="str">
        <f t="shared" si="0"/>
        <v>Media</v>
      </c>
      <c r="F12" s="64" t="str">
        <f t="shared" si="1"/>
        <v>Catastrófico</v>
      </c>
      <c r="G12" s="251"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Extremo</v>
      </c>
      <c r="I12" s="440"/>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R16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R2   R5 R6 R7 R8 R9      R15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R3 R4       R11 R12 R13    R17 R18 R19 </v>
      </c>
      <c r="Q12" s="489"/>
      <c r="R12" s="68">
        <v>0.6</v>
      </c>
      <c r="S12" s="59" t="s">
        <v>278</v>
      </c>
      <c r="T12" s="70" t="s">
        <v>280</v>
      </c>
      <c r="U12" s="70" t="s">
        <v>280</v>
      </c>
      <c r="V12" s="70" t="s">
        <v>280</v>
      </c>
      <c r="W12" s="66" t="s">
        <v>298</v>
      </c>
      <c r="X12" s="67" t="s">
        <v>299</v>
      </c>
      <c r="AA12" s="295"/>
      <c r="AB12" s="295"/>
      <c r="AC12" s="296"/>
      <c r="AD12" s="297"/>
      <c r="AE12" s="72"/>
      <c r="AF12" s="69"/>
      <c r="AG12" s="69"/>
      <c r="AH12" s="69"/>
      <c r="AI12" s="69"/>
      <c r="AJ12" s="73"/>
      <c r="AK12" s="296"/>
      <c r="AL12" s="296"/>
    </row>
    <row r="13" spans="1:38" ht="93" customHeight="1" x14ac:dyDescent="0.25">
      <c r="A13" s="62" t="str">
        <f>'2 IDENTIFICACIÓN'!A13</f>
        <v>R4</v>
      </c>
      <c r="B13" s="251" t="str">
        <f>+'2 IDENTIFICACIÓN'!J13</f>
        <v>Posibilidad de afectación económica y reputacional por  investigaciones y sanciones disciplinarias por entes de control, debido a la falta de seguimiento al cumplimiento de metas del Plan de Desarrollo Municipal programadas para la vigencia.</v>
      </c>
      <c r="C13" s="89">
        <f>+'5 VALORACIÓN DEL CONTROL'!T33</f>
        <v>0.6</v>
      </c>
      <c r="D13" s="64">
        <f>+'5 VALORACIÓN DEL CONTROL'!U33</f>
        <v>1</v>
      </c>
      <c r="E13" s="64" t="str">
        <f t="shared" si="0"/>
        <v>Media</v>
      </c>
      <c r="F13" s="64" t="str">
        <f t="shared" si="1"/>
        <v>Catastrófico</v>
      </c>
      <c r="G13" s="251"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Extremo</v>
      </c>
      <c r="I13" s="440"/>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R14      </v>
      </c>
      <c r="Q13" s="489"/>
      <c r="R13" s="68">
        <v>0.4</v>
      </c>
      <c r="S13" s="59" t="s">
        <v>274</v>
      </c>
      <c r="T13" s="74" t="s">
        <v>300</v>
      </c>
      <c r="U13" s="70" t="s">
        <v>280</v>
      </c>
      <c r="V13" s="70" t="s">
        <v>280</v>
      </c>
      <c r="W13" s="66" t="s">
        <v>298</v>
      </c>
      <c r="X13" s="67" t="s">
        <v>299</v>
      </c>
      <c r="AA13" s="295"/>
      <c r="AB13" s="295"/>
      <c r="AC13" s="296"/>
      <c r="AD13" s="297"/>
      <c r="AE13" s="72"/>
      <c r="AF13" s="69"/>
      <c r="AG13" s="69"/>
      <c r="AH13" s="69"/>
      <c r="AI13" s="73"/>
      <c r="AJ13" s="69"/>
      <c r="AK13" s="296"/>
      <c r="AL13" s="296"/>
    </row>
    <row r="14" spans="1:38" ht="93" customHeight="1" thickBot="1" x14ac:dyDescent="0.3">
      <c r="A14" s="62" t="str">
        <f>'2 IDENTIFICACIÓN'!A14</f>
        <v>R5</v>
      </c>
      <c r="B14" s="251" t="str">
        <f>+'2 IDENTIFICACIÓN'!J14</f>
        <v>Posibilidad de afectación reputacional por  investigaciones disciplinarias y sanciones por entes de control, debido a  la deficiente planeación de las necesidades del Plan Anual de Adquisiciones por parte de la Secretaría de Infraestructura.</v>
      </c>
      <c r="C14" s="89">
        <f>+'5 VALORACIÓN DEL CONTROL'!T39</f>
        <v>0.6</v>
      </c>
      <c r="D14" s="64">
        <f>+'5 VALORACIÓN DEL CONTROL'!U39</f>
        <v>0.6</v>
      </c>
      <c r="E14" s="64" t="str">
        <f t="shared" si="0"/>
        <v>Media</v>
      </c>
      <c r="F14" s="64" t="str">
        <f t="shared" si="1"/>
        <v>Moderado</v>
      </c>
      <c r="G14" s="251" t="str">
        <f t="shared" si="2"/>
        <v>Moderado</v>
      </c>
      <c r="I14" s="441"/>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489"/>
      <c r="R14" s="80">
        <v>0.2</v>
      </c>
      <c r="S14" s="81" t="s">
        <v>270</v>
      </c>
      <c r="T14" s="76" t="s">
        <v>300</v>
      </c>
      <c r="U14" s="76" t="s">
        <v>300</v>
      </c>
      <c r="V14" s="77" t="s">
        <v>280</v>
      </c>
      <c r="W14" s="78" t="s">
        <v>298</v>
      </c>
      <c r="X14" s="79" t="s">
        <v>299</v>
      </c>
      <c r="AA14" s="295"/>
      <c r="AB14" s="295"/>
      <c r="AC14" s="296"/>
      <c r="AD14" s="297"/>
      <c r="AE14" s="72"/>
      <c r="AF14" s="69"/>
      <c r="AG14" s="69"/>
      <c r="AH14" s="69"/>
      <c r="AI14" s="69"/>
      <c r="AJ14" s="69"/>
      <c r="AK14" s="296"/>
      <c r="AL14" s="296"/>
    </row>
    <row r="15" spans="1:38" ht="93" customHeight="1" x14ac:dyDescent="0.25">
      <c r="A15" s="62" t="str">
        <f>'2 IDENTIFICACIÓN'!A15</f>
        <v>R6</v>
      </c>
      <c r="B15" s="251" t="str">
        <f>+'2 IDENTIFICACIÓN'!J15</f>
        <v>Posibilidad de afectación reputacional por   investigaciones y sanciones disciplinarias por entes de control, debido a  incumplimiento de la norma NTC 6047 de accesibilidad en proyectos de obra pública, a causa de la inapropiada implementación de los principios de diseño universal en las fases de diseño y licitación.</v>
      </c>
      <c r="C15" s="89">
        <f>+'5 VALORACIÓN DEL CONTROL'!T45</f>
        <v>0.6</v>
      </c>
      <c r="D15" s="64">
        <f>+'5 VALORACIÓN DEL CONTROL'!U45</f>
        <v>0.6</v>
      </c>
      <c r="E15" s="64" t="str">
        <f t="shared" si="0"/>
        <v>Media</v>
      </c>
      <c r="F15" s="64" t="str">
        <f t="shared" si="1"/>
        <v>Moderado</v>
      </c>
      <c r="G15" s="251" t="str">
        <f t="shared" si="2"/>
        <v>Moderado</v>
      </c>
      <c r="AA15" s="295"/>
      <c r="AB15" s="295"/>
      <c r="AC15" s="296"/>
      <c r="AD15" s="297"/>
      <c r="AE15" s="72"/>
      <c r="AF15" s="69"/>
      <c r="AG15" s="69"/>
      <c r="AH15" s="69"/>
      <c r="AI15" s="69"/>
      <c r="AJ15" s="69"/>
      <c r="AK15" s="296"/>
      <c r="AL15" s="296"/>
    </row>
    <row r="16" spans="1:38" ht="93" customHeight="1" x14ac:dyDescent="0.25">
      <c r="A16" s="62" t="str">
        <f>'2 IDENTIFICACIÓN'!A16</f>
        <v>R7</v>
      </c>
      <c r="B16" s="251" t="str">
        <f>+'2 IDENTIFICACIÓN'!J16</f>
        <v>Posibilidad de afectación reputacional por    investigaciones disciplinarias y sanciones por entes de control, debido a  las debilidades en la formulación y ejecución de los proyectos de presupuestos participativos.</v>
      </c>
      <c r="C16" s="89">
        <f>+'5 VALORACIÓN DEL CONTROL'!T51</f>
        <v>0.6</v>
      </c>
      <c r="D16" s="64">
        <f>+'5 VALORACIÓN DEL CONTROL'!U51</f>
        <v>0.6</v>
      </c>
      <c r="E16" s="64" t="str">
        <f t="shared" si="0"/>
        <v>Media</v>
      </c>
      <c r="F16" s="64" t="str">
        <f t="shared" si="1"/>
        <v>Moderado</v>
      </c>
      <c r="G16" s="251" t="str">
        <f t="shared" si="2"/>
        <v>Moderado</v>
      </c>
      <c r="T16" s="53" t="s">
        <v>301</v>
      </c>
      <c r="V16" s="295"/>
      <c r="W16" s="295"/>
      <c r="X16" s="295"/>
      <c r="Y16" s="295"/>
      <c r="Z16" s="295"/>
      <c r="AA16" s="295"/>
      <c r="AB16" s="295"/>
      <c r="AC16" s="296"/>
      <c r="AD16" s="297"/>
      <c r="AE16" s="296"/>
      <c r="AF16" s="72"/>
      <c r="AG16" s="72"/>
      <c r="AH16" s="72"/>
      <c r="AI16" s="72"/>
      <c r="AJ16" s="72"/>
      <c r="AK16" s="296"/>
      <c r="AL16" s="296"/>
    </row>
    <row r="17" spans="1:38" ht="93" customHeight="1" x14ac:dyDescent="0.25">
      <c r="A17" s="62" t="str">
        <f>'2 IDENTIFICACIÓN'!A17</f>
        <v>R8</v>
      </c>
      <c r="B17" s="251" t="str">
        <f>+'2 IDENTIFICACIÓN'!J17</f>
        <v>Posibilidad de afectación económica por  investigaciones disciplinarias y sanciones por entes de control, debido a  la adición de contratos en tiempo y valor sin haber ejecutado el 50% del contrato inicial, por deficiencias en la planeación de la etapa precontractual.</v>
      </c>
      <c r="C17" s="89">
        <f>+'5 VALORACIÓN DEL CONTROL'!T57</f>
        <v>0.6</v>
      </c>
      <c r="D17" s="64">
        <f>+'5 VALORACIÓN DEL CONTROL'!U57</f>
        <v>0.6</v>
      </c>
      <c r="E17" s="64" t="str">
        <f t="shared" si="0"/>
        <v>Media</v>
      </c>
      <c r="F17" s="64" t="str">
        <f t="shared" si="1"/>
        <v>Moderado</v>
      </c>
      <c r="G17" s="251" t="str">
        <f t="shared" si="2"/>
        <v>Moderado</v>
      </c>
      <c r="T17" s="83" t="s">
        <v>299</v>
      </c>
      <c r="V17" s="295"/>
      <c r="W17" s="295"/>
      <c r="X17" s="295"/>
      <c r="Y17" s="295"/>
      <c r="Z17" s="295"/>
      <c r="AA17" s="295"/>
      <c r="AB17" s="295"/>
      <c r="AC17" s="296"/>
      <c r="AD17" s="296"/>
      <c r="AE17" s="296"/>
      <c r="AF17" s="69"/>
      <c r="AG17" s="69"/>
      <c r="AH17" s="69"/>
      <c r="AI17" s="69"/>
      <c r="AJ17" s="69"/>
      <c r="AK17" s="296"/>
      <c r="AL17" s="296"/>
    </row>
    <row r="18" spans="1:38" ht="93" customHeight="1" x14ac:dyDescent="0.25">
      <c r="A18" s="62" t="str">
        <f>'2 IDENTIFICACIÓN'!A18</f>
        <v>R9</v>
      </c>
      <c r="B18" s="251" t="str">
        <f>+'2 IDENTIFICACIÓN'!J18</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18" s="89">
        <f>+'5 VALORACIÓN DEL CONTROL'!T63</f>
        <v>0.6</v>
      </c>
      <c r="D18" s="64">
        <f>+'5 VALORACIÓN DEL CONTROL'!U63</f>
        <v>0.6</v>
      </c>
      <c r="E18" s="64" t="str">
        <f t="shared" si="0"/>
        <v>Media</v>
      </c>
      <c r="F18" s="64" t="str">
        <f t="shared" si="1"/>
        <v>Moderado</v>
      </c>
      <c r="G18" s="251" t="str">
        <f t="shared" si="2"/>
        <v>Moderado</v>
      </c>
      <c r="T18" s="66" t="s">
        <v>298</v>
      </c>
      <c r="U18" s="295"/>
      <c r="V18" s="295"/>
      <c r="W18" s="295"/>
      <c r="X18" s="295"/>
      <c r="Y18" s="295"/>
      <c r="Z18" s="295"/>
      <c r="AA18" s="295"/>
      <c r="AB18" s="295"/>
      <c r="AC18" s="296"/>
      <c r="AD18" s="296"/>
      <c r="AE18" s="296"/>
      <c r="AF18" s="69"/>
      <c r="AG18" s="69"/>
      <c r="AH18" s="69"/>
      <c r="AI18" s="69"/>
      <c r="AJ18" s="69"/>
      <c r="AK18" s="296"/>
      <c r="AL18" s="296"/>
    </row>
    <row r="19" spans="1:38" ht="93" customHeight="1" x14ac:dyDescent="0.25">
      <c r="A19" s="62" t="str">
        <f>'2 IDENTIFICACIÓN'!A19</f>
        <v>R10</v>
      </c>
      <c r="B19" s="251"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19" s="89">
        <f>+'5 VALORACIÓN DEL CONTROL'!T69</f>
        <v>0.8</v>
      </c>
      <c r="D19" s="64">
        <f>+'5 VALORACIÓN DEL CONTROL'!U69</f>
        <v>1</v>
      </c>
      <c r="E19" s="64" t="str">
        <f t="shared" si="0"/>
        <v>Alta</v>
      </c>
      <c r="F19" s="64" t="str">
        <f t="shared" si="1"/>
        <v>Catastrófico</v>
      </c>
      <c r="G19" s="251" t="str">
        <f t="shared" si="2"/>
        <v>Extremo</v>
      </c>
      <c r="S19" s="298"/>
      <c r="T19" s="70" t="s">
        <v>280</v>
      </c>
      <c r="U19" s="298"/>
      <c r="V19" s="298"/>
      <c r="W19" s="298"/>
      <c r="X19" s="298"/>
      <c r="Y19" s="298"/>
      <c r="Z19" s="298"/>
      <c r="AA19" s="298"/>
      <c r="AB19" s="298"/>
      <c r="AC19" s="296"/>
      <c r="AD19" s="296"/>
      <c r="AE19" s="299"/>
      <c r="AF19" s="299"/>
      <c r="AG19" s="299"/>
      <c r="AH19" s="299"/>
      <c r="AI19" s="299"/>
      <c r="AJ19" s="299"/>
      <c r="AK19" s="296"/>
      <c r="AL19" s="296"/>
    </row>
    <row r="20" spans="1:38" ht="93" customHeight="1" x14ac:dyDescent="0.25">
      <c r="A20" s="62" t="str">
        <f>'2 IDENTIFICACIÓN'!A20</f>
        <v>R11</v>
      </c>
      <c r="B20" s="251" t="str">
        <f>+'2 IDENTIFICACIÓN'!J20</f>
        <v>Posibilidad  de efecto dañoso sobre el recurso público por anticipos entregados al contratista sin legalizar, debido a  la deficiencias en el seguimiento y control del proceso de amortización del anticipo.</v>
      </c>
      <c r="C20" s="89">
        <f>+'5 VALORACIÓN DEL CONTROL'!T75</f>
        <v>0.6</v>
      </c>
      <c r="D20" s="64">
        <f>+'5 VALORACIÓN DEL CONTROL'!U75</f>
        <v>1</v>
      </c>
      <c r="E20" s="64" t="str">
        <f t="shared" si="0"/>
        <v>Media</v>
      </c>
      <c r="F20" s="64" t="str">
        <f t="shared" si="1"/>
        <v>Catastrófico</v>
      </c>
      <c r="G20" s="251" t="str">
        <f t="shared" si="2"/>
        <v>Extremo</v>
      </c>
      <c r="S20" s="298"/>
      <c r="T20" s="74" t="s">
        <v>300</v>
      </c>
      <c r="AA20" s="298"/>
      <c r="AB20" s="298"/>
      <c r="AC20" s="296"/>
      <c r="AD20" s="296"/>
      <c r="AE20" s="296"/>
      <c r="AF20" s="69"/>
      <c r="AG20" s="69"/>
      <c r="AH20" s="69"/>
      <c r="AI20" s="69"/>
      <c r="AJ20" s="69"/>
      <c r="AK20" s="296"/>
      <c r="AL20" s="296"/>
    </row>
    <row r="21" spans="1:38" ht="93" customHeight="1" x14ac:dyDescent="0.25">
      <c r="A21" s="62" t="str">
        <f>'2 IDENTIFICACIÓN'!A21</f>
        <v>R12</v>
      </c>
      <c r="B21" s="251" t="str">
        <f>+'2 IDENTIFICACIÓN'!J21</f>
        <v>Posibilidad  de efecto dañoso sobre el recurso público por  el pago de sanciones impuestas por entes de control, debido a  incumplimiento de las normas vigentes en las etapas precontractual, contractual y postcontractual de la contratación, afectando la obtención y cumplimiento del objeto contractual.</v>
      </c>
      <c r="C21" s="89">
        <f>+'5 VALORACIÓN DEL CONTROL'!T81</f>
        <v>0.6</v>
      </c>
      <c r="D21" s="64">
        <f>+'5 VALORACIÓN DEL CONTROL'!U81</f>
        <v>1</v>
      </c>
      <c r="E21" s="64" t="str">
        <f t="shared" si="0"/>
        <v>Media</v>
      </c>
      <c r="F21" s="64" t="str">
        <f t="shared" si="1"/>
        <v>Catastrófico</v>
      </c>
      <c r="G21" s="251" t="str">
        <f t="shared" si="2"/>
        <v>Extremo</v>
      </c>
      <c r="Q21" s="300"/>
      <c r="R21" s="300"/>
      <c r="S21" s="298"/>
      <c r="AA21" s="298"/>
      <c r="AB21" s="298"/>
      <c r="AC21" s="296"/>
      <c r="AD21" s="296"/>
      <c r="AE21" s="296"/>
      <c r="AF21" s="69"/>
      <c r="AG21" s="69"/>
      <c r="AH21" s="69"/>
      <c r="AI21" s="69"/>
      <c r="AJ21" s="69"/>
      <c r="AK21" s="296"/>
      <c r="AL21" s="296"/>
    </row>
    <row r="22" spans="1:38" ht="93" customHeight="1" x14ac:dyDescent="0.25">
      <c r="A22" s="62" t="str">
        <f>'2 IDENTIFICACIÓN'!A22</f>
        <v>R13</v>
      </c>
      <c r="B22" s="251" t="str">
        <f>+'2 IDENTIFICACIÓN'!J22</f>
        <v>Posibilidad  de efecto dañoso sobre el recurso público por  el pago de sanciones y/o condenas impuestas por entes de control,  debido a  incumplimiento en la cobertura de las garantías que amparan los riesgos definidos en la etapa precontractual, conforme al Manual de Contratación M-GJ-1140-170-001.</v>
      </c>
      <c r="C22" s="89">
        <f>+'5 VALORACIÓN DEL CONTROL'!T87</f>
        <v>0.6</v>
      </c>
      <c r="D22" s="64">
        <f>+'5 VALORACIÓN DEL CONTROL'!U87</f>
        <v>1</v>
      </c>
      <c r="E22" s="64" t="str">
        <f t="shared" si="0"/>
        <v>Media</v>
      </c>
      <c r="F22" s="64" t="str">
        <f t="shared" si="1"/>
        <v>Catastrófico</v>
      </c>
      <c r="G22" s="251" t="str">
        <f t="shared" si="2"/>
        <v>Extremo</v>
      </c>
      <c r="Q22" s="300"/>
      <c r="R22" s="300"/>
      <c r="S22" s="301"/>
      <c r="AA22" s="298"/>
      <c r="AB22" s="298"/>
      <c r="AC22" s="296"/>
      <c r="AD22" s="69"/>
      <c r="AE22" s="69"/>
      <c r="AF22" s="69"/>
      <c r="AG22" s="69"/>
      <c r="AH22" s="69"/>
      <c r="AI22" s="69"/>
      <c r="AJ22" s="69"/>
      <c r="AK22" s="296"/>
      <c r="AL22" s="296"/>
    </row>
    <row r="23" spans="1:38" ht="93" customHeight="1" x14ac:dyDescent="0.25">
      <c r="A23" s="62" t="str">
        <f>'2 IDENTIFICACIÓN'!A23</f>
        <v>R14</v>
      </c>
      <c r="B23" s="251" t="str">
        <f>+'2 IDENTIFICACIÓN'!J23</f>
        <v>Posibilidad  de efecto dañoso sobre el recurso público por Pago de sanciones impuestas por la Contraloría General de la República,  debido a  reporte extemporáneo de la información de obras inconclusas a través de la plataforma SIRECI por parte de la Secretaría de Infraestructura.</v>
      </c>
      <c r="C23" s="89">
        <f>+'5 VALORACIÓN DEL CONTROL'!T93</f>
        <v>0.4</v>
      </c>
      <c r="D23" s="64">
        <f>+'5 VALORACIÓN DEL CONTROL'!U93</f>
        <v>1</v>
      </c>
      <c r="E23" s="64" t="str">
        <f t="shared" si="0"/>
        <v>Baja</v>
      </c>
      <c r="F23" s="64" t="str">
        <f t="shared" si="1"/>
        <v>Catastrófico</v>
      </c>
      <c r="G23" s="251" t="str">
        <f t="shared" si="2"/>
        <v>Extremo</v>
      </c>
      <c r="Q23" s="300"/>
      <c r="R23" s="300"/>
      <c r="AC23" s="296"/>
      <c r="AD23" s="302"/>
      <c r="AE23" s="302"/>
      <c r="AF23" s="302"/>
      <c r="AG23" s="302"/>
      <c r="AH23" s="302"/>
      <c r="AI23" s="302"/>
      <c r="AJ23" s="69"/>
      <c r="AK23" s="296"/>
      <c r="AL23" s="296"/>
    </row>
    <row r="24" spans="1:38" ht="93" customHeight="1" x14ac:dyDescent="0.25">
      <c r="A24" s="62" t="str">
        <f>'2 IDENTIFICACIÓN'!A24</f>
        <v>R15</v>
      </c>
      <c r="B24" s="251" t="str">
        <f>+'2 IDENTIFICACIÓN'!J24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4" s="89">
        <f>+'5 VALORACIÓN DEL CONTROL'!T99</f>
        <v>0.6</v>
      </c>
      <c r="D24" s="64">
        <f>+'5 VALORACIÓN DEL CONTROL'!U99</f>
        <v>0.6</v>
      </c>
      <c r="E24" s="64" t="str">
        <f t="shared" si="0"/>
        <v>Media</v>
      </c>
      <c r="F24" s="64" t="str">
        <f t="shared" si="1"/>
        <v>Moderado</v>
      </c>
      <c r="G24" s="251" t="str">
        <f t="shared" si="2"/>
        <v>Moderado</v>
      </c>
      <c r="Q24" s="300"/>
      <c r="R24" s="300"/>
      <c r="AC24" s="296"/>
      <c r="AD24" s="69"/>
      <c r="AE24" s="69"/>
      <c r="AF24" s="69"/>
      <c r="AG24" s="69"/>
      <c r="AH24" s="69"/>
      <c r="AI24" s="69"/>
      <c r="AJ24" s="69"/>
      <c r="AK24" s="296"/>
      <c r="AL24" s="296"/>
    </row>
    <row r="25" spans="1:38" ht="93" customHeight="1" x14ac:dyDescent="0.25">
      <c r="A25" s="62" t="str">
        <f>'2 IDENTIFICACIÓN'!A25</f>
        <v>R16</v>
      </c>
      <c r="B25" s="251" t="str">
        <f>+'2 IDENTIFICACIÓN'!J25</f>
        <v>Posibilidad  de efecto dañoso sobre el recurso público por or pago de sanción e intereses moratorios, debido a  trámite inoportuno a los requerimientos de los entes de control y vigilancia, de acuerdo con sus lineamientos y términos de ley.</v>
      </c>
      <c r="C25" s="89">
        <f>+'5 VALORACIÓN DEL CONTROL'!T105</f>
        <v>0.6</v>
      </c>
      <c r="D25" s="64">
        <f>+'5 VALORACIÓN DEL CONTROL'!U105</f>
        <v>0.4</v>
      </c>
      <c r="E25" s="64" t="str">
        <f t="shared" si="0"/>
        <v>Media</v>
      </c>
      <c r="F25" s="64" t="str">
        <f t="shared" si="1"/>
        <v>Menor</v>
      </c>
      <c r="G25" s="251" t="str">
        <f t="shared" si="2"/>
        <v>Moderado</v>
      </c>
      <c r="AC25" s="296"/>
      <c r="AD25" s="69"/>
      <c r="AE25" s="69"/>
      <c r="AF25" s="69"/>
      <c r="AG25" s="69"/>
      <c r="AH25" s="69"/>
      <c r="AI25" s="69"/>
      <c r="AJ25" s="69"/>
      <c r="AK25" s="296"/>
      <c r="AL25" s="296"/>
    </row>
    <row r="26" spans="1:38" ht="93" customHeight="1" x14ac:dyDescent="0.3">
      <c r="A26" s="62" t="str">
        <f>'2 IDENTIFICACIÓN'!A26</f>
        <v>R17</v>
      </c>
      <c r="B26" s="251" t="str">
        <f>+'2 IDENTIFICACIÓN'!J26</f>
        <v>Posibilidad  de efecto dañoso sobre bienes de uso fiscal por por pérdida, extravío, hurto o faltantes en inventario de bienes muebles de la entidad,  debido a deficiencias en la actualización, verificación y control del inventario de bienes muebles.</v>
      </c>
      <c r="C26" s="89">
        <f>+'5 VALORACIÓN DEL CONTROL'!T111</f>
        <v>0.6</v>
      </c>
      <c r="D26" s="64">
        <f>+'5 VALORACIÓN DEL CONTROL'!U111</f>
        <v>1</v>
      </c>
      <c r="E26" s="64" t="str">
        <f t="shared" si="0"/>
        <v>Media</v>
      </c>
      <c r="F26" s="64" t="str">
        <f t="shared" si="1"/>
        <v>Catastrófico</v>
      </c>
      <c r="G26" s="251" t="str">
        <f t="shared" si="2"/>
        <v>Extremo</v>
      </c>
    </row>
    <row r="27" spans="1:38" ht="93" customHeight="1" x14ac:dyDescent="0.3">
      <c r="A27" s="62" t="str">
        <f>'2 IDENTIFICACIÓN'!A27</f>
        <v>R18</v>
      </c>
      <c r="B27" s="251" t="str">
        <f>+'2 IDENTIFICACIÓN'!J27</f>
        <v xml:space="preserve">Posibilidad  de efecto dañoso sobre el recurso público por  Pago de agencias en derecho y costas procesales, en  primera y segunda instancia, debido a  fallos en contra del ente territorial,  que impone el deber de sufragar estos conceptos  a favor de los actores populares. </v>
      </c>
      <c r="C27" s="89">
        <f>+'5 VALORACIÓN DEL CONTROL'!T117</f>
        <v>0.6</v>
      </c>
      <c r="D27" s="64">
        <f>+'5 VALORACIÓN DEL CONTROL'!U117</f>
        <v>1</v>
      </c>
      <c r="E27" s="64" t="str">
        <f t="shared" si="0"/>
        <v>Media</v>
      </c>
      <c r="F27" s="64" t="str">
        <f t="shared" si="1"/>
        <v>Catastrófico</v>
      </c>
      <c r="G27" s="251" t="str">
        <f t="shared" si="2"/>
        <v>Extremo</v>
      </c>
    </row>
    <row r="28" spans="1:38" ht="93" customHeight="1" x14ac:dyDescent="0.3">
      <c r="A28" s="62" t="str">
        <f>'2 IDENTIFICACIÓN'!A28</f>
        <v>R19</v>
      </c>
      <c r="B28" s="251" t="str">
        <f>+'2 IDENTIFICACIÓN'!J28</f>
        <v>Posibilidad  de efecto dañoso sobre el recurso público por  deficiencias en la planeación, seguimiento y control de los proyectos de infraestructura educativa financiados con recursos de empréstito, generando retrasos en la ejecución y pagos financieros sin avance proporcional de las obras, debido a debilidades en el monitoreo y supervisión contractual.</v>
      </c>
      <c r="C28" s="89">
        <f>+'5 VALORACIÓN DEL CONTROL'!T123</f>
        <v>0.6</v>
      </c>
      <c r="D28" s="64">
        <f>+'5 VALORACIÓN DEL CONTROL'!U123</f>
        <v>1</v>
      </c>
      <c r="E28" s="64" t="str">
        <f t="shared" si="0"/>
        <v>Media</v>
      </c>
      <c r="F28" s="64" t="str">
        <f t="shared" si="1"/>
        <v>Catastrófico</v>
      </c>
      <c r="G28" s="251" t="str">
        <f t="shared" si="2"/>
        <v>Extremo</v>
      </c>
    </row>
    <row r="29" spans="1:38" ht="93" customHeight="1" x14ac:dyDescent="0.3">
      <c r="A29" s="62" t="str">
        <f>'2 IDENTIFICACIÓN'!A29</f>
        <v>R20</v>
      </c>
      <c r="B29" s="251" t="str">
        <f>+'2 IDENTIFICACIÓN'!J29</f>
        <v>Posibilidad de afectación reputacional por  ocupación o desarrollo urbanístico no controlado en zonas intervenidas con obras de mitigación del riesgo,  debido a  deficiencias en el seguimiento de las actuaciones policivas y en la articulación interinstitucional para la atención de denuncias, reportes o alertas relacionadas con presuntas infracciones urbanísticas.</v>
      </c>
      <c r="C29" s="89">
        <f>+'5 VALORACIÓN DEL CONTROL'!T129</f>
        <v>0.6</v>
      </c>
      <c r="D29" s="64">
        <f>+'5 VALORACIÓN DEL CONTROL'!U129</f>
        <v>0.6</v>
      </c>
      <c r="E29" s="64" t="str">
        <f t="shared" si="0"/>
        <v>Media</v>
      </c>
      <c r="F29" s="64" t="str">
        <f t="shared" si="1"/>
        <v>Moderado</v>
      </c>
      <c r="G29" s="251" t="str">
        <f t="shared" si="2"/>
        <v>Moderado</v>
      </c>
    </row>
    <row r="30" spans="1:38" ht="93" customHeight="1" x14ac:dyDescent="0.3">
      <c r="A30" s="62" t="str">
        <f>'2 IDENTIFICACIÓN'!A30</f>
        <v>R21</v>
      </c>
      <c r="B30" s="251" t="str">
        <f>+'2 IDENTIFICACIÓN'!J30</f>
        <v>Posibilidad de afectación reputacional por posibles investigaciones y sanciones disciplinarias por entes de control,  debido a debido al incumplimiento de la Ley 594 del 2000 en los documentos emanados por la Secretaría de Infraestructura.</v>
      </c>
      <c r="C30" s="89">
        <f>+'5 VALORACIÓN DEL CONTROL'!T135</f>
        <v>0.6</v>
      </c>
      <c r="D30" s="64">
        <f>+'5 VALORACIÓN DEL CONTROL'!U135</f>
        <v>0.6</v>
      </c>
      <c r="E30" s="64" t="str">
        <f t="shared" si="0"/>
        <v>Media</v>
      </c>
      <c r="F30" s="64" t="str">
        <f t="shared" si="1"/>
        <v>Moderado</v>
      </c>
      <c r="G30" s="251" t="str">
        <f t="shared" si="2"/>
        <v>Moderado</v>
      </c>
    </row>
    <row r="31" spans="1:38" ht="93" customHeight="1" x14ac:dyDescent="0.3">
      <c r="A31" s="62" t="str">
        <f>'2 IDENTIFICACIÓN'!A31</f>
        <v>R22</v>
      </c>
      <c r="B31" s="251" t="str">
        <f>+'2 IDENTIFICACIÓN'!J31</f>
        <v>Posibilidad de pérdida reputacional por soborno para favorecer a un proponente en la adjudicación de un contrato de obra, debido a deficiencias en la verificación, evaluación y control de los procesos contractuales adelantados por la entidad..</v>
      </c>
      <c r="C31" s="89">
        <f>+'5 VALORACIÓN DEL CONTROL'!T141</f>
        <v>0.6</v>
      </c>
      <c r="D31" s="64">
        <f>+'5 VALORACIÓN DEL CONTROL'!U141</f>
        <v>1</v>
      </c>
      <c r="E31" s="64" t="str">
        <f t="shared" si="0"/>
        <v>Media</v>
      </c>
      <c r="F31" s="64" t="str">
        <f t="shared" si="1"/>
        <v>Catastrófico</v>
      </c>
      <c r="G31" s="251" t="str">
        <f t="shared" si="2"/>
        <v>Extremo</v>
      </c>
    </row>
    <row r="32" spans="1:38" ht="93" hidden="1" customHeight="1" x14ac:dyDescent="0.3">
      <c r="A32" s="62" t="str">
        <f>'2 IDENTIFICACIÓN'!A32</f>
        <v>R23</v>
      </c>
      <c r="B32" s="251" t="str">
        <f>+'2 IDENTIFICACIÓN'!J32</f>
        <v xml:space="preserve"> por  debido a </v>
      </c>
      <c r="C32" s="89" t="str">
        <f>+'5 VALORACIÓN DEL CONTROL'!T147</f>
        <v/>
      </c>
      <c r="D32" s="64" t="str">
        <f>+'5 VALORACIÓN DEL CONTROL'!U147</f>
        <v/>
      </c>
      <c r="E32" s="64" t="str">
        <f t="shared" si="0"/>
        <v/>
      </c>
      <c r="F32" s="64" t="str">
        <f t="shared" si="1"/>
        <v/>
      </c>
      <c r="G32" s="251" t="str">
        <f t="shared" si="2"/>
        <v/>
      </c>
    </row>
    <row r="33" spans="1:7" ht="93" hidden="1" customHeight="1" x14ac:dyDescent="0.3">
      <c r="A33" s="62" t="str">
        <f>'2 IDENTIFICACIÓN'!A33</f>
        <v>R24</v>
      </c>
      <c r="B33" s="251" t="str">
        <f>+'2 IDENTIFICACIÓN'!J33</f>
        <v xml:space="preserve"> por  debido a </v>
      </c>
      <c r="C33" s="89" t="str">
        <f>+'5 VALORACIÓN DEL CONTROL'!T153</f>
        <v/>
      </c>
      <c r="D33" s="64" t="str">
        <f>+'5 VALORACIÓN DEL CONTROL'!U153</f>
        <v/>
      </c>
      <c r="E33" s="64" t="str">
        <f t="shared" si="0"/>
        <v/>
      </c>
      <c r="F33" s="64" t="str">
        <f t="shared" si="1"/>
        <v/>
      </c>
      <c r="G33" s="251" t="str">
        <f t="shared" si="2"/>
        <v/>
      </c>
    </row>
    <row r="34" spans="1:7" ht="93" hidden="1" customHeight="1" x14ac:dyDescent="0.3">
      <c r="A34" s="62" t="str">
        <f>'2 IDENTIFICACIÓN'!A34</f>
        <v>R25</v>
      </c>
      <c r="B34" s="251" t="str">
        <f>+'2 IDENTIFICACIÓN'!J34</f>
        <v xml:space="preserve"> por  debido a </v>
      </c>
      <c r="C34" s="89" t="str">
        <f>+'5 VALORACIÓN DEL CONTROL'!T159</f>
        <v/>
      </c>
      <c r="D34" s="64" t="str">
        <f>+'5 VALORACIÓN DEL CONTROL'!U159</f>
        <v/>
      </c>
      <c r="E34" s="64" t="str">
        <f t="shared" si="0"/>
        <v/>
      </c>
      <c r="F34" s="64" t="str">
        <f t="shared" si="1"/>
        <v/>
      </c>
      <c r="G34" s="251" t="str">
        <f t="shared" si="2"/>
        <v/>
      </c>
    </row>
    <row r="35" spans="1:7" ht="93" hidden="1" customHeight="1" x14ac:dyDescent="0.3">
      <c r="A35" s="62" t="str">
        <f>'2 IDENTIFICACIÓN'!A35</f>
        <v>R26</v>
      </c>
      <c r="B35" s="251" t="str">
        <f>+'2 IDENTIFICACIÓN'!J35</f>
        <v xml:space="preserve"> por  debido a </v>
      </c>
      <c r="C35" s="89" t="str">
        <f>+'5 VALORACIÓN DEL CONTROL'!T165</f>
        <v/>
      </c>
      <c r="D35" s="64" t="str">
        <f>+'5 VALORACIÓN DEL CONTROL'!U165</f>
        <v/>
      </c>
      <c r="E35" s="64" t="str">
        <f t="shared" si="0"/>
        <v/>
      </c>
      <c r="F35" s="64" t="str">
        <f t="shared" si="1"/>
        <v/>
      </c>
      <c r="G35" s="251" t="str">
        <f t="shared" si="2"/>
        <v/>
      </c>
    </row>
    <row r="36" spans="1:7" ht="93" hidden="1" customHeight="1" x14ac:dyDescent="0.3">
      <c r="A36" s="62" t="str">
        <f>'2 IDENTIFICACIÓN'!A36</f>
        <v>R27</v>
      </c>
      <c r="B36" s="251" t="str">
        <f>+'2 IDENTIFICACIÓN'!J36</f>
        <v xml:space="preserve"> por  debido a </v>
      </c>
      <c r="C36" s="89" t="str">
        <f>+'5 VALORACIÓN DEL CONTROL'!T171</f>
        <v/>
      </c>
      <c r="D36" s="64" t="str">
        <f>+'5 VALORACIÓN DEL CONTROL'!U171</f>
        <v/>
      </c>
      <c r="E36" s="64" t="str">
        <f t="shared" si="0"/>
        <v/>
      </c>
      <c r="F36" s="64" t="str">
        <f t="shared" si="1"/>
        <v/>
      </c>
      <c r="G36" s="251" t="str">
        <f t="shared" si="2"/>
        <v/>
      </c>
    </row>
    <row r="37" spans="1:7" ht="93" hidden="1" customHeight="1" x14ac:dyDescent="0.3">
      <c r="A37" s="62" t="str">
        <f>'2 IDENTIFICACIÓN'!A37</f>
        <v>R28</v>
      </c>
      <c r="B37" s="251" t="str">
        <f>+'2 IDENTIFICACIÓN'!J37</f>
        <v xml:space="preserve"> por  debido a </v>
      </c>
      <c r="C37" s="89" t="str">
        <f>+'5 VALORACIÓN DEL CONTROL'!T177</f>
        <v/>
      </c>
      <c r="D37" s="64" t="str">
        <f>+'5 VALORACIÓN DEL CONTROL'!U177</f>
        <v/>
      </c>
      <c r="E37" s="64" t="str">
        <f t="shared" si="0"/>
        <v/>
      </c>
      <c r="F37" s="64" t="str">
        <f t="shared" si="1"/>
        <v/>
      </c>
      <c r="G37" s="251" t="str">
        <f t="shared" si="2"/>
        <v/>
      </c>
    </row>
    <row r="38" spans="1:7" ht="93" hidden="1" customHeight="1" x14ac:dyDescent="0.3">
      <c r="A38" s="62" t="str">
        <f>'2 IDENTIFICACIÓN'!A38</f>
        <v>R29</v>
      </c>
      <c r="B38" s="251" t="str">
        <f>+'2 IDENTIFICACIÓN'!J38</f>
        <v xml:space="preserve"> por  debido a </v>
      </c>
      <c r="C38" s="89" t="str">
        <f>+'5 VALORACIÓN DEL CONTROL'!T183</f>
        <v/>
      </c>
      <c r="D38" s="64" t="str">
        <f>+'5 VALORACIÓN DEL CONTROL'!U183</f>
        <v/>
      </c>
      <c r="E38" s="64" t="str">
        <f t="shared" si="0"/>
        <v/>
      </c>
      <c r="F38" s="64" t="str">
        <f t="shared" si="1"/>
        <v/>
      </c>
      <c r="G38" s="251" t="str">
        <f t="shared" si="2"/>
        <v/>
      </c>
    </row>
    <row r="39" spans="1:7" ht="93" hidden="1" customHeight="1" x14ac:dyDescent="0.3">
      <c r="A39" s="62" t="str">
        <f>'2 IDENTIFICACIÓN'!A39</f>
        <v>R30</v>
      </c>
      <c r="B39" s="251" t="str">
        <f>+'2 IDENTIFICACIÓN'!J39</f>
        <v xml:space="preserve"> por  debido a </v>
      </c>
      <c r="C39" s="89" t="str">
        <f>+'5 VALORACIÓN DEL CONTROL'!T189</f>
        <v/>
      </c>
      <c r="D39" s="64" t="str">
        <f>+'5 VALORACIÓN DEL CONTROL'!U189</f>
        <v/>
      </c>
      <c r="E39" s="64" t="str">
        <f t="shared" si="0"/>
        <v/>
      </c>
      <c r="F39" s="64" t="str">
        <f t="shared" si="1"/>
        <v/>
      </c>
      <c r="G39" s="251" t="str">
        <f t="shared" si="2"/>
        <v/>
      </c>
    </row>
    <row r="40" spans="1:7" ht="13.8" thickBot="1" x14ac:dyDescent="0.35">
      <c r="C40" s="145"/>
      <c r="D40" s="146"/>
      <c r="E40" s="146"/>
      <c r="F40" s="146"/>
    </row>
    <row r="41" spans="1:7" ht="14.4" thickTop="1" thickBot="1" x14ac:dyDescent="0.35">
      <c r="A41" s="335" t="s">
        <v>377</v>
      </c>
      <c r="B41" s="335"/>
      <c r="C41" s="335"/>
      <c r="D41" s="335"/>
      <c r="E41" s="335"/>
      <c r="F41" s="335"/>
      <c r="G41" s="335"/>
    </row>
    <row r="42" spans="1:7" ht="14.4" thickTop="1" thickBot="1" x14ac:dyDescent="0.35">
      <c r="A42" s="314" t="s">
        <v>378</v>
      </c>
      <c r="B42" s="335" t="s">
        <v>379</v>
      </c>
      <c r="C42" s="335"/>
      <c r="D42" s="335" t="s">
        <v>380</v>
      </c>
      <c r="E42" s="335"/>
      <c r="F42" s="335" t="s">
        <v>381</v>
      </c>
      <c r="G42" s="335"/>
    </row>
    <row r="43" spans="1:7" ht="78.45" customHeight="1" thickTop="1" thickBot="1" x14ac:dyDescent="0.35">
      <c r="A43" s="315" t="s">
        <v>382</v>
      </c>
      <c r="B43" s="336">
        <v>46163</v>
      </c>
      <c r="C43" s="336"/>
      <c r="D43" s="337" t="s">
        <v>383</v>
      </c>
      <c r="E43" s="337"/>
      <c r="F43" s="338" t="s">
        <v>384</v>
      </c>
      <c r="G43" s="338"/>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358"/>
      <c r="B1" s="339" t="s">
        <v>375</v>
      </c>
      <c r="C1" s="340"/>
      <c r="D1" s="340"/>
      <c r="E1" s="340"/>
      <c r="F1" s="340"/>
      <c r="G1" s="340"/>
      <c r="H1" s="340"/>
      <c r="I1" s="341"/>
      <c r="J1" s="306" t="s">
        <v>373</v>
      </c>
      <c r="K1" s="307"/>
      <c r="L1" s="253"/>
    </row>
    <row r="2" spans="1:38" s="4" customFormat="1" ht="19.95" customHeight="1" x14ac:dyDescent="0.3">
      <c r="A2" s="359"/>
      <c r="B2" s="342"/>
      <c r="C2" s="343"/>
      <c r="D2" s="343"/>
      <c r="E2" s="343"/>
      <c r="F2" s="343"/>
      <c r="G2" s="343"/>
      <c r="H2" s="343"/>
      <c r="I2" s="344"/>
      <c r="J2" s="308" t="s">
        <v>376</v>
      </c>
      <c r="K2" s="309"/>
      <c r="L2" s="253"/>
    </row>
    <row r="3" spans="1:38" s="3" customFormat="1" ht="16.2" thickBot="1" x14ac:dyDescent="0.3">
      <c r="A3" s="360"/>
      <c r="B3" s="345" t="s">
        <v>359</v>
      </c>
      <c r="C3" s="346"/>
      <c r="D3" s="346"/>
      <c r="E3" s="346"/>
      <c r="F3" s="346"/>
      <c r="G3" s="346"/>
      <c r="H3" s="346"/>
      <c r="I3" s="347"/>
      <c r="J3" s="310" t="s">
        <v>374</v>
      </c>
      <c r="K3" s="311"/>
      <c r="L3" s="254"/>
    </row>
    <row r="4" spans="1:38" s="3" customFormat="1" ht="16.95" customHeight="1" thickTop="1" x14ac:dyDescent="0.25">
      <c r="A4" s="349"/>
      <c r="B4" s="350"/>
      <c r="C4" s="350"/>
      <c r="D4" s="350"/>
      <c r="E4" s="350"/>
      <c r="F4" s="350"/>
      <c r="G4" s="350"/>
      <c r="H4" s="350"/>
      <c r="I4" s="350"/>
      <c r="J4" s="350"/>
      <c r="K4" s="351"/>
    </row>
    <row r="5" spans="1:38" s="4" customFormat="1" ht="27" customHeight="1" x14ac:dyDescent="0.3">
      <c r="A5" s="12" t="s">
        <v>80</v>
      </c>
      <c r="B5" s="259" t="str">
        <f>'2 IDENTIFICACIÓN'!B5</f>
        <v>ALCALDIA DE BUCARAMANGA</v>
      </c>
      <c r="C5" s="260"/>
      <c r="D5" s="260"/>
      <c r="E5" s="261"/>
      <c r="F5" s="245" t="s">
        <v>81</v>
      </c>
      <c r="G5" s="259" t="str">
        <f>'2 IDENTIFICACIÓN'!G5</f>
        <v xml:space="preserve">GESTÓN Y DESARROLLO DE LA INFRAESTRUCTURA </v>
      </c>
      <c r="H5" s="261"/>
      <c r="I5" s="245" t="s">
        <v>353</v>
      </c>
      <c r="J5" s="262">
        <f>'2 IDENTIFICACIÓN'!J5</f>
        <v>2026</v>
      </c>
      <c r="K5" s="263"/>
    </row>
    <row r="6" spans="1:38" s="4" customFormat="1" ht="14.4" thickBot="1" x14ac:dyDescent="0.3">
      <c r="A6" s="166"/>
      <c r="B6" s="255"/>
      <c r="C6" s="255"/>
      <c r="D6" s="255"/>
      <c r="E6" s="255"/>
      <c r="F6" s="256"/>
      <c r="G6" s="257"/>
      <c r="H6" s="257"/>
      <c r="I6" s="257"/>
      <c r="J6" s="257"/>
      <c r="K6" s="257"/>
      <c r="S6" s="37"/>
      <c r="T6" s="37"/>
      <c r="U6" s="37"/>
    </row>
    <row r="7" spans="1:38" s="37" customFormat="1" ht="13.8" thickBot="1" x14ac:dyDescent="0.3">
      <c r="A7" s="490" t="s">
        <v>294</v>
      </c>
      <c r="B7" s="491"/>
      <c r="C7" s="491"/>
      <c r="D7" s="491"/>
      <c r="E7" s="491"/>
      <c r="F7" s="491"/>
      <c r="G7" s="492"/>
      <c r="I7" s="490" t="s">
        <v>320</v>
      </c>
      <c r="J7" s="491"/>
      <c r="K7" s="491"/>
      <c r="L7" s="491"/>
      <c r="M7" s="491"/>
      <c r="N7" s="491"/>
      <c r="O7" s="492"/>
      <c r="R7" s="41"/>
      <c r="S7" s="42"/>
      <c r="T7" s="438" t="s">
        <v>158</v>
      </c>
      <c r="U7" s="438"/>
      <c r="V7" s="438"/>
      <c r="W7" s="438"/>
      <c r="X7" s="439"/>
      <c r="AF7" s="38"/>
      <c r="AG7" s="38"/>
      <c r="AH7" s="38"/>
      <c r="AI7" s="38"/>
      <c r="AJ7" s="38"/>
    </row>
    <row r="8" spans="1:38" x14ac:dyDescent="0.3">
      <c r="A8" s="44"/>
      <c r="B8" s="45"/>
      <c r="C8" s="438" t="s">
        <v>158</v>
      </c>
      <c r="D8" s="438"/>
      <c r="E8" s="438"/>
      <c r="F8" s="438"/>
      <c r="G8" s="439"/>
      <c r="H8" s="43"/>
      <c r="I8" s="44"/>
      <c r="J8" s="45"/>
      <c r="K8" s="438" t="s">
        <v>158</v>
      </c>
      <c r="L8" s="438"/>
      <c r="M8" s="438"/>
      <c r="N8" s="438"/>
      <c r="O8" s="439"/>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40"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40"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489"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40"/>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R10          </v>
      </c>
      <c r="H11" s="65"/>
      <c r="I11" s="440"/>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R10          </v>
      </c>
      <c r="P11" s="65"/>
      <c r="Q11" s="489"/>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40"/>
      <c r="B12" s="56" t="s">
        <v>278</v>
      </c>
      <c r="C12" s="70" t="str">
        <f>+'4 MAPA CALOR INHERENTE'!I12</f>
        <v xml:space="preserve">                   </v>
      </c>
      <c r="D12" s="70" t="str">
        <f>+'4 MAPA CALOR INHERENTE'!J12</f>
        <v xml:space="preserve">               R16    </v>
      </c>
      <c r="E12" s="70" t="str">
        <f>+'4 MAPA CALOR INHERENTE'!K12</f>
        <v xml:space="preserve">R1 R2   R5 R6 R7 R8 R9      R15     </v>
      </c>
      <c r="F12" s="66" t="str">
        <f>+'4 MAPA CALOR INHERENTE'!L12</f>
        <v xml:space="preserve">                   </v>
      </c>
      <c r="G12" s="67" t="str">
        <f>+'4 MAPA CALOR INHERENTE'!M12</f>
        <v xml:space="preserve">  R3 R4       R11 R12 R13    R17 R18 R19 </v>
      </c>
      <c r="H12" s="65"/>
      <c r="I12" s="440"/>
      <c r="J12" s="56" t="s">
        <v>278</v>
      </c>
      <c r="K12" s="70" t="str">
        <f>+'6 MAPA CALOR RESIDUAL'!K12</f>
        <v xml:space="preserve">                   </v>
      </c>
      <c r="L12" s="70" t="str">
        <f>+'6 MAPA CALOR RESIDUAL'!L12</f>
        <v xml:space="preserve">               R16    </v>
      </c>
      <c r="M12" s="70" t="str">
        <f>+'6 MAPA CALOR RESIDUAL'!M12</f>
        <v xml:space="preserve">R1 R2   R5 R6 R7 R8 R9      R15     </v>
      </c>
      <c r="N12" s="66" t="str">
        <f>+'6 MAPA CALOR RESIDUAL'!N12</f>
        <v xml:space="preserve">                   </v>
      </c>
      <c r="O12" s="67" t="str">
        <f>+'6 MAPA CALOR RESIDUAL'!O12</f>
        <v xml:space="preserve">  R3 R4       R11 R12 R13    R17 R18 R19 </v>
      </c>
      <c r="P12" s="65"/>
      <c r="Q12" s="489"/>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40"/>
      <c r="B13" s="56" t="s">
        <v>274</v>
      </c>
      <c r="C13" s="74" t="str">
        <f>+'4 MAPA CALOR INHERENTE'!I13</f>
        <v xml:space="preserve">                   </v>
      </c>
      <c r="D13" s="70" t="str">
        <f>+'4 MAPA CALOR INHERENTE'!J13</f>
        <v xml:space="preserve">                   </v>
      </c>
      <c r="E13" s="70" t="str">
        <f>+'4 MAPA CALOR INHERENTE'!K13</f>
        <v xml:space="preserve">                   </v>
      </c>
      <c r="F13" s="66" t="str">
        <f>+'4 MAPA CALOR INHERENTE'!L13</f>
        <v xml:space="preserve">                   </v>
      </c>
      <c r="G13" s="67" t="str">
        <f>+'4 MAPA CALOR INHERENTE'!M13</f>
        <v xml:space="preserve">             R14      </v>
      </c>
      <c r="H13" s="65"/>
      <c r="I13" s="440"/>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v>
      </c>
      <c r="O13" s="67" t="str">
        <f>+'6 MAPA CALOR RESIDUAL'!O13</f>
        <v xml:space="preserve">             R14      </v>
      </c>
      <c r="P13" s="65"/>
      <c r="Q13" s="489"/>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41"/>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41"/>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489"/>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35" t="s">
        <v>377</v>
      </c>
      <c r="B70" s="335"/>
      <c r="C70" s="335"/>
      <c r="D70" s="335"/>
      <c r="E70" s="335"/>
      <c r="F70" s="335"/>
      <c r="G70" s="335"/>
    </row>
    <row r="71" spans="1:7" ht="14.4" thickTop="1" thickBot="1" x14ac:dyDescent="0.35">
      <c r="A71" s="314" t="s">
        <v>378</v>
      </c>
      <c r="B71" s="335" t="s">
        <v>379</v>
      </c>
      <c r="C71" s="335"/>
      <c r="D71" s="335" t="s">
        <v>380</v>
      </c>
      <c r="E71" s="335"/>
      <c r="F71" s="335" t="s">
        <v>381</v>
      </c>
      <c r="G71" s="335"/>
    </row>
    <row r="72" spans="1:7" ht="59.55" customHeight="1" thickTop="1" thickBot="1" x14ac:dyDescent="0.35">
      <c r="A72" s="315" t="s">
        <v>382</v>
      </c>
      <c r="B72" s="336">
        <v>46163</v>
      </c>
      <c r="C72" s="336"/>
      <c r="D72" s="337" t="s">
        <v>383</v>
      </c>
      <c r="E72" s="337"/>
      <c r="F72" s="338" t="s">
        <v>384</v>
      </c>
      <c r="G72" s="338"/>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3"/>
  <sheetViews>
    <sheetView showGridLines="0" topLeftCell="G1" zoomScale="70" zoomScaleNormal="70" workbookViewId="0">
      <selection activeCell="T13" sqref="T13"/>
    </sheetView>
  </sheetViews>
  <sheetFormatPr baseColWidth="10" defaultColWidth="0" defaultRowHeight="13.2" x14ac:dyDescent="0.3"/>
  <cols>
    <col min="1" max="1" width="11.44140625" style="51" customWidth="1"/>
    <col min="2" max="2" width="35.7773437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0.21875" style="51" customWidth="1"/>
    <col min="12" max="12" width="12.44140625" style="51" customWidth="1"/>
    <col min="13" max="13" width="16.77734375" style="51" customWidth="1"/>
    <col min="14" max="14" width="15.44140625" style="51" customWidth="1"/>
    <col min="15" max="15" width="16.44140625" style="51" customWidth="1"/>
    <col min="16" max="16" width="16.44140625" style="51" hidden="1" customWidth="1"/>
    <col min="17" max="17" width="48.5546875" style="51" customWidth="1"/>
    <col min="18" max="18" width="49.21875" style="51" customWidth="1"/>
    <col min="19" max="19" width="35.5546875" style="51" customWidth="1"/>
    <col min="20" max="20" width="20.77734375" style="51" customWidth="1"/>
    <col min="21" max="21" width="9.44140625" style="92" customWidth="1"/>
    <col min="22" max="22" width="15.44140625" style="92"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358"/>
      <c r="B1" s="339" t="s">
        <v>375</v>
      </c>
      <c r="C1" s="340"/>
      <c r="D1" s="340"/>
      <c r="E1" s="340"/>
      <c r="F1" s="340"/>
      <c r="G1" s="340"/>
      <c r="H1" s="340"/>
      <c r="I1" s="341"/>
      <c r="J1" s="306" t="s">
        <v>373</v>
      </c>
      <c r="K1" s="307"/>
      <c r="L1" s="253"/>
    </row>
    <row r="2" spans="1:46" s="4" customFormat="1" ht="19.95" customHeight="1" x14ac:dyDescent="0.3">
      <c r="A2" s="359"/>
      <c r="B2" s="342"/>
      <c r="C2" s="343"/>
      <c r="D2" s="343"/>
      <c r="E2" s="343"/>
      <c r="F2" s="343"/>
      <c r="G2" s="343"/>
      <c r="H2" s="343"/>
      <c r="I2" s="344"/>
      <c r="J2" s="308" t="s">
        <v>376</v>
      </c>
      <c r="K2" s="309"/>
      <c r="L2" s="253"/>
    </row>
    <row r="3" spans="1:46" s="3" customFormat="1" ht="16.2" thickBot="1" x14ac:dyDescent="0.3">
      <c r="A3" s="360"/>
      <c r="B3" s="345" t="s">
        <v>359</v>
      </c>
      <c r="C3" s="346"/>
      <c r="D3" s="346"/>
      <c r="E3" s="346"/>
      <c r="F3" s="346"/>
      <c r="G3" s="346"/>
      <c r="H3" s="346"/>
      <c r="I3" s="347"/>
      <c r="J3" s="310" t="s">
        <v>374</v>
      </c>
      <c r="K3" s="311"/>
      <c r="L3" s="254"/>
    </row>
    <row r="4" spans="1:46" s="3" customFormat="1" ht="16.95" customHeight="1" thickTop="1" x14ac:dyDescent="0.25">
      <c r="A4" s="349"/>
      <c r="B4" s="350"/>
      <c r="C4" s="350"/>
      <c r="D4" s="350"/>
      <c r="E4" s="350"/>
      <c r="F4" s="350"/>
      <c r="G4" s="350"/>
      <c r="H4" s="350"/>
      <c r="I4" s="350"/>
      <c r="J4" s="350"/>
      <c r="K4" s="351"/>
    </row>
    <row r="5" spans="1:46" s="28" customFormat="1" ht="27" customHeight="1" x14ac:dyDescent="0.3">
      <c r="A5" s="108" t="s">
        <v>80</v>
      </c>
      <c r="B5" s="286" t="str">
        <f>'2 IDENTIFICACIÓN'!B5</f>
        <v>ALCALDIA DE BUCARAMANGA</v>
      </c>
      <c r="C5" s="287"/>
      <c r="D5" s="287"/>
      <c r="E5" s="284"/>
      <c r="F5" s="245" t="s">
        <v>81</v>
      </c>
      <c r="G5" s="286" t="str">
        <f>'2 IDENTIFICACIÓN'!G5</f>
        <v xml:space="preserve">GESTÓN Y DESARROLLO DE LA INFRAESTRUCTURA </v>
      </c>
      <c r="H5" s="284"/>
      <c r="I5" s="245" t="s">
        <v>353</v>
      </c>
      <c r="J5" s="282">
        <f>'2 IDENTIFICACIÓN'!J5</f>
        <v>2026</v>
      </c>
      <c r="K5" s="288"/>
    </row>
    <row r="6" spans="1:46" s="28" customFormat="1" ht="13.8" x14ac:dyDescent="0.25">
      <c r="A6" s="256"/>
      <c r="B6" s="7"/>
      <c r="C6" s="7"/>
      <c r="D6" s="7"/>
      <c r="E6" s="7"/>
      <c r="F6" s="256"/>
      <c r="G6" s="169"/>
      <c r="H6" s="169"/>
      <c r="I6" s="169"/>
      <c r="J6" s="169"/>
      <c r="K6" s="169"/>
      <c r="T6" s="289"/>
      <c r="U6" s="289"/>
      <c r="V6" s="289"/>
    </row>
    <row r="7" spans="1:46" ht="14.55" customHeight="1" x14ac:dyDescent="0.3">
      <c r="A7" s="43"/>
      <c r="B7" s="43"/>
      <c r="C7" s="43"/>
      <c r="D7" s="43"/>
      <c r="E7" s="435" t="s">
        <v>295</v>
      </c>
      <c r="F7" s="435"/>
      <c r="G7" s="435"/>
      <c r="H7" s="43"/>
      <c r="I7" s="43"/>
      <c r="J7" s="435" t="s">
        <v>321</v>
      </c>
      <c r="K7" s="435"/>
      <c r="L7" s="435"/>
      <c r="M7" s="43"/>
      <c r="N7" s="43"/>
      <c r="O7" s="43"/>
      <c r="P7" s="43"/>
      <c r="Q7" s="435" t="s">
        <v>324</v>
      </c>
      <c r="R7" s="435"/>
      <c r="S7" s="435"/>
      <c r="T7" s="435"/>
      <c r="U7" s="435"/>
      <c r="V7" s="435"/>
      <c r="W7" s="43"/>
      <c r="X7" s="43"/>
      <c r="Z7" s="294"/>
      <c r="AB7" s="48">
        <v>0.2</v>
      </c>
      <c r="AC7" s="48">
        <v>0.4</v>
      </c>
      <c r="AD7" s="48">
        <v>0.6</v>
      </c>
      <c r="AE7" s="48">
        <v>0.8</v>
      </c>
      <c r="AF7" s="49">
        <v>1</v>
      </c>
      <c r="AG7" s="295"/>
      <c r="AH7" s="295"/>
      <c r="AI7" s="295"/>
      <c r="AJ7" s="295"/>
      <c r="AK7" s="295"/>
      <c r="AL7" s="295"/>
      <c r="AM7" s="295"/>
    </row>
    <row r="8" spans="1:46" ht="39.6"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4"/>
      <c r="AA8" s="251"/>
      <c r="AB8" s="59" t="s">
        <v>272</v>
      </c>
      <c r="AC8" s="59" t="s">
        <v>276</v>
      </c>
      <c r="AD8" s="59" t="s">
        <v>280</v>
      </c>
      <c r="AE8" s="59" t="s">
        <v>285</v>
      </c>
      <c r="AF8" s="60" t="s">
        <v>290</v>
      </c>
      <c r="AI8" s="295"/>
      <c r="AJ8" s="295"/>
      <c r="AK8" s="296"/>
      <c r="AL8" s="296"/>
      <c r="AM8" s="296"/>
      <c r="AN8" s="296"/>
      <c r="AO8" s="296"/>
      <c r="AP8" s="296"/>
      <c r="AQ8" s="296"/>
      <c r="AR8" s="296"/>
      <c r="AS8" s="296"/>
      <c r="AT8" s="296"/>
    </row>
    <row r="9" spans="1:46" ht="93" customHeight="1" x14ac:dyDescent="0.25">
      <c r="A9" s="62" t="str">
        <f>'2 IDENTIFICACIÓN'!A10</f>
        <v>R1</v>
      </c>
      <c r="B9" s="251" t="str">
        <f>+'2 IDENTIFICACIÓN'!J10</f>
        <v>Posibilidad de afectación reputacional por  investigaciones disciplinarias promovidas por entes de control, debido a  inadecuada planeación y elaboración de diseños de obras, que genera entregas tardías en los servicios y afecta el beneficio esperado por la comunidad.</v>
      </c>
      <c r="C9" s="89">
        <f>+'3 PROBABIL E IMPACTO INHERENTE'!E10</f>
        <v>0.6</v>
      </c>
      <c r="D9" s="89">
        <f>+'3 PROBABIL E IMPACTO INHERENTE'!M10</f>
        <v>0.6</v>
      </c>
      <c r="E9" s="64" t="str">
        <f>+'4 MAPA CALOR INHERENTE'!C10</f>
        <v>Media</v>
      </c>
      <c r="F9" s="64" t="str">
        <f>+'4 MAPA CALOR INHERENTE'!D10</f>
        <v>Moderado</v>
      </c>
      <c r="G9" s="251" t="str">
        <f>+'4 MAPA CALOR INHERENTE'!E10</f>
        <v>Moderado</v>
      </c>
      <c r="H9" s="89">
        <f>+'6 MAPA CALOR RESIDUAL'!C10</f>
        <v>0.6</v>
      </c>
      <c r="I9" s="64">
        <f>+'6 MAPA CALOR RESIDUAL'!D10</f>
        <v>0.6</v>
      </c>
      <c r="J9" s="64" t="str">
        <f>+'6 MAPA CALOR RESIDUAL'!E10</f>
        <v>Media</v>
      </c>
      <c r="K9" s="64" t="str">
        <f>+'6 MAPA CALOR RESIDUAL'!F10</f>
        <v>Moderado</v>
      </c>
      <c r="L9" s="251" t="str">
        <f>+'6 MAPA CALOR RESIDUAL'!G10</f>
        <v>Moderado</v>
      </c>
      <c r="M9" s="251" t="str">
        <f t="shared" ref="M9:M46" si="0">+IF($N9="","",IF($N9=$AC$18,$AD$18,IF($N9=$AC$21,$AD$21)))</f>
        <v>Requiere Plan de Acción</v>
      </c>
      <c r="N9" s="251" t="str">
        <f t="shared" ref="N9:N30" si="1">+IF(L9="","",IF(OR(L9=$AB$18,L9=$AB$19,L9=$AB$20),$AC$18,IF(L9=$AB$21,$AC$21)))</f>
        <v>Reducir_mitigar_Transferir_Evitar</v>
      </c>
      <c r="O9" s="252" t="s">
        <v>334</v>
      </c>
      <c r="P9" s="251" t="str">
        <f t="shared" ref="P9:P46" si="2">+IF($M9="","",IF($M9=$AD$21,$AC$21,$O9))</f>
        <v>Reducir_Mitigar</v>
      </c>
      <c r="Q9" s="303" t="str">
        <f>'5 VALORACIÓN DEL CONTROL'!I10</f>
        <v>El Profesional encargado del área de obras, verifica el cumplimiento de los lineamientos técnicos y normativos en la elaboración de los estudios y diseños de los proyectos de infraestructura,  mediante seguimiento a los avances presentados por el equipo de diseño, según normatividad vigente.</v>
      </c>
      <c r="R9" s="252" t="s">
        <v>461</v>
      </c>
      <c r="S9" s="252" t="s">
        <v>462</v>
      </c>
      <c r="T9" s="252" t="s">
        <v>463</v>
      </c>
      <c r="U9" s="304">
        <v>46023</v>
      </c>
      <c r="V9" s="304">
        <v>46371</v>
      </c>
      <c r="Y9" s="511" t="s">
        <v>139</v>
      </c>
      <c r="Z9" s="68">
        <v>1</v>
      </c>
      <c r="AA9" s="59" t="s">
        <v>288</v>
      </c>
      <c r="AB9" s="66" t="s">
        <v>298</v>
      </c>
      <c r="AC9" s="66" t="s">
        <v>298</v>
      </c>
      <c r="AD9" s="66" t="s">
        <v>298</v>
      </c>
      <c r="AE9" s="66" t="s">
        <v>298</v>
      </c>
      <c r="AF9" s="67" t="s">
        <v>299</v>
      </c>
      <c r="AI9" s="295"/>
      <c r="AJ9" s="295"/>
      <c r="AK9" s="296"/>
      <c r="AL9" s="296"/>
      <c r="AM9" s="296"/>
      <c r="AN9" s="69"/>
      <c r="AO9" s="69"/>
      <c r="AP9" s="69"/>
      <c r="AQ9" s="69"/>
      <c r="AR9" s="69"/>
      <c r="AS9" s="296"/>
      <c r="AT9" s="296"/>
    </row>
    <row r="10" spans="1:46" ht="93" customHeight="1" x14ac:dyDescent="0.25">
      <c r="A10" s="501" t="str">
        <f>'2 IDENTIFICACIÓN'!A11</f>
        <v>R2</v>
      </c>
      <c r="B10" s="493" t="str">
        <f>+'2 IDENTIFICACIÓN'!J11</f>
        <v>Posibilidad de afectación reputacional por  debilidades en la planeación, gestión y ejecución de las obligaciones contractuales por parte de las unidades gestoras,  debido a  la deficiencias en la supervisión y ejecución oportuna de los procesos contractuales producto de la constitución de reservas presupuestales.</v>
      </c>
      <c r="C10" s="499">
        <f>+'3 PROBABIL E IMPACTO INHERENTE'!E11</f>
        <v>0.6</v>
      </c>
      <c r="D10" s="499">
        <f>+'3 PROBABIL E IMPACTO INHERENTE'!M11</f>
        <v>0.6</v>
      </c>
      <c r="E10" s="503" t="str">
        <f>+'4 MAPA CALOR INHERENTE'!C11</f>
        <v>Media</v>
      </c>
      <c r="F10" s="503" t="str">
        <f>+'4 MAPA CALOR INHERENTE'!D11</f>
        <v>Moderado</v>
      </c>
      <c r="G10" s="493" t="str">
        <f>+'4 MAPA CALOR INHERENTE'!E11</f>
        <v>Moderado</v>
      </c>
      <c r="H10" s="499">
        <f>+'5 VALORACIÓN DEL CONTROL'!T21</f>
        <v>0.6</v>
      </c>
      <c r="I10" s="503">
        <f>+'5 VALORACIÓN DEL CONTROL'!U21</f>
        <v>0.6</v>
      </c>
      <c r="J10" s="503" t="str">
        <f t="shared" ref="J10:J30" si="3">+IF(H10=0,"",IF(H10&lt;=$Z$14,$AA$14,IF(H10&lt;=$Z$13,$AA$13,IF(H10&lt;=$Z$12,$AA$12,IF(H10&lt;=$Z$10,$AA$10,IF(H10&lt;=$Z$9,$AA$9,""))))))</f>
        <v>Media</v>
      </c>
      <c r="K10" s="503" t="str">
        <f t="shared" ref="K10:K30" si="4">+IF(I10=0,"",IF(I10&lt;=$AB$7,$AB$8,IF(I10&lt;=$AC$7,$AC$8,IF(I10&lt;=$AD$7,$AD$8,IF(I10&lt;=$AE$7,$AE$8,IF(I10&lt;=$AF$7,$AF$8,""))))))</f>
        <v>Moderado</v>
      </c>
      <c r="L10" s="493" t="str">
        <f t="shared" ref="L10:L30" si="5">+IF(J10=$AA$9,IF(K10=$AB$8,$AB$9,IF(K10=$AC$8,$AC$9,IF(K10=$AD$8,$AD$9,IF(K10=$AE$8,$AE$9,IF(K10=$AF$8,$AF$9))))),IF(J10=$AA$10,IF(K10=$AB$8,$AB$10,IF(K10=$AC$8,$AC$10,IF(K10=$AD$8,$AD$10,IF(K10=$AE$8,$AE$10,IF(K10=$AF$8,$AF$10))))),IF(J10=$AA$12,IF(K10=$AB$8,$AB$12,IF(K10=$AC$8,$AC$12,IF(K10=$AD$8,$AD$12,IF(K10=$AE$8,$AE$12,IF(K10=$AF$8,$AF$12))))),IF(J10=$AA$13,IF(K10=$AB$8,$AB$13,IF(K10=$AC$8,$AC$13,IF(K10=$AD$8,$AD$13,IF(K10=$AE$8,$AE$13,IF(K10=$AF$8,$AF$13))))),IF(J10=$AA$14,IF(K10=$AB$8,$AB$14,IF(K10=$AC$8,$AC$14,IF(K10=$AD$8,$AD$14,IF(K10=$AE$8,$AE$14,IF(K10=$AF$8,$AF$14))))),"")))))</f>
        <v>Moderado</v>
      </c>
      <c r="M10" s="493" t="str">
        <f t="shared" si="0"/>
        <v>Requiere Plan de Acción</v>
      </c>
      <c r="N10" s="493" t="str">
        <f t="shared" si="1"/>
        <v>Reducir_mitigar_Transferir_Evitar</v>
      </c>
      <c r="O10" s="495" t="s">
        <v>334</v>
      </c>
      <c r="P10" s="251" t="str">
        <f t="shared" si="2"/>
        <v>Reducir_Mitigar</v>
      </c>
      <c r="Q10" s="497" t="str">
        <f>'5 VALORACIÓN DEL CONTROL'!I16</f>
        <v>El Profesional designado de las áreas de Proyectos, Contratación, Presupuesto y los Supervisores de la Secretaría de Infraestructura verifican periódicamente la ejecución presupuestal y contractual de los proyectos de obra, conforme al principio de planeación, mediante el seguimiento a la ejecución de los contratos y sus soportes, con el fin de evitar la constitución de reservas presupuestales sin la debida justificación.</v>
      </c>
      <c r="R10" s="252" t="s">
        <v>464</v>
      </c>
      <c r="S10" s="252" t="s">
        <v>465</v>
      </c>
      <c r="T10" s="252" t="s">
        <v>466</v>
      </c>
      <c r="U10" s="304">
        <v>46174</v>
      </c>
      <c r="V10" s="304">
        <v>46356</v>
      </c>
      <c r="Y10" s="512"/>
      <c r="Z10" s="68">
        <v>0.8</v>
      </c>
      <c r="AA10" s="59" t="s">
        <v>283</v>
      </c>
      <c r="AB10" s="70" t="s">
        <v>280</v>
      </c>
      <c r="AC10" s="70" t="s">
        <v>280</v>
      </c>
      <c r="AD10" s="66" t="s">
        <v>298</v>
      </c>
      <c r="AE10" s="66" t="s">
        <v>298</v>
      </c>
      <c r="AF10" s="67" t="s">
        <v>299</v>
      </c>
      <c r="AI10" s="295"/>
      <c r="AJ10" s="295"/>
      <c r="AK10" s="296"/>
      <c r="AL10" s="297"/>
      <c r="AM10" s="72"/>
      <c r="AN10" s="69"/>
      <c r="AO10" s="69"/>
      <c r="AP10" s="69"/>
      <c r="AQ10" s="69"/>
      <c r="AR10" s="69"/>
      <c r="AS10" s="296"/>
      <c r="AT10" s="296"/>
    </row>
    <row r="11" spans="1:46" ht="93" customHeight="1" x14ac:dyDescent="0.25">
      <c r="A11" s="502"/>
      <c r="B11" s="494"/>
      <c r="C11" s="500"/>
      <c r="D11" s="500"/>
      <c r="E11" s="504"/>
      <c r="F11" s="504"/>
      <c r="G11" s="494"/>
      <c r="H11" s="500"/>
      <c r="I11" s="504"/>
      <c r="J11" s="504"/>
      <c r="K11" s="504"/>
      <c r="L11" s="494"/>
      <c r="M11" s="494"/>
      <c r="N11" s="494"/>
      <c r="O11" s="496"/>
      <c r="P11" s="251"/>
      <c r="Q11" s="498"/>
      <c r="R11" s="252" t="s">
        <v>467</v>
      </c>
      <c r="S11" s="252" t="s">
        <v>468</v>
      </c>
      <c r="T11" s="252" t="s">
        <v>466</v>
      </c>
      <c r="U11" s="304">
        <v>46174</v>
      </c>
      <c r="V11" s="304">
        <v>46356</v>
      </c>
      <c r="Y11" s="512"/>
      <c r="Z11" s="68"/>
      <c r="AA11" s="59"/>
      <c r="AB11" s="70"/>
      <c r="AC11" s="70"/>
      <c r="AD11" s="66"/>
      <c r="AE11" s="66"/>
      <c r="AF11" s="67"/>
      <c r="AI11" s="295"/>
      <c r="AJ11" s="295"/>
      <c r="AK11" s="296"/>
      <c r="AL11" s="297"/>
      <c r="AM11" s="72"/>
      <c r="AN11" s="69"/>
      <c r="AO11" s="69"/>
      <c r="AP11" s="69"/>
      <c r="AQ11" s="69"/>
      <c r="AR11" s="69"/>
      <c r="AS11" s="296"/>
      <c r="AT11" s="296"/>
    </row>
    <row r="12" spans="1:46" ht="93" customHeight="1" x14ac:dyDescent="0.25">
      <c r="A12" s="62" t="str">
        <f>'2 IDENTIFICACIÓN'!A12</f>
        <v>R3</v>
      </c>
      <c r="B12" s="251" t="str">
        <f>+'2 IDENTIFICACIÓN'!J12</f>
        <v>Posibilidad de afectación económica y reputacional por  manejo inadecuado de pasivos exigibles y vigencias expiradas, debido a  incumplimiento de los procedimientos establecidos en la Resolución 193 de 2016 de la Contaduría General de la Nación.</v>
      </c>
      <c r="C12" s="89">
        <f>+'3 PROBABIL E IMPACTO INHERENTE'!E12</f>
        <v>0.6</v>
      </c>
      <c r="D12" s="89">
        <f>+'3 PROBABIL E IMPACTO INHERENTE'!M12</f>
        <v>1</v>
      </c>
      <c r="E12" s="64" t="str">
        <f>+'4 MAPA CALOR INHERENTE'!C12</f>
        <v>Media</v>
      </c>
      <c r="F12" s="64" t="str">
        <f>+'4 MAPA CALOR INHERENTE'!D12</f>
        <v>Catastrófico</v>
      </c>
      <c r="G12" s="251" t="str">
        <f>+'4 MAPA CALOR INHERENTE'!E12</f>
        <v>Extremo</v>
      </c>
      <c r="H12" s="89">
        <f>+'5 VALORACIÓN DEL CONTROL'!T27</f>
        <v>0.6</v>
      </c>
      <c r="I12" s="64">
        <f>+'5 VALORACIÓN DEL CONTROL'!U27</f>
        <v>1</v>
      </c>
      <c r="J12" s="64" t="str">
        <f t="shared" si="3"/>
        <v>Media</v>
      </c>
      <c r="K12" s="64" t="str">
        <f t="shared" si="4"/>
        <v>Catastrófico</v>
      </c>
      <c r="L12" s="251" t="str">
        <f>+IF(J12=$AA$9,IF(K12=$AB$8,$AB$9,IF(K12=$AC$8,$AC$9,IF(K12=$AD$8,$AD$9,IF(K12=$AE$8,$AE$9,IF(K12=$AF$8,$AF$9))))),IF(J12=$AA$10,IF(K12=$AB$8,$AB$10,IF(K12=$AC$8,$AC$10,IF(K12=$AD$8,$AD$10,IF(K12=$AE$8,$AE$10,IF(K12=$AF$8,$AF$10))))),IF(J12=$AA$12,IF(K12=$AB$8,$AB$12,IF(K12=$AC$8,$AC$12,IF(K12=$AD$8,$AD$12,IF(K12=$AE$8,$AE$12,IF(K12=$AF$8,$AF$12))))),IF(J12=$AA$13,IF(K12=$AB$8,$AB$13,IF(K12=$AC$8,$AC$13,IF(K12=$AD$8,$AD$13,IF(K12=$AE$8,$AE$13,IF(K12=$AF$8,$AF$13))))),IF(J12=$AA$14,IF(K12=$AB$8,$AB$14,IF(K12=$AC$8,$AC$14,IF(K12=$AD$8,$AD$14,IF(K12=$AE$8,$AE$14,IF(K12=$AF$8,$AF$14))))),"")))))</f>
        <v>Extremo</v>
      </c>
      <c r="M12" s="251" t="str">
        <f t="shared" si="0"/>
        <v>Requiere Plan de Acción</v>
      </c>
      <c r="N12" s="251" t="str">
        <f t="shared" si="1"/>
        <v>Reducir_mitigar_Transferir_Evitar</v>
      </c>
      <c r="O12" s="252" t="s">
        <v>334</v>
      </c>
      <c r="P12" s="251" t="str">
        <f t="shared" si="2"/>
        <v>Reducir_Mitigar</v>
      </c>
      <c r="Q12" s="303" t="str">
        <f>'5 VALORACIÓN DEL CONTROL'!I22</f>
        <v>La persona encargada,  verifica el cumplimiento de los procedimientos establecidos en la Resolución 193 de 2016 de la Contaduría General de la Nación, mediante la revisión y seguimiento a los pasivos exigibles y/o vigencias expiradas de la Secretaría de Infraestructura, con el fin de realizar su depuración conforme a la normatividad vigente.</v>
      </c>
      <c r="R12" s="252" t="s">
        <v>469</v>
      </c>
      <c r="S12" s="252" t="s">
        <v>470</v>
      </c>
      <c r="T12" s="252" t="s">
        <v>471</v>
      </c>
      <c r="U12" s="304">
        <v>46023</v>
      </c>
      <c r="V12" s="304">
        <v>46371</v>
      </c>
      <c r="Y12" s="512"/>
      <c r="Z12" s="68">
        <v>0.6</v>
      </c>
      <c r="AA12" s="59" t="s">
        <v>278</v>
      </c>
      <c r="AB12" s="70" t="s">
        <v>280</v>
      </c>
      <c r="AC12" s="70" t="s">
        <v>280</v>
      </c>
      <c r="AD12" s="70" t="s">
        <v>280</v>
      </c>
      <c r="AE12" s="66" t="s">
        <v>298</v>
      </c>
      <c r="AF12" s="67" t="s">
        <v>299</v>
      </c>
      <c r="AI12" s="295"/>
      <c r="AJ12" s="295"/>
      <c r="AK12" s="296"/>
      <c r="AL12" s="297"/>
      <c r="AM12" s="72"/>
      <c r="AN12" s="69"/>
      <c r="AO12" s="69"/>
      <c r="AP12" s="69"/>
      <c r="AQ12" s="69"/>
      <c r="AR12" s="73"/>
      <c r="AS12" s="296"/>
      <c r="AT12" s="296"/>
    </row>
    <row r="13" spans="1:46" ht="148.80000000000001" customHeight="1" x14ac:dyDescent="0.25">
      <c r="A13" s="62" t="str">
        <f>'2 IDENTIFICACIÓN'!A13</f>
        <v>R4</v>
      </c>
      <c r="B13" s="251" t="str">
        <f>+'2 IDENTIFICACIÓN'!J13</f>
        <v>Posibilidad de afectación económica y reputacional por  investigaciones y sanciones disciplinarias por entes de control, debido a la falta de seguimiento al cumplimiento de metas del Plan de Desarrollo Municipal programadas para la vigencia.</v>
      </c>
      <c r="C13" s="89">
        <f>+'3 PROBABIL E IMPACTO INHERENTE'!E13</f>
        <v>0.6</v>
      </c>
      <c r="D13" s="89">
        <f>+'3 PROBABIL E IMPACTO INHERENTE'!M13</f>
        <v>1</v>
      </c>
      <c r="E13" s="64" t="str">
        <f>+'4 MAPA CALOR INHERENTE'!C13</f>
        <v>Media</v>
      </c>
      <c r="F13" s="64" t="str">
        <f>+'4 MAPA CALOR INHERENTE'!D13</f>
        <v>Catastrófico</v>
      </c>
      <c r="G13" s="251" t="str">
        <f>+'4 MAPA CALOR INHERENTE'!E13</f>
        <v>Extremo</v>
      </c>
      <c r="H13" s="89">
        <f>+'5 VALORACIÓN DEL CONTROL'!T33</f>
        <v>0.6</v>
      </c>
      <c r="I13" s="64">
        <f>+'5 VALORACIÓN DEL CONTROL'!U33</f>
        <v>1</v>
      </c>
      <c r="J13" s="64" t="str">
        <f t="shared" si="3"/>
        <v>Media</v>
      </c>
      <c r="K13" s="64" t="str">
        <f t="shared" si="4"/>
        <v>Catastrófico</v>
      </c>
      <c r="L13" s="251" t="str">
        <f t="shared" si="5"/>
        <v>Extremo</v>
      </c>
      <c r="M13" s="251" t="str">
        <f t="shared" si="0"/>
        <v>Requiere Plan de Acción</v>
      </c>
      <c r="N13" s="251" t="str">
        <f t="shared" si="1"/>
        <v>Reducir_mitigar_Transferir_Evitar</v>
      </c>
      <c r="O13" s="252" t="s">
        <v>334</v>
      </c>
      <c r="P13" s="251" t="str">
        <f t="shared" si="2"/>
        <v>Reducir_Mitigar</v>
      </c>
      <c r="Q13" s="303" t="str">
        <f>'5 VALORACIÓN DEL CONTROL'!I28</f>
        <v>La Secretaría de Infraestructura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13" s="252" t="s">
        <v>542</v>
      </c>
      <c r="S13" s="252" t="s">
        <v>472</v>
      </c>
      <c r="T13" s="252" t="s">
        <v>473</v>
      </c>
      <c r="U13" s="304">
        <v>46174</v>
      </c>
      <c r="V13" s="304">
        <v>46356</v>
      </c>
      <c r="Y13" s="512"/>
      <c r="Z13" s="68">
        <v>0.4</v>
      </c>
      <c r="AA13" s="59" t="s">
        <v>274</v>
      </c>
      <c r="AB13" s="74" t="s">
        <v>300</v>
      </c>
      <c r="AC13" s="70" t="s">
        <v>280</v>
      </c>
      <c r="AD13" s="70" t="s">
        <v>280</v>
      </c>
      <c r="AE13" s="66" t="s">
        <v>298</v>
      </c>
      <c r="AF13" s="67" t="s">
        <v>299</v>
      </c>
      <c r="AI13" s="295"/>
      <c r="AJ13" s="295"/>
      <c r="AK13" s="296"/>
      <c r="AL13" s="297"/>
      <c r="AM13" s="72"/>
      <c r="AN13" s="69"/>
      <c r="AO13" s="69"/>
      <c r="AP13" s="69"/>
      <c r="AQ13" s="73"/>
      <c r="AR13" s="69"/>
      <c r="AS13" s="296"/>
      <c r="AT13" s="296"/>
    </row>
    <row r="14" spans="1:46" ht="93" customHeight="1" thickBot="1" x14ac:dyDescent="0.3">
      <c r="A14" s="62" t="str">
        <f>'2 IDENTIFICACIÓN'!A14</f>
        <v>R5</v>
      </c>
      <c r="B14" s="251" t="str">
        <f>+'2 IDENTIFICACIÓN'!J14</f>
        <v>Posibilidad de afectación reputacional por  investigaciones disciplinarias y sanciones por entes de control, debido a  la deficiente planeación de las necesidades del Plan Anual de Adquisiciones por parte de la Secretaría de Infraestructura.</v>
      </c>
      <c r="C14" s="89">
        <f>+'3 PROBABIL E IMPACTO INHERENTE'!E14</f>
        <v>0.6</v>
      </c>
      <c r="D14" s="89">
        <f>+'3 PROBABIL E IMPACTO INHERENTE'!M14</f>
        <v>0.6</v>
      </c>
      <c r="E14" s="64" t="str">
        <f>+'4 MAPA CALOR INHERENTE'!C14</f>
        <v>Media</v>
      </c>
      <c r="F14" s="64" t="str">
        <f>+'4 MAPA CALOR INHERENTE'!D14</f>
        <v>Moderado</v>
      </c>
      <c r="G14" s="251" t="str">
        <f>+'4 MAPA CALOR INHERENTE'!E14</f>
        <v>Moderado</v>
      </c>
      <c r="H14" s="89">
        <f>+'5 VALORACIÓN DEL CONTROL'!T39</f>
        <v>0.6</v>
      </c>
      <c r="I14" s="64">
        <f>+'5 VALORACIÓN DEL CONTROL'!U39</f>
        <v>0.6</v>
      </c>
      <c r="J14" s="64" t="str">
        <f t="shared" si="3"/>
        <v>Media</v>
      </c>
      <c r="K14" s="64" t="str">
        <f t="shared" si="4"/>
        <v>Moderado</v>
      </c>
      <c r="L14" s="251" t="str">
        <f t="shared" si="5"/>
        <v>Moderado</v>
      </c>
      <c r="M14" s="251" t="str">
        <f t="shared" si="0"/>
        <v>Requiere Plan de Acción</v>
      </c>
      <c r="N14" s="251" t="str">
        <f t="shared" si="1"/>
        <v>Reducir_mitigar_Transferir_Evitar</v>
      </c>
      <c r="O14" s="252" t="s">
        <v>334</v>
      </c>
      <c r="P14" s="251" t="str">
        <f t="shared" si="2"/>
        <v>Reducir_Mitigar</v>
      </c>
      <c r="Q14" s="303" t="str">
        <f>'5 VALORACIÓN DEL CONTROL'!I34</f>
        <v>El equipo profesional misional verifica las necesidades de contratación incluidas en el Plan Anual de Adquisiciones - PAA, mediante la revisión periódica de la contratación programada y, en caso de requerirse, solicita su actualización o modificación, con el fin de prevenir deficiencias en la planeación contractual.</v>
      </c>
      <c r="R14" s="252" t="s">
        <v>474</v>
      </c>
      <c r="S14" s="252" t="s">
        <v>475</v>
      </c>
      <c r="T14" s="252" t="s">
        <v>413</v>
      </c>
      <c r="U14" s="304">
        <v>46023</v>
      </c>
      <c r="V14" s="304">
        <v>46371</v>
      </c>
      <c r="Y14" s="513"/>
      <c r="Z14" s="80">
        <v>0.2</v>
      </c>
      <c r="AA14" s="81" t="s">
        <v>270</v>
      </c>
      <c r="AB14" s="76" t="s">
        <v>300</v>
      </c>
      <c r="AC14" s="76" t="s">
        <v>300</v>
      </c>
      <c r="AD14" s="77" t="s">
        <v>280</v>
      </c>
      <c r="AE14" s="78" t="s">
        <v>298</v>
      </c>
      <c r="AF14" s="79" t="s">
        <v>299</v>
      </c>
      <c r="AI14" s="295"/>
      <c r="AJ14" s="295"/>
      <c r="AK14" s="296"/>
      <c r="AL14" s="297"/>
      <c r="AM14" s="72"/>
      <c r="AN14" s="69"/>
      <c r="AO14" s="69"/>
      <c r="AP14" s="69"/>
      <c r="AQ14" s="69"/>
      <c r="AR14" s="69"/>
      <c r="AS14" s="296"/>
      <c r="AT14" s="296"/>
    </row>
    <row r="15" spans="1:46" ht="126.6" customHeight="1" x14ac:dyDescent="0.25">
      <c r="A15" s="501" t="str">
        <f>'2 IDENTIFICACIÓN'!A15</f>
        <v>R6</v>
      </c>
      <c r="B15" s="493" t="str">
        <f>+'2 IDENTIFICACIÓN'!J15</f>
        <v>Posibilidad de afectación reputacional por   investigaciones y sanciones disciplinarias por entes de control, debido a  incumplimiento de la norma NTC 6047 de accesibilidad en proyectos de obra pública, a causa de la inapropiada implementación de los principios de diseño universal en las fases de diseño y licitación.</v>
      </c>
      <c r="C15" s="499">
        <f>+'3 PROBABIL E IMPACTO INHERENTE'!E15</f>
        <v>0.6</v>
      </c>
      <c r="D15" s="499">
        <f>+'3 PROBABIL E IMPACTO INHERENTE'!M15</f>
        <v>0.6</v>
      </c>
      <c r="E15" s="503" t="str">
        <f>+'4 MAPA CALOR INHERENTE'!C15</f>
        <v>Media</v>
      </c>
      <c r="F15" s="503" t="str">
        <f>+'4 MAPA CALOR INHERENTE'!D15</f>
        <v>Moderado</v>
      </c>
      <c r="G15" s="493" t="str">
        <f>+'4 MAPA CALOR INHERENTE'!E15</f>
        <v>Moderado</v>
      </c>
      <c r="H15" s="499">
        <f>+'5 VALORACIÓN DEL CONTROL'!T45</f>
        <v>0.6</v>
      </c>
      <c r="I15" s="503">
        <f>+'5 VALORACIÓN DEL CONTROL'!U45</f>
        <v>0.6</v>
      </c>
      <c r="J15" s="503" t="str">
        <f t="shared" si="3"/>
        <v>Media</v>
      </c>
      <c r="K15" s="503" t="str">
        <f t="shared" si="4"/>
        <v>Moderado</v>
      </c>
      <c r="L15" s="493" t="str">
        <f t="shared" si="5"/>
        <v>Moderado</v>
      </c>
      <c r="M15" s="493" t="str">
        <f t="shared" si="0"/>
        <v>Requiere Plan de Acción</v>
      </c>
      <c r="N15" s="493" t="str">
        <f t="shared" si="1"/>
        <v>Reducir_mitigar_Transferir_Evitar</v>
      </c>
      <c r="O15" s="495" t="s">
        <v>334</v>
      </c>
      <c r="P15" s="251" t="str">
        <f t="shared" si="2"/>
        <v>Reducir_Mitigar</v>
      </c>
      <c r="Q15" s="497" t="str">
        <f>'5 VALORACIÓN DEL CONTROL'!I40</f>
        <v>El Profesional encargado del área de obra, supervisa que los estudios y diseños de los proyectos de obra cumplan con los lineamientos de accesibilidad y las NTC vigentes, mediante la revisión y seguimiento a los diseños elaborados, con el fin de prevenir incumplimientos normativos en materia de accesibilidad al medio físico.</v>
      </c>
      <c r="R15" s="252" t="s">
        <v>476</v>
      </c>
      <c r="S15" s="252" t="s">
        <v>477</v>
      </c>
      <c r="T15" s="252" t="s">
        <v>463</v>
      </c>
      <c r="U15" s="304">
        <v>46023</v>
      </c>
      <c r="V15" s="304">
        <v>46371</v>
      </c>
      <c r="AI15" s="295"/>
      <c r="AJ15" s="295"/>
      <c r="AK15" s="296"/>
      <c r="AL15" s="297"/>
      <c r="AM15" s="72"/>
      <c r="AN15" s="69"/>
      <c r="AO15" s="69"/>
      <c r="AP15" s="69"/>
      <c r="AQ15" s="69"/>
      <c r="AR15" s="69"/>
      <c r="AS15" s="296"/>
      <c r="AT15" s="296"/>
    </row>
    <row r="16" spans="1:46" ht="93" customHeight="1" x14ac:dyDescent="0.25">
      <c r="A16" s="502"/>
      <c r="B16" s="494"/>
      <c r="C16" s="500"/>
      <c r="D16" s="500"/>
      <c r="E16" s="504"/>
      <c r="F16" s="504"/>
      <c r="G16" s="494"/>
      <c r="H16" s="500"/>
      <c r="I16" s="504"/>
      <c r="J16" s="504"/>
      <c r="K16" s="504"/>
      <c r="L16" s="494"/>
      <c r="M16" s="494"/>
      <c r="N16" s="494"/>
      <c r="O16" s="496"/>
      <c r="P16" s="251"/>
      <c r="Q16" s="498"/>
      <c r="R16" s="252" t="s">
        <v>478</v>
      </c>
      <c r="S16" s="252" t="s">
        <v>470</v>
      </c>
      <c r="T16" s="252" t="s">
        <v>463</v>
      </c>
      <c r="U16" s="304">
        <v>46023</v>
      </c>
      <c r="V16" s="304">
        <v>46371</v>
      </c>
      <c r="AI16" s="295"/>
      <c r="AJ16" s="295"/>
      <c r="AK16" s="296"/>
      <c r="AL16" s="297"/>
      <c r="AM16" s="72"/>
      <c r="AN16" s="69"/>
      <c r="AO16" s="69"/>
      <c r="AP16" s="69"/>
      <c r="AQ16" s="69"/>
      <c r="AR16" s="69"/>
      <c r="AS16" s="296"/>
      <c r="AT16" s="296"/>
    </row>
    <row r="17" spans="1:46" ht="93" customHeight="1" x14ac:dyDescent="0.25">
      <c r="A17" s="62" t="str">
        <f>'2 IDENTIFICACIÓN'!A16</f>
        <v>R7</v>
      </c>
      <c r="B17" s="251" t="str">
        <f>+'2 IDENTIFICACIÓN'!J16</f>
        <v>Posibilidad de afectación reputacional por    investigaciones disciplinarias y sanciones por entes de control, debido a  las debilidades en la formulación y ejecución de los proyectos de presupuestos participativos.</v>
      </c>
      <c r="C17" s="89">
        <f>+'3 PROBABIL E IMPACTO INHERENTE'!E16</f>
        <v>0.6</v>
      </c>
      <c r="D17" s="89">
        <f>+'3 PROBABIL E IMPACTO INHERENTE'!M16</f>
        <v>0.6</v>
      </c>
      <c r="E17" s="64" t="str">
        <f>+'4 MAPA CALOR INHERENTE'!C16</f>
        <v>Media</v>
      </c>
      <c r="F17" s="64" t="str">
        <f>+'4 MAPA CALOR INHERENTE'!D16</f>
        <v>Moderado</v>
      </c>
      <c r="G17" s="251" t="str">
        <f>+'4 MAPA CALOR INHERENTE'!E16</f>
        <v>Moderado</v>
      </c>
      <c r="H17" s="89">
        <f>+'5 VALORACIÓN DEL CONTROL'!T51</f>
        <v>0.6</v>
      </c>
      <c r="I17" s="64">
        <f>+'5 VALORACIÓN DEL CONTROL'!U51</f>
        <v>0.6</v>
      </c>
      <c r="J17" s="64" t="str">
        <f t="shared" si="3"/>
        <v>Media</v>
      </c>
      <c r="K17" s="64" t="str">
        <f t="shared" si="4"/>
        <v>Moderado</v>
      </c>
      <c r="L17" s="251" t="str">
        <f t="shared" si="5"/>
        <v>Moderado</v>
      </c>
      <c r="M17" s="251" t="str">
        <f t="shared" si="0"/>
        <v>Requiere Plan de Acción</v>
      </c>
      <c r="N17" s="251" t="str">
        <f t="shared" si="1"/>
        <v>Reducir_mitigar_Transferir_Evitar</v>
      </c>
      <c r="O17" s="252" t="s">
        <v>334</v>
      </c>
      <c r="P17" s="251" t="str">
        <f t="shared" si="2"/>
        <v>Reducir_Mitigar</v>
      </c>
      <c r="Q17" s="303" t="str">
        <f>'5 VALORACIÓN DEL CONTROL'!I46</f>
        <v>El Profesional encargado del equipo de Presupuestos Participativos, verifica el avance en la formulación y ejecución de los proyectos,  mediante la herramienta de seguimiento y control implementada por la Estrategia de Presupuestos Participativos de la Administración Municipal.</v>
      </c>
      <c r="R17" s="252" t="s">
        <v>479</v>
      </c>
      <c r="S17" s="252" t="s">
        <v>480</v>
      </c>
      <c r="T17" s="252" t="s">
        <v>481</v>
      </c>
      <c r="U17" s="304">
        <v>46023</v>
      </c>
      <c r="V17" s="304">
        <v>46371</v>
      </c>
      <c r="AB17" s="53" t="s">
        <v>301</v>
      </c>
      <c r="AC17" s="53" t="s">
        <v>68</v>
      </c>
      <c r="AD17" s="53" t="s">
        <v>70</v>
      </c>
      <c r="AF17" s="251" t="s">
        <v>335</v>
      </c>
      <c r="AG17" s="295"/>
      <c r="AH17" s="295"/>
      <c r="AI17" s="295"/>
      <c r="AJ17" s="295"/>
      <c r="AK17" s="296"/>
      <c r="AL17" s="297"/>
      <c r="AM17" s="296"/>
      <c r="AN17" s="72"/>
      <c r="AO17" s="72"/>
      <c r="AP17" s="72"/>
      <c r="AQ17" s="72"/>
      <c r="AR17" s="72"/>
      <c r="AS17" s="296"/>
      <c r="AT17" s="296"/>
    </row>
    <row r="18" spans="1:46" ht="93" customHeight="1" x14ac:dyDescent="0.25">
      <c r="A18" s="62" t="str">
        <f>'2 IDENTIFICACIÓN'!A17</f>
        <v>R8</v>
      </c>
      <c r="B18" s="251" t="str">
        <f>+'2 IDENTIFICACIÓN'!J17</f>
        <v>Posibilidad de afectación económica por  investigaciones disciplinarias y sanciones por entes de control, debido a  la adición de contratos en tiempo y valor sin haber ejecutado el 50% del contrato inicial, por deficiencias en la planeación de la etapa precontractual.</v>
      </c>
      <c r="C18" s="89">
        <f>+'3 PROBABIL E IMPACTO INHERENTE'!E17</f>
        <v>0.6</v>
      </c>
      <c r="D18" s="89">
        <f>+'3 PROBABIL E IMPACTO INHERENTE'!M17</f>
        <v>0.6</v>
      </c>
      <c r="E18" s="64" t="str">
        <f>+'4 MAPA CALOR INHERENTE'!C17</f>
        <v>Media</v>
      </c>
      <c r="F18" s="64" t="str">
        <f>+'4 MAPA CALOR INHERENTE'!D17</f>
        <v>Moderado</v>
      </c>
      <c r="G18" s="251" t="str">
        <f>+'4 MAPA CALOR INHERENTE'!E17</f>
        <v>Moderado</v>
      </c>
      <c r="H18" s="89">
        <f>+'5 VALORACIÓN DEL CONTROL'!T57</f>
        <v>0.6</v>
      </c>
      <c r="I18" s="64">
        <f>+'5 VALORACIÓN DEL CONTROL'!U57</f>
        <v>0.6</v>
      </c>
      <c r="J18" s="64" t="str">
        <f t="shared" si="3"/>
        <v>Media</v>
      </c>
      <c r="K18" s="64" t="str">
        <f t="shared" si="4"/>
        <v>Moderado</v>
      </c>
      <c r="L18" s="251" t="str">
        <f t="shared" si="5"/>
        <v>Moderado</v>
      </c>
      <c r="M18" s="251" t="str">
        <f t="shared" si="0"/>
        <v>Requiere Plan de Acción</v>
      </c>
      <c r="N18" s="251" t="str">
        <f t="shared" si="1"/>
        <v>Reducir_mitigar_Transferir_Evitar</v>
      </c>
      <c r="O18" s="252" t="s">
        <v>334</v>
      </c>
      <c r="P18" s="251" t="str">
        <f t="shared" si="2"/>
        <v>Reducir_Mitigar</v>
      </c>
      <c r="Q18" s="303" t="str">
        <f>'5 VALORACIÓN DEL CONTROL'!I52</f>
        <v>El Ordenador del Gasto y el Supervisor designado,  verifica las solicitudes de adición en tiempo y valor de los contratos, mediante la revisión del porcentaje de ejecución contractual y el cumplimiento de los requisitos normativos aplicables, con el fin de prevenir adiciones injustificadas por deficiencias en la planeación precontractual.</v>
      </c>
      <c r="R18" s="252" t="s">
        <v>482</v>
      </c>
      <c r="S18" s="252" t="s">
        <v>483</v>
      </c>
      <c r="T18" s="252" t="s">
        <v>484</v>
      </c>
      <c r="U18" s="304">
        <v>46204</v>
      </c>
      <c r="V18" s="304">
        <v>46371</v>
      </c>
      <c r="AB18" s="83" t="s">
        <v>299</v>
      </c>
      <c r="AC18" s="251" t="s">
        <v>335</v>
      </c>
      <c r="AD18" s="251" t="s">
        <v>336</v>
      </c>
      <c r="AE18" s="295"/>
      <c r="AF18" s="305" t="s">
        <v>334</v>
      </c>
      <c r="AI18" s="295"/>
      <c r="AJ18" s="295"/>
      <c r="AK18" s="296"/>
      <c r="AL18" s="296"/>
      <c r="AM18" s="296"/>
      <c r="AN18" s="69"/>
      <c r="AO18" s="69"/>
      <c r="AP18" s="69"/>
      <c r="AQ18" s="69"/>
      <c r="AR18" s="69"/>
      <c r="AS18" s="296"/>
      <c r="AT18" s="296"/>
    </row>
    <row r="19" spans="1:46" ht="127.2" customHeight="1" x14ac:dyDescent="0.25">
      <c r="A19" s="62" t="str">
        <f>'2 IDENTIFICACIÓN'!A18</f>
        <v>R9</v>
      </c>
      <c r="B19" s="251" t="str">
        <f>+'2 IDENTIFICACIÓN'!J18</f>
        <v>Posibilidad  de efecto dañoso sobre el recurso público por incumplimiento de las acciones establecidas en los planes de mejoramiento derivados de auditorías internas y externas,  debido a debilidades en el seguimiento y cumplimiento de los tiempos definidos para su ejecución.</v>
      </c>
      <c r="C19" s="89">
        <f>+'3 PROBABIL E IMPACTO INHERENTE'!E18</f>
        <v>0.6</v>
      </c>
      <c r="D19" s="89">
        <f>+'3 PROBABIL E IMPACTO INHERENTE'!M18</f>
        <v>0.6</v>
      </c>
      <c r="E19" s="64" t="str">
        <f>+'4 MAPA CALOR INHERENTE'!C18</f>
        <v>Media</v>
      </c>
      <c r="F19" s="64" t="str">
        <f>+'4 MAPA CALOR INHERENTE'!D18</f>
        <v>Moderado</v>
      </c>
      <c r="G19" s="251" t="str">
        <f>+'4 MAPA CALOR INHERENTE'!E18</f>
        <v>Moderado</v>
      </c>
      <c r="H19" s="89">
        <f>+'5 VALORACIÓN DEL CONTROL'!T63</f>
        <v>0.6</v>
      </c>
      <c r="I19" s="64">
        <f>+'5 VALORACIÓN DEL CONTROL'!U63</f>
        <v>0.6</v>
      </c>
      <c r="J19" s="64" t="str">
        <f t="shared" si="3"/>
        <v>Media</v>
      </c>
      <c r="K19" s="64" t="str">
        <f t="shared" si="4"/>
        <v>Moderado</v>
      </c>
      <c r="L19" s="251" t="str">
        <f t="shared" si="5"/>
        <v>Moderado</v>
      </c>
      <c r="M19" s="251" t="str">
        <f t="shared" si="0"/>
        <v>Requiere Plan de Acción</v>
      </c>
      <c r="N19" s="251" t="str">
        <f t="shared" si="1"/>
        <v>Reducir_mitigar_Transferir_Evitar</v>
      </c>
      <c r="O19" s="252" t="s">
        <v>334</v>
      </c>
      <c r="P19" s="251" t="str">
        <f t="shared" si="2"/>
        <v>Reducir_Mitigar</v>
      </c>
      <c r="Q19" s="303" t="str">
        <f>'5 VALORACIÓN DEL CONTROL'!I58</f>
        <v>La profesional encargada, revisa las acciones correctivas establecidas y plasmadas en los Planes de Mejoramiento de auditorías internas y externas suscritos,   a través de seguimientos con los responsables de su cumplimiento</v>
      </c>
      <c r="R19" s="252" t="s">
        <v>485</v>
      </c>
      <c r="S19" s="252" t="s">
        <v>486</v>
      </c>
      <c r="T19" s="252" t="s">
        <v>487</v>
      </c>
      <c r="U19" s="304">
        <v>46174</v>
      </c>
      <c r="V19" s="304">
        <v>46356</v>
      </c>
      <c r="AB19" s="66" t="s">
        <v>298</v>
      </c>
      <c r="AC19" s="251" t="s">
        <v>335</v>
      </c>
      <c r="AD19" s="251" t="s">
        <v>336</v>
      </c>
      <c r="AE19" s="295"/>
      <c r="AF19" s="305" t="s">
        <v>337</v>
      </c>
      <c r="AG19" s="295"/>
      <c r="AH19" s="295"/>
      <c r="AI19" s="295"/>
      <c r="AJ19" s="295"/>
      <c r="AK19" s="296"/>
      <c r="AL19" s="296"/>
      <c r="AM19" s="296"/>
      <c r="AN19" s="69"/>
      <c r="AO19" s="69"/>
      <c r="AP19" s="69"/>
      <c r="AQ19" s="69"/>
      <c r="AR19" s="69"/>
      <c r="AS19" s="296"/>
      <c r="AT19" s="296"/>
    </row>
    <row r="20" spans="1:46" ht="93" customHeight="1" x14ac:dyDescent="0.25">
      <c r="A20" s="62" t="str">
        <f>'2 IDENTIFICACIÓN'!A19</f>
        <v>R10</v>
      </c>
      <c r="B20" s="251" t="str">
        <f>+'2 IDENTIFICACIÓN'!J19</f>
        <v>Posibilidad  de efecto dañoso sobre el recurso público por  la ejecución de un alcance inferior al contratado con pago total del valor del contrato,  debido a  la deficiencias en el ejercicio de las funciones de supervisión e interventoría de los contratos de la entidad.</v>
      </c>
      <c r="C20" s="89">
        <f>+'3 PROBABIL E IMPACTO INHERENTE'!E19</f>
        <v>0.8</v>
      </c>
      <c r="D20" s="89">
        <f>+'3 PROBABIL E IMPACTO INHERENTE'!M19</f>
        <v>1</v>
      </c>
      <c r="E20" s="64" t="str">
        <f>+'4 MAPA CALOR INHERENTE'!C19</f>
        <v>Alta</v>
      </c>
      <c r="F20" s="64" t="str">
        <f>+'4 MAPA CALOR INHERENTE'!D19</f>
        <v>Catastrófico</v>
      </c>
      <c r="G20" s="251" t="str">
        <f>+'4 MAPA CALOR INHERENTE'!E19</f>
        <v>Extremo</v>
      </c>
      <c r="H20" s="89">
        <f>+'5 VALORACIÓN DEL CONTROL'!T69</f>
        <v>0.8</v>
      </c>
      <c r="I20" s="64">
        <f>+'5 VALORACIÓN DEL CONTROL'!U69</f>
        <v>1</v>
      </c>
      <c r="J20" s="64" t="str">
        <f t="shared" si="3"/>
        <v>Alta</v>
      </c>
      <c r="K20" s="64" t="str">
        <f t="shared" si="4"/>
        <v>Catastrófico</v>
      </c>
      <c r="L20" s="251" t="str">
        <f t="shared" si="5"/>
        <v>Extremo</v>
      </c>
      <c r="M20" s="251" t="str">
        <f t="shared" si="0"/>
        <v>Requiere Plan de Acción</v>
      </c>
      <c r="N20" s="251" t="str">
        <f t="shared" si="1"/>
        <v>Reducir_mitigar_Transferir_Evitar</v>
      </c>
      <c r="O20" s="252" t="s">
        <v>334</v>
      </c>
      <c r="P20" s="251" t="str">
        <f t="shared" si="2"/>
        <v>Reducir_Mitigar</v>
      </c>
      <c r="Q20" s="303" t="str">
        <f>'5 VALORACIÓN DEL CONTROL'!I64</f>
        <v>El Supervisor designado verifica el cumplimiento de las condiciones y especificaciones técnicas pactadas en los contratos, mediante el seguimiento a la ejecución contractual y la revisión de las obligaciones establecidas en la etapa precontractual, conforme a la normatividad vigente, con el fin de prevenir deficiencias en la supervisión e interventoría contractual.</v>
      </c>
      <c r="R20" s="252" t="s">
        <v>488</v>
      </c>
      <c r="S20" s="252" t="s">
        <v>489</v>
      </c>
      <c r="T20" s="252" t="s">
        <v>490</v>
      </c>
      <c r="U20" s="304">
        <v>46023</v>
      </c>
      <c r="V20" s="304">
        <v>46371</v>
      </c>
      <c r="AA20" s="298"/>
      <c r="AB20" s="70" t="s">
        <v>280</v>
      </c>
      <c r="AC20" s="251" t="s">
        <v>335</v>
      </c>
      <c r="AD20" s="251" t="s">
        <v>336</v>
      </c>
      <c r="AE20" s="298"/>
      <c r="AF20" s="305" t="s">
        <v>162</v>
      </c>
      <c r="AG20" s="298"/>
      <c r="AH20" s="298"/>
      <c r="AI20" s="298"/>
      <c r="AJ20" s="298"/>
      <c r="AK20" s="296"/>
      <c r="AL20" s="296"/>
      <c r="AM20" s="299"/>
      <c r="AN20" s="299"/>
      <c r="AO20" s="299"/>
      <c r="AP20" s="299"/>
      <c r="AQ20" s="299"/>
      <c r="AR20" s="299"/>
      <c r="AS20" s="296"/>
      <c r="AT20" s="296"/>
    </row>
    <row r="21" spans="1:46" ht="93" customHeight="1" x14ac:dyDescent="0.25">
      <c r="A21" s="62" t="str">
        <f>'2 IDENTIFICACIÓN'!A20</f>
        <v>R11</v>
      </c>
      <c r="B21" s="251" t="str">
        <f>+'2 IDENTIFICACIÓN'!J20</f>
        <v>Posibilidad  de efecto dañoso sobre el recurso público por anticipos entregados al contratista sin legalizar, debido a  la deficiencias en el seguimiento y control del proceso de amortización del anticipo.</v>
      </c>
      <c r="C21" s="89">
        <f>+'3 PROBABIL E IMPACTO INHERENTE'!E20</f>
        <v>0.6</v>
      </c>
      <c r="D21" s="89">
        <f>+'3 PROBABIL E IMPACTO INHERENTE'!M20</f>
        <v>1</v>
      </c>
      <c r="E21" s="64" t="str">
        <f>+'4 MAPA CALOR INHERENTE'!C20</f>
        <v>Media</v>
      </c>
      <c r="F21" s="64" t="str">
        <f>+'4 MAPA CALOR INHERENTE'!D20</f>
        <v>Catastrófico</v>
      </c>
      <c r="G21" s="251" t="str">
        <f>+'4 MAPA CALOR INHERENTE'!E20</f>
        <v>Extremo</v>
      </c>
      <c r="H21" s="89">
        <f>+'5 VALORACIÓN DEL CONTROL'!T75</f>
        <v>0.6</v>
      </c>
      <c r="I21" s="64">
        <f>+'5 VALORACIÓN DEL CONTROL'!U75</f>
        <v>1</v>
      </c>
      <c r="J21" s="64" t="str">
        <f t="shared" si="3"/>
        <v>Media</v>
      </c>
      <c r="K21" s="64" t="str">
        <f t="shared" si="4"/>
        <v>Catastrófico</v>
      </c>
      <c r="L21" s="251" t="str">
        <f t="shared" si="5"/>
        <v>Extremo</v>
      </c>
      <c r="M21" s="251" t="str">
        <f t="shared" si="0"/>
        <v>Requiere Plan de Acción</v>
      </c>
      <c r="N21" s="251" t="str">
        <f t="shared" si="1"/>
        <v>Reducir_mitigar_Transferir_Evitar</v>
      </c>
      <c r="O21" s="252" t="s">
        <v>334</v>
      </c>
      <c r="P21" s="251" t="str">
        <f t="shared" si="2"/>
        <v>Reducir_Mitigar</v>
      </c>
      <c r="Q21" s="303" t="str">
        <f>'5 VALORACIÓN DEL CONTROL'!I70</f>
        <v>El Profesional asignado a la supervisión de la obra verifica la amortización de los anticipos entregados al contratista, mediante la revisión de las actas parciales de pago y del acta final conforme a lo estipulado en los pliegos de condiciones, con el fin de prevenir anticipos sin legalizar.</v>
      </c>
      <c r="R21" s="252" t="s">
        <v>491</v>
      </c>
      <c r="S21" s="252" t="s">
        <v>492</v>
      </c>
      <c r="T21" s="252" t="s">
        <v>490</v>
      </c>
      <c r="U21" s="304">
        <v>46023</v>
      </c>
      <c r="V21" s="304">
        <v>46371</v>
      </c>
      <c r="AA21" s="298"/>
      <c r="AB21" s="74" t="s">
        <v>300</v>
      </c>
      <c r="AC21" s="251" t="s">
        <v>159</v>
      </c>
      <c r="AD21" s="251" t="s">
        <v>338</v>
      </c>
      <c r="AI21" s="298"/>
      <c r="AJ21" s="298"/>
      <c r="AK21" s="296"/>
      <c r="AL21" s="296"/>
      <c r="AM21" s="296"/>
      <c r="AN21" s="69"/>
      <c r="AO21" s="69"/>
      <c r="AP21" s="69"/>
      <c r="AQ21" s="69"/>
      <c r="AR21" s="69"/>
      <c r="AS21" s="296"/>
      <c r="AT21" s="296"/>
    </row>
    <row r="22" spans="1:46" ht="123.6" customHeight="1" x14ac:dyDescent="0.25">
      <c r="A22" s="62" t="str">
        <f>'2 IDENTIFICACIÓN'!A21</f>
        <v>R12</v>
      </c>
      <c r="B22" s="251" t="str">
        <f>+'2 IDENTIFICACIÓN'!J21</f>
        <v>Posibilidad  de efecto dañoso sobre el recurso público por  el pago de sanciones impuestas por entes de control, debido a  incumplimiento de las normas vigentes en las etapas precontractual, contractual y postcontractual de la contratación, afectando la obtención y cumplimiento del objeto contractual.</v>
      </c>
      <c r="C22" s="89">
        <f>+'3 PROBABIL E IMPACTO INHERENTE'!E21</f>
        <v>0.6</v>
      </c>
      <c r="D22" s="89">
        <f>+'3 PROBABIL E IMPACTO INHERENTE'!M21</f>
        <v>1</v>
      </c>
      <c r="E22" s="64" t="str">
        <f>+'4 MAPA CALOR INHERENTE'!C21</f>
        <v>Media</v>
      </c>
      <c r="F22" s="64" t="str">
        <f>+'4 MAPA CALOR INHERENTE'!D21</f>
        <v>Catastrófico</v>
      </c>
      <c r="G22" s="251" t="str">
        <f>+'4 MAPA CALOR INHERENTE'!E21</f>
        <v>Extremo</v>
      </c>
      <c r="H22" s="89">
        <f>+'5 VALORACIÓN DEL CONTROL'!T81</f>
        <v>0.6</v>
      </c>
      <c r="I22" s="64">
        <f>+'5 VALORACIÓN DEL CONTROL'!U81</f>
        <v>1</v>
      </c>
      <c r="J22" s="64" t="str">
        <f t="shared" si="3"/>
        <v>Media</v>
      </c>
      <c r="K22" s="64" t="str">
        <f t="shared" si="4"/>
        <v>Catastrófico</v>
      </c>
      <c r="L22" s="251" t="str">
        <f t="shared" si="5"/>
        <v>Extremo</v>
      </c>
      <c r="M22" s="251" t="str">
        <f t="shared" si="0"/>
        <v>Requiere Plan de Acción</v>
      </c>
      <c r="N22" s="251" t="str">
        <f t="shared" si="1"/>
        <v>Reducir_mitigar_Transferir_Evitar</v>
      </c>
      <c r="O22" s="252" t="s">
        <v>334</v>
      </c>
      <c r="P22" s="251" t="str">
        <f t="shared" si="2"/>
        <v>Reducir_Mitigar</v>
      </c>
      <c r="Q22" s="303" t="str">
        <f>'5 VALORACIÓN DEL CONTROL'!I76</f>
        <v>Los Profesionales encargados de la contratación y/o Supervisores designados verifican el cumplimiento de las normas vigentes en las etapas precontractual, contractual y postcontractual de los procesos celebrados por la Secretaría de Infraestructura, diferentes a contratos de prestación de servicios, mediante la revisión de los documentos y actuaciones contractuales, con el fin de prevenir incumplimientos que afecten el objeto contractual.</v>
      </c>
      <c r="R22" s="252" t="s">
        <v>493</v>
      </c>
      <c r="S22" s="252" t="s">
        <v>494</v>
      </c>
      <c r="T22" s="252" t="s">
        <v>490</v>
      </c>
      <c r="U22" s="304">
        <v>46204</v>
      </c>
      <c r="V22" s="304">
        <v>46371</v>
      </c>
      <c r="Y22" s="300"/>
      <c r="Z22" s="300"/>
      <c r="AA22" s="298"/>
      <c r="AB22" s="144"/>
      <c r="AI22" s="298"/>
      <c r="AJ22" s="298"/>
      <c r="AK22" s="296"/>
      <c r="AL22" s="296"/>
      <c r="AM22" s="296"/>
      <c r="AN22" s="69"/>
      <c r="AO22" s="69"/>
      <c r="AP22" s="69"/>
      <c r="AQ22" s="69"/>
      <c r="AR22" s="69"/>
      <c r="AS22" s="296"/>
      <c r="AT22" s="296"/>
    </row>
    <row r="23" spans="1:46" ht="93" customHeight="1" x14ac:dyDescent="0.25">
      <c r="A23" s="62" t="str">
        <f>'2 IDENTIFICACIÓN'!A22</f>
        <v>R13</v>
      </c>
      <c r="B23" s="251" t="str">
        <f>+'2 IDENTIFICACIÓN'!J22</f>
        <v>Posibilidad  de efecto dañoso sobre el recurso público por  el pago de sanciones y/o condenas impuestas por entes de control,  debido a  incumplimiento en la cobertura de las garantías que amparan los riesgos definidos en la etapa precontractual, conforme al Manual de Contratación M-GJ-1140-170-001.</v>
      </c>
      <c r="C23" s="89">
        <f>+'3 PROBABIL E IMPACTO INHERENTE'!E22</f>
        <v>0.6</v>
      </c>
      <c r="D23" s="89">
        <f>+'3 PROBABIL E IMPACTO INHERENTE'!M22</f>
        <v>1</v>
      </c>
      <c r="E23" s="64" t="str">
        <f>+'4 MAPA CALOR INHERENTE'!C22</f>
        <v>Media</v>
      </c>
      <c r="F23" s="64" t="str">
        <f>+'4 MAPA CALOR INHERENTE'!D22</f>
        <v>Catastrófico</v>
      </c>
      <c r="G23" s="251" t="str">
        <f>+'4 MAPA CALOR INHERENTE'!E22</f>
        <v>Extremo</v>
      </c>
      <c r="H23" s="89">
        <f>+'5 VALORACIÓN DEL CONTROL'!T87</f>
        <v>0.6</v>
      </c>
      <c r="I23" s="64">
        <f>+'5 VALORACIÓN DEL CONTROL'!U87</f>
        <v>1</v>
      </c>
      <c r="J23" s="64" t="str">
        <f t="shared" si="3"/>
        <v>Media</v>
      </c>
      <c r="K23" s="64" t="str">
        <f t="shared" si="4"/>
        <v>Catastrófico</v>
      </c>
      <c r="L23" s="251" t="str">
        <f t="shared" si="5"/>
        <v>Extremo</v>
      </c>
      <c r="M23" s="251" t="str">
        <f t="shared" si="0"/>
        <v>Requiere Plan de Acción</v>
      </c>
      <c r="N23" s="251" t="str">
        <f t="shared" si="1"/>
        <v>Reducir_mitigar_Transferir_Evitar</v>
      </c>
      <c r="O23" s="252" t="s">
        <v>334</v>
      </c>
      <c r="P23" s="251" t="str">
        <f t="shared" si="2"/>
        <v>Reducir_Mitigar</v>
      </c>
      <c r="Q23" s="303" t="str">
        <f>'5 VALORACIÓN DEL CONTROL'!I82</f>
        <v>La persona encargada por el Ordenador del Gasto, verifica los amparos exigidos en los contratos suscritos por la Secretaría de Infraestructura, mediante la revisión de las garantías constituidas conforme al Manual de Contratación M-GJ-1140-170-001</v>
      </c>
      <c r="R23" s="252" t="s">
        <v>495</v>
      </c>
      <c r="S23" s="252" t="s">
        <v>494</v>
      </c>
      <c r="T23" s="252" t="s">
        <v>490</v>
      </c>
      <c r="U23" s="304">
        <v>46204</v>
      </c>
      <c r="V23" s="304">
        <v>46371</v>
      </c>
      <c r="Y23" s="300"/>
      <c r="Z23" s="300"/>
      <c r="AA23" s="301"/>
      <c r="AI23" s="298"/>
      <c r="AJ23" s="298"/>
      <c r="AK23" s="296"/>
      <c r="AL23" s="69"/>
      <c r="AM23" s="69"/>
      <c r="AN23" s="69"/>
      <c r="AO23" s="69"/>
      <c r="AP23" s="69"/>
      <c r="AQ23" s="69"/>
      <c r="AR23" s="69"/>
      <c r="AS23" s="296"/>
      <c r="AT23" s="296"/>
    </row>
    <row r="24" spans="1:46" ht="93" customHeight="1" x14ac:dyDescent="0.25">
      <c r="A24" s="62" t="str">
        <f>'2 IDENTIFICACIÓN'!A23</f>
        <v>R14</v>
      </c>
      <c r="B24" s="251" t="str">
        <f>+'2 IDENTIFICACIÓN'!J23</f>
        <v>Posibilidad  de efecto dañoso sobre el recurso público por Pago de sanciones impuestas por la Contraloría General de la República,  debido a  reporte extemporáneo de la información de obras inconclusas a través de la plataforma SIRECI por parte de la Secretaría de Infraestructura.</v>
      </c>
      <c r="C24" s="89">
        <f>+'3 PROBABIL E IMPACTO INHERENTE'!E23</f>
        <v>0.4</v>
      </c>
      <c r="D24" s="89">
        <f>+'3 PROBABIL E IMPACTO INHERENTE'!M23</f>
        <v>1</v>
      </c>
      <c r="E24" s="64" t="str">
        <f>+'4 MAPA CALOR INHERENTE'!C23</f>
        <v>Baja</v>
      </c>
      <c r="F24" s="64" t="str">
        <f>+'4 MAPA CALOR INHERENTE'!D23</f>
        <v>Catastrófico</v>
      </c>
      <c r="G24" s="251" t="str">
        <f>+'4 MAPA CALOR INHERENTE'!E23</f>
        <v>Extremo</v>
      </c>
      <c r="H24" s="89">
        <f>+'5 VALORACIÓN DEL CONTROL'!T93</f>
        <v>0.4</v>
      </c>
      <c r="I24" s="64">
        <f>+'5 VALORACIÓN DEL CONTROL'!U93</f>
        <v>1</v>
      </c>
      <c r="J24" s="64" t="str">
        <f t="shared" si="3"/>
        <v>Baja</v>
      </c>
      <c r="K24" s="64" t="str">
        <f t="shared" si="4"/>
        <v>Catastrófico</v>
      </c>
      <c r="L24" s="251" t="str">
        <f t="shared" si="5"/>
        <v>Extremo</v>
      </c>
      <c r="M24" s="251" t="str">
        <f t="shared" si="0"/>
        <v>Requiere Plan de Acción</v>
      </c>
      <c r="N24" s="251" t="str">
        <f t="shared" si="1"/>
        <v>Reducir_mitigar_Transferir_Evitar</v>
      </c>
      <c r="O24" s="252" t="s">
        <v>334</v>
      </c>
      <c r="P24" s="251" t="str">
        <f t="shared" si="2"/>
        <v>Reducir_Mitigar</v>
      </c>
      <c r="Q24" s="303" t="str">
        <f>'5 VALORACIÓN DEL CONTROL'!I88</f>
        <v>El Ordenador del Gasto y el Profesional asignado, verifican el reporte oportuno de la información de obras inconclusas al área de TICs, mediante seguimiento al cumplimiento del cronograma establecido para su envío, para prevenir reportes extemporáneos en la plataforma SIRECI.</v>
      </c>
      <c r="R24" s="252" t="s">
        <v>496</v>
      </c>
      <c r="S24" s="252" t="s">
        <v>497</v>
      </c>
      <c r="T24" s="252" t="s">
        <v>490</v>
      </c>
      <c r="U24" s="304">
        <v>46023</v>
      </c>
      <c r="V24" s="304">
        <v>46371</v>
      </c>
      <c r="Y24" s="300"/>
      <c r="Z24" s="300"/>
      <c r="AK24" s="296"/>
      <c r="AL24" s="302"/>
      <c r="AM24" s="302"/>
      <c r="AN24" s="302"/>
      <c r="AO24" s="302"/>
      <c r="AP24" s="302"/>
      <c r="AQ24" s="302"/>
      <c r="AR24" s="69"/>
      <c r="AS24" s="296"/>
      <c r="AT24" s="296"/>
    </row>
    <row r="25" spans="1:46" ht="93" customHeight="1" x14ac:dyDescent="0.25">
      <c r="A25" s="62" t="str">
        <f>'2 IDENTIFICACIÓN'!A24</f>
        <v>R15</v>
      </c>
      <c r="B25" s="251" t="str">
        <f>+'2 IDENTIFICACIÓN'!J24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5" s="89">
        <f>+'3 PROBABIL E IMPACTO INHERENTE'!E24</f>
        <v>0.6</v>
      </c>
      <c r="D25" s="89">
        <f>+'3 PROBABIL E IMPACTO INHERENTE'!M24</f>
        <v>0.6</v>
      </c>
      <c r="E25" s="64" t="str">
        <f>+'4 MAPA CALOR INHERENTE'!C24</f>
        <v>Media</v>
      </c>
      <c r="F25" s="64" t="str">
        <f>+'4 MAPA CALOR INHERENTE'!D24</f>
        <v>Moderado</v>
      </c>
      <c r="G25" s="251" t="str">
        <f>+'4 MAPA CALOR INHERENTE'!E24</f>
        <v>Moderado</v>
      </c>
      <c r="H25" s="89">
        <f>+'5 VALORACIÓN DEL CONTROL'!T99</f>
        <v>0.6</v>
      </c>
      <c r="I25" s="64">
        <f>+'5 VALORACIÓN DEL CONTROL'!U99</f>
        <v>0.6</v>
      </c>
      <c r="J25" s="64" t="str">
        <f t="shared" si="3"/>
        <v>Media</v>
      </c>
      <c r="K25" s="64" t="str">
        <f t="shared" si="4"/>
        <v>Moderado</v>
      </c>
      <c r="L25" s="251" t="str">
        <f t="shared" si="5"/>
        <v>Moderado</v>
      </c>
      <c r="M25" s="251" t="str">
        <f t="shared" si="0"/>
        <v>Requiere Plan de Acción</v>
      </c>
      <c r="N25" s="251" t="str">
        <f t="shared" si="1"/>
        <v>Reducir_mitigar_Transferir_Evitar</v>
      </c>
      <c r="O25" s="252" t="s">
        <v>334</v>
      </c>
      <c r="P25" s="251" t="str">
        <f t="shared" si="2"/>
        <v>Reducir_Mitigar</v>
      </c>
      <c r="Q25" s="303" t="str">
        <f>'5 VALORACIÓN DEL CONTROL'!I94</f>
        <v>El profesional asignado por el líder del proceso  revisa la información sujeta a publicación, de acuerdo con lo establecido en la Resolución 1519 de 2020 y sus anexos,  y verifica su publicación y actualización en la página web institucional.</v>
      </c>
      <c r="R25" s="252" t="s">
        <v>498</v>
      </c>
      <c r="S25" s="252" t="s">
        <v>499</v>
      </c>
      <c r="T25" s="252" t="s">
        <v>500</v>
      </c>
      <c r="U25" s="304">
        <v>46023</v>
      </c>
      <c r="V25" s="304">
        <v>46371</v>
      </c>
      <c r="Y25" s="300"/>
      <c r="Z25" s="300"/>
      <c r="AK25" s="296"/>
      <c r="AL25" s="69"/>
      <c r="AM25" s="69"/>
      <c r="AN25" s="69"/>
      <c r="AO25" s="69"/>
      <c r="AP25" s="69"/>
      <c r="AQ25" s="69"/>
      <c r="AR25" s="69"/>
      <c r="AS25" s="296"/>
      <c r="AT25" s="296"/>
    </row>
    <row r="26" spans="1:46" ht="107.4" customHeight="1" x14ac:dyDescent="0.25">
      <c r="A26" s="62" t="str">
        <f>'2 IDENTIFICACIÓN'!A25</f>
        <v>R16</v>
      </c>
      <c r="B26" s="251" t="str">
        <f>+'2 IDENTIFICACIÓN'!J25</f>
        <v>Posibilidad  de efecto dañoso sobre el recurso público por or pago de sanción e intereses moratorios, debido a  trámite inoportuno a los requerimientos de los entes de control y vigilancia, de acuerdo con sus lineamientos y términos de ley.</v>
      </c>
      <c r="C26" s="89">
        <f>+'3 PROBABIL E IMPACTO INHERENTE'!E25</f>
        <v>0.6</v>
      </c>
      <c r="D26" s="89">
        <f>+'3 PROBABIL E IMPACTO INHERENTE'!M25</f>
        <v>0.4</v>
      </c>
      <c r="E26" s="64" t="str">
        <f>+'4 MAPA CALOR INHERENTE'!C25</f>
        <v>Media</v>
      </c>
      <c r="F26" s="64" t="str">
        <f>+'4 MAPA CALOR INHERENTE'!D25</f>
        <v>Menor</v>
      </c>
      <c r="G26" s="251" t="str">
        <f>+'4 MAPA CALOR INHERENTE'!E25</f>
        <v>Moderado</v>
      </c>
      <c r="H26" s="89">
        <f>+'5 VALORACIÓN DEL CONTROL'!T105</f>
        <v>0.6</v>
      </c>
      <c r="I26" s="64">
        <f>+'5 VALORACIÓN DEL CONTROL'!U105</f>
        <v>0.4</v>
      </c>
      <c r="J26" s="64" t="str">
        <f t="shared" si="3"/>
        <v>Media</v>
      </c>
      <c r="K26" s="64" t="str">
        <f t="shared" si="4"/>
        <v>Menor</v>
      </c>
      <c r="L26" s="251" t="str">
        <f t="shared" si="5"/>
        <v>Moderado</v>
      </c>
      <c r="M26" s="251" t="str">
        <f t="shared" si="0"/>
        <v>Requiere Plan de Acción</v>
      </c>
      <c r="N26" s="251" t="str">
        <f t="shared" si="1"/>
        <v>Reducir_mitigar_Transferir_Evitar</v>
      </c>
      <c r="O26" s="252" t="s">
        <v>334</v>
      </c>
      <c r="P26" s="251" t="str">
        <f t="shared" si="2"/>
        <v>Reducir_Mitigar</v>
      </c>
      <c r="Q26" s="303" t="str">
        <f>'5 VALORACIÓN DEL CONTROL'!I100</f>
        <v>La persona encargada verifica el cumplimiento de los términos establecidos para la atención de los requerimientos de los entes de control y vigilancia asignados a la Secretaría de Infraestructura a través del seguimiento y validación de las fechas de vencimiento y respuesta registradas en los mecanismos institucionales de control y seguimiento, identificando alertas frente a posibles incumplimientos</v>
      </c>
      <c r="R26" s="252" t="s">
        <v>501</v>
      </c>
      <c r="S26" s="252" t="s">
        <v>502</v>
      </c>
      <c r="T26" s="252" t="s">
        <v>446</v>
      </c>
      <c r="U26" s="304">
        <v>46023</v>
      </c>
      <c r="V26" s="304">
        <v>46371</v>
      </c>
      <c r="AK26" s="296"/>
      <c r="AL26" s="69"/>
      <c r="AM26" s="69"/>
      <c r="AN26" s="69"/>
      <c r="AO26" s="69"/>
      <c r="AP26" s="69"/>
      <c r="AQ26" s="69"/>
      <c r="AR26" s="69"/>
      <c r="AS26" s="296"/>
      <c r="AT26" s="296"/>
    </row>
    <row r="27" spans="1:46" ht="177.6" customHeight="1" x14ac:dyDescent="0.3">
      <c r="A27" s="501" t="str">
        <f>'2 IDENTIFICACIÓN'!A26</f>
        <v>R17</v>
      </c>
      <c r="B27" s="493" t="str">
        <f>+'2 IDENTIFICACIÓN'!J26</f>
        <v>Posibilidad  de efecto dañoso sobre bienes de uso fiscal por por pérdida, extravío, hurto o faltantes en inventario de bienes muebles de la entidad,  debido a deficiencias en la actualización, verificación y control del inventario de bienes muebles.</v>
      </c>
      <c r="C27" s="499">
        <f>+'3 PROBABIL E IMPACTO INHERENTE'!E26</f>
        <v>0.6</v>
      </c>
      <c r="D27" s="499">
        <f>+'3 PROBABIL E IMPACTO INHERENTE'!M26</f>
        <v>1</v>
      </c>
      <c r="E27" s="503" t="str">
        <f>+'4 MAPA CALOR INHERENTE'!C26</f>
        <v>Media</v>
      </c>
      <c r="F27" s="503" t="str">
        <f>+'4 MAPA CALOR INHERENTE'!D26</f>
        <v>Catastrófico</v>
      </c>
      <c r="G27" s="493" t="str">
        <f>+'4 MAPA CALOR INHERENTE'!E26</f>
        <v>Extremo</v>
      </c>
      <c r="H27" s="499">
        <f>+'5 VALORACIÓN DEL CONTROL'!T111</f>
        <v>0.6</v>
      </c>
      <c r="I27" s="503">
        <f>+'5 VALORACIÓN DEL CONTROL'!U111</f>
        <v>1</v>
      </c>
      <c r="J27" s="503" t="str">
        <f t="shared" si="3"/>
        <v>Media</v>
      </c>
      <c r="K27" s="503" t="str">
        <f t="shared" si="4"/>
        <v>Catastrófico</v>
      </c>
      <c r="L27" s="493" t="str">
        <f t="shared" si="5"/>
        <v>Extremo</v>
      </c>
      <c r="M27" s="493" t="str">
        <f t="shared" si="0"/>
        <v>Requiere Plan de Acción</v>
      </c>
      <c r="N27" s="493" t="str">
        <f t="shared" si="1"/>
        <v>Reducir_mitigar_Transferir_Evitar</v>
      </c>
      <c r="O27" s="495" t="s">
        <v>334</v>
      </c>
      <c r="P27" s="251" t="str">
        <f t="shared" si="2"/>
        <v>Reducir_Mitigar</v>
      </c>
      <c r="Q27" s="497" t="str">
        <f>'5 VALORACIÓN DEL CONTROL'!I106</f>
        <v xml:space="preserve">Los profesionales encargados de la secretaría de infraestructura y del área de alumbrado público  ejercerán el control periódico para verificar que los datos registrados en el sistema de inventarios coincida con los inventarios físicos,  teniendo en cuenta la información documentada establecida por el proceso de Gestión de Almacén e Inventarios. </v>
      </c>
      <c r="R27" s="252" t="s">
        <v>503</v>
      </c>
      <c r="S27" s="252" t="s">
        <v>504</v>
      </c>
      <c r="T27" s="252" t="s">
        <v>505</v>
      </c>
      <c r="U27" s="304">
        <v>46023</v>
      </c>
      <c r="V27" s="304">
        <v>46371</v>
      </c>
    </row>
    <row r="28" spans="1:46" ht="118.8" customHeight="1" x14ac:dyDescent="0.3">
      <c r="A28" s="502"/>
      <c r="B28" s="494"/>
      <c r="C28" s="500"/>
      <c r="D28" s="500"/>
      <c r="E28" s="504"/>
      <c r="F28" s="504"/>
      <c r="G28" s="494"/>
      <c r="H28" s="500"/>
      <c r="I28" s="504"/>
      <c r="J28" s="504"/>
      <c r="K28" s="504"/>
      <c r="L28" s="494"/>
      <c r="M28" s="494"/>
      <c r="N28" s="494"/>
      <c r="O28" s="496"/>
      <c r="P28" s="251"/>
      <c r="Q28" s="498"/>
      <c r="R28" s="252" t="s">
        <v>506</v>
      </c>
      <c r="S28" s="252" t="s">
        <v>507</v>
      </c>
      <c r="T28" s="252" t="s">
        <v>505</v>
      </c>
      <c r="U28" s="304">
        <v>46174</v>
      </c>
      <c r="V28" s="304">
        <v>46356</v>
      </c>
    </row>
    <row r="29" spans="1:46" ht="105.6" x14ac:dyDescent="0.3">
      <c r="A29" s="62" t="str">
        <f>'2 IDENTIFICACIÓN'!A27</f>
        <v>R18</v>
      </c>
      <c r="B29" s="251" t="str">
        <f>+'2 IDENTIFICACIÓN'!J27</f>
        <v xml:space="preserve">Posibilidad  de efecto dañoso sobre el recurso público por  Pago de agencias en derecho y costas procesales, en  primera y segunda instancia, debido a  fallos en contra del ente territorial,  que impone el deber de sufragar estos conceptos  a favor de los actores populares. </v>
      </c>
      <c r="C29" s="89">
        <f>+'3 PROBABIL E IMPACTO INHERENTE'!E27</f>
        <v>0.6</v>
      </c>
      <c r="D29" s="89">
        <f>+'3 PROBABIL E IMPACTO INHERENTE'!M27</f>
        <v>1</v>
      </c>
      <c r="E29" s="64" t="str">
        <f>+'4 MAPA CALOR INHERENTE'!C27</f>
        <v>Media</v>
      </c>
      <c r="F29" s="64" t="str">
        <f>+'4 MAPA CALOR INHERENTE'!D27</f>
        <v>Catastrófico</v>
      </c>
      <c r="G29" s="251" t="str">
        <f>+'4 MAPA CALOR INHERENTE'!E27</f>
        <v>Extremo</v>
      </c>
      <c r="H29" s="89">
        <f>+'5 VALORACIÓN DEL CONTROL'!T117</f>
        <v>0.6</v>
      </c>
      <c r="I29" s="64">
        <f>+'5 VALORACIÓN DEL CONTROL'!U117</f>
        <v>1</v>
      </c>
      <c r="J29" s="64" t="str">
        <f t="shared" si="3"/>
        <v>Media</v>
      </c>
      <c r="K29" s="64" t="str">
        <f t="shared" si="4"/>
        <v>Catastrófico</v>
      </c>
      <c r="L29" s="251" t="str">
        <f t="shared" si="5"/>
        <v>Extremo</v>
      </c>
      <c r="M29" s="251" t="str">
        <f t="shared" si="0"/>
        <v>Requiere Plan de Acción</v>
      </c>
      <c r="N29" s="251" t="str">
        <f t="shared" si="1"/>
        <v>Reducir_mitigar_Transferir_Evitar</v>
      </c>
      <c r="O29" s="252" t="s">
        <v>334</v>
      </c>
      <c r="P29" s="251" t="str">
        <f t="shared" si="2"/>
        <v>Reducir_Mitigar</v>
      </c>
      <c r="Q29" s="303" t="str">
        <f>'5 VALORACIÓN DEL CONTROL'!I112</f>
        <v>El apoderado judicial de las acciones populare, deberá cumplir con los trámites relacionados con el cumplimiento de sentencias judiciales, pago de agencias en derecho y costas procesales dentro de las acciones populares,   de acuerdo a lo contemplado en la ley 472 de 1998, artículo 192 del CPACA y al "PROCEDIMIENTO DE PAGO DE SENTENCIAS JUDICIALES, CONCILIACIONES Y LAUDOS ARBITRALES P-GJ-1120-170-002".</v>
      </c>
      <c r="R29" s="252" t="s">
        <v>508</v>
      </c>
      <c r="S29" s="252" t="s">
        <v>509</v>
      </c>
      <c r="T29" s="252" t="s">
        <v>510</v>
      </c>
      <c r="U29" s="304">
        <v>46023</v>
      </c>
      <c r="V29" s="304">
        <v>46371</v>
      </c>
    </row>
    <row r="30" spans="1:46" ht="132" x14ac:dyDescent="0.3">
      <c r="A30" s="62" t="str">
        <f>'2 IDENTIFICACIÓN'!A28</f>
        <v>R19</v>
      </c>
      <c r="B30" s="251" t="str">
        <f>+'2 IDENTIFICACIÓN'!J28</f>
        <v>Posibilidad  de efecto dañoso sobre el recurso público por  deficiencias en la planeación, seguimiento y control de los proyectos de infraestructura educativa financiados con recursos de empréstito, generando retrasos en la ejecución y pagos financieros sin avance proporcional de las obras, debido a debilidades en el monitoreo y supervisión contractual.</v>
      </c>
      <c r="C30" s="89">
        <f>+'3 PROBABIL E IMPACTO INHERENTE'!E28</f>
        <v>0.6</v>
      </c>
      <c r="D30" s="89">
        <f>+'3 PROBABIL E IMPACTO INHERENTE'!M28</f>
        <v>1</v>
      </c>
      <c r="E30" s="64" t="str">
        <f>+'4 MAPA CALOR INHERENTE'!C28</f>
        <v>Media</v>
      </c>
      <c r="F30" s="64" t="str">
        <f>+'4 MAPA CALOR INHERENTE'!D28</f>
        <v>Catastrófico</v>
      </c>
      <c r="G30" s="251" t="str">
        <f>+'4 MAPA CALOR INHERENTE'!E28</f>
        <v>Extremo</v>
      </c>
      <c r="H30" s="89">
        <f>+'5 VALORACIÓN DEL CONTROL'!T123</f>
        <v>0.6</v>
      </c>
      <c r="I30" s="64">
        <f>+'5 VALORACIÓN DEL CONTROL'!U123</f>
        <v>1</v>
      </c>
      <c r="J30" s="64" t="str">
        <f t="shared" si="3"/>
        <v>Media</v>
      </c>
      <c r="K30" s="64" t="str">
        <f t="shared" si="4"/>
        <v>Catastrófico</v>
      </c>
      <c r="L30" s="251" t="str">
        <f t="shared" si="5"/>
        <v>Extremo</v>
      </c>
      <c r="M30" s="251" t="str">
        <f t="shared" si="0"/>
        <v>Requiere Plan de Acción</v>
      </c>
      <c r="N30" s="251" t="str">
        <f t="shared" si="1"/>
        <v>Reducir_mitigar_Transferir_Evitar</v>
      </c>
      <c r="O30" s="252" t="s">
        <v>334</v>
      </c>
      <c r="P30" s="251" t="str">
        <f t="shared" si="2"/>
        <v>Reducir_Mitigar</v>
      </c>
      <c r="Q30" s="303" t="str">
        <f>'5 VALORACIÓN DEL CONTROL'!I118</f>
        <v>El profesional delegado  verifica periódicamente la ejecución física, financiera y documental de los proyectos de infraestructura educativa financiados con recursos de empréstito, mediante la revisión de informes, actas, cronogramas y soportes contractuales, con el fin de identificar desviaciones y realizar seguimiento oportuno al cumplimiento de las obligaciones pactadas</v>
      </c>
      <c r="R30" s="252" t="s">
        <v>511</v>
      </c>
      <c r="S30" s="252" t="s">
        <v>512</v>
      </c>
      <c r="T30" s="252" t="s">
        <v>513</v>
      </c>
      <c r="U30" s="304">
        <v>46174</v>
      </c>
      <c r="V30" s="304">
        <v>46356</v>
      </c>
    </row>
    <row r="31" spans="1:46" ht="92.4" x14ac:dyDescent="0.3">
      <c r="A31" s="501" t="str">
        <f>'2 IDENTIFICACIÓN'!A29</f>
        <v>R20</v>
      </c>
      <c r="B31" s="493" t="str">
        <f>+'2 IDENTIFICACIÓN'!J29</f>
        <v>Posibilidad de afectación reputacional por  ocupación o desarrollo urbanístico no controlado en zonas intervenidas con obras de mitigación del riesgo,  debido a  deficiencias en el seguimiento de las actuaciones policivas y en la articulación interinstitucional para la atención de denuncias, reportes o alertas relacionadas con presuntas infracciones urbanísticas.</v>
      </c>
      <c r="C31" s="499">
        <f>+'3 PROBABIL E IMPACTO INHERENTE'!E29</f>
        <v>0.6</v>
      </c>
      <c r="D31" s="499">
        <f>+'3 PROBABIL E IMPACTO INHERENTE'!M29</f>
        <v>0.6</v>
      </c>
      <c r="E31" s="503" t="str">
        <f>+'4 MAPA CALOR INHERENTE'!C29</f>
        <v>Media</v>
      </c>
      <c r="F31" s="503" t="str">
        <f>+'4 MAPA CALOR INHERENTE'!D29</f>
        <v>Moderado</v>
      </c>
      <c r="G31" s="493" t="str">
        <f>+'4 MAPA CALOR INHERENTE'!E29</f>
        <v>Moderado</v>
      </c>
      <c r="H31" s="499">
        <f>+'5 VALORACIÓN DEL CONTROL'!T124</f>
        <v>0.36</v>
      </c>
      <c r="I31" s="503">
        <f>+'5 VALORACIÓN DEL CONTROL'!U124</f>
        <v>0.6</v>
      </c>
      <c r="J31" s="503" t="str">
        <f t="shared" ref="J31:J46" si="6">+IF(H31=0,"",IF(H31&lt;=$Z$14,$AA$14,IF(H31&lt;=$Z$13,$AA$13,IF(H31&lt;=$Z$12,$AA$12,IF(H31&lt;=$Z$10,$AA$10,IF(H31&lt;=$Z$9,$AA$9,""))))))</f>
        <v>Baja</v>
      </c>
      <c r="K31" s="503" t="str">
        <f t="shared" ref="K31:K46" si="7">+IF(I31=0,"",IF(I31&lt;=$AB$7,$AB$8,IF(I31&lt;=$AC$7,$AC$8,IF(I31&lt;=$AD$7,$AD$8,IF(I31&lt;=$AE$7,$AE$8,IF(I31&lt;=$AF$7,$AF$8,""))))))</f>
        <v>Moderado</v>
      </c>
      <c r="L31" s="493" t="str">
        <f t="shared" ref="L31:L46" si="8">+IF(J31=$AA$9,IF(K31=$AB$8,$AB$9,IF(K31=$AC$8,$AC$9,IF(K31=$AD$8,$AD$9,IF(K31=$AE$8,$AE$9,IF(K31=$AF$8,$AF$9))))),IF(J31=$AA$10,IF(K31=$AB$8,$AB$10,IF(K31=$AC$8,$AC$10,IF(K31=$AD$8,$AD$10,IF(K31=$AE$8,$AE$10,IF(K31=$AF$8,$AF$10))))),IF(J31=$AA$12,IF(K31=$AB$8,$AB$12,IF(K31=$AC$8,$AC$12,IF(K31=$AD$8,$AD$12,IF(K31=$AE$8,$AE$12,IF(K31=$AF$8,$AF$12))))),IF(J31=$AA$13,IF(K31=$AB$8,$AB$13,IF(K31=$AC$8,$AC$13,IF(K31=$AD$8,$AD$13,IF(K31=$AE$8,$AE$13,IF(K31=$AF$8,$AF$13))))),IF(J31=$AA$14,IF(K31=$AB$8,$AB$14,IF(K31=$AC$8,$AC$14,IF(K31=$AD$8,$AD$14,IF(K31=$AE$8,$AE$14,IF(K31=$AF$8,$AF$14))))),"")))))</f>
        <v>Moderado</v>
      </c>
      <c r="M31" s="493" t="str">
        <f t="shared" si="0"/>
        <v>Requiere Plan de Acción</v>
      </c>
      <c r="N31" s="493" t="str">
        <f t="shared" ref="N31:N46" si="9">+IF(L31="","",IF(OR(L31=$AB$18,L31=$AB$19,L31=$AB$20),$AC$18,IF(L31=$AB$21,$AC$21)))</f>
        <v>Reducir_mitigar_Transferir_Evitar</v>
      </c>
      <c r="O31" s="495" t="s">
        <v>334</v>
      </c>
      <c r="P31" s="251" t="str">
        <f t="shared" si="2"/>
        <v>Reducir_Mitigar</v>
      </c>
      <c r="Q31" s="497" t="str">
        <f>'5 VALORACIÓN DEL CONTROL'!I124</f>
        <v>El profesional delegado  verifica mensualmente el cumplimiento del control urbanístico en el lugar de los trabajos, con el fin de identificar posibles incumplimientos y realizar seguimiento oportuno a las reiteraciones efectuadas ante la Secretaría de Planeación y la Secretaría del Interior para el adelanto de las actuaciones correspondientes</v>
      </c>
      <c r="R31" s="252" t="s">
        <v>514</v>
      </c>
      <c r="S31" s="252" t="s">
        <v>515</v>
      </c>
      <c r="T31" s="252" t="s">
        <v>513</v>
      </c>
      <c r="U31" s="304">
        <v>46156</v>
      </c>
      <c r="V31" s="304">
        <v>46216</v>
      </c>
    </row>
    <row r="32" spans="1:46" ht="118.8" x14ac:dyDescent="0.3">
      <c r="A32" s="506"/>
      <c r="B32" s="505"/>
      <c r="C32" s="508"/>
      <c r="D32" s="508"/>
      <c r="E32" s="507"/>
      <c r="F32" s="507"/>
      <c r="G32" s="505"/>
      <c r="H32" s="508"/>
      <c r="I32" s="507"/>
      <c r="J32" s="507"/>
      <c r="K32" s="507"/>
      <c r="L32" s="505"/>
      <c r="M32" s="505"/>
      <c r="N32" s="505"/>
      <c r="O32" s="510"/>
      <c r="P32" s="251"/>
      <c r="Q32" s="509"/>
      <c r="R32" s="252" t="s">
        <v>516</v>
      </c>
      <c r="S32" s="252" t="s">
        <v>517</v>
      </c>
      <c r="T32" s="252" t="s">
        <v>513</v>
      </c>
      <c r="U32" s="304">
        <v>46174</v>
      </c>
      <c r="V32" s="304">
        <v>46356</v>
      </c>
    </row>
    <row r="33" spans="1:22" ht="93" customHeight="1" x14ac:dyDescent="0.3">
      <c r="A33" s="502"/>
      <c r="B33" s="494"/>
      <c r="C33" s="500"/>
      <c r="D33" s="500"/>
      <c r="E33" s="504"/>
      <c r="F33" s="504"/>
      <c r="G33" s="494"/>
      <c r="H33" s="500"/>
      <c r="I33" s="504"/>
      <c r="J33" s="504"/>
      <c r="K33" s="504"/>
      <c r="L33" s="494"/>
      <c r="M33" s="494"/>
      <c r="N33" s="494"/>
      <c r="O33" s="496"/>
      <c r="P33" s="251"/>
      <c r="Q33" s="498"/>
      <c r="R33" s="252" t="s">
        <v>518</v>
      </c>
      <c r="S33" s="252" t="s">
        <v>519</v>
      </c>
      <c r="T33" s="252" t="s">
        <v>513</v>
      </c>
      <c r="U33" s="304">
        <v>46174</v>
      </c>
      <c r="V33" s="304">
        <v>46356</v>
      </c>
    </row>
    <row r="34" spans="1:22" ht="93" customHeight="1" x14ac:dyDescent="0.3">
      <c r="A34" s="501" t="str">
        <f>'2 IDENTIFICACIÓN'!A30</f>
        <v>R21</v>
      </c>
      <c r="B34" s="493" t="str">
        <f>+'2 IDENTIFICACIÓN'!J30</f>
        <v>Posibilidad de afectación reputacional por posibles investigaciones y sanciones disciplinarias por entes de control,  debido a debido al incumplimiento de la Ley 594 del 2000 en los documentos emanados por la Secretaría de Infraestructura.</v>
      </c>
      <c r="C34" s="499">
        <f>+'3 PROBABIL E IMPACTO INHERENTE'!E30</f>
        <v>0.6</v>
      </c>
      <c r="D34" s="499">
        <f>+'3 PROBABIL E IMPACTO INHERENTE'!M30</f>
        <v>0.6</v>
      </c>
      <c r="E34" s="503" t="str">
        <f>+'4 MAPA CALOR INHERENTE'!C30</f>
        <v>Media</v>
      </c>
      <c r="F34" s="503" t="str">
        <f>+'4 MAPA CALOR INHERENTE'!D30</f>
        <v>Moderado</v>
      </c>
      <c r="G34" s="493" t="str">
        <f>+'4 MAPA CALOR INHERENTE'!E30</f>
        <v>Moderado</v>
      </c>
      <c r="H34" s="499">
        <f>+'5 VALORACIÓN DEL CONTROL'!T125</f>
        <v>0.6</v>
      </c>
      <c r="I34" s="503">
        <f>+'5 VALORACIÓN DEL CONTROL'!U125</f>
        <v>0.6</v>
      </c>
      <c r="J34" s="503" t="str">
        <f t="shared" si="6"/>
        <v>Media</v>
      </c>
      <c r="K34" s="503" t="str">
        <f t="shared" si="7"/>
        <v>Moderado</v>
      </c>
      <c r="L34" s="493" t="str">
        <f t="shared" si="8"/>
        <v>Moderado</v>
      </c>
      <c r="M34" s="493" t="str">
        <f t="shared" si="0"/>
        <v>Requiere Plan de Acción</v>
      </c>
      <c r="N34" s="493" t="str">
        <f t="shared" si="9"/>
        <v>Reducir_mitigar_Transferir_Evitar</v>
      </c>
      <c r="O34" s="495" t="s">
        <v>334</v>
      </c>
      <c r="P34" s="251" t="str">
        <f t="shared" si="2"/>
        <v>Reducir_Mitigar</v>
      </c>
      <c r="Q34" s="497" t="str">
        <f>'5 VALORACIÓN DEL CONTROL'!I130</f>
        <v>El Área de Archivo de la Secretaría de Infraestructura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34" s="252" t="s">
        <v>520</v>
      </c>
      <c r="S34" s="252" t="s">
        <v>521</v>
      </c>
      <c r="T34" s="252" t="s">
        <v>522</v>
      </c>
      <c r="U34" s="304">
        <v>46023</v>
      </c>
      <c r="V34" s="304">
        <v>46371</v>
      </c>
    </row>
    <row r="35" spans="1:22" ht="93" customHeight="1" x14ac:dyDescent="0.3">
      <c r="A35" s="506"/>
      <c r="B35" s="505"/>
      <c r="C35" s="508"/>
      <c r="D35" s="508"/>
      <c r="E35" s="507"/>
      <c r="F35" s="507"/>
      <c r="G35" s="505"/>
      <c r="H35" s="508"/>
      <c r="I35" s="507"/>
      <c r="J35" s="507"/>
      <c r="K35" s="507"/>
      <c r="L35" s="505"/>
      <c r="M35" s="505"/>
      <c r="N35" s="505"/>
      <c r="O35" s="510"/>
      <c r="P35" s="251"/>
      <c r="Q35" s="509"/>
      <c r="R35" s="252" t="s">
        <v>523</v>
      </c>
      <c r="S35" s="252" t="s">
        <v>524</v>
      </c>
      <c r="T35" s="252" t="s">
        <v>522</v>
      </c>
      <c r="U35" s="304">
        <v>46023</v>
      </c>
      <c r="V35" s="304">
        <v>46371</v>
      </c>
    </row>
    <row r="36" spans="1:22" ht="93" customHeight="1" x14ac:dyDescent="0.3">
      <c r="A36" s="502"/>
      <c r="B36" s="494"/>
      <c r="C36" s="500"/>
      <c r="D36" s="500"/>
      <c r="E36" s="504"/>
      <c r="F36" s="504"/>
      <c r="G36" s="494"/>
      <c r="H36" s="500"/>
      <c r="I36" s="504"/>
      <c r="J36" s="504"/>
      <c r="K36" s="504"/>
      <c r="L36" s="494"/>
      <c r="M36" s="494"/>
      <c r="N36" s="494"/>
      <c r="O36" s="496"/>
      <c r="P36" s="251"/>
      <c r="Q36" s="498"/>
      <c r="R36" s="252" t="s">
        <v>525</v>
      </c>
      <c r="S36" s="252" t="s">
        <v>526</v>
      </c>
      <c r="T36" s="252" t="s">
        <v>522</v>
      </c>
      <c r="U36" s="304">
        <v>46023</v>
      </c>
      <c r="V36" s="304">
        <v>46371</v>
      </c>
    </row>
    <row r="37" spans="1:22" ht="105.6" x14ac:dyDescent="0.3">
      <c r="A37" s="501" t="str">
        <f>'2 IDENTIFICACIÓN'!A31</f>
        <v>R22</v>
      </c>
      <c r="B37" s="493" t="str">
        <f>+'2 IDENTIFICACIÓN'!J31</f>
        <v>Posibilidad de pérdida reputacional por soborno para favorecer a un proponente en la adjudicación de un contrato de obra, debido a deficiencias en la verificación, evaluación y control de los procesos contractuales adelantados por la entidad..</v>
      </c>
      <c r="C37" s="499">
        <f>+'3 PROBABIL E IMPACTO INHERENTE'!E31</f>
        <v>0.6</v>
      </c>
      <c r="D37" s="499">
        <f>+'3 PROBABIL E IMPACTO INHERENTE'!M31</f>
        <v>1</v>
      </c>
      <c r="E37" s="503" t="str">
        <f>+'4 MAPA CALOR INHERENTE'!C31</f>
        <v>Media</v>
      </c>
      <c r="F37" s="503" t="str">
        <f>+'4 MAPA CALOR INHERENTE'!D31</f>
        <v>Catastrófico</v>
      </c>
      <c r="G37" s="493" t="str">
        <f>+'4 MAPA CALOR INHERENTE'!E31</f>
        <v>Extremo</v>
      </c>
      <c r="H37" s="499">
        <f>+'5 VALORACIÓN DEL CONTROL'!T126</f>
        <v>0.6</v>
      </c>
      <c r="I37" s="503">
        <f>+'5 VALORACIÓN DEL CONTROL'!U126</f>
        <v>0.6</v>
      </c>
      <c r="J37" s="503" t="str">
        <f t="shared" si="6"/>
        <v>Media</v>
      </c>
      <c r="K37" s="503" t="str">
        <f t="shared" si="7"/>
        <v>Moderado</v>
      </c>
      <c r="L37" s="493" t="str">
        <f t="shared" si="8"/>
        <v>Moderado</v>
      </c>
      <c r="M37" s="493" t="str">
        <f t="shared" si="0"/>
        <v>Requiere Plan de Acción</v>
      </c>
      <c r="N37" s="493" t="str">
        <f t="shared" si="9"/>
        <v>Reducir_mitigar_Transferir_Evitar</v>
      </c>
      <c r="O37" s="495" t="s">
        <v>334</v>
      </c>
      <c r="P37" s="251" t="str">
        <f t="shared" si="2"/>
        <v>Reducir_Mitigar</v>
      </c>
      <c r="Q37" s="497" t="str">
        <f>'5 VALORACIÓN DEL CONTROL'!I136</f>
        <v>El Secretario de Infraestructura y el profesional encargado del proceso contractual verifican la aplicación de los requisitos establecidos en los pliegos tipo y monitorean la pluralidad de oferentes en los procesos de contratación de obra, mediante seguimiento cuatrimestral a la documentación y participación de proponentes, conforme a la normatividad vigente</v>
      </c>
      <c r="R37" s="252" t="s">
        <v>527</v>
      </c>
      <c r="S37" s="252" t="s">
        <v>528</v>
      </c>
      <c r="T37" s="252" t="s">
        <v>529</v>
      </c>
      <c r="U37" s="304">
        <v>46023</v>
      </c>
      <c r="V37" s="304">
        <v>46371</v>
      </c>
    </row>
    <row r="38" spans="1:22" ht="79.2" x14ac:dyDescent="0.3">
      <c r="A38" s="502"/>
      <c r="B38" s="494"/>
      <c r="C38" s="500"/>
      <c r="D38" s="500"/>
      <c r="E38" s="504"/>
      <c r="F38" s="504"/>
      <c r="G38" s="494"/>
      <c r="H38" s="500"/>
      <c r="I38" s="504"/>
      <c r="J38" s="504"/>
      <c r="K38" s="504"/>
      <c r="L38" s="494"/>
      <c r="M38" s="494"/>
      <c r="N38" s="494"/>
      <c r="O38" s="496"/>
      <c r="P38" s="251"/>
      <c r="Q38" s="498"/>
      <c r="R38" s="252" t="s">
        <v>530</v>
      </c>
      <c r="S38" s="252" t="s">
        <v>528</v>
      </c>
      <c r="T38" s="252" t="s">
        <v>529</v>
      </c>
      <c r="U38" s="304">
        <v>46023</v>
      </c>
      <c r="V38" s="304">
        <v>46371</v>
      </c>
    </row>
    <row r="39" spans="1:22" ht="93" hidden="1" customHeight="1" x14ac:dyDescent="0.3">
      <c r="A39" s="62" t="str">
        <f>'2 IDENTIFICACIÓN'!A32</f>
        <v>R23</v>
      </c>
      <c r="B39" s="251" t="str">
        <f>+'2 IDENTIFICACIÓN'!J32</f>
        <v xml:space="preserve"> por  debido a </v>
      </c>
      <c r="C39" s="89" t="str">
        <f>+'3 PROBABIL E IMPACTO INHERENTE'!E32</f>
        <v/>
      </c>
      <c r="D39" s="89" t="str">
        <f>+'3 PROBABIL E IMPACTO INHERENTE'!M32</f>
        <v/>
      </c>
      <c r="E39" s="64" t="str">
        <f>+'4 MAPA CALOR INHERENTE'!C32</f>
        <v/>
      </c>
      <c r="F39" s="64" t="str">
        <f>+'4 MAPA CALOR INHERENTE'!D32</f>
        <v/>
      </c>
      <c r="G39" s="251" t="str">
        <f>+'4 MAPA CALOR INHERENTE'!E32</f>
        <v/>
      </c>
      <c r="H39" s="89">
        <f>+'5 VALORACIÓN DEL CONTROL'!T127</f>
        <v>0.6</v>
      </c>
      <c r="I39" s="64">
        <f>+'5 VALORACIÓN DEL CONTROL'!U127</f>
        <v>0.6</v>
      </c>
      <c r="J39" s="64" t="str">
        <f t="shared" si="6"/>
        <v>Media</v>
      </c>
      <c r="K39" s="64" t="str">
        <f t="shared" si="7"/>
        <v>Moderado</v>
      </c>
      <c r="L39" s="251" t="str">
        <f t="shared" si="8"/>
        <v>Moderado</v>
      </c>
      <c r="M39" s="251" t="str">
        <f t="shared" si="0"/>
        <v>Requiere Plan de Acción</v>
      </c>
      <c r="N39" s="251" t="str">
        <f t="shared" si="9"/>
        <v>Reducir_mitigar_Transferir_Evitar</v>
      </c>
      <c r="O39" s="252"/>
      <c r="P39" s="251">
        <f t="shared" si="2"/>
        <v>0</v>
      </c>
      <c r="Q39" s="303" t="str">
        <f>'5 VALORACIÓN DEL CONTROL'!I32</f>
        <v xml:space="preserve">  </v>
      </c>
      <c r="R39" s="252"/>
      <c r="S39" s="252"/>
      <c r="T39" s="252"/>
      <c r="U39" s="304"/>
      <c r="V39" s="304"/>
    </row>
    <row r="40" spans="1:22" ht="93" hidden="1" customHeight="1" x14ac:dyDescent="0.3">
      <c r="A40" s="62" t="str">
        <f>'2 IDENTIFICACIÓN'!A33</f>
        <v>R24</v>
      </c>
      <c r="B40" s="251" t="str">
        <f>+'2 IDENTIFICACIÓN'!J33</f>
        <v xml:space="preserve"> por  debido a </v>
      </c>
      <c r="C40" s="89" t="str">
        <f>+'3 PROBABIL E IMPACTO INHERENTE'!E33</f>
        <v/>
      </c>
      <c r="D40" s="89" t="str">
        <f>+'3 PROBABIL E IMPACTO INHERENTE'!M33</f>
        <v/>
      </c>
      <c r="E40" s="64" t="str">
        <f>+'4 MAPA CALOR INHERENTE'!C33</f>
        <v/>
      </c>
      <c r="F40" s="64" t="str">
        <f>+'4 MAPA CALOR INHERENTE'!D33</f>
        <v/>
      </c>
      <c r="G40" s="251" t="str">
        <f>+'4 MAPA CALOR INHERENTE'!E33</f>
        <v/>
      </c>
      <c r="H40" s="89">
        <f>+'5 VALORACIÓN DEL CONTROL'!T128</f>
        <v>0.6</v>
      </c>
      <c r="I40" s="64">
        <f>+'5 VALORACIÓN DEL CONTROL'!U128</f>
        <v>0.6</v>
      </c>
      <c r="J40" s="64" t="str">
        <f t="shared" si="6"/>
        <v>Media</v>
      </c>
      <c r="K40" s="64" t="str">
        <f t="shared" si="7"/>
        <v>Moderado</v>
      </c>
      <c r="L40" s="251" t="str">
        <f t="shared" si="8"/>
        <v>Moderado</v>
      </c>
      <c r="M40" s="251" t="str">
        <f t="shared" si="0"/>
        <v>Requiere Plan de Acción</v>
      </c>
      <c r="N40" s="251" t="str">
        <f t="shared" si="9"/>
        <v>Reducir_mitigar_Transferir_Evitar</v>
      </c>
      <c r="O40" s="252"/>
      <c r="P40" s="251">
        <f t="shared" si="2"/>
        <v>0</v>
      </c>
      <c r="Q40" s="303" t="str">
        <f>'5 VALORACIÓN DEL CONTROL'!I33</f>
        <v xml:space="preserve">  </v>
      </c>
      <c r="R40" s="252"/>
      <c r="S40" s="252"/>
      <c r="T40" s="252"/>
      <c r="U40" s="304"/>
      <c r="V40" s="304"/>
    </row>
    <row r="41" spans="1:22" ht="93" hidden="1" customHeight="1" x14ac:dyDescent="0.3">
      <c r="A41" s="62" t="str">
        <f>'2 IDENTIFICACIÓN'!A34</f>
        <v>R25</v>
      </c>
      <c r="B41" s="251" t="str">
        <f>+'2 IDENTIFICACIÓN'!J34</f>
        <v xml:space="preserve"> por  debido a </v>
      </c>
      <c r="C41" s="89" t="str">
        <f>+'3 PROBABIL E IMPACTO INHERENTE'!E34</f>
        <v/>
      </c>
      <c r="D41" s="89" t="str">
        <f>+'3 PROBABIL E IMPACTO INHERENTE'!M34</f>
        <v/>
      </c>
      <c r="E41" s="64" t="str">
        <f>+'4 MAPA CALOR INHERENTE'!C34</f>
        <v/>
      </c>
      <c r="F41" s="64" t="str">
        <f>+'4 MAPA CALOR INHERENTE'!D34</f>
        <v/>
      </c>
      <c r="G41" s="251" t="str">
        <f>+'4 MAPA CALOR INHERENTE'!E34</f>
        <v/>
      </c>
      <c r="H41" s="89">
        <f>+'5 VALORACIÓN DEL CONTROL'!T129</f>
        <v>0.6</v>
      </c>
      <c r="I41" s="64">
        <f>+'5 VALORACIÓN DEL CONTROL'!U129</f>
        <v>0.6</v>
      </c>
      <c r="J41" s="64" t="str">
        <f t="shared" si="6"/>
        <v>Media</v>
      </c>
      <c r="K41" s="64" t="str">
        <f t="shared" si="7"/>
        <v>Moderado</v>
      </c>
      <c r="L41" s="251" t="str">
        <f t="shared" si="8"/>
        <v>Moderado</v>
      </c>
      <c r="M41" s="251" t="str">
        <f t="shared" si="0"/>
        <v>Requiere Plan de Acción</v>
      </c>
      <c r="N41" s="251" t="str">
        <f t="shared" si="9"/>
        <v>Reducir_mitigar_Transferir_Evitar</v>
      </c>
      <c r="O41" s="252"/>
      <c r="P41" s="251">
        <f t="shared" si="2"/>
        <v>0</v>
      </c>
      <c r="Q41" s="303"/>
      <c r="R41" s="252"/>
      <c r="S41" s="252"/>
      <c r="T41" s="252"/>
      <c r="U41" s="304"/>
      <c r="V41" s="304"/>
    </row>
    <row r="42" spans="1:22" ht="93" hidden="1" customHeight="1" x14ac:dyDescent="0.3">
      <c r="A42" s="62" t="str">
        <f>'2 IDENTIFICACIÓN'!A35</f>
        <v>R26</v>
      </c>
      <c r="B42" s="251" t="str">
        <f>+'2 IDENTIFICACIÓN'!J35</f>
        <v xml:space="preserve"> por  debido a </v>
      </c>
      <c r="C42" s="89" t="str">
        <f>+'3 PROBABIL E IMPACTO INHERENTE'!E35</f>
        <v/>
      </c>
      <c r="D42" s="89" t="str">
        <f>+'3 PROBABIL E IMPACTO INHERENTE'!M35</f>
        <v/>
      </c>
      <c r="E42" s="64" t="str">
        <f>+'4 MAPA CALOR INHERENTE'!C35</f>
        <v/>
      </c>
      <c r="F42" s="64" t="str">
        <f>+'4 MAPA CALOR INHERENTE'!D35</f>
        <v/>
      </c>
      <c r="G42" s="251" t="str">
        <f>+'4 MAPA CALOR INHERENTE'!E35</f>
        <v/>
      </c>
      <c r="H42" s="89">
        <f>+'5 VALORACIÓN DEL CONTROL'!T130</f>
        <v>0.36</v>
      </c>
      <c r="I42" s="64">
        <f>+'5 VALORACIÓN DEL CONTROL'!U130</f>
        <v>0.6</v>
      </c>
      <c r="J42" s="64" t="str">
        <f t="shared" si="6"/>
        <v>Baja</v>
      </c>
      <c r="K42" s="64" t="str">
        <f t="shared" si="7"/>
        <v>Moderado</v>
      </c>
      <c r="L42" s="251" t="str">
        <f t="shared" si="8"/>
        <v>Moderado</v>
      </c>
      <c r="M42" s="251" t="str">
        <f t="shared" si="0"/>
        <v>Requiere Plan de Acción</v>
      </c>
      <c r="N42" s="251" t="str">
        <f t="shared" si="9"/>
        <v>Reducir_mitigar_Transferir_Evitar</v>
      </c>
      <c r="O42" s="252"/>
      <c r="P42" s="251">
        <f t="shared" si="2"/>
        <v>0</v>
      </c>
      <c r="Q42" s="303" t="str">
        <f>'5 VALORACIÓN DEL CONTROL'!I35</f>
        <v xml:space="preserve">  </v>
      </c>
      <c r="R42" s="252"/>
      <c r="S42" s="252"/>
      <c r="T42" s="252"/>
      <c r="U42" s="304"/>
      <c r="V42" s="304"/>
    </row>
    <row r="43" spans="1:22" ht="93" hidden="1" customHeight="1" x14ac:dyDescent="0.3">
      <c r="A43" s="62" t="str">
        <f>'2 IDENTIFICACIÓN'!A36</f>
        <v>R27</v>
      </c>
      <c r="B43" s="251" t="str">
        <f>+'2 IDENTIFICACIÓN'!J36</f>
        <v xml:space="preserve"> por  debido a </v>
      </c>
      <c r="C43" s="89" t="str">
        <f>+'3 PROBABIL E IMPACTO INHERENTE'!E36</f>
        <v/>
      </c>
      <c r="D43" s="89" t="str">
        <f>+'3 PROBABIL E IMPACTO INHERENTE'!M36</f>
        <v/>
      </c>
      <c r="E43" s="64" t="str">
        <f>+'4 MAPA CALOR INHERENTE'!C36</f>
        <v/>
      </c>
      <c r="F43" s="64" t="str">
        <f>+'4 MAPA CALOR INHERENTE'!D36</f>
        <v/>
      </c>
      <c r="G43" s="251" t="str">
        <f>+'4 MAPA CALOR INHERENTE'!E36</f>
        <v/>
      </c>
      <c r="H43" s="89">
        <f>+'5 VALORACIÓN DEL CONTROL'!T131</f>
        <v>0.6</v>
      </c>
      <c r="I43" s="64">
        <f>+'5 VALORACIÓN DEL CONTROL'!U131</f>
        <v>0.6</v>
      </c>
      <c r="J43" s="64" t="str">
        <f t="shared" si="6"/>
        <v>Media</v>
      </c>
      <c r="K43" s="64" t="str">
        <f t="shared" si="7"/>
        <v>Moderado</v>
      </c>
      <c r="L43" s="251" t="str">
        <f t="shared" si="8"/>
        <v>Moderado</v>
      </c>
      <c r="M43" s="251" t="str">
        <f t="shared" si="0"/>
        <v>Requiere Plan de Acción</v>
      </c>
      <c r="N43" s="251" t="str">
        <f t="shared" si="9"/>
        <v>Reducir_mitigar_Transferir_Evitar</v>
      </c>
      <c r="O43" s="252"/>
      <c r="P43" s="251">
        <f t="shared" si="2"/>
        <v>0</v>
      </c>
      <c r="Q43" s="303" t="str">
        <f>'5 VALORACIÓN DEL CONTROL'!I36</f>
        <v xml:space="preserve">  </v>
      </c>
      <c r="R43" s="252"/>
      <c r="S43" s="252"/>
      <c r="T43" s="252"/>
      <c r="U43" s="304"/>
      <c r="V43" s="304"/>
    </row>
    <row r="44" spans="1:22" ht="93" hidden="1" customHeight="1" x14ac:dyDescent="0.3">
      <c r="A44" s="62" t="str">
        <f>'2 IDENTIFICACIÓN'!A37</f>
        <v>R28</v>
      </c>
      <c r="B44" s="251" t="str">
        <f>+'2 IDENTIFICACIÓN'!J37</f>
        <v xml:space="preserve"> por  debido a </v>
      </c>
      <c r="C44" s="89" t="str">
        <f>+'3 PROBABIL E IMPACTO INHERENTE'!E37</f>
        <v/>
      </c>
      <c r="D44" s="89" t="str">
        <f>+'3 PROBABIL E IMPACTO INHERENTE'!M37</f>
        <v/>
      </c>
      <c r="E44" s="64" t="str">
        <f>+'4 MAPA CALOR INHERENTE'!C37</f>
        <v/>
      </c>
      <c r="F44" s="64" t="str">
        <f>+'4 MAPA CALOR INHERENTE'!D37</f>
        <v/>
      </c>
      <c r="G44" s="251" t="str">
        <f>+'4 MAPA CALOR INHERENTE'!E37</f>
        <v/>
      </c>
      <c r="H44" s="89">
        <f>+'5 VALORACIÓN DEL CONTROL'!T132</f>
        <v>0.6</v>
      </c>
      <c r="I44" s="64">
        <f>+'5 VALORACIÓN DEL CONTROL'!U132</f>
        <v>0.6</v>
      </c>
      <c r="J44" s="64" t="str">
        <f t="shared" si="6"/>
        <v>Media</v>
      </c>
      <c r="K44" s="64" t="str">
        <f t="shared" si="7"/>
        <v>Moderado</v>
      </c>
      <c r="L44" s="251" t="str">
        <f t="shared" si="8"/>
        <v>Moderado</v>
      </c>
      <c r="M44" s="251" t="str">
        <f t="shared" si="0"/>
        <v>Requiere Plan de Acción</v>
      </c>
      <c r="N44" s="251" t="str">
        <f t="shared" si="9"/>
        <v>Reducir_mitigar_Transferir_Evitar</v>
      </c>
      <c r="O44" s="252"/>
      <c r="P44" s="251">
        <f t="shared" si="2"/>
        <v>0</v>
      </c>
      <c r="Q44" s="303" t="str">
        <f>'5 VALORACIÓN DEL CONTROL'!I37</f>
        <v xml:space="preserve">  </v>
      </c>
      <c r="R44" s="252"/>
      <c r="S44" s="252"/>
      <c r="T44" s="252"/>
      <c r="U44" s="304"/>
      <c r="V44" s="304"/>
    </row>
    <row r="45" spans="1:22" ht="93" hidden="1" customHeight="1" x14ac:dyDescent="0.3">
      <c r="A45" s="62" t="str">
        <f>'2 IDENTIFICACIÓN'!A38</f>
        <v>R29</v>
      </c>
      <c r="B45" s="251" t="str">
        <f>+'2 IDENTIFICACIÓN'!J38</f>
        <v xml:space="preserve"> por  debido a </v>
      </c>
      <c r="C45" s="89" t="str">
        <f>+'3 PROBABIL E IMPACTO INHERENTE'!E38</f>
        <v/>
      </c>
      <c r="D45" s="89" t="str">
        <f>+'3 PROBABIL E IMPACTO INHERENTE'!M38</f>
        <v/>
      </c>
      <c r="E45" s="64" t="str">
        <f>+'4 MAPA CALOR INHERENTE'!C38</f>
        <v/>
      </c>
      <c r="F45" s="64" t="str">
        <f>+'4 MAPA CALOR INHERENTE'!D38</f>
        <v/>
      </c>
      <c r="G45" s="251" t="str">
        <f>+'4 MAPA CALOR INHERENTE'!E38</f>
        <v/>
      </c>
      <c r="H45" s="89">
        <f>+'5 VALORACIÓN DEL CONTROL'!T133</f>
        <v>0.6</v>
      </c>
      <c r="I45" s="64">
        <f>+'5 VALORACIÓN DEL CONTROL'!U133</f>
        <v>0.6</v>
      </c>
      <c r="J45" s="64" t="str">
        <f t="shared" si="6"/>
        <v>Media</v>
      </c>
      <c r="K45" s="64" t="str">
        <f t="shared" si="7"/>
        <v>Moderado</v>
      </c>
      <c r="L45" s="251" t="str">
        <f t="shared" si="8"/>
        <v>Moderado</v>
      </c>
      <c r="M45" s="251" t="str">
        <f t="shared" si="0"/>
        <v>Requiere Plan de Acción</v>
      </c>
      <c r="N45" s="251" t="str">
        <f t="shared" si="9"/>
        <v>Reducir_mitigar_Transferir_Evitar</v>
      </c>
      <c r="O45" s="252"/>
      <c r="P45" s="251">
        <f t="shared" si="2"/>
        <v>0</v>
      </c>
      <c r="Q45" s="303" t="str">
        <f>'5 VALORACIÓN DEL CONTROL'!I38</f>
        <v xml:space="preserve">  </v>
      </c>
      <c r="R45" s="252"/>
      <c r="S45" s="252"/>
      <c r="T45" s="252"/>
      <c r="U45" s="304"/>
      <c r="V45" s="304"/>
    </row>
    <row r="46" spans="1:22" ht="93" hidden="1" customHeight="1" x14ac:dyDescent="0.3">
      <c r="A46" s="62" t="str">
        <f>'2 IDENTIFICACIÓN'!A39</f>
        <v>R30</v>
      </c>
      <c r="B46" s="251" t="str">
        <f>+'2 IDENTIFICACIÓN'!J39</f>
        <v xml:space="preserve"> por  debido a </v>
      </c>
      <c r="C46" s="89" t="str">
        <f>+'3 PROBABIL E IMPACTO INHERENTE'!E39</f>
        <v/>
      </c>
      <c r="D46" s="89" t="str">
        <f>+'3 PROBABIL E IMPACTO INHERENTE'!M39</f>
        <v/>
      </c>
      <c r="E46" s="64" t="str">
        <f>+'4 MAPA CALOR INHERENTE'!C39</f>
        <v/>
      </c>
      <c r="F46" s="64" t="str">
        <f>+'4 MAPA CALOR INHERENTE'!D39</f>
        <v/>
      </c>
      <c r="G46" s="251" t="str">
        <f>+'4 MAPA CALOR INHERENTE'!E39</f>
        <v/>
      </c>
      <c r="H46" s="89">
        <f>+'5 VALORACIÓN DEL CONTROL'!T134</f>
        <v>0.6</v>
      </c>
      <c r="I46" s="64">
        <f>+'5 VALORACIÓN DEL CONTROL'!U134</f>
        <v>0.6</v>
      </c>
      <c r="J46" s="64" t="str">
        <f t="shared" si="6"/>
        <v>Media</v>
      </c>
      <c r="K46" s="64" t="str">
        <f t="shared" si="7"/>
        <v>Moderado</v>
      </c>
      <c r="L46" s="251" t="str">
        <f t="shared" si="8"/>
        <v>Moderado</v>
      </c>
      <c r="M46" s="251" t="str">
        <f t="shared" si="0"/>
        <v>Requiere Plan de Acción</v>
      </c>
      <c r="N46" s="251" t="str">
        <f t="shared" si="9"/>
        <v>Reducir_mitigar_Transferir_Evitar</v>
      </c>
      <c r="O46" s="252"/>
      <c r="P46" s="251">
        <f t="shared" si="2"/>
        <v>0</v>
      </c>
      <c r="Q46" s="303" t="str">
        <f>'5 VALORACIÓN DEL CONTROL'!I39</f>
        <v xml:space="preserve">  </v>
      </c>
      <c r="R46" s="252"/>
      <c r="S46" s="252"/>
      <c r="T46" s="252"/>
      <c r="U46" s="304"/>
      <c r="V46" s="304"/>
    </row>
    <row r="47" spans="1:22" ht="14.55" customHeight="1" thickBot="1" x14ac:dyDescent="0.35"/>
    <row r="48" spans="1:22" ht="14.4" thickTop="1" thickBot="1" x14ac:dyDescent="0.35">
      <c r="A48" s="335" t="s">
        <v>377</v>
      </c>
      <c r="B48" s="335"/>
      <c r="C48" s="335"/>
      <c r="D48" s="335"/>
      <c r="E48" s="335"/>
      <c r="F48" s="335"/>
      <c r="G48" s="335"/>
    </row>
    <row r="49" spans="1:7" ht="19.5" customHeight="1" thickTop="1" thickBot="1" x14ac:dyDescent="0.35">
      <c r="A49" s="314" t="s">
        <v>378</v>
      </c>
      <c r="B49" s="335" t="s">
        <v>379</v>
      </c>
      <c r="C49" s="335"/>
      <c r="D49" s="335" t="s">
        <v>380</v>
      </c>
      <c r="E49" s="335"/>
      <c r="F49" s="335" t="s">
        <v>381</v>
      </c>
      <c r="G49" s="335"/>
    </row>
    <row r="50" spans="1:7" ht="101.55" customHeight="1" thickTop="1" thickBot="1" x14ac:dyDescent="0.35">
      <c r="A50" s="315" t="s">
        <v>382</v>
      </c>
      <c r="B50" s="336">
        <v>46163</v>
      </c>
      <c r="C50" s="336"/>
      <c r="D50" s="337" t="s">
        <v>383</v>
      </c>
      <c r="E50" s="337"/>
      <c r="F50" s="338" t="s">
        <v>384</v>
      </c>
      <c r="G50" s="338"/>
    </row>
    <row r="51" spans="1:7" ht="19.5" customHeight="1" thickTop="1" x14ac:dyDescent="0.3"/>
    <row r="52" spans="1:7" ht="19.5" customHeight="1" x14ac:dyDescent="0.3"/>
    <row r="53" spans="1:7" ht="19.5" customHeight="1" x14ac:dyDescent="0.3"/>
  </sheetData>
  <sheetProtection formatCells="0" formatColumns="0" formatRows="0" sort="0" autoFilter="0" pivotTables="0"/>
  <dataConsolidate/>
  <mergeCells count="111">
    <mergeCell ref="B50:C50"/>
    <mergeCell ref="D50:E50"/>
    <mergeCell ref="F50:G50"/>
    <mergeCell ref="A1:A3"/>
    <mergeCell ref="B1:I2"/>
    <mergeCell ref="B3:I3"/>
    <mergeCell ref="Y9:Y14"/>
    <mergeCell ref="E7:G7"/>
    <mergeCell ref="J7:L7"/>
    <mergeCell ref="Q7:V7"/>
    <mergeCell ref="A4:K4"/>
    <mergeCell ref="D10:D11"/>
    <mergeCell ref="E10:E11"/>
    <mergeCell ref="F10:F11"/>
    <mergeCell ref="G10:G11"/>
    <mergeCell ref="H10:H11"/>
    <mergeCell ref="I10:I11"/>
    <mergeCell ref="J10:J11"/>
    <mergeCell ref="K10:K11"/>
    <mergeCell ref="Q37:Q38"/>
    <mergeCell ref="O37:O38"/>
    <mergeCell ref="N37:N38"/>
    <mergeCell ref="M37:M38"/>
    <mergeCell ref="L37:L38"/>
    <mergeCell ref="A48:G48"/>
    <mergeCell ref="B49:C49"/>
    <mergeCell ref="D49:E49"/>
    <mergeCell ref="F49:G49"/>
    <mergeCell ref="F37:F38"/>
    <mergeCell ref="E37:E38"/>
    <mergeCell ref="A37:A38"/>
    <mergeCell ref="B37:B38"/>
    <mergeCell ref="C37:C38"/>
    <mergeCell ref="D37:D38"/>
    <mergeCell ref="K37:K38"/>
    <mergeCell ref="J37:J38"/>
    <mergeCell ref="I37:I38"/>
    <mergeCell ref="H37:H38"/>
    <mergeCell ref="G37:G38"/>
    <mergeCell ref="F34:F36"/>
    <mergeCell ref="G34:G36"/>
    <mergeCell ref="H34:H36"/>
    <mergeCell ref="I34:I36"/>
    <mergeCell ref="J34:J36"/>
    <mergeCell ref="A34:A36"/>
    <mergeCell ref="B34:B36"/>
    <mergeCell ref="C34:C36"/>
    <mergeCell ref="D34:D36"/>
    <mergeCell ref="E34:E36"/>
    <mergeCell ref="L31:L33"/>
    <mergeCell ref="K31:K33"/>
    <mergeCell ref="J31:J33"/>
    <mergeCell ref="I31:I33"/>
    <mergeCell ref="H31:H33"/>
    <mergeCell ref="Q34:Q36"/>
    <mergeCell ref="Q31:Q33"/>
    <mergeCell ref="O31:O33"/>
    <mergeCell ref="N31:N33"/>
    <mergeCell ref="M31:M33"/>
    <mergeCell ref="K34:K36"/>
    <mergeCell ref="L34:L36"/>
    <mergeCell ref="M34:M36"/>
    <mergeCell ref="N34:N36"/>
    <mergeCell ref="O34:O36"/>
    <mergeCell ref="D27:D28"/>
    <mergeCell ref="E27:E28"/>
    <mergeCell ref="F27:F28"/>
    <mergeCell ref="G27:G28"/>
    <mergeCell ref="H27:H28"/>
    <mergeCell ref="B31:B33"/>
    <mergeCell ref="A31:A33"/>
    <mergeCell ref="A27:A28"/>
    <mergeCell ref="B27:B28"/>
    <mergeCell ref="C27:C28"/>
    <mergeCell ref="G31:G33"/>
    <mergeCell ref="F31:F33"/>
    <mergeCell ref="E31:E33"/>
    <mergeCell ref="D31:D33"/>
    <mergeCell ref="C31:C33"/>
    <mergeCell ref="N27:N28"/>
    <mergeCell ref="O27:O28"/>
    <mergeCell ref="Q27:Q28"/>
    <mergeCell ref="Q15:Q16"/>
    <mergeCell ref="O15:O16"/>
    <mergeCell ref="N15:N16"/>
    <mergeCell ref="I27:I28"/>
    <mergeCell ref="J27:J28"/>
    <mergeCell ref="K27:K28"/>
    <mergeCell ref="L27:L28"/>
    <mergeCell ref="M27:M28"/>
    <mergeCell ref="L10:L11"/>
    <mergeCell ref="M10:M11"/>
    <mergeCell ref="N10:N11"/>
    <mergeCell ref="O10:O11"/>
    <mergeCell ref="Q10:Q11"/>
    <mergeCell ref="C15:C16"/>
    <mergeCell ref="B15:B16"/>
    <mergeCell ref="A15:A16"/>
    <mergeCell ref="A10:A11"/>
    <mergeCell ref="B10:B11"/>
    <mergeCell ref="C10:C11"/>
    <mergeCell ref="H15:H16"/>
    <mergeCell ref="G15:G16"/>
    <mergeCell ref="F15:F16"/>
    <mergeCell ref="E15:E16"/>
    <mergeCell ref="D15:D16"/>
    <mergeCell ref="M15:M16"/>
    <mergeCell ref="L15:L16"/>
    <mergeCell ref="K15:K16"/>
    <mergeCell ref="J15:J16"/>
    <mergeCell ref="I15:I16"/>
  </mergeCells>
  <conditionalFormatting sqref="E9:E10 E12:E15 E17:E27 E29:E31 E34 E37 E39:E46">
    <cfRule type="cellIs" dxfId="31" priority="6" operator="equal">
      <formula>$AA$14</formula>
    </cfRule>
    <cfRule type="cellIs" dxfId="30" priority="7" operator="equal">
      <formula>$AA$13</formula>
    </cfRule>
    <cfRule type="cellIs" dxfId="29" priority="8" operator="equal">
      <formula>$AA$12</formula>
    </cfRule>
    <cfRule type="cellIs" dxfId="28" priority="9" operator="equal">
      <formula>$AA$10</formula>
    </cfRule>
    <cfRule type="cellIs" dxfId="27" priority="10" operator="equal">
      <formula>$AA$9</formula>
    </cfRule>
  </conditionalFormatting>
  <conditionalFormatting sqref="F9:F10 F12:F15 F17:F27 F29:F31 F34 F37 F39:F46">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0 G12:G15 G17:G27 G29:G31 G34 G37 G39:G46">
    <cfRule type="cellIs" dxfId="21" priority="11" operator="equal">
      <formula>$AB$18</formula>
    </cfRule>
    <cfRule type="cellIs" dxfId="20" priority="12" operator="equal">
      <formula>$AB$19</formula>
    </cfRule>
    <cfRule type="cellIs" dxfId="19" priority="13" operator="equal">
      <formula>$AB$20</formula>
    </cfRule>
    <cfRule type="cellIs" dxfId="18" priority="14" operator="equal">
      <formula>$AB$21</formula>
    </cfRule>
  </conditionalFormatting>
  <conditionalFormatting sqref="I9:J10 I12:J15 I17:J27 I29:J31 I34:J34 I37:J37 I39:J46">
    <cfRule type="cellIs" dxfId="17" priority="15" operator="equal">
      <formula>$AA$14</formula>
    </cfRule>
    <cfRule type="cellIs" dxfId="16" priority="16" operator="equal">
      <formula>$AA$13</formula>
    </cfRule>
    <cfRule type="cellIs" dxfId="15" priority="17" operator="equal">
      <formula>$AA$12</formula>
    </cfRule>
    <cfRule type="cellIs" dxfId="14" priority="18" operator="equal">
      <formula>$AA$10</formula>
    </cfRule>
    <cfRule type="cellIs" dxfId="13" priority="19" operator="equal">
      <formula>$AA$9</formula>
    </cfRule>
  </conditionalFormatting>
  <conditionalFormatting sqref="K9:K10 K12:K15 K17:K27 K29:K31 K34 K37 K39:K46">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0 L12:L15 L17:L27 L29:L31 L34 L37 L39:L46">
    <cfRule type="cellIs" dxfId="7" priority="30" operator="equal">
      <formula>$AB$18</formula>
    </cfRule>
    <cfRule type="cellIs" dxfId="6" priority="31" operator="equal">
      <formula>$AB$19</formula>
    </cfRule>
    <cfRule type="cellIs" dxfId="5" priority="32" operator="equal">
      <formula>$AB$20</formula>
    </cfRule>
    <cfRule type="cellIs" dxfId="4" priority="33" operator="equal">
      <formula>$AB$21</formula>
    </cfRule>
  </conditionalFormatting>
  <dataValidations count="4">
    <dataValidation type="list" allowBlank="1" showInputMessage="1" showErrorMessage="1" sqref="JL9:JR18"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39:O46 O37 O34 O29:O31 O17:O27 O9:O10 O12:O15"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2026-05-28T14:42:49Z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