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codeName="ThisWorkbook" defaultThemeVersion="124226"/>
  <mc:AlternateContent xmlns:mc="http://schemas.openxmlformats.org/markup-compatibility/2006">
    <mc:Choice Requires="x15">
      <x15ac:absPath xmlns:x15ac="http://schemas.microsoft.com/office/spreadsheetml/2010/11/ac" url="C:\Users\soins\Dropbox\"/>
    </mc:Choice>
  </mc:AlternateContent>
  <xr:revisionPtr revIDLastSave="0" documentId="13_ncr:1_{83ED1955-366F-4EF2-AA78-FAB06CBD9E67}" xr6:coauthVersionLast="47" xr6:coauthVersionMax="47" xr10:uidLastSave="{00000000-0000-0000-0000-000000000000}"/>
  <bookViews>
    <workbookView xWindow="-120" yWindow="-120" windowWidth="20730" windowHeight="11040" firstSheet="7" activeTab="8"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RIESGOS'!$AF$22:$AF$24</definedName>
    <definedName name="Reputacional">'3 PROBABIL E IMPACTO INHERENTE'!$Y$10:$Y$15</definedName>
    <definedName name="Requiere_Plan_de_Acción">'8 MAPA RIESGOS'!$AF$22:$AF$24</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9" concurrentCalc="0"/>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9" i="9" l="1"/>
  <c r="H33" i="15"/>
  <c r="K33" i="15"/>
  <c r="M33" i="15"/>
  <c r="D148" i="9"/>
  <c r="U149" i="9"/>
  <c r="L150" i="9"/>
  <c r="U150" i="9"/>
  <c r="L151" i="9"/>
  <c r="U151" i="9"/>
  <c r="L152" i="9"/>
  <c r="U152" i="9"/>
  <c r="L153" i="9"/>
  <c r="U153" i="9"/>
  <c r="L148" i="9"/>
  <c r="U148" i="9"/>
  <c r="L143" i="9"/>
  <c r="H32" i="15"/>
  <c r="K32" i="15"/>
  <c r="M32" i="15"/>
  <c r="D142" i="9"/>
  <c r="U143" i="9"/>
  <c r="L144" i="9"/>
  <c r="U144" i="9"/>
  <c r="L145" i="9"/>
  <c r="U145" i="9"/>
  <c r="L146" i="9"/>
  <c r="U146" i="9"/>
  <c r="L147" i="9"/>
  <c r="U147" i="9"/>
  <c r="L142" i="9"/>
  <c r="U142" i="9"/>
  <c r="L137" i="9"/>
  <c r="H31" i="15"/>
  <c r="K31" i="15"/>
  <c r="M31" i="15"/>
  <c r="D136" i="9"/>
  <c r="U137" i="9"/>
  <c r="L138" i="9"/>
  <c r="U138" i="9"/>
  <c r="L139" i="9"/>
  <c r="U139" i="9"/>
  <c r="L140" i="9"/>
  <c r="U140" i="9"/>
  <c r="L141" i="9"/>
  <c r="U141" i="9"/>
  <c r="L136" i="9"/>
  <c r="U136" i="9"/>
  <c r="L131" i="9"/>
  <c r="H30" i="15"/>
  <c r="K30" i="15"/>
  <c r="M30" i="15"/>
  <c r="D130" i="9"/>
  <c r="U131" i="9"/>
  <c r="L132" i="9"/>
  <c r="U132" i="9"/>
  <c r="L133" i="9"/>
  <c r="U133" i="9"/>
  <c r="L134" i="9"/>
  <c r="U134" i="9"/>
  <c r="L135" i="9"/>
  <c r="U135" i="9"/>
  <c r="L130" i="9"/>
  <c r="U130" i="9"/>
  <c r="L125" i="9"/>
  <c r="H29" i="15"/>
  <c r="K29" i="15"/>
  <c r="M29" i="15"/>
  <c r="D124" i="9"/>
  <c r="U125" i="9"/>
  <c r="L126" i="9"/>
  <c r="U126" i="9"/>
  <c r="L127" i="9"/>
  <c r="U127" i="9"/>
  <c r="L128" i="9"/>
  <c r="U128" i="9"/>
  <c r="L129" i="9"/>
  <c r="U129" i="9"/>
  <c r="L124" i="9"/>
  <c r="U124" i="9"/>
  <c r="L119" i="9"/>
  <c r="H28" i="15"/>
  <c r="K28" i="15"/>
  <c r="M28" i="15"/>
  <c r="D118" i="9"/>
  <c r="U119" i="9"/>
  <c r="L120" i="9"/>
  <c r="U120" i="9"/>
  <c r="L121" i="9"/>
  <c r="U121" i="9"/>
  <c r="L122" i="9"/>
  <c r="U122" i="9"/>
  <c r="L123" i="9"/>
  <c r="U123" i="9"/>
  <c r="L118" i="9"/>
  <c r="U118" i="9"/>
  <c r="L113" i="9"/>
  <c r="H27" i="15"/>
  <c r="K27" i="15"/>
  <c r="M27" i="15"/>
  <c r="D112" i="9"/>
  <c r="U113" i="9"/>
  <c r="L114" i="9"/>
  <c r="U114" i="9"/>
  <c r="L115" i="9"/>
  <c r="U115" i="9"/>
  <c r="L116" i="9"/>
  <c r="U116" i="9"/>
  <c r="L117" i="9"/>
  <c r="U117" i="9"/>
  <c r="L112" i="9"/>
  <c r="U112" i="9"/>
  <c r="L107" i="9"/>
  <c r="H26" i="15"/>
  <c r="K26" i="15"/>
  <c r="M26" i="15"/>
  <c r="D106" i="9"/>
  <c r="U107" i="9"/>
  <c r="L108" i="9"/>
  <c r="U108" i="9"/>
  <c r="L109" i="9"/>
  <c r="U109" i="9"/>
  <c r="L110" i="9"/>
  <c r="U110" i="9"/>
  <c r="L111" i="9"/>
  <c r="U111" i="9"/>
  <c r="L106" i="9"/>
  <c r="U106" i="9"/>
  <c r="L100" i="9"/>
  <c r="H25" i="15"/>
  <c r="K25" i="15"/>
  <c r="M25" i="15"/>
  <c r="D100" i="9"/>
  <c r="U100" i="9"/>
  <c r="L101" i="9"/>
  <c r="U101" i="9"/>
  <c r="L102" i="9"/>
  <c r="U102" i="9"/>
  <c r="L103" i="9"/>
  <c r="U103" i="9"/>
  <c r="L104" i="9"/>
  <c r="U104" i="9"/>
  <c r="L105" i="9"/>
  <c r="U105" i="9"/>
  <c r="D10" i="15"/>
  <c r="E10" i="15"/>
  <c r="C10" i="9"/>
  <c r="K10" i="9"/>
  <c r="N10" i="9"/>
  <c r="S10" i="9"/>
  <c r="T106" i="9"/>
  <c r="T107" i="9"/>
  <c r="T108" i="9"/>
  <c r="T109" i="9"/>
  <c r="T110" i="9"/>
  <c r="T111" i="9"/>
  <c r="T112" i="9"/>
  <c r="T113" i="9"/>
  <c r="T114" i="9"/>
  <c r="T115" i="9"/>
  <c r="T116" i="9"/>
  <c r="T117" i="9"/>
  <c r="T118" i="9"/>
  <c r="T119" i="9"/>
  <c r="T120" i="9"/>
  <c r="T121" i="9"/>
  <c r="T122" i="9"/>
  <c r="T123" i="9"/>
  <c r="T124" i="9"/>
  <c r="T125" i="9"/>
  <c r="T126" i="9"/>
  <c r="T127" i="9"/>
  <c r="T128" i="9"/>
  <c r="T129" i="9"/>
  <c r="T130" i="9"/>
  <c r="T131" i="9"/>
  <c r="T132" i="9"/>
  <c r="T133" i="9"/>
  <c r="T134" i="9"/>
  <c r="T135" i="9"/>
  <c r="T136" i="9"/>
  <c r="T137" i="9"/>
  <c r="T138" i="9"/>
  <c r="T139" i="9"/>
  <c r="T140" i="9"/>
  <c r="T141" i="9"/>
  <c r="T142" i="9"/>
  <c r="T143" i="9"/>
  <c r="T144" i="9"/>
  <c r="T145" i="9"/>
  <c r="T146" i="9"/>
  <c r="T147" i="9"/>
  <c r="T148" i="9"/>
  <c r="T149" i="9"/>
  <c r="T150" i="9"/>
  <c r="T151" i="9"/>
  <c r="T152" i="9"/>
  <c r="T153" i="9"/>
  <c r="T100" i="9"/>
  <c r="T101" i="9"/>
  <c r="T102" i="9"/>
  <c r="T103" i="9"/>
  <c r="T104" i="9"/>
  <c r="T105" i="9"/>
  <c r="L95" i="9"/>
  <c r="H24" i="15"/>
  <c r="K24" i="15"/>
  <c r="M24" i="15"/>
  <c r="D94" i="9"/>
  <c r="U95" i="9"/>
  <c r="L96" i="9"/>
  <c r="U96" i="9"/>
  <c r="L97" i="9"/>
  <c r="U97" i="9"/>
  <c r="L98" i="9"/>
  <c r="U98" i="9"/>
  <c r="L99" i="9"/>
  <c r="U99" i="9"/>
  <c r="L94" i="9"/>
  <c r="U94" i="9"/>
  <c r="I40" i="36"/>
  <c r="I148" i="9"/>
  <c r="Q40" i="36"/>
  <c r="I142" i="9"/>
  <c r="Q39" i="36"/>
  <c r="I37" i="36"/>
  <c r="K37" i="36"/>
  <c r="I136" i="9"/>
  <c r="Q37" i="36"/>
  <c r="I36" i="36"/>
  <c r="I130" i="9"/>
  <c r="Q36" i="36"/>
  <c r="I32" i="36"/>
  <c r="I124" i="9"/>
  <c r="Q35" i="36"/>
  <c r="I118" i="9"/>
  <c r="Q33" i="36"/>
  <c r="I112" i="9"/>
  <c r="Q32" i="36"/>
  <c r="I106" i="9"/>
  <c r="Q31" i="36"/>
  <c r="I100" i="9"/>
  <c r="Q30" i="36"/>
  <c r="I29" i="36"/>
  <c r="K29" i="36"/>
  <c r="I94" i="9"/>
  <c r="Q29" i="36"/>
  <c r="I88" i="9"/>
  <c r="Q28" i="36"/>
  <c r="I82" i="9"/>
  <c r="Q27" i="36"/>
  <c r="I70" i="9"/>
  <c r="Q25" i="36"/>
  <c r="I64" i="9"/>
  <c r="Q24" i="36"/>
  <c r="I58" i="9"/>
  <c r="Q23" i="36"/>
  <c r="I52" i="9"/>
  <c r="Q22" i="36"/>
  <c r="I46" i="9"/>
  <c r="Q21" i="36"/>
  <c r="I34" i="9"/>
  <c r="Q16" i="36"/>
  <c r="I28" i="9"/>
  <c r="Q15" i="36"/>
  <c r="I22" i="9"/>
  <c r="Q12" i="36"/>
  <c r="I10" i="9"/>
  <c r="Q9" i="36"/>
  <c r="I16" i="9"/>
  <c r="Q11" i="36"/>
  <c r="K36" i="36"/>
  <c r="I39" i="36"/>
  <c r="K39" i="36"/>
  <c r="K40" i="36"/>
  <c r="I41" i="36"/>
  <c r="K41" i="36"/>
  <c r="I35" i="9"/>
  <c r="Q42" i="36"/>
  <c r="I43" i="36"/>
  <c r="K43" i="36"/>
  <c r="I36" i="9"/>
  <c r="Q43" i="36"/>
  <c r="I44" i="36"/>
  <c r="K44" i="36"/>
  <c r="I37" i="9"/>
  <c r="Q44" i="36"/>
  <c r="I45" i="36"/>
  <c r="K45" i="36"/>
  <c r="I38" i="9"/>
  <c r="Q45" i="36"/>
  <c r="I46" i="36"/>
  <c r="K46" i="36"/>
  <c r="I39" i="9"/>
  <c r="Q46" i="36"/>
  <c r="A35" i="36"/>
  <c r="A36" i="36"/>
  <c r="A37" i="36"/>
  <c r="A39" i="36"/>
  <c r="A40" i="36"/>
  <c r="A41" i="36"/>
  <c r="A42" i="36"/>
  <c r="A43" i="36"/>
  <c r="A44" i="36"/>
  <c r="A45" i="36"/>
  <c r="A46" i="36"/>
  <c r="D33" i="35"/>
  <c r="F33" i="35"/>
  <c r="D32" i="35"/>
  <c r="F32" i="35"/>
  <c r="D31" i="35"/>
  <c r="F31" i="35"/>
  <c r="D30" i="35"/>
  <c r="F30" i="35"/>
  <c r="D29" i="35"/>
  <c r="F29" i="35"/>
  <c r="A29" i="35"/>
  <c r="A30" i="35"/>
  <c r="A31" i="35"/>
  <c r="A32" i="35"/>
  <c r="A33" i="35"/>
  <c r="A34" i="35"/>
  <c r="A35" i="35"/>
  <c r="A36" i="35"/>
  <c r="A37" i="35"/>
  <c r="A38" i="35"/>
  <c r="N183" i="9"/>
  <c r="L183" i="9"/>
  <c r="K183" i="9"/>
  <c r="I183" i="9"/>
  <c r="N182" i="9"/>
  <c r="L182" i="9"/>
  <c r="U182" i="9"/>
  <c r="K182" i="9"/>
  <c r="I182" i="9"/>
  <c r="N181" i="9"/>
  <c r="L181" i="9"/>
  <c r="K181" i="9"/>
  <c r="I181" i="9"/>
  <c r="N180" i="9"/>
  <c r="L180" i="9"/>
  <c r="U180" i="9"/>
  <c r="K180" i="9"/>
  <c r="I180" i="9"/>
  <c r="N179" i="9"/>
  <c r="L179" i="9"/>
  <c r="U179" i="9"/>
  <c r="K179" i="9"/>
  <c r="I179" i="9"/>
  <c r="N178" i="9"/>
  <c r="L178" i="9"/>
  <c r="K178" i="9"/>
  <c r="S178" i="9"/>
  <c r="I178" i="9"/>
  <c r="N177" i="9"/>
  <c r="L177" i="9"/>
  <c r="K177" i="9"/>
  <c r="S177" i="9"/>
  <c r="I177" i="9"/>
  <c r="N176" i="9"/>
  <c r="L176" i="9"/>
  <c r="U176" i="9"/>
  <c r="K176" i="9"/>
  <c r="S176" i="9"/>
  <c r="I176" i="9"/>
  <c r="N175" i="9"/>
  <c r="L175" i="9"/>
  <c r="U175" i="9"/>
  <c r="K175" i="9"/>
  <c r="I175" i="9"/>
  <c r="N174" i="9"/>
  <c r="L174" i="9"/>
  <c r="K174" i="9"/>
  <c r="I174" i="9"/>
  <c r="N173" i="9"/>
  <c r="L173" i="9"/>
  <c r="K173" i="9"/>
  <c r="S173" i="9"/>
  <c r="I173" i="9"/>
  <c r="N172" i="9"/>
  <c r="L172" i="9"/>
  <c r="K172" i="9"/>
  <c r="S172" i="9"/>
  <c r="I172" i="9"/>
  <c r="N171" i="9"/>
  <c r="L171" i="9"/>
  <c r="K171" i="9"/>
  <c r="I171" i="9"/>
  <c r="N170" i="9"/>
  <c r="L170" i="9"/>
  <c r="U170" i="9"/>
  <c r="K170" i="9"/>
  <c r="I170" i="9"/>
  <c r="N169" i="9"/>
  <c r="L169" i="9"/>
  <c r="U169" i="9"/>
  <c r="K169" i="9"/>
  <c r="S169" i="9"/>
  <c r="I169" i="9"/>
  <c r="N168" i="9"/>
  <c r="L168" i="9"/>
  <c r="K168" i="9"/>
  <c r="I168" i="9"/>
  <c r="N167" i="9"/>
  <c r="L167" i="9"/>
  <c r="U167" i="9"/>
  <c r="K167" i="9"/>
  <c r="I167" i="9"/>
  <c r="N166" i="9"/>
  <c r="L166" i="9"/>
  <c r="K166" i="9"/>
  <c r="S166" i="9"/>
  <c r="I166" i="9"/>
  <c r="N165" i="9"/>
  <c r="L165" i="9"/>
  <c r="K165" i="9"/>
  <c r="S165" i="9"/>
  <c r="I165" i="9"/>
  <c r="N164" i="9"/>
  <c r="L164" i="9"/>
  <c r="U164" i="9"/>
  <c r="K164" i="9"/>
  <c r="I164" i="9"/>
  <c r="N163" i="9"/>
  <c r="L163" i="9"/>
  <c r="K163" i="9"/>
  <c r="I163" i="9"/>
  <c r="N162" i="9"/>
  <c r="L162" i="9"/>
  <c r="U162" i="9"/>
  <c r="K162" i="9"/>
  <c r="S162" i="9"/>
  <c r="I162" i="9"/>
  <c r="N161" i="9"/>
  <c r="L161" i="9"/>
  <c r="U161" i="9"/>
  <c r="K161" i="9"/>
  <c r="S161" i="9"/>
  <c r="I161" i="9"/>
  <c r="N160" i="9"/>
  <c r="L160" i="9"/>
  <c r="K160" i="9"/>
  <c r="I160" i="9"/>
  <c r="N159" i="9"/>
  <c r="L159" i="9"/>
  <c r="U159" i="9"/>
  <c r="K159" i="9"/>
  <c r="I159" i="9"/>
  <c r="N158" i="9"/>
  <c r="L158" i="9"/>
  <c r="K158" i="9"/>
  <c r="I158" i="9"/>
  <c r="N157" i="9"/>
  <c r="L157" i="9"/>
  <c r="U157" i="9"/>
  <c r="K157" i="9"/>
  <c r="S157" i="9"/>
  <c r="I157" i="9"/>
  <c r="N156" i="9"/>
  <c r="L156" i="9"/>
  <c r="U156" i="9"/>
  <c r="K156" i="9"/>
  <c r="I156" i="9"/>
  <c r="N155" i="9"/>
  <c r="L155" i="9"/>
  <c r="U155" i="9"/>
  <c r="K155" i="9"/>
  <c r="I155" i="9"/>
  <c r="N154" i="9"/>
  <c r="L154" i="9"/>
  <c r="K154" i="9"/>
  <c r="I154" i="9"/>
  <c r="N153" i="9"/>
  <c r="W148" i="9"/>
  <c r="K153" i="9"/>
  <c r="S153" i="9"/>
  <c r="I153" i="9"/>
  <c r="N152" i="9"/>
  <c r="K152" i="9"/>
  <c r="I152" i="9"/>
  <c r="N151" i="9"/>
  <c r="K151" i="9"/>
  <c r="I151" i="9"/>
  <c r="N150" i="9"/>
  <c r="K150" i="9"/>
  <c r="S150" i="9"/>
  <c r="I150" i="9"/>
  <c r="N149" i="9"/>
  <c r="K149" i="9"/>
  <c r="S149" i="9"/>
  <c r="I149" i="9"/>
  <c r="N148" i="9"/>
  <c r="K148" i="9"/>
  <c r="N147" i="9"/>
  <c r="W142" i="9"/>
  <c r="K147" i="9"/>
  <c r="S147" i="9"/>
  <c r="I147" i="9"/>
  <c r="N146" i="9"/>
  <c r="K146" i="9"/>
  <c r="S146" i="9"/>
  <c r="I146" i="9"/>
  <c r="N145" i="9"/>
  <c r="K145" i="9"/>
  <c r="S145" i="9"/>
  <c r="I145" i="9"/>
  <c r="N144" i="9"/>
  <c r="K144" i="9"/>
  <c r="I144" i="9"/>
  <c r="N143" i="9"/>
  <c r="K143" i="9"/>
  <c r="I143" i="9"/>
  <c r="N142" i="9"/>
  <c r="K142" i="9"/>
  <c r="N141" i="9"/>
  <c r="K141" i="9"/>
  <c r="I141" i="9"/>
  <c r="N140" i="9"/>
  <c r="K140" i="9"/>
  <c r="I140" i="9"/>
  <c r="N139" i="9"/>
  <c r="K139" i="9"/>
  <c r="I139" i="9"/>
  <c r="N138" i="9"/>
  <c r="K138" i="9"/>
  <c r="S138" i="9"/>
  <c r="I138" i="9"/>
  <c r="N137" i="9"/>
  <c r="K137" i="9"/>
  <c r="I137" i="9"/>
  <c r="N136" i="9"/>
  <c r="K136" i="9"/>
  <c r="N135" i="9"/>
  <c r="K135" i="9"/>
  <c r="I135" i="9"/>
  <c r="N134" i="9"/>
  <c r="K134" i="9"/>
  <c r="S134" i="9"/>
  <c r="I134" i="9"/>
  <c r="N133" i="9"/>
  <c r="K133" i="9"/>
  <c r="I133" i="9"/>
  <c r="N132" i="9"/>
  <c r="K132" i="9"/>
  <c r="I132" i="9"/>
  <c r="N131" i="9"/>
  <c r="K131" i="9"/>
  <c r="I131" i="9"/>
  <c r="N130" i="9"/>
  <c r="K130" i="9"/>
  <c r="N129" i="9"/>
  <c r="W124" i="9"/>
  <c r="K129" i="9"/>
  <c r="I129" i="9"/>
  <c r="N128" i="9"/>
  <c r="K128" i="9"/>
  <c r="I128" i="9"/>
  <c r="N127" i="9"/>
  <c r="K127" i="9"/>
  <c r="I127" i="9"/>
  <c r="N126" i="9"/>
  <c r="K126" i="9"/>
  <c r="S126" i="9"/>
  <c r="I126" i="9"/>
  <c r="N125" i="9"/>
  <c r="K125" i="9"/>
  <c r="I125" i="9"/>
  <c r="N124" i="9"/>
  <c r="K124" i="9"/>
  <c r="A178" i="9"/>
  <c r="A172" i="9"/>
  <c r="A166" i="9"/>
  <c r="A160" i="9"/>
  <c r="A154" i="9"/>
  <c r="A148" i="9"/>
  <c r="A142" i="9"/>
  <c r="A136" i="9"/>
  <c r="A130" i="9"/>
  <c r="A124" i="9"/>
  <c r="S182" i="9"/>
  <c r="S170" i="9"/>
  <c r="S181" i="9"/>
  <c r="S174" i="9"/>
  <c r="W154" i="9"/>
  <c r="D34" i="35"/>
  <c r="F34" i="35"/>
  <c r="S142" i="9"/>
  <c r="S130" i="9"/>
  <c r="S127" i="9"/>
  <c r="S131" i="9"/>
  <c r="S135" i="9"/>
  <c r="W130" i="9"/>
  <c r="S139" i="9"/>
  <c r="S143" i="9"/>
  <c r="S155" i="9"/>
  <c r="S159" i="9"/>
  <c r="S163" i="9"/>
  <c r="S124" i="9"/>
  <c r="S128" i="9"/>
  <c r="S132" i="9"/>
  <c r="S136" i="9"/>
  <c r="S140" i="9"/>
  <c r="S144" i="9"/>
  <c r="S148" i="9"/>
  <c r="S171" i="9"/>
  <c r="S175" i="9"/>
  <c r="S179" i="9"/>
  <c r="S183" i="9"/>
  <c r="U183" i="9"/>
  <c r="S129" i="9"/>
  <c r="S152" i="9"/>
  <c r="S156" i="9"/>
  <c r="S160" i="9"/>
  <c r="S164" i="9"/>
  <c r="S168" i="9"/>
  <c r="U163" i="9"/>
  <c r="U181" i="9"/>
  <c r="U174" i="9"/>
  <c r="S154" i="9"/>
  <c r="S158" i="9"/>
  <c r="U165" i="9"/>
  <c r="S141" i="9"/>
  <c r="S180" i="9"/>
  <c r="S133" i="9"/>
  <c r="S151" i="9"/>
  <c r="S167" i="9"/>
  <c r="U177" i="9"/>
  <c r="U173" i="9"/>
  <c r="S137" i="9"/>
  <c r="U158" i="9"/>
  <c r="S125" i="9"/>
  <c r="U171" i="9"/>
  <c r="U168" i="9"/>
  <c r="W136" i="9"/>
  <c r="A29" i="31"/>
  <c r="A30" i="31"/>
  <c r="A31" i="31"/>
  <c r="A32" i="31"/>
  <c r="A33" i="31"/>
  <c r="A34" i="31"/>
  <c r="A35" i="31"/>
  <c r="A36" i="31"/>
  <c r="A37" i="31"/>
  <c r="A38" i="31"/>
  <c r="A39" i="31"/>
  <c r="L29" i="15"/>
  <c r="L30" i="15"/>
  <c r="L31" i="15"/>
  <c r="L32" i="15"/>
  <c r="L33" i="15"/>
  <c r="L34" i="15"/>
  <c r="L35" i="15"/>
  <c r="L36" i="15"/>
  <c r="L37" i="15"/>
  <c r="L38" i="15"/>
  <c r="L39" i="15"/>
  <c r="K34" i="15"/>
  <c r="K35" i="15"/>
  <c r="K36" i="15"/>
  <c r="K37" i="15"/>
  <c r="K38" i="15"/>
  <c r="K39" i="15"/>
  <c r="I29" i="15"/>
  <c r="I30" i="15"/>
  <c r="I31" i="15"/>
  <c r="I32" i="15"/>
  <c r="I33" i="15"/>
  <c r="I34" i="15"/>
  <c r="I35" i="15"/>
  <c r="I36" i="15"/>
  <c r="I37" i="15"/>
  <c r="I38" i="15"/>
  <c r="I39" i="15"/>
  <c r="H34" i="15"/>
  <c r="M34" i="15"/>
  <c r="H35" i="15"/>
  <c r="M35" i="15"/>
  <c r="H36" i="15"/>
  <c r="M36" i="15"/>
  <c r="H37" i="15"/>
  <c r="M37" i="15"/>
  <c r="H38" i="15"/>
  <c r="M38" i="15"/>
  <c r="H39" i="15"/>
  <c r="M39" i="15"/>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W94" i="9"/>
  <c r="L184" i="9"/>
  <c r="L185" i="9"/>
  <c r="L186" i="9"/>
  <c r="L187" i="9"/>
  <c r="L188" i="9"/>
  <c r="L189" i="9"/>
  <c r="U189" i="9"/>
  <c r="L10" i="9"/>
  <c r="K11" i="9"/>
  <c r="S11" i="9"/>
  <c r="K12" i="9"/>
  <c r="S12" i="9"/>
  <c r="K13" i="9"/>
  <c r="S13" i="9"/>
  <c r="K14" i="9"/>
  <c r="S14" i="9"/>
  <c r="K15" i="9"/>
  <c r="S15" i="9"/>
  <c r="K16" i="9"/>
  <c r="K17" i="9"/>
  <c r="S17" i="9"/>
  <c r="K18" i="9"/>
  <c r="S18" i="9"/>
  <c r="K19" i="9"/>
  <c r="S19" i="9"/>
  <c r="K20" i="9"/>
  <c r="S20" i="9"/>
  <c r="K21" i="9"/>
  <c r="S21" i="9"/>
  <c r="K22" i="9"/>
  <c r="K23" i="9"/>
  <c r="S23" i="9"/>
  <c r="K24" i="9"/>
  <c r="S24" i="9"/>
  <c r="K25" i="9"/>
  <c r="S25" i="9"/>
  <c r="K26" i="9"/>
  <c r="S26" i="9"/>
  <c r="K27" i="9"/>
  <c r="S27" i="9"/>
  <c r="K28" i="9"/>
  <c r="S28" i="9"/>
  <c r="K29" i="9"/>
  <c r="S29" i="9"/>
  <c r="K30" i="9"/>
  <c r="S30" i="9"/>
  <c r="K31" i="9"/>
  <c r="S31" i="9"/>
  <c r="K32" i="9"/>
  <c r="S32" i="9"/>
  <c r="K33" i="9"/>
  <c r="S33" i="9"/>
  <c r="K34" i="9"/>
  <c r="K35" i="9"/>
  <c r="K36" i="9"/>
  <c r="S36" i="9"/>
  <c r="K37" i="9"/>
  <c r="S37" i="9"/>
  <c r="K38" i="9"/>
  <c r="S38" i="9"/>
  <c r="K39" i="9"/>
  <c r="S39" i="9"/>
  <c r="K40" i="9"/>
  <c r="K41" i="9"/>
  <c r="S41" i="9"/>
  <c r="K42" i="9"/>
  <c r="K43" i="9"/>
  <c r="S43" i="9"/>
  <c r="K44" i="9"/>
  <c r="S44" i="9"/>
  <c r="K45" i="9"/>
  <c r="S45" i="9"/>
  <c r="K46" i="9"/>
  <c r="K47" i="9"/>
  <c r="S47" i="9"/>
  <c r="K48" i="9"/>
  <c r="S48" i="9"/>
  <c r="K49" i="9"/>
  <c r="S49" i="9"/>
  <c r="K50" i="9"/>
  <c r="S50" i="9"/>
  <c r="K51" i="9"/>
  <c r="S51" i="9"/>
  <c r="K52" i="9"/>
  <c r="K53" i="9"/>
  <c r="S53" i="9"/>
  <c r="K54" i="9"/>
  <c r="S54" i="9"/>
  <c r="K55" i="9"/>
  <c r="S55" i="9"/>
  <c r="K56" i="9"/>
  <c r="S56" i="9"/>
  <c r="K57" i="9"/>
  <c r="S57" i="9"/>
  <c r="K58" i="9"/>
  <c r="K59" i="9"/>
  <c r="S59" i="9"/>
  <c r="K60" i="9"/>
  <c r="S60" i="9"/>
  <c r="K61" i="9"/>
  <c r="S61" i="9"/>
  <c r="K62" i="9"/>
  <c r="S62" i="9"/>
  <c r="K63" i="9"/>
  <c r="S63" i="9"/>
  <c r="K64" i="9"/>
  <c r="K65" i="9"/>
  <c r="S65" i="9"/>
  <c r="K66" i="9"/>
  <c r="S66" i="9"/>
  <c r="K67" i="9"/>
  <c r="S67" i="9"/>
  <c r="K68" i="9"/>
  <c r="S68" i="9"/>
  <c r="K69" i="9"/>
  <c r="S69" i="9"/>
  <c r="K70" i="9"/>
  <c r="K71" i="9"/>
  <c r="S71" i="9"/>
  <c r="K72" i="9"/>
  <c r="S72" i="9"/>
  <c r="K73" i="9"/>
  <c r="S73" i="9"/>
  <c r="K74" i="9"/>
  <c r="S74" i="9"/>
  <c r="K75" i="9"/>
  <c r="S75" i="9"/>
  <c r="K76" i="9"/>
  <c r="K77" i="9"/>
  <c r="S77" i="9"/>
  <c r="K78" i="9"/>
  <c r="S78" i="9"/>
  <c r="K79" i="9"/>
  <c r="S79" i="9"/>
  <c r="K80" i="9"/>
  <c r="K81" i="9"/>
  <c r="S81" i="9"/>
  <c r="K82" i="9"/>
  <c r="K83" i="9"/>
  <c r="S83" i="9"/>
  <c r="K84" i="9"/>
  <c r="S84" i="9"/>
  <c r="K85" i="9"/>
  <c r="S85" i="9"/>
  <c r="K86" i="9"/>
  <c r="S86" i="9"/>
  <c r="K87" i="9"/>
  <c r="S87" i="9"/>
  <c r="K88" i="9"/>
  <c r="K89" i="9"/>
  <c r="K90" i="9"/>
  <c r="K91" i="9"/>
  <c r="K92" i="9"/>
  <c r="K93" i="9"/>
  <c r="K94" i="9"/>
  <c r="K95" i="9"/>
  <c r="K96" i="9"/>
  <c r="K97" i="9"/>
  <c r="K98" i="9"/>
  <c r="K99" i="9"/>
  <c r="K100" i="9"/>
  <c r="K101" i="9"/>
  <c r="S101" i="9"/>
  <c r="K102" i="9"/>
  <c r="S102" i="9"/>
  <c r="K103" i="9"/>
  <c r="S103" i="9"/>
  <c r="K104" i="9"/>
  <c r="S104" i="9"/>
  <c r="K105" i="9"/>
  <c r="S105" i="9"/>
  <c r="K106" i="9"/>
  <c r="K107" i="9"/>
  <c r="S107" i="9"/>
  <c r="K108" i="9"/>
  <c r="S108" i="9"/>
  <c r="K109" i="9"/>
  <c r="S109" i="9"/>
  <c r="K110" i="9"/>
  <c r="S110" i="9"/>
  <c r="K111" i="9"/>
  <c r="S111" i="9"/>
  <c r="K112" i="9"/>
  <c r="S112" i="9"/>
  <c r="K113" i="9"/>
  <c r="S113" i="9"/>
  <c r="K114" i="9"/>
  <c r="S114" i="9"/>
  <c r="K115" i="9"/>
  <c r="S115" i="9"/>
  <c r="K116" i="9"/>
  <c r="S116" i="9"/>
  <c r="K117" i="9"/>
  <c r="S117" i="9"/>
  <c r="K118" i="9"/>
  <c r="S118" i="9"/>
  <c r="K119" i="9"/>
  <c r="S119" i="9"/>
  <c r="K120" i="9"/>
  <c r="S120" i="9"/>
  <c r="K121" i="9"/>
  <c r="S121" i="9"/>
  <c r="K122" i="9"/>
  <c r="S122" i="9"/>
  <c r="K123" i="9"/>
  <c r="S123" i="9"/>
  <c r="K184" i="9"/>
  <c r="S184" i="9"/>
  <c r="K185" i="9"/>
  <c r="S185" i="9"/>
  <c r="K186" i="9"/>
  <c r="S186" i="9"/>
  <c r="K187" i="9"/>
  <c r="S187" i="9"/>
  <c r="K188" i="9"/>
  <c r="S188" i="9"/>
  <c r="K189" i="9"/>
  <c r="S189" i="9"/>
  <c r="I11" i="9"/>
  <c r="I12" i="9"/>
  <c r="I13" i="9"/>
  <c r="I14" i="9"/>
  <c r="I15" i="9"/>
  <c r="I17" i="9"/>
  <c r="I18" i="9"/>
  <c r="I19" i="9"/>
  <c r="I20" i="9"/>
  <c r="I21" i="9"/>
  <c r="I23" i="9"/>
  <c r="I24" i="9"/>
  <c r="I25" i="9"/>
  <c r="I26" i="9"/>
  <c r="I27" i="9"/>
  <c r="I29" i="9"/>
  <c r="I30" i="9"/>
  <c r="I31" i="9"/>
  <c r="I32" i="9"/>
  <c r="I33" i="9"/>
  <c r="I40" i="9"/>
  <c r="Q19" i="36"/>
  <c r="I41" i="9"/>
  <c r="I42" i="9"/>
  <c r="I43" i="9"/>
  <c r="I44" i="9"/>
  <c r="I45" i="9"/>
  <c r="I47" i="9"/>
  <c r="I48" i="9"/>
  <c r="I49" i="9"/>
  <c r="I50" i="9"/>
  <c r="I51" i="9"/>
  <c r="I53" i="9"/>
  <c r="I54" i="9"/>
  <c r="I55" i="9"/>
  <c r="I56" i="9"/>
  <c r="I57" i="9"/>
  <c r="I59" i="9"/>
  <c r="I60" i="9"/>
  <c r="I61" i="9"/>
  <c r="I62" i="9"/>
  <c r="I63" i="9"/>
  <c r="I65" i="9"/>
  <c r="I66" i="9"/>
  <c r="I67" i="9"/>
  <c r="I68" i="9"/>
  <c r="I69" i="9"/>
  <c r="I71" i="9"/>
  <c r="I72" i="9"/>
  <c r="I73" i="9"/>
  <c r="I74" i="9"/>
  <c r="I75" i="9"/>
  <c r="I76" i="9"/>
  <c r="Q26" i="36"/>
  <c r="I77" i="9"/>
  <c r="I78" i="9"/>
  <c r="I79" i="9"/>
  <c r="I80" i="9"/>
  <c r="I81" i="9"/>
  <c r="I83" i="9"/>
  <c r="I84" i="9"/>
  <c r="I85" i="9"/>
  <c r="I86" i="9"/>
  <c r="I87" i="9"/>
  <c r="I89" i="9"/>
  <c r="I90" i="9"/>
  <c r="I91" i="9"/>
  <c r="I92" i="9"/>
  <c r="I93" i="9"/>
  <c r="I95" i="9"/>
  <c r="I96" i="9"/>
  <c r="I97" i="9"/>
  <c r="I98" i="9"/>
  <c r="I99" i="9"/>
  <c r="I101" i="9"/>
  <c r="I102" i="9"/>
  <c r="I103" i="9"/>
  <c r="I104" i="9"/>
  <c r="I105" i="9"/>
  <c r="I107" i="9"/>
  <c r="I108" i="9"/>
  <c r="I109" i="9"/>
  <c r="I110" i="9"/>
  <c r="I111" i="9"/>
  <c r="I113" i="9"/>
  <c r="I114" i="9"/>
  <c r="I115" i="9"/>
  <c r="I116" i="9"/>
  <c r="I117" i="9"/>
  <c r="I119" i="9"/>
  <c r="I120" i="9"/>
  <c r="I121" i="9"/>
  <c r="I122" i="9"/>
  <c r="I123" i="9"/>
  <c r="I184" i="9"/>
  <c r="I185" i="9"/>
  <c r="I186" i="9"/>
  <c r="I187" i="9"/>
  <c r="I188" i="9"/>
  <c r="I189" i="9"/>
  <c r="S89" i="9"/>
  <c r="S93" i="9"/>
  <c r="S91" i="9"/>
  <c r="S92" i="9"/>
  <c r="S96" i="9"/>
  <c r="S97" i="9"/>
  <c r="S98" i="9"/>
  <c r="S95" i="9"/>
  <c r="W178" i="9"/>
  <c r="D38" i="35"/>
  <c r="F38" i="35"/>
  <c r="W160" i="9"/>
  <c r="D35" i="35"/>
  <c r="F35" i="35"/>
  <c r="W172" i="9"/>
  <c r="D37" i="35"/>
  <c r="F37" i="35"/>
  <c r="W166" i="9"/>
  <c r="D36" i="35"/>
  <c r="F36" i="35"/>
  <c r="B34" i="31"/>
  <c r="B34" i="15"/>
  <c r="B41" i="36"/>
  <c r="B154" i="9"/>
  <c r="B34" i="35"/>
  <c r="B35" i="31"/>
  <c r="B35" i="15"/>
  <c r="B160" i="9"/>
  <c r="B42" i="36"/>
  <c r="B35" i="35"/>
  <c r="B36" i="31"/>
  <c r="B36" i="15"/>
  <c r="B166" i="9"/>
  <c r="B36" i="35"/>
  <c r="B43" i="36"/>
  <c r="B37" i="31"/>
  <c r="B37" i="15"/>
  <c r="B172" i="9"/>
  <c r="B44" i="36"/>
  <c r="B37" i="35"/>
  <c r="B38" i="15"/>
  <c r="B38" i="31"/>
  <c r="B178" i="9"/>
  <c r="B38" i="35"/>
  <c r="B45" i="36"/>
  <c r="N34" i="15"/>
  <c r="D34" i="31"/>
  <c r="F41" i="36"/>
  <c r="D154" i="9"/>
  <c r="U154" i="9"/>
  <c r="D41" i="36"/>
  <c r="N35" i="15"/>
  <c r="D35" i="31"/>
  <c r="F42" i="36"/>
  <c r="D160" i="9"/>
  <c r="U160" i="9"/>
  <c r="D42" i="36"/>
  <c r="N36" i="15"/>
  <c r="D36" i="31"/>
  <c r="F43" i="36"/>
  <c r="D166" i="9"/>
  <c r="U166" i="9"/>
  <c r="D43" i="36"/>
  <c r="N37" i="15"/>
  <c r="D37" i="31"/>
  <c r="F44" i="36"/>
  <c r="D44" i="36"/>
  <c r="D172" i="9"/>
  <c r="U172" i="9"/>
  <c r="N38" i="15"/>
  <c r="D38" i="31"/>
  <c r="F45" i="36"/>
  <c r="D178" i="9"/>
  <c r="U178" i="9"/>
  <c r="D45" i="36"/>
  <c r="N39" i="15"/>
  <c r="D39" i="31"/>
  <c r="F46" i="36"/>
  <c r="D46" i="36"/>
  <c r="F34" i="15"/>
  <c r="C34" i="31"/>
  <c r="E34" i="15"/>
  <c r="E35" i="15"/>
  <c r="F35" i="15"/>
  <c r="C35" i="31"/>
  <c r="E36" i="15"/>
  <c r="F36" i="15"/>
  <c r="C36" i="31"/>
  <c r="F37" i="15"/>
  <c r="C37" i="31"/>
  <c r="E37" i="15"/>
  <c r="E38" i="15"/>
  <c r="F38" i="15"/>
  <c r="C38" i="31"/>
  <c r="F39" i="15"/>
  <c r="C39" i="31"/>
  <c r="E39" i="15"/>
  <c r="C46" i="36"/>
  <c r="N33" i="15"/>
  <c r="D33" i="31"/>
  <c r="F40" i="36"/>
  <c r="D40" i="36"/>
  <c r="F33" i="15"/>
  <c r="C33" i="31"/>
  <c r="E33" i="15"/>
  <c r="B33" i="15"/>
  <c r="B33" i="31"/>
  <c r="B40" i="36"/>
  <c r="B33" i="35"/>
  <c r="B148" i="9"/>
  <c r="N32" i="15"/>
  <c r="D32" i="31"/>
  <c r="F39" i="36"/>
  <c r="D39" i="36"/>
  <c r="F32" i="15"/>
  <c r="C32" i="31"/>
  <c r="E32" i="15"/>
  <c r="B32" i="31"/>
  <c r="B32" i="15"/>
  <c r="B39" i="36"/>
  <c r="B32" i="35"/>
  <c r="B142" i="9"/>
  <c r="N31" i="15"/>
  <c r="D31" i="31"/>
  <c r="F37" i="36"/>
  <c r="D37" i="36"/>
  <c r="F31" i="15"/>
  <c r="C31" i="31"/>
  <c r="E31" i="15"/>
  <c r="B31" i="31"/>
  <c r="B31" i="15"/>
  <c r="B37" i="36"/>
  <c r="B31" i="35"/>
  <c r="B136" i="9"/>
  <c r="E30" i="15"/>
  <c r="F30" i="15"/>
  <c r="C30" i="31"/>
  <c r="B30" i="31"/>
  <c r="B30" i="15"/>
  <c r="B36" i="36"/>
  <c r="B30" i="35"/>
  <c r="B130" i="9"/>
  <c r="N29" i="15"/>
  <c r="D29" i="31"/>
  <c r="F35" i="36"/>
  <c r="I35" i="36"/>
  <c r="K35" i="36"/>
  <c r="D35" i="36"/>
  <c r="F29" i="15"/>
  <c r="C29" i="31"/>
  <c r="E29" i="15"/>
  <c r="B29" i="31"/>
  <c r="B29" i="15"/>
  <c r="B35" i="36"/>
  <c r="B29" i="35"/>
  <c r="B124" i="9"/>
  <c r="S106" i="9"/>
  <c r="S100" i="9"/>
  <c r="S94" i="9"/>
  <c r="S88" i="9"/>
  <c r="S82" i="9"/>
  <c r="S76" i="9"/>
  <c r="S70" i="9"/>
  <c r="S64" i="9"/>
  <c r="S58" i="9"/>
  <c r="S52" i="9"/>
  <c r="S46" i="9"/>
  <c r="S40" i="9"/>
  <c r="S34" i="9"/>
  <c r="S22" i="9"/>
  <c r="S35" i="9"/>
  <c r="S42" i="9"/>
  <c r="S99" i="9"/>
  <c r="S80" i="9"/>
  <c r="S16" i="9"/>
  <c r="U188" i="9"/>
  <c r="I31" i="36"/>
  <c r="U187" i="9"/>
  <c r="I30" i="36"/>
  <c r="K30" i="36"/>
  <c r="U186" i="9"/>
  <c r="U185" i="9"/>
  <c r="S90" i="9"/>
  <c r="E41" i="36"/>
  <c r="E34" i="31"/>
  <c r="G41" i="36"/>
  <c r="C154" i="9"/>
  <c r="C41" i="36"/>
  <c r="C160" i="9"/>
  <c r="C42" i="36"/>
  <c r="E35" i="31"/>
  <c r="G42" i="36"/>
  <c r="E42" i="36"/>
  <c r="C166" i="9"/>
  <c r="C43" i="36"/>
  <c r="E43" i="36"/>
  <c r="E36" i="31"/>
  <c r="G43" i="36"/>
  <c r="E44" i="36"/>
  <c r="E37" i="31"/>
  <c r="G44" i="36"/>
  <c r="C44" i="36"/>
  <c r="C172" i="9"/>
  <c r="C45" i="36"/>
  <c r="C178" i="9"/>
  <c r="E45" i="36"/>
  <c r="E38" i="31"/>
  <c r="G45" i="36"/>
  <c r="E46" i="36"/>
  <c r="E39" i="31"/>
  <c r="G46" i="36"/>
  <c r="E33" i="31"/>
  <c r="G40" i="36"/>
  <c r="E40" i="36"/>
  <c r="C148" i="9"/>
  <c r="C40" i="36"/>
  <c r="E32" i="31"/>
  <c r="G39" i="36"/>
  <c r="E39" i="36"/>
  <c r="C39" i="36"/>
  <c r="C142" i="9"/>
  <c r="E31" i="31"/>
  <c r="G37" i="36"/>
  <c r="E37" i="36"/>
  <c r="C37" i="36"/>
  <c r="C136" i="9"/>
  <c r="D36" i="36"/>
  <c r="N30" i="15"/>
  <c r="D30" i="31"/>
  <c r="I42" i="36"/>
  <c r="K42" i="36"/>
  <c r="C130" i="9"/>
  <c r="C36" i="36"/>
  <c r="E36" i="36"/>
  <c r="E35" i="36"/>
  <c r="E29" i="31"/>
  <c r="G35" i="36"/>
  <c r="C124" i="9"/>
  <c r="C35" i="36"/>
  <c r="F10" i="15"/>
  <c r="C10" i="31"/>
  <c r="D10" i="30"/>
  <c r="A184" i="9"/>
  <c r="A118" i="9"/>
  <c r="A112" i="9"/>
  <c r="A106" i="9"/>
  <c r="A100" i="9"/>
  <c r="A94" i="9"/>
  <c r="A88" i="9"/>
  <c r="A82" i="9"/>
  <c r="A76" i="9"/>
  <c r="A70" i="9"/>
  <c r="A64" i="9"/>
  <c r="A58" i="9"/>
  <c r="A52" i="9"/>
  <c r="A46" i="9"/>
  <c r="A40" i="9"/>
  <c r="A34" i="9"/>
  <c r="A28" i="9"/>
  <c r="A22" i="9"/>
  <c r="A16" i="9"/>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L24" i="15"/>
  <c r="L25" i="15"/>
  <c r="L26" i="15"/>
  <c r="L27"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D15" i="15"/>
  <c r="F15" i="15"/>
  <c r="C15" i="31"/>
  <c r="D16" i="15"/>
  <c r="F16" i="15"/>
  <c r="C16" i="31"/>
  <c r="D17" i="15"/>
  <c r="D18" i="15"/>
  <c r="F18" i="15"/>
  <c r="C18" i="31"/>
  <c r="D19" i="15"/>
  <c r="F19" i="15"/>
  <c r="C19" i="31"/>
  <c r="D20" i="15"/>
  <c r="D21" i="15"/>
  <c r="D22" i="15"/>
  <c r="D23" i="15"/>
  <c r="F23" i="15"/>
  <c r="C23" i="31"/>
  <c r="D24" i="15"/>
  <c r="E24" i="15"/>
  <c r="D25" i="15"/>
  <c r="D26" i="15"/>
  <c r="F26" i="15"/>
  <c r="C26" i="31"/>
  <c r="D27" i="15"/>
  <c r="F27" i="15"/>
  <c r="C27" i="31"/>
  <c r="D28" i="15"/>
  <c r="B11" i="15"/>
  <c r="B22" i="9"/>
  <c r="B28" i="9"/>
  <c r="B34" i="9"/>
  <c r="B15" i="31"/>
  <c r="B16" i="35"/>
  <c r="B52" i="9"/>
  <c r="B58" i="9"/>
  <c r="B64" i="9"/>
  <c r="B20" i="35"/>
  <c r="B76" i="9"/>
  <c r="B82" i="9"/>
  <c r="B88" i="9"/>
  <c r="B94" i="9"/>
  <c r="B100" i="9"/>
  <c r="B26" i="31"/>
  <c r="B27" i="35"/>
  <c r="B118" i="9"/>
  <c r="B39" i="15"/>
  <c r="B10" i="15"/>
  <c r="A33" i="36"/>
  <c r="A32" i="36"/>
  <c r="A31" i="36"/>
  <c r="A30" i="36"/>
  <c r="B29" i="36"/>
  <c r="A29" i="36"/>
  <c r="A28" i="36"/>
  <c r="A27" i="36"/>
  <c r="A26" i="36"/>
  <c r="A25" i="36"/>
  <c r="A24" i="36"/>
  <c r="A23" i="36"/>
  <c r="A22" i="36"/>
  <c r="A21" i="36"/>
  <c r="A19" i="36"/>
  <c r="B16" i="36"/>
  <c r="A16" i="36"/>
  <c r="A15" i="36"/>
  <c r="A12" i="36"/>
  <c r="A11"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F36" i="36"/>
  <c r="E30" i="31"/>
  <c r="G36" i="36"/>
  <c r="F22" i="15"/>
  <c r="C22" i="31"/>
  <c r="E22" i="15"/>
  <c r="F17" i="15"/>
  <c r="C17" i="31"/>
  <c r="E17" i="15"/>
  <c r="F14" i="15"/>
  <c r="C14" i="31"/>
  <c r="E14" i="15"/>
  <c r="E18" i="15"/>
  <c r="E23" i="15"/>
  <c r="E27" i="15"/>
  <c r="E15" i="15"/>
  <c r="C40" i="9"/>
  <c r="E26" i="15"/>
  <c r="C106" i="9"/>
  <c r="M20" i="15"/>
  <c r="M11" i="15"/>
  <c r="N11" i="15"/>
  <c r="D11" i="31"/>
  <c r="F11" i="36"/>
  <c r="M13" i="15"/>
  <c r="D28" i="9"/>
  <c r="M15" i="15"/>
  <c r="D19" i="36"/>
  <c r="M16" i="15"/>
  <c r="N16" i="15"/>
  <c r="D16" i="31"/>
  <c r="F21" i="36"/>
  <c r="M18" i="15"/>
  <c r="N18" i="15"/>
  <c r="D18" i="31"/>
  <c r="M21" i="15"/>
  <c r="N21" i="15"/>
  <c r="D21" i="31"/>
  <c r="F26" i="36"/>
  <c r="D184" i="9"/>
  <c r="U184" i="9"/>
  <c r="M19" i="15"/>
  <c r="D24" i="36"/>
  <c r="M23" i="15"/>
  <c r="D28" i="36"/>
  <c r="N24" i="15"/>
  <c r="D24" i="31"/>
  <c r="F29" i="36"/>
  <c r="D32" i="36"/>
  <c r="E11" i="15"/>
  <c r="F11" i="15"/>
  <c r="C11" i="31"/>
  <c r="E12" i="15"/>
  <c r="F12" i="15"/>
  <c r="C12" i="31"/>
  <c r="E13" i="15"/>
  <c r="C15" i="36"/>
  <c r="F13" i="15"/>
  <c r="C13" i="31"/>
  <c r="E19" i="36"/>
  <c r="E20" i="15"/>
  <c r="F20" i="15"/>
  <c r="C20" i="31"/>
  <c r="E21" i="15"/>
  <c r="C76" i="9"/>
  <c r="F21" i="15"/>
  <c r="C21" i="31"/>
  <c r="E26" i="36"/>
  <c r="E25" i="15"/>
  <c r="C100" i="9"/>
  <c r="F25" i="15"/>
  <c r="C25" i="31"/>
  <c r="E28" i="15"/>
  <c r="F28" i="15"/>
  <c r="C28" i="31"/>
  <c r="C184" i="9"/>
  <c r="M22" i="15"/>
  <c r="M17" i="15"/>
  <c r="M14" i="15"/>
  <c r="M12" i="15"/>
  <c r="B112" i="9"/>
  <c r="B14" i="15"/>
  <c r="B14" i="35"/>
  <c r="B13" i="31"/>
  <c r="B24" i="36"/>
  <c r="B25" i="36"/>
  <c r="B27" i="15"/>
  <c r="B13" i="15"/>
  <c r="B17" i="31"/>
  <c r="B19" i="15"/>
  <c r="B31" i="36"/>
  <c r="B18" i="35"/>
  <c r="B26" i="35"/>
  <c r="B106" i="9"/>
  <c r="B20" i="31"/>
  <c r="B14" i="31"/>
  <c r="B26" i="15"/>
  <c r="B20" i="15"/>
  <c r="B40" i="9"/>
  <c r="B22" i="15"/>
  <c r="B15" i="15"/>
  <c r="B21" i="31"/>
  <c r="B15" i="35"/>
  <c r="B19" i="36"/>
  <c r="B16" i="9"/>
  <c r="B70" i="9"/>
  <c r="B16" i="31"/>
  <c r="B12" i="31"/>
  <c r="B11" i="36"/>
  <c r="B28" i="15"/>
  <c r="B24" i="35"/>
  <c r="B24" i="31"/>
  <c r="B21" i="35"/>
  <c r="B21" i="15"/>
  <c r="B19" i="31"/>
  <c r="B12" i="35"/>
  <c r="B12" i="36"/>
  <c r="B32" i="36"/>
  <c r="B28" i="31"/>
  <c r="B17" i="35"/>
  <c r="B22" i="35"/>
  <c r="B23" i="36"/>
  <c r="B28" i="36"/>
  <c r="B18" i="15"/>
  <c r="B12" i="15"/>
  <c r="B17" i="15"/>
  <c r="B22" i="31"/>
  <c r="B18" i="31"/>
  <c r="B13" i="35"/>
  <c r="B28" i="35"/>
  <c r="B33" i="36"/>
  <c r="B46" i="9"/>
  <c r="B23" i="15"/>
  <c r="B27" i="31"/>
  <c r="B23" i="31"/>
  <c r="B11" i="35"/>
  <c r="B19" i="35"/>
  <c r="B23" i="35"/>
  <c r="B21" i="36"/>
  <c r="B11" i="31"/>
  <c r="B16" i="15"/>
  <c r="B27" i="36"/>
  <c r="B25" i="15"/>
  <c r="B25" i="31"/>
  <c r="B25" i="35"/>
  <c r="B39" i="35"/>
  <c r="E27" i="36"/>
  <c r="E24" i="36"/>
  <c r="C94" i="9"/>
  <c r="C29" i="36"/>
  <c r="E22" i="36"/>
  <c r="E28" i="36"/>
  <c r="E16" i="31"/>
  <c r="G21" i="36"/>
  <c r="E21" i="36"/>
  <c r="N27" i="15"/>
  <c r="D27" i="31"/>
  <c r="F32" i="36"/>
  <c r="E27" i="31"/>
  <c r="G32" i="36"/>
  <c r="E32" i="36"/>
  <c r="E16" i="36"/>
  <c r="E31" i="36"/>
  <c r="B15" i="36"/>
  <c r="B22" i="36"/>
  <c r="B26" i="36"/>
  <c r="B30" i="36"/>
  <c r="B46" i="36"/>
  <c r="B184" i="9"/>
  <c r="E16" i="15"/>
  <c r="E19" i="15"/>
  <c r="E23" i="36"/>
  <c r="F24" i="15"/>
  <c r="C24" i="31"/>
  <c r="E9" i="36"/>
  <c r="M10" i="15"/>
  <c r="D10" i="9"/>
  <c r="B10" i="35"/>
  <c r="B9" i="36"/>
  <c r="B10" i="9"/>
  <c r="B10" i="31"/>
  <c r="C32" i="36"/>
  <c r="C112" i="9"/>
  <c r="C88" i="9"/>
  <c r="C28" i="36"/>
  <c r="C27" i="36"/>
  <c r="C82" i="9"/>
  <c r="F23" i="36"/>
  <c r="E18" i="31"/>
  <c r="G23" i="36"/>
  <c r="C23" i="36"/>
  <c r="C58" i="9"/>
  <c r="C22" i="36"/>
  <c r="C52" i="9"/>
  <c r="C16" i="36"/>
  <c r="C34" i="9"/>
  <c r="T10" i="9"/>
  <c r="H44" i="36"/>
  <c r="J44" i="36"/>
  <c r="L44" i="36"/>
  <c r="N44" i="36"/>
  <c r="M44" i="36"/>
  <c r="P44" i="36"/>
  <c r="T168" i="9"/>
  <c r="H39" i="36"/>
  <c r="J39" i="36"/>
  <c r="L39" i="36"/>
  <c r="N39" i="36"/>
  <c r="M39" i="36"/>
  <c r="P39" i="36"/>
  <c r="T156" i="9"/>
  <c r="T172" i="9"/>
  <c r="T170" i="9"/>
  <c r="T164" i="9"/>
  <c r="T158" i="9"/>
  <c r="T162" i="9"/>
  <c r="T182" i="9"/>
  <c r="H35" i="36"/>
  <c r="J35" i="36"/>
  <c r="L35" i="36"/>
  <c r="N35" i="36"/>
  <c r="M35" i="36"/>
  <c r="P35" i="36"/>
  <c r="T177" i="9"/>
  <c r="T159" i="9"/>
  <c r="T175" i="9"/>
  <c r="T181" i="9"/>
  <c r="H45" i="36"/>
  <c r="J45" i="36"/>
  <c r="L45" i="36"/>
  <c r="N45" i="36"/>
  <c r="M45" i="36"/>
  <c r="P45" i="36"/>
  <c r="H42" i="36"/>
  <c r="J42" i="36"/>
  <c r="L42" i="36"/>
  <c r="N42" i="36"/>
  <c r="M42" i="36"/>
  <c r="P42" i="36"/>
  <c r="T176" i="9"/>
  <c r="T166" i="9"/>
  <c r="T160" i="9"/>
  <c r="T161" i="9"/>
  <c r="T157" i="9"/>
  <c r="H40" i="36"/>
  <c r="J40" i="36"/>
  <c r="L40" i="36"/>
  <c r="N40" i="36"/>
  <c r="M40" i="36"/>
  <c r="P40" i="36"/>
  <c r="T178" i="9"/>
  <c r="T165" i="9"/>
  <c r="T179" i="9"/>
  <c r="H46" i="36"/>
  <c r="J46" i="36"/>
  <c r="L46" i="36"/>
  <c r="N46" i="36"/>
  <c r="M46" i="36"/>
  <c r="P46" i="36"/>
  <c r="T167" i="9"/>
  <c r="T163" i="9"/>
  <c r="T171" i="9"/>
  <c r="T183" i="9"/>
  <c r="T154" i="9"/>
  <c r="T169" i="9"/>
  <c r="T155" i="9"/>
  <c r="H37" i="36"/>
  <c r="J37" i="36"/>
  <c r="L37" i="36"/>
  <c r="N37" i="36"/>
  <c r="M37" i="36"/>
  <c r="P37" i="36"/>
  <c r="T174" i="9"/>
  <c r="H36" i="36"/>
  <c r="J36" i="36"/>
  <c r="L36" i="36"/>
  <c r="N36" i="36"/>
  <c r="M36" i="36"/>
  <c r="P36" i="36"/>
  <c r="T180" i="9"/>
  <c r="H43" i="36"/>
  <c r="J43" i="36"/>
  <c r="L43" i="36"/>
  <c r="N43" i="36"/>
  <c r="M43" i="36"/>
  <c r="P43" i="36"/>
  <c r="T173" i="9"/>
  <c r="E21" i="31"/>
  <c r="G26" i="36"/>
  <c r="C31" i="36"/>
  <c r="D23" i="36"/>
  <c r="D58" i="9"/>
  <c r="U58" i="9"/>
  <c r="C19" i="36"/>
  <c r="D46" i="9"/>
  <c r="D21" i="36"/>
  <c r="N15" i="15"/>
  <c r="D15" i="31"/>
  <c r="N19" i="15"/>
  <c r="D19" i="31"/>
  <c r="D64" i="9"/>
  <c r="U69" i="9"/>
  <c r="C28" i="9"/>
  <c r="C30" i="36"/>
  <c r="D40" i="9"/>
  <c r="U40" i="9"/>
  <c r="D15" i="36"/>
  <c r="D29" i="36"/>
  <c r="D11" i="36"/>
  <c r="E15" i="36"/>
  <c r="D26" i="36"/>
  <c r="D16" i="9"/>
  <c r="U18" i="9"/>
  <c r="C26" i="36"/>
  <c r="N13" i="15"/>
  <c r="D13" i="31"/>
  <c r="E33" i="36"/>
  <c r="D76" i="9"/>
  <c r="U76" i="9"/>
  <c r="U31" i="9"/>
  <c r="U30" i="9"/>
  <c r="U29" i="9"/>
  <c r="U32" i="9"/>
  <c r="U33" i="9"/>
  <c r="D13" i="35"/>
  <c r="F13" i="35"/>
  <c r="U28" i="9"/>
  <c r="D25" i="36"/>
  <c r="N20" i="15"/>
  <c r="D20" i="31"/>
  <c r="D70" i="9"/>
  <c r="U70" i="9"/>
  <c r="C16" i="9"/>
  <c r="C11" i="36"/>
  <c r="D88" i="9"/>
  <c r="U91" i="9"/>
  <c r="N23" i="15"/>
  <c r="D23" i="31"/>
  <c r="N17" i="15"/>
  <c r="D17" i="31"/>
  <c r="D22" i="36"/>
  <c r="D52" i="9"/>
  <c r="U52" i="9"/>
  <c r="C70" i="9"/>
  <c r="C25" i="36"/>
  <c r="E25" i="36"/>
  <c r="E30" i="36"/>
  <c r="C33" i="36"/>
  <c r="C118" i="9"/>
  <c r="E11" i="31"/>
  <c r="G11" i="36"/>
  <c r="E11" i="36"/>
  <c r="C12" i="36"/>
  <c r="C22" i="9"/>
  <c r="E12" i="36"/>
  <c r="N28" i="15"/>
  <c r="D28" i="31"/>
  <c r="D33" i="36"/>
  <c r="D31" i="36"/>
  <c r="N26" i="15"/>
  <c r="D26" i="31"/>
  <c r="D30" i="36"/>
  <c r="N25" i="15"/>
  <c r="D25" i="31"/>
  <c r="N22" i="15"/>
  <c r="D22" i="31"/>
  <c r="D27" i="36"/>
  <c r="D82" i="9"/>
  <c r="D16" i="36"/>
  <c r="D34" i="9"/>
  <c r="N14" i="15"/>
  <c r="D14" i="31"/>
  <c r="D12" i="36"/>
  <c r="D22" i="9"/>
  <c r="U27" i="9"/>
  <c r="N12" i="15"/>
  <c r="D12" i="31"/>
  <c r="N10" i="15"/>
  <c r="D10" i="31"/>
  <c r="D9" i="36"/>
  <c r="U15" i="9"/>
  <c r="W10" i="9"/>
  <c r="U11" i="9"/>
  <c r="U10" i="9"/>
  <c r="U14" i="9"/>
  <c r="U13" i="9"/>
  <c r="U12" i="9"/>
  <c r="E24" i="31"/>
  <c r="G29" i="36"/>
  <c r="E29" i="36"/>
  <c r="C9" i="36"/>
  <c r="C21" i="36"/>
  <c r="C46" i="9"/>
  <c r="T188" i="9"/>
  <c r="T53" i="9"/>
  <c r="T56" i="9"/>
  <c r="T12" i="9"/>
  <c r="T15" i="9"/>
  <c r="V10" i="9"/>
  <c r="T68" i="9"/>
  <c r="T83" i="9"/>
  <c r="T19" i="9"/>
  <c r="T90" i="9"/>
  <c r="T26" i="9"/>
  <c r="V100" i="9"/>
  <c r="T41" i="9"/>
  <c r="T71" i="9"/>
  <c r="T96" i="9"/>
  <c r="T45" i="9"/>
  <c r="T32" i="9"/>
  <c r="T184" i="9"/>
  <c r="T60" i="9"/>
  <c r="T75" i="9"/>
  <c r="H25" i="36"/>
  <c r="J25" i="36"/>
  <c r="T82" i="9"/>
  <c r="T18" i="9"/>
  <c r="T97" i="9"/>
  <c r="T33" i="9"/>
  <c r="C13" i="35"/>
  <c r="E13" i="35"/>
  <c r="T63" i="9"/>
  <c r="C18" i="35"/>
  <c r="E18" i="35"/>
  <c r="T85" i="9"/>
  <c r="T40" i="9"/>
  <c r="T88" i="9"/>
  <c r="T186" i="9"/>
  <c r="T11" i="9"/>
  <c r="T52" i="9"/>
  <c r="T67" i="9"/>
  <c r="T74" i="9"/>
  <c r="T89" i="9"/>
  <c r="T25" i="9"/>
  <c r="T47" i="9"/>
  <c r="T61" i="9"/>
  <c r="T64" i="9"/>
  <c r="T94" i="9"/>
  <c r="T93" i="9"/>
  <c r="C23" i="35"/>
  <c r="E23" i="35"/>
  <c r="T29" i="9"/>
  <c r="T95" i="9"/>
  <c r="T44" i="9"/>
  <c r="V118" i="9"/>
  <c r="T59" i="9"/>
  <c r="T16" i="9"/>
  <c r="T66" i="9"/>
  <c r="T81" i="9"/>
  <c r="T17" i="9"/>
  <c r="T13" i="9"/>
  <c r="T39" i="9"/>
  <c r="V34" i="9"/>
  <c r="T37" i="9"/>
  <c r="T78" i="9"/>
  <c r="T21" i="9"/>
  <c r="V16" i="9"/>
  <c r="T79" i="9"/>
  <c r="T70" i="9"/>
  <c r="T36" i="9"/>
  <c r="T51" i="9"/>
  <c r="H21" i="36"/>
  <c r="J21" i="36"/>
  <c r="T58" i="9"/>
  <c r="T14" i="9"/>
  <c r="T73" i="9"/>
  <c r="T72" i="9"/>
  <c r="T23" i="9"/>
  <c r="T187" i="9"/>
  <c r="T54" i="9"/>
  <c r="T77" i="9"/>
  <c r="T55" i="9"/>
  <c r="V106" i="9"/>
  <c r="T46" i="9"/>
  <c r="T92" i="9"/>
  <c r="T28" i="9"/>
  <c r="T43" i="9"/>
  <c r="T50" i="9"/>
  <c r="T189" i="9"/>
  <c r="T65" i="9"/>
  <c r="T48" i="9"/>
  <c r="T86" i="9"/>
  <c r="T30" i="9"/>
  <c r="T69" i="9"/>
  <c r="H24" i="36"/>
  <c r="J24" i="36"/>
  <c r="T31" i="9"/>
  <c r="T22" i="9"/>
  <c r="T84" i="9"/>
  <c r="T20" i="9"/>
  <c r="T99" i="9"/>
  <c r="C24" i="35"/>
  <c r="E24" i="35"/>
  <c r="T35" i="9"/>
  <c r="T42" i="9"/>
  <c r="T57" i="9"/>
  <c r="T24" i="9"/>
  <c r="T62" i="9"/>
  <c r="T185" i="9"/>
  <c r="T80" i="9"/>
  <c r="T76" i="9"/>
  <c r="T91" i="9"/>
  <c r="T27" i="9"/>
  <c r="C12" i="35"/>
  <c r="E12" i="35"/>
  <c r="T98" i="9"/>
  <c r="T34" i="9"/>
  <c r="T49" i="9"/>
  <c r="T87" i="9"/>
  <c r="C22" i="35"/>
  <c r="E22" i="35"/>
  <c r="T38" i="9"/>
  <c r="C64" i="9"/>
  <c r="C24" i="36"/>
  <c r="D28" i="35"/>
  <c r="F28" i="35"/>
  <c r="W118" i="9"/>
  <c r="K33" i="36"/>
  <c r="W106" i="9"/>
  <c r="K31" i="36"/>
  <c r="D26" i="35"/>
  <c r="F26" i="35"/>
  <c r="D39" i="35"/>
  <c r="F39" i="35"/>
  <c r="W184" i="9"/>
  <c r="K32" i="36"/>
  <c r="D27" i="35"/>
  <c r="F27" i="35"/>
  <c r="W112" i="9"/>
  <c r="D24" i="35"/>
  <c r="F24" i="35"/>
  <c r="W100" i="9"/>
  <c r="D25" i="35"/>
  <c r="F25" i="35"/>
  <c r="F33" i="36"/>
  <c r="E28" i="31"/>
  <c r="G33" i="36"/>
  <c r="F31" i="36"/>
  <c r="E26" i="31"/>
  <c r="G31" i="36"/>
  <c r="F30" i="36"/>
  <c r="E25" i="31"/>
  <c r="G30" i="36"/>
  <c r="F28" i="36"/>
  <c r="E23" i="31"/>
  <c r="G28" i="36"/>
  <c r="F27" i="36"/>
  <c r="E22" i="31"/>
  <c r="G27" i="36"/>
  <c r="F25" i="36"/>
  <c r="E20" i="31"/>
  <c r="G25" i="36"/>
  <c r="F24" i="36"/>
  <c r="E19" i="31"/>
  <c r="G24" i="36"/>
  <c r="F22" i="36"/>
  <c r="E17" i="31"/>
  <c r="G22" i="36"/>
  <c r="F19" i="36"/>
  <c r="E15" i="31"/>
  <c r="G19" i="36"/>
  <c r="F16" i="36"/>
  <c r="E14" i="31"/>
  <c r="G16" i="36"/>
  <c r="F15" i="36"/>
  <c r="E13" i="31"/>
  <c r="G15" i="36"/>
  <c r="F12" i="36"/>
  <c r="E12" i="31"/>
  <c r="G12" i="36"/>
  <c r="V148" i="9"/>
  <c r="C33" i="35"/>
  <c r="E33" i="35"/>
  <c r="G33" i="35"/>
  <c r="V172" i="9"/>
  <c r="C37" i="35"/>
  <c r="E37" i="35"/>
  <c r="G37" i="35"/>
  <c r="V154" i="9"/>
  <c r="C34" i="35"/>
  <c r="E34" i="35"/>
  <c r="G34" i="35"/>
  <c r="V124" i="9"/>
  <c r="H41" i="36"/>
  <c r="J41" i="36"/>
  <c r="L41" i="36"/>
  <c r="N41" i="36"/>
  <c r="M41" i="36"/>
  <c r="P41" i="36"/>
  <c r="C29" i="35"/>
  <c r="E29" i="35"/>
  <c r="G29" i="35"/>
  <c r="V142" i="9"/>
  <c r="C32" i="35"/>
  <c r="E32" i="35"/>
  <c r="G32" i="35"/>
  <c r="V160" i="9"/>
  <c r="C35" i="35"/>
  <c r="E35" i="35"/>
  <c r="G35" i="35"/>
  <c r="V130" i="9"/>
  <c r="C30" i="35"/>
  <c r="E30" i="35"/>
  <c r="G30" i="35"/>
  <c r="V166" i="9"/>
  <c r="C36" i="35"/>
  <c r="E36" i="35"/>
  <c r="G36" i="35"/>
  <c r="V178" i="9"/>
  <c r="C38" i="35"/>
  <c r="E38" i="35"/>
  <c r="G38" i="35"/>
  <c r="V136" i="9"/>
  <c r="C31" i="35"/>
  <c r="E31" i="35"/>
  <c r="G31" i="35"/>
  <c r="U68" i="9"/>
  <c r="U61" i="9"/>
  <c r="U59" i="9"/>
  <c r="U66" i="9"/>
  <c r="U60" i="9"/>
  <c r="U62" i="9"/>
  <c r="U17" i="9"/>
  <c r="U21" i="9"/>
  <c r="D11" i="35"/>
  <c r="F11" i="35"/>
  <c r="U22" i="9"/>
  <c r="U63" i="9"/>
  <c r="I23" i="36"/>
  <c r="K23" i="36"/>
  <c r="U79" i="9"/>
  <c r="U89" i="9"/>
  <c r="W28" i="9"/>
  <c r="U53" i="9"/>
  <c r="U45" i="9"/>
  <c r="I19" i="36"/>
  <c r="K19" i="36"/>
  <c r="I15" i="36"/>
  <c r="K15" i="36"/>
  <c r="U43" i="9"/>
  <c r="U64" i="9"/>
  <c r="U67" i="9"/>
  <c r="U16" i="9"/>
  <c r="U51" i="9"/>
  <c r="U47" i="9"/>
  <c r="U50" i="9"/>
  <c r="U46" i="9"/>
  <c r="U48" i="9"/>
  <c r="U49" i="9"/>
  <c r="U65" i="9"/>
  <c r="U19" i="9"/>
  <c r="U57" i="9"/>
  <c r="I22" i="36"/>
  <c r="K22" i="36"/>
  <c r="U72" i="9"/>
  <c r="U41" i="9"/>
  <c r="U55" i="9"/>
  <c r="U44" i="9"/>
  <c r="U54" i="9"/>
  <c r="U56" i="9"/>
  <c r="U42" i="9"/>
  <c r="U75" i="9"/>
  <c r="D20" i="35"/>
  <c r="F20" i="35"/>
  <c r="U73" i="9"/>
  <c r="U20" i="9"/>
  <c r="U88" i="9"/>
  <c r="U93" i="9"/>
  <c r="D23" i="35"/>
  <c r="F23" i="35"/>
  <c r="G23" i="35"/>
  <c r="U78" i="9"/>
  <c r="U92" i="9"/>
  <c r="U90" i="9"/>
  <c r="U80" i="9"/>
  <c r="U77" i="9"/>
  <c r="U71" i="9"/>
  <c r="U26" i="9"/>
  <c r="U81" i="9"/>
  <c r="U25" i="9"/>
  <c r="U74" i="9"/>
  <c r="U24" i="9"/>
  <c r="M11" i="31"/>
  <c r="G11" i="37"/>
  <c r="U23" i="9"/>
  <c r="I13" i="31"/>
  <c r="C13" i="37"/>
  <c r="E10" i="31"/>
  <c r="G9" i="36"/>
  <c r="L14" i="31"/>
  <c r="F14" i="37"/>
  <c r="K12" i="31"/>
  <c r="E12" i="37"/>
  <c r="M10" i="31"/>
  <c r="G10" i="37"/>
  <c r="I10" i="31"/>
  <c r="C10" i="37"/>
  <c r="K10" i="31"/>
  <c r="E10" i="37"/>
  <c r="J12" i="31"/>
  <c r="D12" i="37"/>
  <c r="L13" i="31"/>
  <c r="F13" i="37"/>
  <c r="M13" i="31"/>
  <c r="G13" i="37"/>
  <c r="L10" i="31"/>
  <c r="F10" i="37"/>
  <c r="J10" i="31"/>
  <c r="D10" i="37"/>
  <c r="K13" i="31"/>
  <c r="E13" i="37"/>
  <c r="J14" i="31"/>
  <c r="D14" i="37"/>
  <c r="K11" i="31"/>
  <c r="E11" i="37"/>
  <c r="L11" i="31"/>
  <c r="F11" i="37"/>
  <c r="D10" i="35"/>
  <c r="I9" i="36"/>
  <c r="U86" i="9"/>
  <c r="U83" i="9"/>
  <c r="U85" i="9"/>
  <c r="U82" i="9"/>
  <c r="U87" i="9"/>
  <c r="U84" i="9"/>
  <c r="L12" i="31"/>
  <c r="F12" i="37"/>
  <c r="I14" i="31"/>
  <c r="C14" i="37"/>
  <c r="I11" i="31"/>
  <c r="C11" i="37"/>
  <c r="J11" i="31"/>
  <c r="D11" i="37"/>
  <c r="M14" i="31"/>
  <c r="G14" i="37"/>
  <c r="I12" i="31"/>
  <c r="C12" i="37"/>
  <c r="K14" i="31"/>
  <c r="E14" i="37"/>
  <c r="J13" i="31"/>
  <c r="D13" i="37"/>
  <c r="M12" i="31"/>
  <c r="G12" i="37"/>
  <c r="D19" i="35"/>
  <c r="F19" i="35"/>
  <c r="I24" i="36"/>
  <c r="K24" i="36"/>
  <c r="L24" i="36"/>
  <c r="N24" i="36"/>
  <c r="M24" i="36"/>
  <c r="P24" i="36"/>
  <c r="W64" i="9"/>
  <c r="H32" i="36"/>
  <c r="J32" i="36"/>
  <c r="L32" i="36"/>
  <c r="N32" i="36"/>
  <c r="M32" i="36"/>
  <c r="P32" i="36"/>
  <c r="V112" i="9"/>
  <c r="V40" i="9"/>
  <c r="C15" i="35"/>
  <c r="E15" i="35"/>
  <c r="H19" i="36"/>
  <c r="J19" i="36"/>
  <c r="C21" i="35"/>
  <c r="E21" i="35"/>
  <c r="V76" i="9"/>
  <c r="H26" i="36"/>
  <c r="J26" i="36"/>
  <c r="V52" i="9"/>
  <c r="H22" i="36"/>
  <c r="J22" i="36"/>
  <c r="C17" i="35"/>
  <c r="E17" i="35"/>
  <c r="U39" i="9"/>
  <c r="U37" i="9"/>
  <c r="U38" i="9"/>
  <c r="U34" i="9"/>
  <c r="U36" i="9"/>
  <c r="U35" i="9"/>
  <c r="W22" i="9"/>
  <c r="I12" i="36"/>
  <c r="K12" i="36"/>
  <c r="D12" i="35"/>
  <c r="F12" i="35"/>
  <c r="G12" i="35"/>
  <c r="G24" i="35"/>
  <c r="F9" i="36"/>
  <c r="H23" i="36"/>
  <c r="J23" i="36"/>
  <c r="H30" i="36"/>
  <c r="J30" i="36"/>
  <c r="L30" i="36"/>
  <c r="N30" i="36"/>
  <c r="M30" i="36"/>
  <c r="P30" i="36"/>
  <c r="C28" i="35"/>
  <c r="E28" i="35"/>
  <c r="G28" i="35"/>
  <c r="C14" i="35"/>
  <c r="E14" i="35"/>
  <c r="C16" i="35"/>
  <c r="E16" i="35"/>
  <c r="C10" i="35"/>
  <c r="H16" i="36"/>
  <c r="J16" i="36"/>
  <c r="V46" i="9"/>
  <c r="H33" i="36"/>
  <c r="J33" i="36"/>
  <c r="L33" i="36"/>
  <c r="N33" i="36"/>
  <c r="M33" i="36"/>
  <c r="P33" i="36"/>
  <c r="C20" i="35"/>
  <c r="E20" i="35"/>
  <c r="H27" i="36"/>
  <c r="J27" i="36"/>
  <c r="H28" i="36"/>
  <c r="J28" i="36"/>
  <c r="V58" i="9"/>
  <c r="V70" i="9"/>
  <c r="V82" i="9"/>
  <c r="C25" i="35"/>
  <c r="E25" i="35"/>
  <c r="G25" i="35"/>
  <c r="G13" i="35"/>
  <c r="C27" i="35"/>
  <c r="E27" i="35"/>
  <c r="G27" i="35"/>
  <c r="V88" i="9"/>
  <c r="V184" i="9"/>
  <c r="C39" i="35"/>
  <c r="E39" i="35"/>
  <c r="G39" i="35"/>
  <c r="C26" i="35"/>
  <c r="E26" i="35"/>
  <c r="G26" i="35"/>
  <c r="V28" i="9"/>
  <c r="H15" i="36"/>
  <c r="J15" i="36"/>
  <c r="V64" i="9"/>
  <c r="C19" i="35"/>
  <c r="E19" i="35"/>
  <c r="V94" i="9"/>
  <c r="H11" i="36"/>
  <c r="J11" i="36"/>
  <c r="H29" i="36"/>
  <c r="J29" i="36"/>
  <c r="L29" i="36"/>
  <c r="N29" i="36"/>
  <c r="M29" i="36"/>
  <c r="P29" i="36"/>
  <c r="C11" i="35"/>
  <c r="E11" i="35"/>
  <c r="V22" i="9"/>
  <c r="H12" i="36"/>
  <c r="J12" i="36"/>
  <c r="H31" i="36"/>
  <c r="J31" i="36"/>
  <c r="L31" i="36"/>
  <c r="N31" i="36"/>
  <c r="M31" i="36"/>
  <c r="P31" i="36"/>
  <c r="B17" i="33"/>
  <c r="G20" i="35"/>
  <c r="G11" i="35"/>
  <c r="G19" i="35"/>
  <c r="L19" i="36"/>
  <c r="N19" i="36"/>
  <c r="M19" i="36"/>
  <c r="P19" i="36"/>
  <c r="L22" i="36"/>
  <c r="N22" i="36"/>
  <c r="M22" i="36"/>
  <c r="P22" i="36"/>
  <c r="L15" i="36"/>
  <c r="N15" i="36"/>
  <c r="M15" i="36"/>
  <c r="P15" i="36"/>
  <c r="L23" i="36"/>
  <c r="N23" i="36"/>
  <c r="M23" i="36"/>
  <c r="P23" i="36"/>
  <c r="W16" i="9"/>
  <c r="D17" i="35"/>
  <c r="F17" i="35"/>
  <c r="G17" i="35"/>
  <c r="W52" i="9"/>
  <c r="D15" i="35"/>
  <c r="F15" i="35"/>
  <c r="G15" i="35"/>
  <c r="I11" i="36"/>
  <c r="K11" i="36"/>
  <c r="L11" i="36"/>
  <c r="N11" i="36"/>
  <c r="M11" i="36"/>
  <c r="P11" i="36"/>
  <c r="W40" i="9"/>
  <c r="D18" i="35"/>
  <c r="F18" i="35"/>
  <c r="G18" i="35"/>
  <c r="W58" i="9"/>
  <c r="I21" i="36"/>
  <c r="K21" i="36"/>
  <c r="L21" i="36"/>
  <c r="N21" i="36"/>
  <c r="M21" i="36"/>
  <c r="P21" i="36"/>
  <c r="W46" i="9"/>
  <c r="D16" i="35"/>
  <c r="F16" i="35"/>
  <c r="G16" i="35"/>
  <c r="I28" i="36"/>
  <c r="K28" i="36"/>
  <c r="L28" i="36"/>
  <c r="N28" i="36"/>
  <c r="M28" i="36"/>
  <c r="P28" i="36"/>
  <c r="W70" i="9"/>
  <c r="W88" i="9"/>
  <c r="I25" i="36"/>
  <c r="K25" i="36"/>
  <c r="L25" i="36"/>
  <c r="N25" i="36"/>
  <c r="M25" i="36"/>
  <c r="P25" i="36"/>
  <c r="D21" i="35"/>
  <c r="F21" i="35"/>
  <c r="G21" i="35"/>
  <c r="W76" i="9"/>
  <c r="I26" i="36"/>
  <c r="K26" i="36"/>
  <c r="L26" i="36"/>
  <c r="N26" i="36"/>
  <c r="M26" i="36"/>
  <c r="P26" i="36"/>
  <c r="F10" i="35"/>
  <c r="K9" i="36"/>
  <c r="B18" i="33"/>
  <c r="B16" i="33"/>
  <c r="B15" i="33"/>
  <c r="W82" i="9"/>
  <c r="D22" i="35"/>
  <c r="F22" i="35"/>
  <c r="G22" i="35"/>
  <c r="I27" i="36"/>
  <c r="K27" i="36"/>
  <c r="L27" i="36"/>
  <c r="N27" i="36"/>
  <c r="M27" i="36"/>
  <c r="P27" i="36"/>
  <c r="L12" i="36"/>
  <c r="N12" i="36"/>
  <c r="M12" i="36"/>
  <c r="P12" i="36"/>
  <c r="D14" i="35"/>
  <c r="F14" i="35"/>
  <c r="G14" i="35"/>
  <c r="I16" i="36"/>
  <c r="K16" i="36"/>
  <c r="L16" i="36"/>
  <c r="N16" i="36"/>
  <c r="M16" i="36"/>
  <c r="P16" i="36"/>
  <c r="W34" i="9"/>
  <c r="H9" i="36"/>
  <c r="E10" i="35"/>
  <c r="B19" i="33"/>
  <c r="N13" i="35"/>
  <c r="N13" i="37"/>
  <c r="N11" i="35"/>
  <c r="N11" i="37"/>
  <c r="O12" i="35"/>
  <c r="O12" i="37"/>
  <c r="N14" i="35"/>
  <c r="N14" i="37"/>
  <c r="K14" i="35"/>
  <c r="K14" i="37"/>
  <c r="L11" i="35"/>
  <c r="L11" i="37"/>
  <c r="N10" i="35"/>
  <c r="N10" i="37"/>
  <c r="M11" i="35"/>
  <c r="M11" i="37"/>
  <c r="O13" i="35"/>
  <c r="O13" i="37"/>
  <c r="L12" i="35"/>
  <c r="L12" i="37"/>
  <c r="K11" i="35"/>
  <c r="K11" i="37"/>
  <c r="O10" i="35"/>
  <c r="O10" i="37"/>
  <c r="M13" i="35"/>
  <c r="M13" i="37"/>
  <c r="L13" i="35"/>
  <c r="L13" i="37"/>
  <c r="L14" i="35"/>
  <c r="L14" i="37"/>
  <c r="G10" i="35"/>
  <c r="L9" i="36"/>
  <c r="N12" i="35"/>
  <c r="N12" i="37"/>
  <c r="K13" i="35"/>
  <c r="K13" i="37"/>
  <c r="M10" i="35"/>
  <c r="M10" i="37"/>
  <c r="K10" i="35"/>
  <c r="K10" i="37"/>
  <c r="K12" i="35"/>
  <c r="K12" i="37"/>
  <c r="M12" i="35"/>
  <c r="M12" i="37"/>
  <c r="J9" i="36"/>
  <c r="O11" i="35"/>
  <c r="O11" i="37"/>
  <c r="L10" i="35"/>
  <c r="L10" i="37"/>
  <c r="O14" i="35"/>
  <c r="O14" i="37"/>
  <c r="M14" i="35"/>
  <c r="M14" i="37"/>
  <c r="C18" i="33"/>
  <c r="B22" i="33"/>
  <c r="C16" i="33"/>
  <c r="C17" i="33"/>
  <c r="C19" i="33"/>
  <c r="C15" i="33"/>
  <c r="N9" i="36"/>
  <c r="M9" i="36"/>
  <c r="P9" i="36"/>
  <c r="D15" i="33"/>
  <c r="D17" i="33"/>
  <c r="D18" i="33"/>
  <c r="D16" i="33"/>
  <c r="D19" i="33"/>
  <c r="E16" i="33"/>
  <c r="D22" i="33"/>
  <c r="E15" i="33"/>
  <c r="E19" i="33"/>
  <c r="E18" i="33"/>
  <c r="E17" i="33"/>
</calcChain>
</file>

<file path=xl/sharedStrings.xml><?xml version="1.0" encoding="utf-8"?>
<sst xmlns="http://schemas.openxmlformats.org/spreadsheetml/2006/main" count="1634" uniqueCount="594">
  <si>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</si>
  <si>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</si>
  <si>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</si>
  <si>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</si>
  <si>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</si>
  <si>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</si>
  <si>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</si>
  <si>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</si>
  <si>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</si>
  <si>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</si>
  <si>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</si>
  <si>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</si>
  <si>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</si>
  <si>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</si>
  <si>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</si>
  <si>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</si>
  <si>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</si>
  <si>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</si>
  <si>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</si>
  <si>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</si>
  <si>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</si>
  <si>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</si>
  <si>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</si>
  <si>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</si>
  <si>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</si>
  <si>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</si>
  <si>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</si>
  <si>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</si>
  <si>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</si>
  <si>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</si>
  <si>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</si>
  <si>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</si>
  <si>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</si>
  <si>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</si>
  <si>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</si>
  <si>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</si>
  <si>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</si>
  <si>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</si>
  <si>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</si>
  <si>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</si>
  <si>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</si>
  <si>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</si>
  <si>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</si>
  <si>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</si>
  <si>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</si>
  <si>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</si>
  <si>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</si>
  <si>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</si>
  <si>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</si>
  <si>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</si>
  <si>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</si>
  <si>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</si>
  <si>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</si>
  <si>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</si>
  <si>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</si>
  <si>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</si>
  <si>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</si>
  <si>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</si>
  <si>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</si>
  <si>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</si>
  <si>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</si>
  <si>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</si>
  <si>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</si>
  <si>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</si>
  <si>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</si>
  <si>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</si>
  <si>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</si>
  <si>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</si>
  <si>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</si>
  <si>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</si>
  <si>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</si>
  <si>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</si>
  <si>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</si>
  <si>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</si>
  <si>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</si>
  <si>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</si>
  <si>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</si>
  <si>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</si>
  <si>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</si>
  <si>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</si>
  <si>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</si>
  <si>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</si>
  <si>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</si>
  <si>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</si>
  <si>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</si>
  <si>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</si>
  <si>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</si>
  <si>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</si>
  <si>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</si>
  <si>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</si>
  <si>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</si>
  <si>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</si>
  <si>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</si>
  <si>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</si>
  <si>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</si>
  <si>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</si>
  <si>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</si>
  <si>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</si>
  <si>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</si>
  <si>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</si>
  <si>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</si>
  <si>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</si>
  <si>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</si>
  <si>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</si>
  <si>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</si>
  <si>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</si>
  <si>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</si>
  <si>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</si>
  <si>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</si>
  <si>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</si>
  <si>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</si>
  <si>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</si>
  <si>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</si>
  <si>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</si>
  <si>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</si>
  <si>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</si>
  <si>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</si>
  <si>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</si>
  <si>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</si>
  <si>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</si>
  <si>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</si>
  <si>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</si>
  <si>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</si>
  <si>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</si>
  <si>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</si>
  <si>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</si>
  <si>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</si>
  <si>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</si>
  <si>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</si>
  <si>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</si>
  <si>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</si>
  <si>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</si>
  <si>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</si>
  <si>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</si>
  <si>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</si>
  <si>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</si>
  <si>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</si>
  <si>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</si>
  <si>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</si>
  <si>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</si>
  <si>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</si>
  <si>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</si>
  <si>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</si>
  <si>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</si>
  <si>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</si>
  <si>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</si>
  <si>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</si>
  <si>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</si>
  <si>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</si>
  <si>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</si>
  <si>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</si>
  <si>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</si>
  <si>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</si>
  <si>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</si>
  <si>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</si>
  <si>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</si>
  <si>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</si>
  <si>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</si>
  <si>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</si>
  <si>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</si>
  <si>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</si>
  <si>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</si>
  <si>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</si>
  <si>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</si>
  <si>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</si>
  <si>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</si>
  <si>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</si>
  <si>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</si>
  <si>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</si>
  <si>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</si>
  <si>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</si>
  <si>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</si>
  <si>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</si>
  <si>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</si>
  <si>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</si>
  <si>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</si>
  <si>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</si>
  <si>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</si>
  <si>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</si>
  <si>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</si>
  <si>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</si>
  <si>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</si>
  <si>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</si>
  <si>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</si>
  <si>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</si>
  <si>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</si>
  <si>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</si>
  <si>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</si>
  <si>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</si>
  <si>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</si>
  <si>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</si>
  <si>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</si>
  <si>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</si>
  <si>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</si>
  <si>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</si>
  <si>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</si>
  <si>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</si>
  <si>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</si>
  <si>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</si>
  <si>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</si>
  <si>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</si>
  <si>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</si>
  <si>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</si>
  <si>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</si>
  <si>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</si>
  <si>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</si>
  <si>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</si>
  <si>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</si>
  <si>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</si>
  <si>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</si>
  <si>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</si>
  <si>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</si>
  <si>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</si>
  <si>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</si>
  <si>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</si>
  <si>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</si>
  <si>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</si>
  <si>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</si>
  <si>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</si>
  <si>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</si>
  <si>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</si>
  <si>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</si>
  <si>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</si>
  <si>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</si>
  <si>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</si>
  <si>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</si>
  <si>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</si>
  <si>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</si>
  <si>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</si>
  <si>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</si>
  <si>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</si>
  <si>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</si>
  <si>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</si>
  <si>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</si>
  <si>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</si>
  <si>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</si>
  <si>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</si>
  <si>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</si>
  <si>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</si>
  <si>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</si>
  <si>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</si>
  <si>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</si>
  <si>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</si>
  <si>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</si>
  <si>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</si>
  <si>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</si>
  <si>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</si>
  <si>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</si>
  <si>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</si>
  <si>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</si>
  <si>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</si>
  <si>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</si>
  <si>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</si>
  <si>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</si>
  <si>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</si>
  <si>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</si>
  <si>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</si>
  <si>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</si>
  <si>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</si>
  <si>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</si>
  <si>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</si>
  <si>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</si>
  <si>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</si>
  <si>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</si>
  <si>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</si>
  <si>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</si>
  <si>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</si>
  <si>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</si>
  <si>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</si>
  <si>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</si>
  <si>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</si>
  <si>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</si>
  <si>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</si>
  <si>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</si>
  <si>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</si>
  <si>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</si>
  <si>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</si>
  <si>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</si>
  <si>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</si>
  <si>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</si>
  <si>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</si>
  <si>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</si>
  <si>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</si>
  <si>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</si>
  <si>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</si>
  <si>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</si>
  <si>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</si>
  <si>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</si>
  <si>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</si>
  <si>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</si>
  <si>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</si>
  <si>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</si>
  <si>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</si>
  <si>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</si>
  <si>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</si>
  <si>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</si>
  <si>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</si>
  <si>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</si>
  <si>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</si>
  <si>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</si>
  <si>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</si>
  <si>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</si>
  <si>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</si>
  <si>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</si>
  <si>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</si>
  <si>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</si>
  <si>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</si>
  <si>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</si>
  <si>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</si>
  <si>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</si>
  <si>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</si>
  <si>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</si>
  <si>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</si>
  <si>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</si>
  <si>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</si>
  <si>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</si>
  <si>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</si>
  <si>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</si>
  <si>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</si>
  <si>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</si>
  <si>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</si>
  <si>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</si>
  <si>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</si>
  <si>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</si>
  <si>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</si>
  <si>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</si>
  <si>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</si>
  <si>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</si>
  <si>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</si>
  <si>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</si>
  <si>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</si>
  <si>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</si>
  <si>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</si>
  <si>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</si>
  <si>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</si>
  <si>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</si>
  <si>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</si>
  <si>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</si>
  <si>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</si>
  <si>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</si>
  <si>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</si>
  <si>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</si>
  <si>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</si>
  <si>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</si>
  <si>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</si>
  <si>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</si>
  <si>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</si>
  <si>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</si>
  <si>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</si>
  <si>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</si>
  <si>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</si>
  <si>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</si>
  <si>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</si>
  <si>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</si>
  <si>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</si>
  <si>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</si>
  <si>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</si>
  <si>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</si>
  <si>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</si>
  <si>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</si>
  <si>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</si>
  <si>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</si>
  <si>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</si>
  <si>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</si>
  <si>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</si>
  <si>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</si>
  <si>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</si>
  <si>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</si>
  <si>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</si>
  <si>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</si>
  <si>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</si>
  <si>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</si>
  <si>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</si>
  <si>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</si>
  <si>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</si>
  <si>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</si>
  <si>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</si>
  <si>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</si>
  <si>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</si>
  <si>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</si>
  <si>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</si>
  <si>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</si>
  <si>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</si>
  <si>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</si>
  <si>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</si>
  <si>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ALCALDIA DE BUCARAMANGA</t>
  </si>
  <si>
    <t>GESTIÓN DE LAS FINANZAS PUBLICAS</t>
  </si>
  <si>
    <t>Dirigir y controlar la política fiscal mediante el recaudo de los tributos, programación, administración, seguimiento y control  del presupuesto general de rentas y gastos de cada vigencia fiscal, así mismo, la realización de acciones administrativas, encaminadas al fortalecimiento de la finanzas municipales, gestión de las mesadas pensionales, y el registro contable de sus recursos, garantizando la transparencia, trazabilidad de la información financiera, y la mitigación de riesgos operacionales, económicos y laborales.</t>
  </si>
  <si>
    <t>Este proceso abarca desde  identificación,  programación, ejecución, seguimiento y control del presupuesto municipal de cada vigencia fiscal, para la financiación de programas y proyectos y demás fuentes necesarias, garantizando la transparencia y cumplimiento normativo,  así mismo, la ejecución de acciones administrativas encaminadas al fortalecimiento de la política fiscal, gestión de las mesadas pensionales, y el registro de la contabilidad pública; promoviendo  un ambiente de trabajo seguro y una cultura organizacional que prioriza la integridad en la gestión de los recursos, minimizando riesgos operacionales, financieros, laborales y ambientales, en aras de fomentar la reducción de impactos negativos.</t>
  </si>
  <si>
    <t>investigaciones de entes de control</t>
  </si>
  <si>
    <t>la falta de control y seguimiento a las partidas conciliatorias y conceptos de ingresos que afectan los movimientos bancarios, generando inconsistencias entre los libros contables y los extractos bancarios</t>
  </si>
  <si>
    <t xml:space="preserve">La Tesorería General </t>
  </si>
  <si>
    <t>a través de la revisión y seguimiento de las diferencias identificadas, con el fin de gestionar su saneamiento oportuno.</t>
  </si>
  <si>
    <t>verifica las partidas conciliatorias bancarias reportadas por Contabilidad,</t>
  </si>
  <si>
    <t>Realizar un informe semestral por parte de la Tesorería General de las partidas conciliatorias bancarias depuradas del reporte entregado por contabilidad.</t>
  </si>
  <si>
    <t>Informe semestral de la Tesorería General (2)</t>
  </si>
  <si>
    <t xml:space="preserve">Tesorera General y profesional especializado de contabilidad </t>
  </si>
  <si>
    <t>Realizar tres (3) socializaciones al año por parte del Profesional Especializado del Área de Contabilidad ante el Comité de Sostenibilidad Contable, sobre el proceso de depuración de partidas conciliatorias y el seguimiento a la gestión adelantada con las áreas involucradas en las conciliaciones bancarias, dejando evidencia en actas y soportes correspondientes.</t>
  </si>
  <si>
    <t>Acta del comité (3)</t>
  </si>
  <si>
    <t>Profesional especializado de contabilidad</t>
  </si>
  <si>
    <t xml:space="preserve">deficiencias en la planeación de las necesidades del Plan Anual de Adquisiciones de la Secretaría de Hacienda, </t>
  </si>
  <si>
    <t>insuficiencias en la identificación y proyección oportuna de los requerimientos contractuales, generando compromisos de vigencias futuras para atender necesidades de la vigencia actual</t>
  </si>
  <si>
    <t xml:space="preserve">El Secretario de Hacienda y el equipo de contratación </t>
  </si>
  <si>
    <t xml:space="preserve">a través de la revisión y seguimiento de la identificación y proyección de los requerimientos de las dependencias, con el fin de gestionar oportunamente las modificaciones y actualizaciones requeridas. </t>
  </si>
  <si>
    <t>verifican las necesidades contractuales incluidas en el Plan Anual de Adquisiciones,</t>
  </si>
  <si>
    <t>Realizar un (1) seguimiento semestral a las necesidades contractuales incluidas en el Plan Anual de Adquisiciones de la Secretaría de Hacienda, verificando la identificación y proyección oportuna de los requerimientos de la dependencia y dejando evidencia de las modificaciones o actualizaciones gestionadas cuando aplique.</t>
  </si>
  <si>
    <t>Informe general (2)</t>
  </si>
  <si>
    <t>Secretario de Hacienda y profesional encargado</t>
  </si>
  <si>
    <t xml:space="preserve">investigaciones y sanciones disciplinarias </t>
  </si>
  <si>
    <t>entes de control, debido al incumplimiento de la Ley 594 de 2000 en la gestión documental de la Secretaría de Hacienda</t>
  </si>
  <si>
    <t xml:space="preserve">El área de archivo de la Secretaría de Hacienda encargado del manejo del archivo </t>
  </si>
  <si>
    <t>aplica los manuales y procedimientos</t>
  </si>
  <si>
    <t>para la intervención documental el cual establece los lineamientos para llevar a cabo la: organización, inventario y transferencias documentales primarias desde los Archivos de Gestión al Archivo Central, teniendo en cuenta el cumplimiento de los tiempos de retención en las fases del ciclo vital de la documentación, según lo estipulen las tablas de retención documental, tablas de valoración documental y las directrices del Archivo General de la Nación</t>
  </si>
  <si>
    <t>Realizar el 3% de las transferencias documentales (corresponde a un número aproximado de 350 cajas) primarias de la Secretaría de Hacienda al archivo central en los tiempos establecidos en el cronograma para la vigencia que aplique la tabla de retención documental vigente.</t>
  </si>
  <si>
    <t>Acta de transferencia documental F-GDO-8600-238,37-022</t>
  </si>
  <si>
    <t>Organizar el 5% de los expedientes producidos por la Secretaría de Hacienda</t>
  </si>
  <si>
    <t>Informe de seguimiento a la organización documental F-GDO-8600-238,37-033</t>
  </si>
  <si>
    <t>Elaborar el 5% de los inventarios documentales de los archivos producidos por la Secretaría de Hacienda</t>
  </si>
  <si>
    <t>Informe de seguimiento a la organización documental F-GDO-8600-238,37-003</t>
  </si>
  <si>
    <t>Secretario, Subsecretario y profesional asignado</t>
  </si>
  <si>
    <t>Profesional encargado</t>
  </si>
  <si>
    <t xml:space="preserve">inconsistencias o errores en el registro y reporte de la información de ingresos presentada en los sistemas CHIP y SIA Contraloría, </t>
  </si>
  <si>
    <t xml:space="preserve">deficiencias en la parametrización, interoperabilidad y funcionamiento del Sistema de Información Financiero (SIF), frente a los lineamientos establecidos por los entes de control. </t>
  </si>
  <si>
    <t>El Profesional Especializado del Área de Presupuesto</t>
  </si>
  <si>
    <t xml:space="preserve">verifica y valida la información presupuestal suministrada por el Área de Tesorería, </t>
  </si>
  <si>
    <t>mediante la revisión de la ejecución de ingresos y la clasificación de cuentas en el Sistema de Información Financiero (SIF), con el fin de identificar inconsistencias en la información reportada a los sistemas CHIP y SIA Contraloría antes de su rendición a los entes de control.</t>
  </si>
  <si>
    <t>Realizar una (1) mesa de trabajo mensual entre el Área de Presupuesto, el Área de las TIC y las áreas involucradas, para revisar la parametrización, integración y consistencia de la información de ingresos registrada en el Sistema de Información Financiero (SIF), a fin de fortalecer la generación de información en tiempo real y la confiabilidad de los reportes presentados en los sistemas CHIP y SIA Contraloría.</t>
  </si>
  <si>
    <t>Acta de reunión</t>
  </si>
  <si>
    <t>Profesional Especializado del Area de Presupuesto y Profesional del Área de Tesoreria</t>
  </si>
  <si>
    <t>debilidades en la planeación, gestión y ejecución de las obligaciones contractuales por parte de las unidades gestoras</t>
  </si>
  <si>
    <t xml:space="preserve">deficiencias en la supervisión y ejecución oportuna contractual producto de la constitución de reservas presupuestales y pasivos exigibles </t>
  </si>
  <si>
    <t xml:space="preserve">El Secretario de Hacienda y el Profesional Especializado del Área de Presupuesto </t>
  </si>
  <si>
    <t>imparten lineamientos a las unidades gestoras sobre el procedimiento para la constitución, seguimiento, ejecución y pago de las reservas presupuestales previamente constituidas,</t>
  </si>
  <si>
    <t>con el fin de fortalecer el cumplimiento oportuno de las obligaciones contractuales dentro de la vigencia fiscal correspondiente.</t>
  </si>
  <si>
    <t>Realizar una (1) socialización anual de los lineamientos relacionados con el procedimiento para la constitución, seguimiento, ejecución y pago de las reservas presupuestales previamente constituidas, a través de circular, correo electrónico o reunión dirigida a las unidades gestoras.</t>
  </si>
  <si>
    <t>Convocatoria, control de asistencia y memorias
(1)</t>
  </si>
  <si>
    <t xml:space="preserve">Profesional especializado del area de Presupuesto </t>
  </si>
  <si>
    <t>Realizar un seguimiento mensual a la ejecución de reservas presupuestales, y reportar a las secretarías responsables, a fin de que estas cumplan con su ejecución y liquidación en la vigencia 2026.</t>
  </si>
  <si>
    <t xml:space="preserve">Profesional especializado del área de Presupuesto </t>
  </si>
  <si>
    <t>Oficios  mensuales  enviados a las secretarías responsables de reservas presupuestales vigencia 2026 (total, meses 10)</t>
  </si>
  <si>
    <t>Realizar un seguimiento mensual a las secretarías responsables de la  ejecución de Pasivos Exigibles Vigencias Espiradas-PEVE constituidos a diciembre de 2025.</t>
  </si>
  <si>
    <t>Oficios remitidos y/o actas de reuniones desarrolladas con las secretarías responsables de los PEVE vigencia 2025
(6)</t>
  </si>
  <si>
    <t xml:space="preserve">generación de información contable y financiera no razonable o inconsistente del Municipio de Bucaramanga, </t>
  </si>
  <si>
    <t xml:space="preserve">debilidades en la depuración contable, validación de saldos, conciliación y análisis de la información registrada en el Sistema de Información Financiera, en incumplimiento del Marco Normativo del Régimen de Contabilidad Pública. </t>
  </si>
  <si>
    <t xml:space="preserve">El profesional especializado del Área de Contabilidad </t>
  </si>
  <si>
    <t xml:space="preserve">revisa y valida periódicamente la información contable y financiera registrada en el Sistema de Información Financiera, </t>
  </si>
  <si>
    <t>mediante actividades de conciliación, depuración, análisis de saldos y articulación con las dependencias involucradas, con el fin de garantizar la razonabilidad y consistencia de la información financiera del Municipio de Bucaramanga conforme al Marco Normativo del Régimen de Contabilidad Pública.</t>
  </si>
  <si>
    <t>Presentar tres (3) informes al año ante el Comité de Sostenibilidad Contable sobre el avance de la depuración contable, conciliación de saldos y gestión adelantada frente a inconsistencias identificadas en la información financiera del Municipio.</t>
  </si>
  <si>
    <t>Informe general (3)</t>
  </si>
  <si>
    <t>Profesional especializado del área de Contabilidad</t>
  </si>
  <si>
    <t>Realizar dos (2) mesas de trabajo al año con las dependencias que requieran validación y revisión de la información financiera, para revisar inconsistencias y definir acciones de mejora relacionadas con la información registrada en el Sistema de Información Financiera, dejando evidencia de los compromisos y seguimiento efectuado.</t>
  </si>
  <si>
    <t>Actas de reunión (2)</t>
  </si>
  <si>
    <t>investigaciones y sanciones disciplinarias por entes de control</t>
  </si>
  <si>
    <t>la falta de seguimiento al cumplimiento de metas del Plan de Desarrollo Municipal programadas para la vigencia.</t>
  </si>
  <si>
    <t xml:space="preserve">La Secretaría de Hacienda </t>
  </si>
  <si>
    <t xml:space="preserve">verifica el avance en el cumplimiento físico de las metas y la ejecución de los recursos financieros del Plan de Desarrollo Municipal 2026-2027, </t>
  </si>
  <si>
    <t>mediante seguimiento periódico, con el fin de gestionar oportunamente la apropiación de recursos y la solicitud de vigencias futuras que garanticen el cumplimiento de las metas programadas para la vigencia.</t>
  </si>
  <si>
    <t>Realizar reuniones trimestrales de seguimiento, lideradas por el Secretario de Despacho, para verificar el cumplimiento de las metas del Plan de Desarrollo Municipal 2026-2027, mediante el análisis y validación de los reportes de avance físico y financiero, e identificar oportunamente posibles desviaciones o incumplimientos frente a lo programado, con el fin de adoptar las acciones correctivas a que haya lugar.</t>
  </si>
  <si>
    <t>Acta de reunión
(4)</t>
  </si>
  <si>
    <t>Líder de proceso y 
profesional asignado</t>
  </si>
  <si>
    <t>incumplimiento de las acciones establecidas en los planes de mejoramiento derivados de auditorías internas y externas,</t>
  </si>
  <si>
    <t xml:space="preserve">debilidades en la publicación y actualización de la información obligatoria en la página web institucional, </t>
  </si>
  <si>
    <t xml:space="preserve">incumplimiento de los lineamientos establecidos en la Ley 1712 de 2014 y la Resolución 1519 de 2020 del MINTIC. </t>
  </si>
  <si>
    <t xml:space="preserve">El profesional asignado por el líder del proceso </t>
  </si>
  <si>
    <t xml:space="preserve">verifica la información sujeta a publicación y actualización en la página web institucional, </t>
  </si>
  <si>
    <t>de acuerdo con los lineamientos establecidos en la Resolución 1519 de 2020 y sus anexos.</t>
  </si>
  <si>
    <t>Solicitar al área TIC la publicación del 100% de la información y documentos a cargo de la Secretaría de Hacienda, de conformidad con los lineamientos y estándares establecidos en la Resolución 1519 de 2020.</t>
  </si>
  <si>
    <t>Solicitudes de publicación enviados al área TIC</t>
  </si>
  <si>
    <t>Lider de proceso y profesional asignado</t>
  </si>
  <si>
    <t>debilidades en el seguimiento y cumplimiento de los tiempos definidos para su ejecución.</t>
  </si>
  <si>
    <t xml:space="preserve">La profesional encargada </t>
  </si>
  <si>
    <t xml:space="preserve">revisa las acciones correctivas establecidas y plasmadas en los Planes de Mejoramiento de auditorías internas y externas suscritos, </t>
  </si>
  <si>
    <t>a través de seguimientos con los responsables de su cumplimiento</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</si>
  <si>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</si>
  <si>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Actas de seguimiento (3)</t>
  </si>
  <si>
    <t>Secretario de Hacienda, Líderes de áreas y profesionales asignados</t>
  </si>
  <si>
    <t xml:space="preserve">desconocimiento del avance y ejecución de las metas institucionales, </t>
  </si>
  <si>
    <t xml:space="preserve">a debilidades en el seguimiento a los recursos del Fondo Municipal de Gestión del Riesgo. </t>
  </si>
  <si>
    <t xml:space="preserve">El ordenador del gasto </t>
  </si>
  <si>
    <t>verifica la destinación y ejecución de recursos del fondo de Gestión del Riesgo</t>
  </si>
  <si>
    <t>a través de seguimientos, a fin de garantizar el cumplimiento de metas institucionales</t>
  </si>
  <si>
    <t>Realizar seguimiento cuatrimestral al cumplimiento de las metas institucionales con respecto a la destinación y ejecución de recursos del Fondo Municipal de Gestión del Riesgo de Desastres</t>
  </si>
  <si>
    <t>Informes de seguimiento (2)</t>
  </si>
  <si>
    <t xml:space="preserve">pérdida, extravío, hurto o faltantes en inventario de bienes muebles de la entidad, </t>
  </si>
  <si>
    <t xml:space="preserve">deficiencias en la actualización, verificación y control del inventario de bienes muebles. </t>
  </si>
  <si>
    <t>El servidor público</t>
  </si>
  <si>
    <t xml:space="preserve">verifica la existencia y estado de los bienes muebles asignados a su cargo, </t>
  </si>
  <si>
    <t>a través de la revisión y validación de la información registrada en el formato Estado Actual del Inventario Resumido del Servidor Público F-INV-8500-238,37-015 y el reporte oportuno de novedades o inconsistencias al área de Inventarios.</t>
  </si>
  <si>
    <t>Realizar semestralmente la verificación física y validación de los bienes muebles asignados a cada servidor público, mediante la revisión del formato Estado Actual del Inventario Resumido del Servidor Público F-INV-8500-238,37-015 y reportando oportunamente al área de Inventarios las novedades o inconsistencias identificadas.</t>
  </si>
  <si>
    <t>Correos de reporte de conformidad o novedad al proceso de inventarios</t>
  </si>
  <si>
    <t>Servidores públicos Secretaría de Hacienda</t>
  </si>
  <si>
    <t>incumplimiento en la atención oportuna de requerimientos emitidos por entes de control y vigilancia,</t>
  </si>
  <si>
    <t xml:space="preserve">deficiencias en el seguimiento, gestión y control de los términos establecidos para su respuesta. </t>
  </si>
  <si>
    <t xml:space="preserve">verifica el cumplimiento de los términos establecidos para la atención de los requerimientos de los entes de control y vigilancia asignados a la Secretaría de Hacienda, </t>
  </si>
  <si>
    <t>Realizar seguimiento cuatrimestral al cumplimiento de los tiempos de respuesta de los requerimientos asignados por los entes de control y vigilancia, identificando alertas y posibles vencimientos para su atención oportuna.</t>
  </si>
  <si>
    <t>Indicador semestral de respuesta a tiempo / total de PQRSD de entes de control asignadas mediante el GSC</t>
  </si>
  <si>
    <t>El profesional encargado</t>
  </si>
  <si>
    <t>a través del seguimiento a las fechas de vencimiento y respuesta registradas en los mecanismos institucionales, identificando alertas frente a posibles incumplimientos.</t>
  </si>
  <si>
    <t xml:space="preserve">deficiencias en la gestión de las etapas precontractual, contractual y postcontractual, </t>
  </si>
  <si>
    <t xml:space="preserve">incumplimiento de los lineamientos, requisitos y obligaciones establecidos en la normatividad vigente y en los documentos contractuales, generando pagos sobre obligaciones parcialmente ejecutadas o no cumplidas. </t>
  </si>
  <si>
    <t>Los profesionales encargados de la contratación y los supervisores designados</t>
  </si>
  <si>
    <t xml:space="preserve">verifican el cumplimiento de los lineamientos, requisitos y obligaciones establecidos en la normatividad vigente y en los documentos contractuales </t>
  </si>
  <si>
    <t>durante las etapas precontractual, contractual y postcontractual de los procesos celebrados por la Secretaría de Hacienda, diferentes a contratos de prestación de servicios, mediante la aplicación de listas de chequeo y revisión del avance y ejecución contractual.</t>
  </si>
  <si>
    <t>Realizar un seguimiento trimestral al 100% de los contratos celebrados por la Secretaría de Hacienda diferentes a contratos de prestación de servicios, con el fin de verificar el cumplimiento de los requisitos y lineamientos establecidos en las etapas precontractual, contractual y postcontractual.</t>
  </si>
  <si>
    <t>Informe de seguimiento 
(3)</t>
  </si>
  <si>
    <t xml:space="preserve">Secretario de Despacho, supervisores y Líder de Contratación </t>
  </si>
  <si>
    <t>pago de sanciones</t>
  </si>
  <si>
    <t>omisiones, errores o inconsistencias en el diligenciamiento, validación y reporte de la información financiera, contable y tributaria requerida por los entes de control y vigilancia, dentro de los plazos y lineamientos establecidos por la normatividad aplicable</t>
  </si>
  <si>
    <t>El profesional del Área Contable</t>
  </si>
  <si>
    <t>verifica y valida que la información financiera, contable y tributaria requerida por los entes de control y vigilancia sea diligenciada y reportada dentro de los plazos y lineamientos establecidos por la normatividad aplicable,</t>
  </si>
  <si>
    <t>con el fin de evitar inconsistencias, omisiones y posibles sanciones para el Municipio de Bucaramanga.</t>
  </si>
  <si>
    <t>Presentar el 100% de los reportes de información financiera, contable y tributaria requeridos por los entes de control y vigilancia, validando su diligenciamiento y cumplimiento dentro de los plazos establecidos, dejando evidencia de la revisión efectuada.</t>
  </si>
  <si>
    <t>Certificados o constancias de cargue de la información en las plataformas correspondientes (DIAN, CHIP, SIA CONTRALORIA, CGN, entre otras).</t>
  </si>
  <si>
    <t xml:space="preserve">Área contabilidad </t>
  </si>
  <si>
    <t xml:space="preserve">disminución de ingresos o prescripción de la cartera en mora, </t>
  </si>
  <si>
    <t xml:space="preserve">la renuencia de los contribuyentes al pago de las obligaciones tributarias, dificultades para la localización de deudores morosos, fallecimiento de contribuyentes y procesos de legalización y cesión de predios que afectan la recuperación oportuna de la cartera dentro de los términos establecidos para el cobro persuasivo y coactivo. </t>
  </si>
  <si>
    <t>El Tesorero General del Municipio y el equipo de trabajo</t>
  </si>
  <si>
    <t xml:space="preserve">verifican la gestión y recuperación de la cartera de las diferentes rentas municipales, </t>
  </si>
  <si>
    <t>a través del seguimiento y validación de las actuaciones de cobro persuasivo y coactivo realizadas a los contribuyentes morosos, identificando oportunamente situaciones que puedan afectar el recaudo y evitar la prescripción de las obligaciones.</t>
  </si>
  <si>
    <t>Realizar un informe cuatrimestral sobre recaudo de cartera por medio del proceso de cobro persuasivo y coactivo</t>
  </si>
  <si>
    <t>Informe general
(3)</t>
  </si>
  <si>
    <t>Tesorero General del Municipio</t>
  </si>
  <si>
    <t xml:space="preserve">afectación en la ejecución de los proyectos de presupuestos participativos, </t>
  </si>
  <si>
    <t xml:space="preserve">cambios en la destinación de los recursos asignados para su financiación. </t>
  </si>
  <si>
    <t>El profesional especializado de presupuesto</t>
  </si>
  <si>
    <t xml:space="preserve">erifica los traslados presupuestales cada vez que surja esta actividad, </t>
  </si>
  <si>
    <t xml:space="preserve">a fin de garantizar que los mismos se hagan acorde a sus exigencias, y garantizar que en  ningún momento se afecte el rubro de presupuestos participativos a un uso diferente del definido en el Acuerdo que lo estableció. </t>
  </si>
  <si>
    <t>Realizar informe cuatrimestral de seguimiento a los traslados realizados entre los rubros de presupuestos  participativos, garantizando el uso definido en el Acuerdo que lo estableció.</t>
  </si>
  <si>
    <t>Informe de seguimiento
 (3)</t>
  </si>
  <si>
    <t>Profesional Especializado -Presupuesto</t>
  </si>
  <si>
    <t>la no disponibilidad de recursos del FONPET para la atención de obligaciones pensionales,</t>
  </si>
  <si>
    <t xml:space="preserve">deficiencias en la gestión y presentación de la documentación habilitante dentro de los términos establecidos. </t>
  </si>
  <si>
    <t xml:space="preserve">El profesional encargado </t>
  </si>
  <si>
    <t xml:space="preserve">de diligenciar los formatos de requisitos habilitantes para acceder a los recursos del FONPET </t>
  </si>
  <si>
    <t>deberá formular y ejecutar un cronograma con el cumplimiento de los tiempos definidos por el Ministerio de Hacienda y Crédito Público.</t>
  </si>
  <si>
    <t>Realizar informe cuatrimestral de seguimiento al cumplimiento del cronograma establecido para la presentación de los requisitos habilitantes del FONPET, identificando posibles retrasos o incumplimientos en los tiempos definidos.</t>
  </si>
  <si>
    <t>Informe de seguimiento
(3)</t>
  </si>
  <si>
    <t>Profesional
Fondo Territorial de Pensiones</t>
  </si>
  <si>
    <t xml:space="preserve">configuración del silencio administrativo positivo en recursos de reconsideración y solicitudes de revocatoria directa presentadas por los contribuyentes, </t>
  </si>
  <si>
    <t>incumplimiento de los términos legales para su trámite y respuesta</t>
  </si>
  <si>
    <t xml:space="preserve">Los profesionales asignados al área de impuestos (grupo de abogados) </t>
  </si>
  <si>
    <t>verifican los términos legales de los recursos de reconsideración y solicitudes de revocatoria directa asignados a la Secretaría de Hacienda,</t>
  </si>
  <si>
    <t>mediante un sistema de automatización que genera alertas sobre el vencimiento de los términos y notificaciones al correo electrónico del abogado responsable, con el fin de evitar la configuración del silencio administrativo positivo.</t>
  </si>
  <si>
    <t>Realizar seguimiento trimestral a los términos legales de los recursos de reconsideración y solicitudes de revocatoria directa a través del sistema de automatización implementado, generando el reporte correspondiente sobre el estado y vencimiento de los términos.</t>
  </si>
  <si>
    <t>Reporte en archivo excel y correos de alertas</t>
  </si>
  <si>
    <t>Profesional asignado</t>
  </si>
  <si>
    <t xml:space="preserve">inconsistencias en la liquidación, gestión y control del Impuesto Predial Unificado (IPU), </t>
  </si>
  <si>
    <t xml:space="preserve">la falta de interoperabilidad entre el Sistema de Información de Impuestos Municipales (SIIM) y la plataforma BCGS del Área Metropolitana de Bucaramanga (AMB). </t>
  </si>
  <si>
    <t xml:space="preserve">La Subsecretaría de Hacienda y/o el personal asignado del área de Impuestos Municipales, </t>
  </si>
  <si>
    <t>verifican la interoperabilidad</t>
  </si>
  <si>
    <t xml:space="preserve"> en la liquidación del Impuesto Predial Unificado (IPU) entre el Sistema de Información de Impuestos Municipales (SIIM) y la plataforma BCGS del Área Metropolitana de Bucaramanga (AMB).</t>
  </si>
  <si>
    <t>Realizar una (1) mesa de trabajo entre la Subsecretaría de Hacienda, el área de Impuestos Municipales y la Oficina TIC, con el fin de revisar la interoperabilidad entre el Sistema de Información de Impuestos Municipales (SIIM) y la plataforma BCGS del Área Metropolitana de Bucaramanga (AMB).</t>
  </si>
  <si>
    <t>Realizar un (1) seguimiento cuatrimestral a los avances y acciones implementadas para fortalecer la interoperabilidad entre el Sistema de Información de Impuestos Municipales (SIIM) y la plataforma BCGS del Área Metropolitana de Bucaramanga (AMB).</t>
  </si>
  <si>
    <t>Subsecretaria de Hacienda y/o personal asignado del área de Impuestos Municipales  y la Oficina TIC</t>
  </si>
  <si>
    <t>Actas de reunión mesas de trabajo (1)</t>
  </si>
  <si>
    <t>Subsecretaria de Hacienda y/o personal asignado del área de Impuestos Municipales y la Oficina TIC</t>
  </si>
  <si>
    <t>Acta de seguimiento (2)</t>
  </si>
  <si>
    <t xml:space="preserve">investigaciones disciplinarias y sanciones por entes de control, </t>
  </si>
  <si>
    <t xml:space="preserve">incumplimiento en las normas vigentes en las diferentes etapas de la contratación (precontractual, contractual y postcontractual) que puedan afectar la obtención y cumplimiento del objeto contractual </t>
  </si>
  <si>
    <t>Los profesionales encargados de la contratación y/o supervisores designados</t>
  </si>
  <si>
    <t>revisaran el cumplimiento de las normas vigentes</t>
  </si>
  <si>
    <t>en las diferentes etapas de contratación (precontractual, contractual y postcontractual), de los procesos celebrados por la Secretaría de Hacienda.</t>
  </si>
  <si>
    <t>Realizar un (1) seguimiento cuatrimestral a una muestra aleatoria del 20% de los contratos suscritos por la Secretaría de Hacienda en las diferentes etapas de contratación (precontractual, contractual y postcontractual), de los procesos celebrados.</t>
  </si>
  <si>
    <t>Líder de contratación y/o profesionales asignados</t>
  </si>
  <si>
    <t>inconsistencias en la aplicación de novedades del módulo de Industria y Comercio del Sistema de Impuestos Municipales,</t>
  </si>
  <si>
    <t>deficiencias en la validación, revisión y soporte de la información registrada.</t>
  </si>
  <si>
    <t xml:space="preserve">El profesional responsable </t>
  </si>
  <si>
    <t xml:space="preserve">verifica la aplicación de novedades en el Sistema de Impuestos Municipales, </t>
  </si>
  <si>
    <t>a través de la revisión y validación de los documentos o actos administrativos que soportan las modificaciones registradas, con el fin de garantizar la consistencia y trazabilidad de la información.</t>
  </si>
  <si>
    <t>Realizar un (1) seguimiento cuatrimestral de manera aleatoria a las modificaciones registradas en el módulo de novedades de Industria y Comercio del Sistema de Impuestos Municipales, con el fin de verificar la existencia de los soportes y la justificación de los cambios efectuados</t>
  </si>
  <si>
    <t>Acta de reunión 
(2)</t>
  </si>
  <si>
    <t xml:space="preserve">soborno entrante en la administración de recursos públicos de la Secretaría de Hacienda, </t>
  </si>
  <si>
    <t>al recibir o solicitar ventajas indebidas para manipular y/o favorecer la constitución de inversiones, debido a debilidades en los controles y seguimiento de las operaciones financieras.</t>
  </si>
  <si>
    <t xml:space="preserve">El líder del proceso </t>
  </si>
  <si>
    <t xml:space="preserve">revisa y valida la constitución de inversiones realizadas por la Secretaría de Hacienda, verificando el cumplimiento de los lineamientos financieros </t>
  </si>
  <si>
    <t>y dejando evidencia de la revisión mediante las actas y aprobaciones del Comité de Inversiones Financieras</t>
  </si>
  <si>
    <t>Realizar dos (2) Comités de Inversiones al año para revisar y validar los movimientos financieros y la constitución de inversiones realizadas por la Secretaría de Hacienda, dejando evidencia en actas correspondientes.</t>
  </si>
  <si>
    <t>Actas de comité (2)</t>
  </si>
  <si>
    <t>Tesorería General</t>
  </si>
  <si>
    <t>Diseñar e implementar el procedimiento para la gestión de inversiones financieras, incorporando controles de validación de riesgo, aprobación del Comité de Inversiones Financieras y seguimiento de las operaciones financieras.</t>
  </si>
  <si>
    <t>Procedimiento diseñado e implementado</t>
  </si>
  <si>
    <t xml:space="preserve">por soborno entrante en el retiro de registros del Boletín de Deudores Morosos del Estado (BDME), </t>
  </si>
  <si>
    <t>al solicitar o recibir ventajas indebidas a nombre propio o de terceros para efectuar exclusiones sin el cumplimiento de los requisitos establecidos por la Contaduría General de la Nación.</t>
  </si>
  <si>
    <t>verifica y valida que los retiros de registros del Boletín de Deudores Morosos del Estado (BDME) cumplan con los requisitos y soportes establecidos por la Contaduría General de la Nación,</t>
  </si>
  <si>
    <t>dejando evidencia de la revisión y aprobación previa al trámite de exclusión.</t>
  </si>
  <si>
    <t>Realizar un (1) informe de seguimiento cuatrimestral a los retiros de registros del Boletín de Deudores Morosos del Estado (BDME), mediante la validación del archivo plano generado por el sistema Unicajas y las solicitudes presentadas por los contribuyentes, dejando evidencia de la revisión efectuada.</t>
  </si>
  <si>
    <t>Informes generales (3)</t>
  </si>
  <si>
    <t xml:space="preserve">inconsistencias en la aplicación de novedades del Impuesto Predial Unificado en el Sistema de Impuestos Municipales, </t>
  </si>
  <si>
    <t>deficiencias en la revisión, validación y soporte de la información registrada.</t>
  </si>
  <si>
    <t xml:space="preserve">verifica la aplicación de novedades del Impuesto Predial Unificado en el Sistema de Impuestos Municipales, </t>
  </si>
  <si>
    <t>a través de la revisión y validación de los documentos o actos administrativos que soportan las modificaciones efectuadas, identificando posibles inconsistencias o registros sin justificación.</t>
  </si>
  <si>
    <t>Realizar un (1) seguimiento cuatrimestral a las modificaciones registradas en el módulo de novedades del Impuesto Predial Unificado en el Sistema de Impuestos Municipales, con el fin de verificar la existencia de soportes y la justificación de los cambios efectuados</t>
  </si>
  <si>
    <t>Acta de reunión
(2)</t>
  </si>
  <si>
    <t>Profesional asignado   Impuestos Municipales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</si>
</sst>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5"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amily val="2"/>
    </font>
    <font>
      <b/>
      <sz val="12"/>
      <name val="Arial"/>
      <family val="2"/>
    </font>
    <font>
      <sz val="12"/>
      <name val="Arial"/>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10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70">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8" fillId="15" borderId="74" xfId="0" applyFont="1" applyFill="1" applyBorder="1" applyAlignment="1">
      <alignment horizontal="center" vertical="center" wrapText="1"/>
    </xf>
    <xf numFmtId="0" fontId="4" fillId="3" borderId="63"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7"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7"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6" xfId="2" applyFont="1" applyFill="1" applyBorder="1" applyAlignment="1" applyProtection="1">
      <alignment horizontal="center" vertical="center" wrapText="1"/>
      <protection locked="0"/>
    </xf>
    <xf numFmtId="9" fontId="0" fillId="3" borderId="76"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6" xfId="0" applyFont="1" applyFill="1" applyBorder="1" applyAlignment="1">
      <alignment vertical="center" wrapText="1"/>
    </xf>
    <xf numFmtId="0" fontId="2" fillId="4" borderId="48" xfId="0" applyFont="1" applyFill="1" applyBorder="1" applyAlignment="1">
      <alignment vertical="center" wrapText="1"/>
    </xf>
    <xf numFmtId="0" fontId="2" fillId="4" borderId="79" xfId="0" applyFont="1" applyFill="1" applyBorder="1" applyAlignment="1">
      <alignment vertical="center" wrapText="1"/>
    </xf>
    <xf numFmtId="0" fontId="2" fillId="4" borderId="82" xfId="0" applyFont="1" applyFill="1" applyBorder="1" applyAlignment="1">
      <alignment vertical="center" wrapText="1"/>
    </xf>
    <xf numFmtId="14" fontId="2" fillId="4" borderId="92" xfId="0" applyNumberFormat="1" applyFont="1" applyFill="1" applyBorder="1" applyAlignment="1">
      <alignment vertical="center" wrapText="1"/>
    </xf>
    <xf numFmtId="14" fontId="2" fillId="4" borderId="93"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4" xfId="0" applyFont="1" applyBorder="1" applyAlignment="1" applyProtection="1">
      <alignment horizontal="center" vertical="center"/>
      <protection locked="0"/>
    </xf>
    <xf numFmtId="0" fontId="20" fillId="0" borderId="94"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8" xfId="0" applyNumberFormat="1" applyBorder="1" applyAlignment="1">
      <alignment horizontal="center" vertical="center" wrapText="1"/>
    </xf>
    <xf numFmtId="9" fontId="0" fillId="0" borderId="99"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6" fillId="0" borderId="0" xfId="2" applyFont="1" applyAlignment="1">
      <alignment vertical="center" wrapText="1"/>
    </xf>
    <xf numFmtId="0" fontId="54" fillId="0" borderId="0" xfId="2" applyFont="1" applyAlignment="1">
      <alignment vertical="center" wrapText="1"/>
    </xf>
    <xf numFmtId="0" fontId="3" fillId="3" borderId="77" xfId="2" applyFont="1" applyFill="1" applyBorder="1" applyAlignment="1" applyProtection="1">
      <alignment horizontal="left" vertical="center" wrapText="1"/>
      <protection locked="0"/>
    </xf>
    <xf numFmtId="0" fontId="3" fillId="3" borderId="6" xfId="2" applyFont="1" applyFill="1" applyBorder="1" applyAlignment="1" applyProtection="1">
      <alignment horizontal="left" vertical="center" wrapText="1"/>
      <protection locked="0"/>
    </xf>
    <xf numFmtId="0" fontId="3" fillId="0" borderId="1" xfId="2" applyFont="1" applyBorder="1" applyAlignment="1">
      <alignment horizontal="left" vertical="center" wrapText="1"/>
    </xf>
    <xf numFmtId="9" fontId="2" fillId="0" borderId="76" xfId="2" applyNumberFormat="1" applyBorder="1" applyAlignment="1">
      <alignment horizontal="center" vertical="center" wrapText="1"/>
    </xf>
    <xf numFmtId="0" fontId="2" fillId="0" borderId="5" xfId="0" applyFont="1" applyBorder="1" applyAlignment="1">
      <alignment horizontal="center" vertical="center" wrapText="1" readingOrder="1"/>
    </xf>
    <xf numFmtId="0" fontId="26" fillId="5" borderId="5" xfId="0" applyFont="1" applyFill="1" applyBorder="1" applyAlignment="1">
      <alignment horizontal="center" vertical="center" wrapText="1" readingOrder="1"/>
    </xf>
    <xf numFmtId="0" fontId="26" fillId="9" borderId="5" xfId="0" applyFont="1" applyFill="1" applyBorder="1" applyAlignment="1">
      <alignment horizontal="center" vertical="center" wrapText="1" readingOrder="1"/>
    </xf>
    <xf numFmtId="0" fontId="26" fillId="8" borderId="5" xfId="0" applyFont="1" applyFill="1" applyBorder="1" applyAlignment="1">
      <alignment horizontal="center" vertical="center" wrapText="1" readingOrder="1"/>
    </xf>
    <xf numFmtId="0" fontId="2" fillId="6" borderId="38" xfId="0" applyFont="1" applyFill="1" applyBorder="1" applyAlignment="1">
      <alignment horizontal="center" vertical="center" wrapText="1" readingOrder="1"/>
    </xf>
    <xf numFmtId="0" fontId="13" fillId="0" borderId="0" xfId="2" applyFont="1" applyAlignment="1">
      <alignment horizontal="center" vertical="center" textRotation="90" wrapText="1"/>
    </xf>
    <xf numFmtId="0" fontId="2" fillId="0" borderId="0" xfId="0" applyFont="1" applyAlignment="1">
      <alignment horizontal="center" vertical="center" wrapText="1" readingOrder="1"/>
    </xf>
    <xf numFmtId="0" fontId="26" fillId="5" borderId="0" xfId="0" applyFont="1" applyFill="1" applyAlignment="1">
      <alignment horizontal="center" vertical="center" wrapText="1" readingOrder="1"/>
    </xf>
    <xf numFmtId="0" fontId="26" fillId="9" borderId="0" xfId="0" applyFont="1" applyFill="1" applyAlignment="1">
      <alignment horizontal="center" vertical="center" wrapText="1" readingOrder="1"/>
    </xf>
    <xf numFmtId="0" fontId="26" fillId="8" borderId="0" xfId="0" applyFont="1" applyFill="1" applyAlignment="1">
      <alignment horizontal="center" vertical="center" wrapText="1" readingOrder="1"/>
    </xf>
    <xf numFmtId="0" fontId="2" fillId="6" borderId="0" xfId="0" applyFont="1" applyFill="1" applyAlignment="1">
      <alignment horizontal="center" vertical="center" wrapText="1" readingOrder="1"/>
    </xf>
    <xf numFmtId="9" fontId="0" fillId="0" borderId="26" xfId="0" applyNumberFormat="1" applyBorder="1" applyAlignment="1">
      <alignment horizontal="center" vertical="center" wrapText="1"/>
    </xf>
    <xf numFmtId="9" fontId="4" fillId="0" borderId="4" xfId="0" applyNumberFormat="1" applyFont="1" applyBorder="1" applyAlignment="1">
      <alignment horizontal="center" vertical="center" wrapText="1"/>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0" borderId="5" xfId="2" applyBorder="1" applyAlignment="1">
      <alignment horizontal="center" vertical="center" wrapText="1"/>
    </xf>
    <xf numFmtId="0" fontId="2" fillId="0" borderId="4" xfId="2" applyBorder="1" applyAlignment="1">
      <alignment horizontal="center" vertical="center" wrapText="1"/>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9" fontId="20" fillId="0" borderId="5"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9" fontId="2" fillId="0" borderId="5" xfId="2" applyNumberFormat="1" applyBorder="1" applyAlignment="1">
      <alignment horizontal="center" vertical="center" wrapText="1"/>
    </xf>
    <xf numFmtId="9" fontId="2" fillId="0" borderId="4" xfId="2" applyNumberFormat="1" applyBorder="1" applyAlignment="1">
      <alignment horizontal="center" vertical="center" wrapText="1"/>
    </xf>
    <xf numFmtId="0" fontId="2" fillId="0" borderId="76" xfId="2" applyBorder="1" applyAlignment="1">
      <alignment horizontal="center" vertical="center" wrapText="1"/>
    </xf>
    <xf numFmtId="0" fontId="2" fillId="0" borderId="24" xfId="2" applyBorder="1" applyAlignment="1">
      <alignment horizontal="center" vertical="center" wrapText="1"/>
    </xf>
    <xf numFmtId="9" fontId="2" fillId="0" borderId="7" xfId="2" applyNumberFormat="1" applyBorder="1" applyAlignment="1">
      <alignment horizontal="center" vertical="center" wrapText="1"/>
    </xf>
    <xf numFmtId="0" fontId="2" fillId="0" borderId="7" xfId="2" applyBorder="1" applyAlignment="1">
      <alignment horizontal="center" vertical="center" wrapText="1"/>
    </xf>
    <xf numFmtId="9" fontId="20" fillId="0" borderId="7" xfId="0" applyNumberFormat="1" applyFont="1" applyBorder="1" applyAlignment="1">
      <alignment horizontal="center" vertical="center" wrapText="1"/>
    </xf>
    <xf numFmtId="0" fontId="2" fillId="3" borderId="7" xfId="2" applyFill="1" applyBorder="1" applyAlignment="1">
      <alignment horizontal="center" vertical="center" wrapText="1"/>
    </xf>
    <xf numFmtId="0" fontId="2" fillId="3" borderId="7" xfId="2" applyFill="1" applyBorder="1" applyAlignment="1" applyProtection="1">
      <alignment horizontal="center" vertical="center" wrapText="1"/>
      <protection locked="0"/>
    </xf>
    <xf numFmtId="0" fontId="4" fillId="0" borderId="95" xfId="2" applyFont="1" applyBorder="1" applyAlignment="1">
      <alignment horizontal="center" vertical="center" wrapText="1"/>
    </xf>
    <xf numFmtId="0" fontId="4" fillId="0" borderId="96" xfId="2" applyFont="1" applyBorder="1" applyAlignment="1">
      <alignment horizontal="center" vertical="center" wrapText="1"/>
    </xf>
    <xf numFmtId="0" fontId="4" fillId="0" borderId="97" xfId="2" applyFont="1" applyBorder="1" applyAlignment="1">
      <alignment horizontal="center" vertical="center" wrapText="1"/>
    </xf>
    <xf numFmtId="0" fontId="53" fillId="0" borderId="83"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53" fillId="0" borderId="89" xfId="2" applyFont="1" applyBorder="1" applyAlignment="1" applyProtection="1">
      <alignment horizontal="center" vertical="center"/>
      <protection locked="0"/>
    </xf>
    <xf numFmtId="0" fontId="53" fillId="0" borderId="90" xfId="2" applyFont="1" applyBorder="1" applyAlignment="1" applyProtection="1">
      <alignment horizontal="center" vertical="center"/>
      <protection locked="0"/>
    </xf>
    <xf numFmtId="0" fontId="53" fillId="0" borderId="91" xfId="2" applyFont="1" applyBorder="1" applyAlignment="1" applyProtection="1">
      <alignment horizontal="center" vertical="center"/>
      <protection locked="0"/>
    </xf>
    <xf numFmtId="0" fontId="2" fillId="0" borderId="20" xfId="2" applyBorder="1" applyAlignment="1">
      <alignment horizontal="center" vertical="center" wrapText="1"/>
    </xf>
    <xf numFmtId="0" fontId="2" fillId="0" borderId="63" xfId="2"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2" fillId="4" borderId="86" xfId="0" applyFont="1" applyFill="1" applyBorder="1" applyAlignment="1">
      <alignment horizontal="left" vertical="center" wrapText="1"/>
    </xf>
    <xf numFmtId="0" fontId="2" fillId="4" borderId="48" xfId="0" applyFont="1" applyFill="1" applyBorder="1" applyAlignment="1">
      <alignment horizontal="left" vertical="center" wrapText="1"/>
    </xf>
    <xf numFmtId="0" fontId="2" fillId="0" borderId="100" xfId="2" applyBorder="1" applyAlignment="1">
      <alignment horizontal="center" vertical="center" wrapText="1"/>
    </xf>
    <xf numFmtId="0" fontId="22" fillId="0" borderId="94" xfId="0" applyFont="1" applyBorder="1" applyAlignment="1" applyProtection="1">
      <alignment horizontal="center" vertical="center"/>
      <protection locked="0"/>
    </xf>
    <xf numFmtId="14" fontId="20" fillId="0" borderId="94" xfId="0" applyNumberFormat="1" applyFont="1" applyBorder="1" applyAlignment="1" applyProtection="1">
      <alignment horizontal="center" vertical="center"/>
      <protection locked="0"/>
    </xf>
    <xf numFmtId="0" fontId="2" fillId="4" borderId="94" xfId="4" applyFill="1" applyBorder="1" applyAlignment="1">
      <alignment horizontal="justify" vertical="center" wrapText="1"/>
    </xf>
    <xf numFmtId="0" fontId="20" fillId="0" borderId="94" xfId="0" applyFont="1" applyBorder="1" applyAlignment="1" applyProtection="1">
      <alignment horizontal="center" vertical="center" wrapText="1"/>
      <protection locked="0"/>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1" xfId="2" applyFont="1" applyBorder="1" applyAlignment="1">
      <alignment horizontal="center" vertical="center" wrapText="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5" fillId="4" borderId="40" xfId="4" quotePrefix="1" applyFont="1" applyFill="1" applyBorder="1" applyAlignment="1">
      <alignment horizontal="left" vertical="top"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49"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81" xfId="4" applyFont="1" applyFill="1" applyBorder="1" applyAlignment="1">
      <alignment horizontal="justify" vertical="center" wrapText="1"/>
    </xf>
    <xf numFmtId="0" fontId="42" fillId="4" borderId="82" xfId="4" applyFont="1" applyFill="1" applyBorder="1" applyAlignment="1">
      <alignment horizontal="justify" vertical="center" wrapText="1"/>
    </xf>
    <xf numFmtId="0" fontId="41" fillId="4" borderId="53" xfId="0" applyFont="1" applyFill="1" applyBorder="1" applyAlignment="1">
      <alignment horizontal="left" vertical="center" wrapText="1"/>
    </xf>
    <xf numFmtId="0" fontId="41" fillId="4" borderId="54" xfId="0" applyFont="1" applyFill="1" applyBorder="1" applyAlignment="1">
      <alignment horizontal="left" vertical="center"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69"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79" xfId="5" applyFont="1" applyFill="1" applyBorder="1" applyAlignment="1">
      <alignment horizontal="left" vertical="top" wrapText="1" readingOrder="1"/>
    </xf>
    <xf numFmtId="0" fontId="41" fillId="4" borderId="80" xfId="5" applyFont="1" applyFill="1" applyBorder="1" applyAlignment="1">
      <alignment horizontal="left" vertical="top" wrapText="1" readingOrder="1"/>
    </xf>
    <xf numFmtId="0" fontId="41" fillId="4" borderId="57"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68" xfId="5" applyFont="1" applyFill="1" applyBorder="1" applyAlignment="1">
      <alignment horizontal="left" vertical="top" wrapText="1" readingOrder="1"/>
    </xf>
    <xf numFmtId="14" fontId="8" fillId="4" borderId="0" xfId="0" applyNumberFormat="1" applyFont="1" applyFill="1" applyAlignment="1">
      <alignment horizontal="left" wrapText="1"/>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12" fillId="0" borderId="1" xfId="2" applyFont="1" applyBorder="1" applyAlignment="1">
      <alignment horizontal="center" vertical="center" wrapText="1"/>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9" fontId="22" fillId="0" borderId="6" xfId="0" applyNumberFormat="1" applyFont="1" applyBorder="1" applyAlignment="1">
      <alignment horizontal="center" vertical="center" wrapText="1"/>
    </xf>
    <xf numFmtId="9" fontId="22" fillId="0" borderId="4"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33"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9" fontId="20" fillId="0" borderId="35" xfId="0" applyNumberFormat="1" applyFont="1" applyBorder="1" applyAlignment="1">
      <alignment horizontal="center" vertical="center" wrapText="1"/>
    </xf>
    <xf numFmtId="9" fontId="20" fillId="0" borderId="11" xfId="0" applyNumberFormat="1" applyFont="1" applyBorder="1" applyAlignment="1">
      <alignment horizontal="center" vertical="center" wrapText="1"/>
    </xf>
    <xf numFmtId="9" fontId="20" fillId="0" borderId="8" xfId="0" applyNumberFormat="1" applyFont="1" applyBorder="1" applyAlignment="1">
      <alignment horizontal="center" vertical="center" wrapText="1"/>
    </xf>
    <xf numFmtId="9" fontId="20" fillId="0" borderId="36"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2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4"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5" xfId="0" applyNumberFormat="1" applyFont="1" applyBorder="1" applyAlignment="1">
      <alignment horizontal="center" vertical="center" wrapText="1"/>
    </xf>
    <xf numFmtId="9" fontId="22" fillId="0" borderId="38" xfId="0" applyNumberFormat="1" applyFont="1" applyBorder="1" applyAlignment="1">
      <alignment horizontal="center" vertical="center" wrapText="1"/>
    </xf>
    <xf numFmtId="0" fontId="6" fillId="0" borderId="76" xfId="2" applyFont="1" applyBorder="1" applyAlignment="1">
      <alignment horizontal="center" vertical="center" wrapText="1"/>
    </xf>
    <xf numFmtId="0" fontId="6" fillId="0" borderId="5" xfId="2" applyFont="1" applyBorder="1" applyAlignment="1">
      <alignment horizontal="left" vertical="center" wrapText="1"/>
    </xf>
    <xf numFmtId="9" fontId="20" fillId="0" borderId="75" xfId="0" applyNumberFormat="1" applyFont="1" applyBorder="1" applyAlignment="1">
      <alignment horizontal="center" vertical="center" wrapText="1"/>
    </xf>
    <xf numFmtId="9" fontId="20" fillId="0" borderId="78" xfId="0" applyNumberFormat="1" applyFont="1" applyBorder="1" applyAlignment="1">
      <alignment horizontal="center" vertical="center" wrapText="1"/>
    </xf>
    <xf numFmtId="9" fontId="20" fillId="0" borderId="70" xfId="0" applyNumberFormat="1" applyFont="1" applyBorder="1" applyAlignment="1">
      <alignment horizontal="center"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6" fillId="0" borderId="8" xfId="2" applyFont="1" applyBorder="1" applyAlignment="1">
      <alignment horizontal="center" vertical="center" wrapText="1"/>
    </xf>
    <xf numFmtId="0" fontId="6" fillId="0" borderId="19" xfId="2" applyFont="1" applyBorder="1" applyAlignment="1">
      <alignment horizontal="center" vertical="center" wrapText="1"/>
    </xf>
    <xf numFmtId="0" fontId="6" fillId="0" borderId="8" xfId="2" applyFont="1" applyBorder="1" applyAlignment="1" applyProtection="1">
      <alignment horizontal="center" vertical="center" wrapText="1"/>
      <protection locked="0"/>
    </xf>
    <xf numFmtId="0" fontId="6" fillId="0" borderId="19" xfId="2" applyFont="1" applyBorder="1" applyAlignment="1" applyProtection="1">
      <alignment horizontal="center" vertic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32">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458401</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29</xdr:row>
      <xdr:rowOff>186765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342523</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1</xdr:col>
      <xdr:colOff>3565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46</xdr:row>
      <xdr:rowOff>0</xdr:rowOff>
    </xdr:from>
    <xdr:to>
      <xdr:col>4</xdr:col>
      <xdr:colOff>90438</xdr:colOff>
      <xdr:row>49</xdr:row>
      <xdr:rowOff>244395</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46</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46</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46</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31" tableBorderDxfId="230" headerRowCellStyle="Normal 2">
  <autoFilter ref="F9:K39" xr:uid="{00000000-0009-0000-0100-000001000000}"/>
  <tableColumns count="6">
    <tableColumn id="2" xr3:uid="{00000000-0010-0000-0000-000002000000}" name="TIPOLOGÍA" dataDxfId="229" dataCellStyle="Normal 2"/>
    <tableColumn id="3" xr3:uid="{00000000-0010-0000-0000-000003000000}" name="¿QUÉ? _x000a_IMPACTO" dataDxfId="228" dataCellStyle="Normal 2"/>
    <tableColumn id="4" xr3:uid="{00000000-0010-0000-0000-000004000000}" name="¿CÓMO?_x000a_CAUSA INMEDIATA _x000a_(Iniciar con la palabra _x000a_por)" dataDxfId="227" dataCellStyle="Normal 2"/>
    <tableColumn id="5" xr3:uid="{00000000-0010-0000-0000-000005000000}" name="¿PORQUÉ?_x000a_CAUSA RAÍZ_x000a_(Iniciar con _x000a_debido a/a causa de)" dataDxfId="226" dataCellStyle="Normal 2"/>
    <tableColumn id="6" xr3:uid="{00000000-0010-0000-0000-000006000000}" name="DESCRIPCIÓN DEL RIESGO" dataDxfId="225">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24"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23" dataDxfId="222">
  <autoFilter ref="A31:E35" xr:uid="{00000000-0009-0000-0100-000006000000}"/>
  <tableColumns count="5">
    <tableColumn id="1" xr3:uid="{00000000-0010-0000-0100-000001000000}" name="Gestión" dataDxfId="221"/>
    <tableColumn id="2" xr3:uid="{00000000-0010-0000-0100-000002000000}" name="Fiscal" dataDxfId="220"/>
    <tableColumn id="3" xr3:uid="{00000000-0010-0000-0100-000003000000}" name="Seguridad_Información" dataDxfId="219"/>
    <tableColumn id="4" xr3:uid="{00000000-0010-0000-0100-000004000000}" name="Integridad_Pública_Corrupción" dataDxfId="218"/>
    <tableColumn id="5" xr3:uid="{00000000-0010-0000-0100-000005000000}" name="Integridad_Pública_LA_FT_FP" dataDxfId="217"/>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16" dataDxfId="215">
  <autoFilter ref="A38:F47" xr:uid="{00000000-0009-0000-0100-000002000000}"/>
  <tableColumns count="6">
    <tableColumn id="1" xr3:uid="{00000000-0010-0000-0200-000001000000}" name="Ejecución_administración_de_procesos" dataDxfId="214"/>
    <tableColumn id="2" xr3:uid="{00000000-0010-0000-0200-000002000000}" name="Transacción_u_Operación_aplica_para_LA_FT_FP" dataDxfId="213"/>
    <tableColumn id="3" xr3:uid="{00000000-0010-0000-0200-000003000000}" name="Talento_Humano" dataDxfId="212"/>
    <tableColumn id="4" xr3:uid="{00000000-0010-0000-0200-000004000000}" name="Tecnología" dataDxfId="211"/>
    <tableColumn id="5" xr3:uid="{00000000-0010-0000-0200-000005000000}" name="Infraestructura" dataDxfId="210"/>
    <tableColumn id="6" xr3:uid="{00000000-0010-0000-0200-000006000000}" name="Evento_externo" dataDxfId="209"/>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08" dataDxfId="207">
  <autoFilter ref="H37:I43" xr:uid="{00000000-0009-0000-0100-000003000000}"/>
  <tableColumns count="2">
    <tableColumn id="1" xr3:uid="{00000000-0010-0000-0300-000001000000}" name="FACTOR DE RIESGO" dataDxfId="206"/>
    <tableColumn id="2" xr3:uid="{00000000-0010-0000-0300-000002000000}" name="Descripción" dataDxfId="205"/>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5" zeroHeight="1" x14ac:dyDescent="0.25"/>
  <cols>
    <col min="1" max="1" width="2.85546875" style="190" customWidth="1"/>
    <col min="2" max="3" width="24.42578125" style="190" customWidth="1"/>
    <col min="4" max="4" width="16" style="190" customWidth="1"/>
    <col min="5" max="5" width="24.42578125" style="190" customWidth="1"/>
    <col min="6" max="6" width="27.42578125" style="190" customWidth="1"/>
    <col min="7" max="8" width="24.42578125" style="190" customWidth="1"/>
    <col min="9" max="9" width="4.28515625" style="190" customWidth="1"/>
    <col min="10" max="16384" width="11.42578125" style="190" hidden="1"/>
  </cols>
  <sheetData>
    <row r="1" spans="2:8" ht="15.75" thickBot="1" x14ac:dyDescent="0.3"/>
    <row r="2" spans="2:8" ht="18" x14ac:dyDescent="0.25">
      <c r="B2" s="395" t="s">
        <v>360</v>
      </c>
      <c r="C2" s="396"/>
      <c r="D2" s="396"/>
      <c r="E2" s="396"/>
      <c r="F2" s="396"/>
      <c r="G2" s="396"/>
      <c r="H2" s="397"/>
    </row>
    <row r="3" spans="2:8" x14ac:dyDescent="0.25">
      <c r="B3" s="191"/>
      <c r="C3" s="192"/>
      <c r="D3" s="192"/>
      <c r="E3" s="192"/>
      <c r="F3" s="192"/>
      <c r="G3" s="192"/>
      <c r="H3" s="193"/>
    </row>
    <row r="4" spans="2:8" ht="63" customHeight="1" x14ac:dyDescent="0.25">
      <c r="B4" s="398" t="s">
        <v>0</v>
      </c>
      <c r="C4" s="399"/>
      <c r="D4" s="399"/>
      <c r="E4" s="399"/>
      <c r="F4" s="399"/>
      <c r="G4" s="399"/>
      <c r="H4" s="400"/>
    </row>
    <row r="5" spans="2:8" ht="63" customHeight="1" x14ac:dyDescent="0.25">
      <c r="B5" s="401"/>
      <c r="C5" s="402"/>
      <c r="D5" s="402"/>
      <c r="E5" s="402"/>
      <c r="F5" s="402"/>
      <c r="G5" s="402"/>
      <c r="H5" s="403"/>
    </row>
    <row r="6" spans="2:8" ht="16.5" x14ac:dyDescent="0.25">
      <c r="B6" s="404" t="s">
        <v>1</v>
      </c>
      <c r="C6" s="405"/>
      <c r="D6" s="405"/>
      <c r="E6" s="405"/>
      <c r="F6" s="405"/>
      <c r="G6" s="405"/>
      <c r="H6" s="406"/>
    </row>
    <row r="7" spans="2:8" ht="95.25" customHeight="1" x14ac:dyDescent="0.25">
      <c r="B7" s="407" t="s">
        <v>2</v>
      </c>
      <c r="C7" s="408"/>
      <c r="D7" s="408"/>
      <c r="E7" s="408"/>
      <c r="F7" s="408"/>
      <c r="G7" s="408"/>
      <c r="H7" s="409"/>
    </row>
    <row r="8" spans="2:8" ht="16.5" x14ac:dyDescent="0.25">
      <c r="B8" s="170"/>
      <c r="C8" s="171"/>
      <c r="D8" s="171"/>
      <c r="E8" s="171"/>
      <c r="F8" s="171"/>
      <c r="G8" s="171"/>
      <c r="H8" s="172"/>
    </row>
    <row r="9" spans="2:8" ht="20.45" customHeight="1" x14ac:dyDescent="0.25">
      <c r="B9" s="414" t="s">
        <v>3</v>
      </c>
      <c r="C9" s="415"/>
      <c r="D9" s="415"/>
      <c r="E9" s="415"/>
      <c r="F9" s="415"/>
      <c r="G9" s="415"/>
      <c r="H9" s="416"/>
    </row>
    <row r="10" spans="2:8" ht="16.5" x14ac:dyDescent="0.25">
      <c r="B10" s="176"/>
      <c r="C10" s="177"/>
      <c r="D10" s="177"/>
      <c r="E10" s="177"/>
      <c r="F10" s="177"/>
      <c r="G10" s="177"/>
      <c r="H10" s="178"/>
    </row>
    <row r="11" spans="2:8" ht="20.45" customHeight="1" x14ac:dyDescent="0.25">
      <c r="B11" s="417" t="s">
        <v>4</v>
      </c>
      <c r="C11" s="418"/>
      <c r="D11" s="418"/>
      <c r="E11" s="418"/>
      <c r="F11" s="418"/>
      <c r="G11" s="418"/>
      <c r="H11" s="419"/>
    </row>
    <row r="12" spans="2:8" s="211" customFormat="1" ht="20.45" customHeight="1" x14ac:dyDescent="0.25">
      <c r="B12" s="453"/>
      <c r="C12" s="454"/>
      <c r="D12" s="454"/>
      <c r="E12" s="454"/>
      <c r="F12" s="454"/>
      <c r="G12" s="454"/>
      <c r="H12" s="455"/>
    </row>
    <row r="13" spans="2:8" ht="20.45" customHeight="1" x14ac:dyDescent="0.25">
      <c r="B13" s="404" t="s">
        <v>5</v>
      </c>
      <c r="C13" s="420"/>
      <c r="D13" s="420"/>
      <c r="E13" s="420"/>
      <c r="F13" s="420"/>
      <c r="G13" s="420"/>
      <c r="H13" s="421"/>
    </row>
    <row r="14" spans="2:8" ht="9" customHeight="1" x14ac:dyDescent="0.25">
      <c r="B14" s="404"/>
      <c r="C14" s="420"/>
      <c r="D14" s="420"/>
      <c r="E14" s="420"/>
      <c r="F14" s="420"/>
      <c r="G14" s="420"/>
      <c r="H14" s="421"/>
    </row>
    <row r="15" spans="2:8" ht="16.5" x14ac:dyDescent="0.25">
      <c r="B15" s="404" t="s">
        <v>6</v>
      </c>
      <c r="C15" s="420"/>
      <c r="D15" s="420"/>
      <c r="E15" s="420"/>
      <c r="F15" s="420"/>
      <c r="G15" s="420"/>
      <c r="H15" s="421"/>
    </row>
    <row r="16" spans="2:8" ht="16.5" x14ac:dyDescent="0.25">
      <c r="B16" s="173"/>
      <c r="C16" s="174"/>
      <c r="D16" s="174"/>
      <c r="E16" s="174"/>
      <c r="F16" s="174"/>
      <c r="G16" s="174"/>
      <c r="H16" s="175"/>
    </row>
    <row r="17" spans="2:8" ht="18.75" customHeight="1" x14ac:dyDescent="0.25">
      <c r="B17" s="404" t="s">
        <v>7</v>
      </c>
      <c r="C17" s="420"/>
      <c r="D17" s="420"/>
      <c r="E17" s="420"/>
      <c r="F17" s="420"/>
      <c r="G17" s="420"/>
      <c r="H17" s="421"/>
    </row>
    <row r="18" spans="2:8" ht="18.75" customHeight="1" x14ac:dyDescent="0.25">
      <c r="B18" s="173"/>
      <c r="C18" s="174"/>
      <c r="D18" s="174"/>
      <c r="E18" s="174"/>
      <c r="F18" s="174"/>
      <c r="G18" s="174"/>
      <c r="H18" s="175"/>
    </row>
    <row r="19" spans="2:8" ht="18.75" customHeight="1" x14ac:dyDescent="0.25">
      <c r="B19" s="404" t="s">
        <v>8</v>
      </c>
      <c r="C19" s="420"/>
      <c r="D19" s="420"/>
      <c r="E19" s="420"/>
      <c r="F19" s="420"/>
      <c r="G19" s="420"/>
      <c r="H19" s="421"/>
    </row>
    <row r="20" spans="2:8" ht="18.75" customHeight="1" thickBot="1" x14ac:dyDescent="0.3">
      <c r="B20" s="149"/>
      <c r="C20" s="179"/>
      <c r="D20" s="179"/>
      <c r="E20" s="179"/>
      <c r="F20" s="179"/>
      <c r="G20" s="179"/>
      <c r="H20" s="180"/>
    </row>
    <row r="21" spans="2:8" ht="15.75" thickTop="1" x14ac:dyDescent="0.25">
      <c r="B21" s="194"/>
      <c r="C21" s="436" t="s">
        <v>9</v>
      </c>
      <c r="D21" s="411"/>
      <c r="E21" s="412" t="s">
        <v>10</v>
      </c>
      <c r="F21" s="413"/>
      <c r="G21" s="199"/>
      <c r="H21" s="195"/>
    </row>
    <row r="22" spans="2:8" ht="35.25" customHeight="1" x14ac:dyDescent="0.25">
      <c r="B22" s="194"/>
      <c r="C22" s="422" t="s">
        <v>11</v>
      </c>
      <c r="D22" s="423"/>
      <c r="E22" s="437" t="s">
        <v>12</v>
      </c>
      <c r="F22" s="438"/>
      <c r="G22" s="199"/>
      <c r="H22" s="195"/>
    </row>
    <row r="23" spans="2:8" ht="17.25" customHeight="1" x14ac:dyDescent="0.25">
      <c r="B23" s="194"/>
      <c r="C23" s="422" t="s">
        <v>13</v>
      </c>
      <c r="D23" s="423"/>
      <c r="E23" s="437" t="s">
        <v>14</v>
      </c>
      <c r="F23" s="438"/>
      <c r="G23" s="199"/>
      <c r="H23" s="195"/>
    </row>
    <row r="24" spans="2:8" ht="17.25" customHeight="1" x14ac:dyDescent="0.25">
      <c r="B24" s="194"/>
      <c r="C24" s="445" t="s">
        <v>357</v>
      </c>
      <c r="D24" s="446"/>
      <c r="E24" s="437" t="s">
        <v>358</v>
      </c>
      <c r="F24" s="438"/>
      <c r="G24" s="199"/>
      <c r="H24" s="195"/>
    </row>
    <row r="25" spans="2:8" ht="46.5" customHeight="1" x14ac:dyDescent="0.25">
      <c r="B25" s="194"/>
      <c r="C25" s="422" t="s">
        <v>15</v>
      </c>
      <c r="D25" s="423"/>
      <c r="E25" s="424" t="s">
        <v>16</v>
      </c>
      <c r="F25" s="425"/>
      <c r="G25" s="199"/>
      <c r="H25" s="195"/>
    </row>
    <row r="26" spans="2:8" ht="69.75" customHeight="1" x14ac:dyDescent="0.25">
      <c r="B26" s="194"/>
      <c r="C26" s="422" t="s">
        <v>17</v>
      </c>
      <c r="D26" s="423"/>
      <c r="E26" s="437" t="s">
        <v>18</v>
      </c>
      <c r="F26" s="438"/>
      <c r="G26" s="199"/>
      <c r="H26" s="195"/>
    </row>
    <row r="27" spans="2:8" ht="69.75" customHeight="1" x14ac:dyDescent="0.25">
      <c r="B27" s="194"/>
      <c r="C27" s="426" t="s">
        <v>19</v>
      </c>
      <c r="D27" s="427"/>
      <c r="E27" s="428" t="s">
        <v>20</v>
      </c>
      <c r="F27" s="429"/>
      <c r="G27" s="199"/>
      <c r="H27" s="195"/>
    </row>
    <row r="28" spans="2:8" ht="69.75" customHeight="1" x14ac:dyDescent="0.25">
      <c r="B28" s="194"/>
      <c r="C28" s="426" t="s">
        <v>21</v>
      </c>
      <c r="D28" s="427"/>
      <c r="E28" s="428" t="s">
        <v>22</v>
      </c>
      <c r="F28" s="429"/>
      <c r="G28" s="199"/>
      <c r="H28" s="195"/>
    </row>
    <row r="29" spans="2:8" ht="69.75" customHeight="1" x14ac:dyDescent="0.25">
      <c r="B29" s="194"/>
      <c r="C29" s="426" t="s">
        <v>23</v>
      </c>
      <c r="D29" s="427"/>
      <c r="E29" s="428" t="s">
        <v>24</v>
      </c>
      <c r="F29" s="429"/>
      <c r="G29" s="199"/>
      <c r="H29" s="195"/>
    </row>
    <row r="30" spans="2:8" ht="111.75" customHeight="1" x14ac:dyDescent="0.25">
      <c r="B30" s="194"/>
      <c r="C30" s="426" t="s">
        <v>25</v>
      </c>
      <c r="D30" s="427"/>
      <c r="E30" s="428" t="s">
        <v>26</v>
      </c>
      <c r="F30" s="429"/>
      <c r="G30" s="199"/>
      <c r="H30" s="195"/>
    </row>
    <row r="31" spans="2:8" ht="121.5" customHeight="1" x14ac:dyDescent="0.25">
      <c r="B31" s="194"/>
      <c r="C31" s="426" t="s">
        <v>27</v>
      </c>
      <c r="D31" s="427"/>
      <c r="E31" s="428" t="s">
        <v>28</v>
      </c>
      <c r="F31" s="429"/>
      <c r="G31" s="199"/>
      <c r="H31" s="195"/>
    </row>
    <row r="32" spans="2:8" ht="86.25" customHeight="1" x14ac:dyDescent="0.25">
      <c r="B32" s="194"/>
      <c r="C32" s="426" t="s">
        <v>29</v>
      </c>
      <c r="D32" s="427"/>
      <c r="E32" s="428" t="s">
        <v>30</v>
      </c>
      <c r="F32" s="429"/>
      <c r="G32" s="199"/>
      <c r="H32" s="195"/>
    </row>
    <row r="33" spans="2:8" ht="69.75" customHeight="1" x14ac:dyDescent="0.25">
      <c r="B33" s="194"/>
      <c r="C33" s="426" t="s">
        <v>31</v>
      </c>
      <c r="D33" s="427"/>
      <c r="E33" s="428" t="s">
        <v>32</v>
      </c>
      <c r="F33" s="429"/>
      <c r="G33" s="199"/>
      <c r="H33" s="195"/>
    </row>
    <row r="34" spans="2:8" x14ac:dyDescent="0.25">
      <c r="B34" s="194"/>
      <c r="C34" s="184"/>
      <c r="D34" s="184"/>
      <c r="E34" s="185"/>
      <c r="F34" s="185"/>
      <c r="G34" s="199"/>
      <c r="H34" s="195"/>
    </row>
    <row r="35" spans="2:8" ht="16.5" x14ac:dyDescent="0.25">
      <c r="B35" s="404" t="s">
        <v>33</v>
      </c>
      <c r="C35" s="420"/>
      <c r="D35" s="420"/>
      <c r="E35" s="420"/>
      <c r="F35" s="420"/>
      <c r="G35" s="420"/>
      <c r="H35" s="421"/>
    </row>
    <row r="36" spans="2:8" ht="14.45" customHeight="1" thickBot="1" x14ac:dyDescent="0.3">
      <c r="B36" s="200"/>
      <c r="C36" s="189"/>
      <c r="D36" s="189"/>
      <c r="E36" s="189"/>
      <c r="F36" s="189"/>
      <c r="G36" s="189"/>
      <c r="H36" s="201"/>
    </row>
    <row r="37" spans="2:8" ht="14.45" customHeight="1" thickTop="1" x14ac:dyDescent="0.25">
      <c r="B37" s="200"/>
      <c r="C37" s="436" t="s">
        <v>9</v>
      </c>
      <c r="D37" s="411"/>
      <c r="E37" s="412" t="s">
        <v>10</v>
      </c>
      <c r="F37" s="413"/>
      <c r="G37" s="189"/>
      <c r="H37" s="201"/>
    </row>
    <row r="38" spans="2:8" ht="90" customHeight="1" x14ac:dyDescent="0.25">
      <c r="B38" s="200"/>
      <c r="C38" s="426" t="s">
        <v>34</v>
      </c>
      <c r="D38" s="427"/>
      <c r="E38" s="428" t="s">
        <v>35</v>
      </c>
      <c r="F38" s="429"/>
      <c r="G38" s="189"/>
      <c r="H38" s="201"/>
    </row>
    <row r="39" spans="2:8" ht="53.45" customHeight="1" x14ac:dyDescent="0.25">
      <c r="B39" s="200"/>
      <c r="C39" s="426" t="s">
        <v>36</v>
      </c>
      <c r="D39" s="427"/>
      <c r="E39" s="428" t="s">
        <v>37</v>
      </c>
      <c r="F39" s="429"/>
      <c r="G39" s="189"/>
      <c r="H39" s="201"/>
    </row>
    <row r="40" spans="2:8" ht="54" customHeight="1" x14ac:dyDescent="0.25">
      <c r="B40" s="200"/>
      <c r="C40" s="426" t="s">
        <v>38</v>
      </c>
      <c r="D40" s="427"/>
      <c r="E40" s="428" t="s">
        <v>39</v>
      </c>
      <c r="F40" s="429"/>
      <c r="G40" s="189"/>
      <c r="H40" s="201"/>
    </row>
    <row r="41" spans="2:8" ht="32.450000000000003" customHeight="1" x14ac:dyDescent="0.25">
      <c r="B41" s="200"/>
      <c r="C41" s="426" t="s">
        <v>40</v>
      </c>
      <c r="D41" s="427"/>
      <c r="E41" s="428" t="s">
        <v>41</v>
      </c>
      <c r="F41" s="429"/>
      <c r="G41" s="189"/>
      <c r="H41" s="201"/>
    </row>
    <row r="42" spans="2:8" ht="16.5" x14ac:dyDescent="0.25">
      <c r="B42" s="200"/>
      <c r="C42" s="189"/>
      <c r="D42" s="189"/>
      <c r="E42" s="189"/>
      <c r="F42" s="189"/>
      <c r="G42" s="189"/>
      <c r="H42" s="201"/>
    </row>
    <row r="43" spans="2:8" ht="18.75" customHeight="1" x14ac:dyDescent="0.25">
      <c r="B43" s="448" t="s">
        <v>42</v>
      </c>
      <c r="C43" s="449"/>
      <c r="D43" s="449"/>
      <c r="E43" s="449"/>
      <c r="F43" s="449"/>
      <c r="G43" s="449"/>
      <c r="H43" s="450"/>
    </row>
    <row r="44" spans="2:8" ht="18.75" customHeight="1" x14ac:dyDescent="0.25">
      <c r="B44" s="186"/>
      <c r="C44" s="187"/>
      <c r="D44" s="187"/>
      <c r="E44" s="187"/>
      <c r="F44" s="187"/>
      <c r="G44" s="187"/>
      <c r="H44" s="188"/>
    </row>
    <row r="45" spans="2:8" ht="18.75" customHeight="1" x14ac:dyDescent="0.25">
      <c r="B45" s="404" t="s">
        <v>43</v>
      </c>
      <c r="C45" s="420"/>
      <c r="D45" s="420"/>
      <c r="E45" s="420"/>
      <c r="F45" s="420"/>
      <c r="G45" s="420"/>
      <c r="H45" s="421"/>
    </row>
    <row r="46" spans="2:8" ht="18.75" customHeight="1" thickBot="1" x14ac:dyDescent="0.3">
      <c r="B46" s="149"/>
      <c r="C46" s="179"/>
      <c r="D46" s="179"/>
      <c r="E46" s="179"/>
      <c r="F46" s="179"/>
      <c r="G46" s="179"/>
      <c r="H46" s="180"/>
    </row>
    <row r="47" spans="2:8" ht="18.75" customHeight="1" thickTop="1" x14ac:dyDescent="0.25">
      <c r="B47" s="149"/>
      <c r="C47" s="436" t="s">
        <v>9</v>
      </c>
      <c r="D47" s="411"/>
      <c r="E47" s="412" t="s">
        <v>10</v>
      </c>
      <c r="F47" s="413"/>
      <c r="G47" s="179"/>
      <c r="H47" s="180"/>
    </row>
    <row r="48" spans="2:8" ht="53.25" customHeight="1" x14ac:dyDescent="0.25">
      <c r="B48" s="149"/>
      <c r="C48" s="447" t="s">
        <v>44</v>
      </c>
      <c r="D48" s="435"/>
      <c r="E48" s="428" t="s">
        <v>45</v>
      </c>
      <c r="F48" s="429"/>
      <c r="G48" s="179"/>
      <c r="H48" s="180"/>
    </row>
    <row r="49" spans="2:8" ht="54" customHeight="1" x14ac:dyDescent="0.25">
      <c r="B49" s="149"/>
      <c r="C49" s="447" t="s">
        <v>46</v>
      </c>
      <c r="D49" s="435"/>
      <c r="E49" s="428" t="s">
        <v>47</v>
      </c>
      <c r="F49" s="429"/>
      <c r="G49" s="179"/>
      <c r="H49" s="180"/>
    </row>
    <row r="50" spans="2:8" ht="51.95" customHeight="1" x14ac:dyDescent="0.25">
      <c r="B50" s="149"/>
      <c r="C50" s="447" t="s">
        <v>48</v>
      </c>
      <c r="D50" s="435"/>
      <c r="E50" s="428" t="s">
        <v>49</v>
      </c>
      <c r="F50" s="429"/>
      <c r="G50" s="179"/>
      <c r="H50" s="180"/>
    </row>
    <row r="51" spans="2:8" ht="53.45" customHeight="1" x14ac:dyDescent="0.25">
      <c r="B51" s="149"/>
      <c r="C51" s="447" t="s">
        <v>50</v>
      </c>
      <c r="D51" s="435"/>
      <c r="E51" s="428" t="s">
        <v>49</v>
      </c>
      <c r="F51" s="429"/>
      <c r="G51" s="179"/>
      <c r="H51" s="180"/>
    </row>
    <row r="52" spans="2:8" ht="48.75" customHeight="1" x14ac:dyDescent="0.25">
      <c r="B52" s="149"/>
      <c r="C52" s="447" t="s">
        <v>51</v>
      </c>
      <c r="D52" s="435"/>
      <c r="E52" s="428" t="s">
        <v>52</v>
      </c>
      <c r="F52" s="429"/>
      <c r="G52" s="179"/>
      <c r="H52" s="180"/>
    </row>
    <row r="53" spans="2:8" ht="49.5" customHeight="1" x14ac:dyDescent="0.25">
      <c r="B53" s="149"/>
      <c r="C53" s="447" t="s">
        <v>53</v>
      </c>
      <c r="D53" s="435"/>
      <c r="E53" s="428" t="s">
        <v>54</v>
      </c>
      <c r="F53" s="429"/>
      <c r="G53" s="179"/>
      <c r="H53" s="180"/>
    </row>
    <row r="54" spans="2:8" ht="50.25" customHeight="1" x14ac:dyDescent="0.25">
      <c r="B54" s="149"/>
      <c r="C54" s="447" t="s">
        <v>55</v>
      </c>
      <c r="D54" s="435"/>
      <c r="E54" s="428" t="s">
        <v>56</v>
      </c>
      <c r="F54" s="429"/>
      <c r="G54" s="179"/>
      <c r="H54" s="180"/>
    </row>
    <row r="55" spans="2:8" ht="29.45" customHeight="1" x14ac:dyDescent="0.25">
      <c r="B55" s="149"/>
      <c r="C55" s="447" t="s">
        <v>57</v>
      </c>
      <c r="D55" s="435"/>
      <c r="E55" s="428" t="s">
        <v>58</v>
      </c>
      <c r="F55" s="429"/>
      <c r="G55" s="179"/>
      <c r="H55" s="180"/>
    </row>
    <row r="56" spans="2:8" ht="39.950000000000003" customHeight="1" x14ac:dyDescent="0.25">
      <c r="B56" s="149"/>
      <c r="C56" s="447" t="s">
        <v>59</v>
      </c>
      <c r="D56" s="435"/>
      <c r="E56" s="428" t="s">
        <v>60</v>
      </c>
      <c r="F56" s="429"/>
      <c r="G56" s="179"/>
      <c r="H56" s="180"/>
    </row>
    <row r="57" spans="2:8" ht="29.45" customHeight="1" x14ac:dyDescent="0.25">
      <c r="B57" s="149"/>
      <c r="C57" s="447" t="s">
        <v>61</v>
      </c>
      <c r="D57" s="435"/>
      <c r="E57" s="428" t="s">
        <v>62</v>
      </c>
      <c r="F57" s="429"/>
      <c r="G57" s="179"/>
      <c r="H57" s="180"/>
    </row>
    <row r="58" spans="2:8" ht="18.75" customHeight="1" x14ac:dyDescent="0.25">
      <c r="B58" s="149"/>
      <c r="C58" s="179"/>
      <c r="D58" s="179"/>
      <c r="E58" s="179"/>
      <c r="F58" s="179"/>
      <c r="G58" s="179"/>
      <c r="H58" s="180"/>
    </row>
    <row r="59" spans="2:8" ht="18.75" customHeight="1" x14ac:dyDescent="0.25">
      <c r="B59" s="439" t="s">
        <v>63</v>
      </c>
      <c r="C59" s="440"/>
      <c r="D59" s="440"/>
      <c r="E59" s="440"/>
      <c r="F59" s="440"/>
      <c r="G59" s="440"/>
      <c r="H59" s="441"/>
    </row>
    <row r="60" spans="2:8" ht="18.75" customHeight="1" x14ac:dyDescent="0.25">
      <c r="B60" s="149"/>
      <c r="C60" s="179"/>
      <c r="D60" s="179"/>
      <c r="E60" s="179"/>
      <c r="F60" s="179"/>
      <c r="G60" s="179"/>
      <c r="H60" s="180"/>
    </row>
    <row r="61" spans="2:8" ht="18.75" customHeight="1" x14ac:dyDescent="0.25">
      <c r="B61" s="442" t="s">
        <v>64</v>
      </c>
      <c r="C61" s="443"/>
      <c r="D61" s="443"/>
      <c r="E61" s="443"/>
      <c r="F61" s="443"/>
      <c r="G61" s="443"/>
      <c r="H61" s="444"/>
    </row>
    <row r="62" spans="2:8" ht="18.75" customHeight="1" x14ac:dyDescent="0.25">
      <c r="B62" s="173"/>
      <c r="C62" s="174"/>
      <c r="D62" s="174"/>
      <c r="E62" s="174"/>
      <c r="F62" s="174"/>
      <c r="G62" s="174"/>
      <c r="H62" s="175"/>
    </row>
    <row r="63" spans="2:8" ht="30" customHeight="1" x14ac:dyDescent="0.25">
      <c r="B63" s="404" t="s">
        <v>65</v>
      </c>
      <c r="C63" s="420"/>
      <c r="D63" s="420"/>
      <c r="E63" s="420"/>
      <c r="F63" s="420"/>
      <c r="G63" s="420"/>
      <c r="H63" s="421"/>
    </row>
    <row r="64" spans="2:8" ht="17.25" thickBot="1" x14ac:dyDescent="0.3">
      <c r="B64" s="149"/>
      <c r="C64" s="179"/>
      <c r="D64" s="179"/>
      <c r="E64" s="179"/>
      <c r="F64" s="179"/>
      <c r="G64" s="179"/>
      <c r="H64" s="180"/>
    </row>
    <row r="65" spans="2:8" ht="30" customHeight="1" thickTop="1" x14ac:dyDescent="0.25">
      <c r="B65" s="149"/>
      <c r="C65" s="436" t="s">
        <v>9</v>
      </c>
      <c r="D65" s="411"/>
      <c r="E65" s="412" t="s">
        <v>10</v>
      </c>
      <c r="F65" s="413"/>
      <c r="G65" s="179"/>
      <c r="H65" s="180"/>
    </row>
    <row r="66" spans="2:8" ht="30" customHeight="1" x14ac:dyDescent="0.25">
      <c r="B66" s="149"/>
      <c r="C66" s="447" t="s">
        <v>66</v>
      </c>
      <c r="D66" s="435"/>
      <c r="E66" s="428" t="s">
        <v>67</v>
      </c>
      <c r="F66" s="429"/>
      <c r="G66" s="179"/>
      <c r="H66" s="180"/>
    </row>
    <row r="67" spans="2:8" ht="44.45" customHeight="1" x14ac:dyDescent="0.25">
      <c r="B67" s="149"/>
      <c r="C67" s="447" t="s">
        <v>68</v>
      </c>
      <c r="D67" s="435"/>
      <c r="E67" s="428" t="s">
        <v>69</v>
      </c>
      <c r="F67" s="429"/>
      <c r="G67" s="179"/>
      <c r="H67" s="180"/>
    </row>
    <row r="68" spans="2:8" ht="51" customHeight="1" x14ac:dyDescent="0.25">
      <c r="B68" s="149"/>
      <c r="C68" s="447" t="s">
        <v>70</v>
      </c>
      <c r="D68" s="435"/>
      <c r="E68" s="428" t="s">
        <v>71</v>
      </c>
      <c r="F68" s="429"/>
      <c r="G68" s="179"/>
      <c r="H68" s="180"/>
    </row>
    <row r="69" spans="2:8" ht="104.25" customHeight="1" x14ac:dyDescent="0.25">
      <c r="B69" s="149"/>
      <c r="C69" s="447" t="s">
        <v>356</v>
      </c>
      <c r="D69" s="435"/>
      <c r="E69" s="428" t="s">
        <v>355</v>
      </c>
      <c r="F69" s="429"/>
      <c r="G69" s="179"/>
      <c r="H69" s="180"/>
    </row>
    <row r="70" spans="2:8" ht="30" customHeight="1" x14ac:dyDescent="0.25">
      <c r="B70" s="149"/>
      <c r="C70" s="179"/>
      <c r="D70" s="179"/>
      <c r="E70" s="179"/>
      <c r="F70" s="179"/>
      <c r="G70" s="179"/>
      <c r="H70" s="180"/>
    </row>
    <row r="71" spans="2:8" ht="18.75" customHeight="1" x14ac:dyDescent="0.25">
      <c r="B71" s="442" t="s">
        <v>73</v>
      </c>
      <c r="C71" s="443"/>
      <c r="D71" s="443"/>
      <c r="E71" s="443"/>
      <c r="F71" s="443"/>
      <c r="G71" s="443"/>
      <c r="H71" s="444"/>
    </row>
    <row r="72" spans="2:8" ht="18.75" customHeight="1" x14ac:dyDescent="0.25">
      <c r="B72" s="181"/>
      <c r="C72" s="182"/>
      <c r="D72" s="182"/>
      <c r="E72" s="182"/>
      <c r="F72" s="182"/>
      <c r="G72" s="182"/>
      <c r="H72" s="183"/>
    </row>
    <row r="73" spans="2:8" ht="18.75" customHeight="1" x14ac:dyDescent="0.25">
      <c r="B73" s="442" t="s">
        <v>74</v>
      </c>
      <c r="C73" s="443"/>
      <c r="D73" s="443"/>
      <c r="E73" s="443"/>
      <c r="F73" s="443"/>
      <c r="G73" s="443"/>
      <c r="H73" s="444"/>
    </row>
    <row r="74" spans="2:8" ht="18.75" customHeight="1" x14ac:dyDescent="0.25">
      <c r="B74" s="181"/>
      <c r="C74" s="182"/>
      <c r="D74" s="182"/>
      <c r="E74" s="182"/>
      <c r="F74" s="182"/>
      <c r="G74" s="182"/>
      <c r="H74" s="183"/>
    </row>
    <row r="75" spans="2:8" ht="18.75" customHeight="1" x14ac:dyDescent="0.25">
      <c r="B75" s="442" t="s">
        <v>75</v>
      </c>
      <c r="C75" s="443"/>
      <c r="D75" s="443"/>
      <c r="E75" s="443"/>
      <c r="F75" s="443"/>
      <c r="G75" s="443"/>
      <c r="H75" s="444"/>
    </row>
    <row r="76" spans="2:8" ht="16.5" x14ac:dyDescent="0.25">
      <c r="B76" s="149"/>
      <c r="C76" s="202"/>
      <c r="D76" s="202"/>
      <c r="E76" s="202"/>
      <c r="F76" s="202"/>
      <c r="G76" s="202"/>
      <c r="H76" s="150"/>
    </row>
    <row r="77" spans="2:8" ht="16.5" x14ac:dyDescent="0.25">
      <c r="B77" s="149"/>
      <c r="C77" s="202"/>
      <c r="D77" s="202"/>
      <c r="E77" s="202"/>
      <c r="F77" s="202"/>
      <c r="G77" s="202"/>
      <c r="H77" s="150"/>
    </row>
    <row r="78" spans="2:8" ht="16.5" hidden="1" x14ac:dyDescent="0.25">
      <c r="B78" s="149" t="s">
        <v>76</v>
      </c>
      <c r="C78" s="202"/>
      <c r="D78" s="202"/>
      <c r="E78" s="202"/>
      <c r="F78" s="202"/>
      <c r="G78" s="202"/>
      <c r="H78" s="150"/>
    </row>
    <row r="79" spans="2:8" ht="16.5" x14ac:dyDescent="0.25">
      <c r="B79" s="149"/>
      <c r="C79" s="202"/>
      <c r="D79" s="202"/>
      <c r="E79" s="202"/>
      <c r="F79" s="202"/>
      <c r="G79" s="202"/>
      <c r="H79" s="150"/>
    </row>
    <row r="80" spans="2:8" ht="15.75" thickBot="1" x14ac:dyDescent="0.3">
      <c r="B80" s="194"/>
      <c r="C80" s="199"/>
      <c r="D80" s="203"/>
      <c r="E80" s="204"/>
      <c r="F80" s="204"/>
      <c r="G80" s="205"/>
      <c r="H80" s="195"/>
    </row>
    <row r="81" spans="2:8" ht="15.75" thickTop="1" x14ac:dyDescent="0.25">
      <c r="B81" s="271" t="s">
        <v>77</v>
      </c>
      <c r="C81" s="410" t="s">
        <v>9</v>
      </c>
      <c r="D81" s="411"/>
      <c r="E81" s="412" t="s">
        <v>10</v>
      </c>
      <c r="F81" s="413"/>
      <c r="G81" s="199"/>
      <c r="H81" s="195"/>
    </row>
    <row r="82" spans="2:8" s="148" customFormat="1" ht="24.75" customHeight="1" x14ac:dyDescent="0.25">
      <c r="B82" s="209">
        <v>2</v>
      </c>
      <c r="C82" s="451" t="s">
        <v>11</v>
      </c>
      <c r="D82" s="423"/>
      <c r="E82" s="437" t="s">
        <v>12</v>
      </c>
      <c r="F82" s="438"/>
      <c r="G82" s="206"/>
      <c r="H82" s="151"/>
    </row>
    <row r="83" spans="2:8" s="148" customFormat="1" ht="17.25" customHeight="1" x14ac:dyDescent="0.25">
      <c r="B83" s="209">
        <v>2</v>
      </c>
      <c r="C83" s="451" t="s">
        <v>13</v>
      </c>
      <c r="D83" s="423"/>
      <c r="E83" s="437" t="s">
        <v>14</v>
      </c>
      <c r="F83" s="438"/>
      <c r="G83" s="206"/>
      <c r="H83" s="151"/>
    </row>
    <row r="84" spans="2:8" s="148" customFormat="1" ht="25.5" customHeight="1" x14ac:dyDescent="0.25">
      <c r="B84" s="209">
        <v>2</v>
      </c>
      <c r="C84" s="451" t="s">
        <v>357</v>
      </c>
      <c r="D84" s="423"/>
      <c r="E84" s="437" t="s">
        <v>358</v>
      </c>
      <c r="F84" s="438"/>
      <c r="G84" s="206"/>
      <c r="H84" s="151"/>
    </row>
    <row r="85" spans="2:8" s="148" customFormat="1" ht="25.5" customHeight="1" x14ac:dyDescent="0.25">
      <c r="B85" s="209">
        <v>2</v>
      </c>
      <c r="C85" s="451" t="s">
        <v>15</v>
      </c>
      <c r="D85" s="423"/>
      <c r="E85" s="437" t="s">
        <v>16</v>
      </c>
      <c r="F85" s="438"/>
      <c r="G85" s="206"/>
      <c r="H85" s="151"/>
    </row>
    <row r="86" spans="2:8" s="148" customFormat="1" ht="66.95" customHeight="1" x14ac:dyDescent="0.25">
      <c r="B86" s="209">
        <v>2</v>
      </c>
      <c r="C86" s="451" t="s">
        <v>17</v>
      </c>
      <c r="D86" s="423"/>
      <c r="E86" s="437" t="s">
        <v>18</v>
      </c>
      <c r="F86" s="438"/>
      <c r="G86" s="206"/>
      <c r="H86" s="151"/>
    </row>
    <row r="87" spans="2:8" s="148" customFormat="1" ht="67.5" customHeight="1" x14ac:dyDescent="0.25">
      <c r="B87" s="209">
        <v>2</v>
      </c>
      <c r="C87" s="435" t="s">
        <v>19</v>
      </c>
      <c r="D87" s="427"/>
      <c r="E87" s="428" t="s">
        <v>20</v>
      </c>
      <c r="F87" s="429"/>
      <c r="G87" s="206"/>
      <c r="H87" s="151"/>
    </row>
    <row r="88" spans="2:8" s="148" customFormat="1" ht="43.5" customHeight="1" x14ac:dyDescent="0.25">
      <c r="B88" s="209">
        <v>2</v>
      </c>
      <c r="C88" s="435" t="s">
        <v>21</v>
      </c>
      <c r="D88" s="427"/>
      <c r="E88" s="428" t="s">
        <v>22</v>
      </c>
      <c r="F88" s="429"/>
      <c r="G88" s="206"/>
      <c r="H88" s="151"/>
    </row>
    <row r="89" spans="2:8" s="148" customFormat="1" ht="35.25" customHeight="1" x14ac:dyDescent="0.25">
      <c r="B89" s="209">
        <v>2</v>
      </c>
      <c r="C89" s="435" t="s">
        <v>23</v>
      </c>
      <c r="D89" s="427"/>
      <c r="E89" s="428" t="s">
        <v>24</v>
      </c>
      <c r="F89" s="429"/>
      <c r="G89" s="206"/>
      <c r="H89" s="151"/>
    </row>
    <row r="90" spans="2:8" s="148" customFormat="1" ht="72.75" customHeight="1" x14ac:dyDescent="0.25">
      <c r="B90" s="209">
        <v>2</v>
      </c>
      <c r="C90" s="435" t="s">
        <v>25</v>
      </c>
      <c r="D90" s="427"/>
      <c r="E90" s="428" t="s">
        <v>78</v>
      </c>
      <c r="F90" s="429"/>
      <c r="G90" s="206"/>
      <c r="H90" s="151"/>
    </row>
    <row r="91" spans="2:8" s="148" customFormat="1" ht="93.95" customHeight="1" x14ac:dyDescent="0.25">
      <c r="B91" s="209">
        <v>2</v>
      </c>
      <c r="C91" s="435" t="s">
        <v>27</v>
      </c>
      <c r="D91" s="427"/>
      <c r="E91" s="428" t="s">
        <v>28</v>
      </c>
      <c r="F91" s="429"/>
      <c r="G91" s="206"/>
      <c r="H91" s="151"/>
    </row>
    <row r="92" spans="2:8" s="148" customFormat="1" ht="93.95" customHeight="1" x14ac:dyDescent="0.25">
      <c r="B92" s="209">
        <v>2</v>
      </c>
      <c r="C92" s="435" t="s">
        <v>29</v>
      </c>
      <c r="D92" s="427"/>
      <c r="E92" s="428" t="s">
        <v>30</v>
      </c>
      <c r="F92" s="429"/>
      <c r="G92" s="206"/>
      <c r="H92" s="151"/>
    </row>
    <row r="93" spans="2:8" s="148" customFormat="1" x14ac:dyDescent="0.25">
      <c r="B93" s="209">
        <v>2</v>
      </c>
      <c r="C93" s="435" t="s">
        <v>31</v>
      </c>
      <c r="D93" s="427"/>
      <c r="E93" s="428" t="s">
        <v>32</v>
      </c>
      <c r="F93" s="429"/>
      <c r="G93" s="206"/>
      <c r="H93" s="151"/>
    </row>
    <row r="94" spans="2:8" s="148" customFormat="1" ht="66.75" customHeight="1" x14ac:dyDescent="0.25">
      <c r="B94" s="209">
        <v>3</v>
      </c>
      <c r="C94" s="435" t="s">
        <v>34</v>
      </c>
      <c r="D94" s="427"/>
      <c r="E94" s="428" t="s">
        <v>35</v>
      </c>
      <c r="F94" s="429"/>
      <c r="G94" s="206"/>
      <c r="H94" s="151"/>
    </row>
    <row r="95" spans="2:8" s="148" customFormat="1" ht="66.75" customHeight="1" x14ac:dyDescent="0.25">
      <c r="B95" s="209">
        <v>3</v>
      </c>
      <c r="C95" s="435" t="s">
        <v>36</v>
      </c>
      <c r="D95" s="427"/>
      <c r="E95" s="428" t="s">
        <v>37</v>
      </c>
      <c r="F95" s="429"/>
      <c r="G95" s="206"/>
      <c r="H95" s="151"/>
    </row>
    <row r="96" spans="2:8" s="148" customFormat="1" ht="62.45" customHeight="1" x14ac:dyDescent="0.25">
      <c r="B96" s="209">
        <v>3</v>
      </c>
      <c r="C96" s="435" t="s">
        <v>38</v>
      </c>
      <c r="D96" s="427"/>
      <c r="E96" s="428" t="s">
        <v>39</v>
      </c>
      <c r="F96" s="429"/>
      <c r="G96" s="206"/>
      <c r="H96" s="151"/>
    </row>
    <row r="97" spans="2:8" s="148" customFormat="1" ht="38.450000000000003" customHeight="1" x14ac:dyDescent="0.25">
      <c r="B97" s="209">
        <v>3</v>
      </c>
      <c r="C97" s="435" t="s">
        <v>40</v>
      </c>
      <c r="D97" s="427"/>
      <c r="E97" s="428" t="s">
        <v>41</v>
      </c>
      <c r="F97" s="429"/>
      <c r="G97" s="206"/>
      <c r="H97" s="151"/>
    </row>
    <row r="98" spans="2:8" ht="59.25" customHeight="1" x14ac:dyDescent="0.25">
      <c r="B98" s="210">
        <v>5</v>
      </c>
      <c r="C98" s="434" t="s">
        <v>44</v>
      </c>
      <c r="D98" s="435"/>
      <c r="E98" s="428" t="s">
        <v>79</v>
      </c>
      <c r="F98" s="429"/>
      <c r="G98" s="199"/>
      <c r="H98" s="195"/>
    </row>
    <row r="99" spans="2:8" ht="59.25" customHeight="1" x14ac:dyDescent="0.25">
      <c r="B99" s="210">
        <v>5</v>
      </c>
      <c r="C99" s="434" t="s">
        <v>46</v>
      </c>
      <c r="D99" s="435"/>
      <c r="E99" s="428" t="s">
        <v>47</v>
      </c>
      <c r="F99" s="429"/>
      <c r="G99" s="199"/>
      <c r="H99" s="195"/>
    </row>
    <row r="100" spans="2:8" ht="59.25" customHeight="1" x14ac:dyDescent="0.25">
      <c r="B100" s="210">
        <v>5</v>
      </c>
      <c r="C100" s="434" t="s">
        <v>48</v>
      </c>
      <c r="D100" s="435"/>
      <c r="E100" s="428" t="s">
        <v>49</v>
      </c>
      <c r="F100" s="429"/>
      <c r="G100" s="199"/>
      <c r="H100" s="195"/>
    </row>
    <row r="101" spans="2:8" ht="59.25" customHeight="1" x14ac:dyDescent="0.25">
      <c r="B101" s="210">
        <v>5</v>
      </c>
      <c r="C101" s="434" t="s">
        <v>50</v>
      </c>
      <c r="D101" s="435"/>
      <c r="E101" s="428" t="s">
        <v>49</v>
      </c>
      <c r="F101" s="429"/>
      <c r="G101" s="199"/>
      <c r="H101" s="195"/>
    </row>
    <row r="102" spans="2:8" ht="47.45" customHeight="1" x14ac:dyDescent="0.25">
      <c r="B102" s="210">
        <v>5</v>
      </c>
      <c r="C102" s="434" t="s">
        <v>51</v>
      </c>
      <c r="D102" s="435"/>
      <c r="E102" s="428" t="s">
        <v>52</v>
      </c>
      <c r="F102" s="429"/>
      <c r="G102" s="199"/>
      <c r="H102" s="195"/>
    </row>
    <row r="103" spans="2:8" ht="45.75" customHeight="1" x14ac:dyDescent="0.25">
      <c r="B103" s="210">
        <v>5</v>
      </c>
      <c r="C103" s="434" t="s">
        <v>53</v>
      </c>
      <c r="D103" s="435"/>
      <c r="E103" s="428" t="s">
        <v>54</v>
      </c>
      <c r="F103" s="429"/>
      <c r="G103" s="199"/>
      <c r="H103" s="195"/>
    </row>
    <row r="104" spans="2:8" ht="32.450000000000003" customHeight="1" x14ac:dyDescent="0.25">
      <c r="B104" s="210">
        <v>5</v>
      </c>
      <c r="C104" s="434" t="s">
        <v>55</v>
      </c>
      <c r="D104" s="435"/>
      <c r="E104" s="428" t="s">
        <v>56</v>
      </c>
      <c r="F104" s="429"/>
      <c r="G104" s="199"/>
      <c r="H104" s="195"/>
    </row>
    <row r="105" spans="2:8" ht="33.75" customHeight="1" x14ac:dyDescent="0.25">
      <c r="B105" s="210">
        <v>5</v>
      </c>
      <c r="C105" s="434" t="s">
        <v>57</v>
      </c>
      <c r="D105" s="435"/>
      <c r="E105" s="428" t="s">
        <v>58</v>
      </c>
      <c r="F105" s="429"/>
      <c r="G105" s="199"/>
      <c r="H105" s="195"/>
    </row>
    <row r="106" spans="2:8" ht="33.75" customHeight="1" x14ac:dyDescent="0.25">
      <c r="B106" s="210">
        <v>5</v>
      </c>
      <c r="C106" s="434" t="s">
        <v>59</v>
      </c>
      <c r="D106" s="435"/>
      <c r="E106" s="428" t="s">
        <v>60</v>
      </c>
      <c r="F106" s="429"/>
      <c r="G106" s="199"/>
      <c r="H106" s="195"/>
    </row>
    <row r="107" spans="2:8" x14ac:dyDescent="0.25">
      <c r="B107" s="210">
        <v>5</v>
      </c>
      <c r="C107" s="434" t="s">
        <v>61</v>
      </c>
      <c r="D107" s="435"/>
      <c r="E107" s="428" t="s">
        <v>62</v>
      </c>
      <c r="F107" s="429"/>
      <c r="G107" s="199"/>
      <c r="H107" s="195"/>
    </row>
    <row r="108" spans="2:8" ht="24.95" customHeight="1" x14ac:dyDescent="0.25">
      <c r="B108" s="210">
        <v>8</v>
      </c>
      <c r="C108" s="434" t="s">
        <v>66</v>
      </c>
      <c r="D108" s="435"/>
      <c r="E108" s="428" t="s">
        <v>67</v>
      </c>
      <c r="F108" s="429"/>
      <c r="G108" s="199"/>
      <c r="H108" s="195"/>
    </row>
    <row r="109" spans="2:8" ht="46.5" customHeight="1" x14ac:dyDescent="0.25">
      <c r="B109" s="210">
        <v>8</v>
      </c>
      <c r="C109" s="434" t="s">
        <v>68</v>
      </c>
      <c r="D109" s="435"/>
      <c r="E109" s="428" t="s">
        <v>69</v>
      </c>
      <c r="F109" s="429"/>
      <c r="G109" s="199"/>
      <c r="H109" s="195"/>
    </row>
    <row r="110" spans="2:8" ht="46.5" customHeight="1" x14ac:dyDescent="0.25">
      <c r="B110" s="210">
        <v>8</v>
      </c>
      <c r="C110" s="434" t="s">
        <v>70</v>
      </c>
      <c r="D110" s="435"/>
      <c r="E110" s="428" t="s">
        <v>71</v>
      </c>
      <c r="F110" s="429"/>
      <c r="G110" s="199"/>
      <c r="H110" s="195"/>
    </row>
    <row r="111" spans="2:8" s="148" customFormat="1" ht="103.5" customHeight="1" x14ac:dyDescent="0.25">
      <c r="B111" s="209">
        <v>8</v>
      </c>
      <c r="C111" s="434" t="s">
        <v>356</v>
      </c>
      <c r="D111" s="435"/>
      <c r="E111" s="428" t="s">
        <v>355</v>
      </c>
      <c r="F111" s="429"/>
      <c r="G111" s="206"/>
      <c r="H111" s="151"/>
    </row>
    <row r="112" spans="2:8" ht="6.75" customHeight="1" thickBot="1" x14ac:dyDescent="0.3">
      <c r="B112" s="194"/>
      <c r="C112" s="430"/>
      <c r="D112" s="431"/>
      <c r="E112" s="432"/>
      <c r="F112" s="433"/>
      <c r="G112" s="199"/>
      <c r="H112" s="195"/>
    </row>
    <row r="113" spans="2:9" ht="15.75" thickTop="1" x14ac:dyDescent="0.25">
      <c r="B113" s="194"/>
      <c r="C113" s="207"/>
      <c r="D113" s="207"/>
      <c r="E113" s="208"/>
      <c r="F113" s="208"/>
      <c r="G113" s="199"/>
      <c r="H113" s="195"/>
    </row>
    <row r="114" spans="2:9" ht="15.75" thickBot="1" x14ac:dyDescent="0.3">
      <c r="B114" s="196"/>
      <c r="C114" s="197"/>
      <c r="D114" s="197"/>
      <c r="E114" s="197"/>
      <c r="F114" s="197"/>
      <c r="G114" s="197"/>
      <c r="H114" s="198"/>
    </row>
    <row r="115" spans="2:9" ht="15.75" thickBot="1" x14ac:dyDescent="0.3"/>
    <row r="116" spans="2:9" ht="16.5" thickTop="1" thickBot="1" x14ac:dyDescent="0.3">
      <c r="B116" s="387" t="s">
        <v>377</v>
      </c>
      <c r="C116" s="387"/>
      <c r="D116" s="387"/>
      <c r="E116" s="387"/>
      <c r="F116" s="387"/>
      <c r="G116" s="387"/>
      <c r="H116" s="387"/>
      <c r="I116" s="319"/>
    </row>
    <row r="117" spans="2:9" ht="16.5" thickTop="1" thickBot="1" x14ac:dyDescent="0.3">
      <c r="B117" s="321" t="s">
        <v>378</v>
      </c>
      <c r="C117" s="387" t="s">
        <v>379</v>
      </c>
      <c r="D117" s="387"/>
      <c r="E117" s="387" t="s">
        <v>380</v>
      </c>
      <c r="F117" s="387"/>
      <c r="G117" s="387" t="s">
        <v>381</v>
      </c>
      <c r="H117" s="387"/>
      <c r="I117" s="319"/>
    </row>
    <row r="118" spans="2:9" ht="84.6" customHeight="1" thickTop="1" thickBot="1" x14ac:dyDescent="0.3">
      <c r="B118" s="322" t="s">
        <v>382</v>
      </c>
      <c r="C118" s="388">
        <v>46163</v>
      </c>
      <c r="D118" s="388"/>
      <c r="E118" s="389" t="s">
        <v>383</v>
      </c>
      <c r="F118" s="389"/>
      <c r="G118" s="390" t="s">
        <v>384</v>
      </c>
      <c r="H118" s="390"/>
      <c r="I118" s="320"/>
    </row>
    <row r="119" spans="2:9" ht="48" customHeight="1" thickTop="1" x14ac:dyDescent="0.25">
      <c r="B119" s="456"/>
      <c r="C119" s="456"/>
    </row>
    <row r="120" spans="2:9" x14ac:dyDescent="0.25">
      <c r="B120" s="452"/>
      <c r="C120" s="452"/>
    </row>
    <row r="121" spans="2:9" x14ac:dyDescent="0.25"/>
    <row r="122" spans="2:9" x14ac:dyDescent="0.25"/>
    <row r="123" spans="2:9" x14ac:dyDescent="0.25"/>
    <row r="124" spans="2:9" x14ac:dyDescent="0.25"/>
    <row r="125" spans="2:9" x14ac:dyDescent="0.25"/>
    <row r="126" spans="2:9" x14ac:dyDescent="0.25"/>
    <row r="127" spans="2:9" x14ac:dyDescent="0.25"/>
    <row r="128" spans="2:9" x14ac:dyDescent="0.25"/>
    <row r="129" x14ac:dyDescent="0.25"/>
    <row r="130" x14ac:dyDescent="0.25"/>
    <row r="131" x14ac:dyDescent="0.25"/>
  </sheetData>
  <sheetProtection formatCells="0" formatColumns="0" formatRows="0"/>
  <autoFilter ref="B81:H111" xr:uid="{00000000-0009-0000-0000-000000000000}">
    <filterColumn colId="1" showButton="0"/>
    <filterColumn colId="3" showButton="0"/>
  </autoFilter>
  <mergeCells count="162">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1" sqref="B1:I2"/>
    </sheetView>
  </sheetViews>
  <sheetFormatPr baseColWidth="10" defaultColWidth="0" defaultRowHeight="15" zeroHeight="1" x14ac:dyDescent="0.25"/>
  <cols>
    <col min="1" max="1" width="28.85546875" customWidth="1"/>
    <col min="2" max="2" width="25.42578125" customWidth="1"/>
    <col min="3" max="3" width="10.85546875" customWidth="1"/>
    <col min="4" max="4" width="15.140625" customWidth="1"/>
    <col min="5" max="5" width="13.85546875" customWidth="1"/>
    <col min="6" max="6" width="14.42578125" customWidth="1"/>
    <col min="7" max="7" width="26" customWidth="1"/>
    <col min="8" max="8" width="10.85546875" customWidth="1"/>
    <col min="9" max="9" width="11.42578125" bestFit="1" customWidth="1"/>
    <col min="10" max="10" width="29" bestFit="1" customWidth="1"/>
    <col min="11" max="11" width="8" customWidth="1"/>
    <col min="12" max="12" width="10.85546875" customWidth="1"/>
    <col min="13" max="16384" width="10.85546875" hidden="1"/>
  </cols>
  <sheetData>
    <row r="1" spans="1:21" s="4" customFormat="1" ht="20.100000000000001" customHeight="1" thickTop="1" x14ac:dyDescent="0.25">
      <c r="A1" s="367"/>
      <c r="B1" s="370" t="s">
        <v>375</v>
      </c>
      <c r="C1" s="371"/>
      <c r="D1" s="371"/>
      <c r="E1" s="371"/>
      <c r="F1" s="371"/>
      <c r="G1" s="371"/>
      <c r="H1" s="371"/>
      <c r="I1" s="372"/>
      <c r="J1" s="313" t="s">
        <v>373</v>
      </c>
      <c r="K1" s="314"/>
      <c r="L1" s="260"/>
    </row>
    <row r="2" spans="1:21" s="4" customFormat="1" ht="20.100000000000001" customHeight="1" x14ac:dyDescent="0.25">
      <c r="A2" s="368"/>
      <c r="B2" s="373"/>
      <c r="C2" s="374"/>
      <c r="D2" s="374"/>
      <c r="E2" s="374"/>
      <c r="F2" s="374"/>
      <c r="G2" s="374"/>
      <c r="H2" s="374"/>
      <c r="I2" s="375"/>
      <c r="J2" s="315" t="s">
        <v>376</v>
      </c>
      <c r="K2" s="316"/>
      <c r="L2" s="260"/>
    </row>
    <row r="3" spans="1:21" s="3" customFormat="1" ht="16.5" thickBot="1" x14ac:dyDescent="0.25">
      <c r="A3" s="369"/>
      <c r="B3" s="376" t="s">
        <v>359</v>
      </c>
      <c r="C3" s="377"/>
      <c r="D3" s="377"/>
      <c r="E3" s="377"/>
      <c r="F3" s="377"/>
      <c r="G3" s="377"/>
      <c r="H3" s="377"/>
      <c r="I3" s="378"/>
      <c r="J3" s="317" t="s">
        <v>374</v>
      </c>
      <c r="K3" s="318"/>
      <c r="L3" s="261"/>
    </row>
    <row r="4" spans="1:21" s="3" customFormat="1" ht="17.100000000000001" customHeight="1" thickTop="1" x14ac:dyDescent="0.2">
      <c r="A4" s="381"/>
      <c r="B4" s="382"/>
      <c r="C4" s="382"/>
      <c r="D4" s="382"/>
      <c r="E4" s="382"/>
      <c r="F4" s="382"/>
      <c r="G4" s="382"/>
      <c r="H4" s="382"/>
      <c r="I4" s="382"/>
      <c r="J4" s="382"/>
      <c r="K4" s="383"/>
    </row>
    <row r="5" spans="1:21" s="4" customFormat="1" ht="27" customHeight="1" x14ac:dyDescent="0.25">
      <c r="A5" s="12" t="s">
        <v>80</v>
      </c>
      <c r="B5" s="272" t="str">
        <f>'2 IDENTIFICACIÓN'!B5</f>
        <v>ALCALDIA DE BUCARAMANGA</v>
      </c>
      <c r="C5" s="267"/>
      <c r="D5" s="267"/>
      <c r="E5" s="268"/>
      <c r="F5" s="251" t="s">
        <v>81</v>
      </c>
      <c r="G5" s="272" t="str">
        <f>'2 IDENTIFICACIÓN'!G5</f>
        <v>GESTIÓN DE LAS FINANZAS PUBLICAS</v>
      </c>
      <c r="H5" s="268"/>
      <c r="I5" s="251" t="s">
        <v>353</v>
      </c>
      <c r="J5" s="269">
        <f>'2 IDENTIFICACIÓN'!J5</f>
        <v>2026</v>
      </c>
      <c r="K5" s="270"/>
    </row>
    <row r="6" spans="1:21" s="4" customFormat="1" ht="15.75" thickBot="1" x14ac:dyDescent="0.25">
      <c r="A6" s="166"/>
      <c r="B6" s="262"/>
      <c r="C6" s="262"/>
      <c r="D6" s="262"/>
      <c r="E6" s="262"/>
      <c r="F6" s="263"/>
      <c r="G6" s="264"/>
      <c r="H6" s="264"/>
      <c r="I6" s="264"/>
      <c r="J6" s="264"/>
      <c r="K6" s="264"/>
      <c r="S6" s="37"/>
      <c r="T6" s="37"/>
      <c r="U6" s="37"/>
    </row>
    <row r="7" spans="1:21" ht="15.75" thickBot="1" x14ac:dyDescent="0.3">
      <c r="A7" s="554" t="s">
        <v>339</v>
      </c>
      <c r="B7" s="555"/>
      <c r="C7" s="555"/>
      <c r="D7" s="555"/>
      <c r="E7" s="555"/>
      <c r="F7" s="555"/>
      <c r="G7" s="555"/>
      <c r="H7" s="555"/>
      <c r="I7" s="555"/>
      <c r="J7" s="555"/>
      <c r="K7" s="556"/>
    </row>
    <row r="8" spans="1:21" ht="6" customHeight="1" thickBot="1" x14ac:dyDescent="0.3">
      <c r="A8" s="554"/>
      <c r="B8" s="555"/>
      <c r="C8" s="555"/>
      <c r="D8" s="555"/>
      <c r="E8" s="555"/>
      <c r="F8" s="555"/>
      <c r="G8" s="555"/>
      <c r="H8" s="555"/>
      <c r="I8" s="555"/>
      <c r="J8" s="555"/>
      <c r="K8" s="556"/>
    </row>
    <row r="9" spans="1:21" ht="34.5" customHeight="1" x14ac:dyDescent="0.25">
      <c r="A9" s="557" t="s">
        <v>340</v>
      </c>
      <c r="B9" s="558"/>
      <c r="C9" s="558"/>
      <c r="D9" s="558"/>
      <c r="E9" s="558"/>
      <c r="F9" s="558"/>
      <c r="G9" s="558"/>
      <c r="H9" s="558"/>
      <c r="I9" s="558"/>
      <c r="J9" s="558"/>
      <c r="K9" s="559"/>
    </row>
    <row r="10" spans="1:21" ht="18.75" customHeight="1" x14ac:dyDescent="0.25">
      <c r="A10" s="563" t="s">
        <v>341</v>
      </c>
      <c r="B10" s="564"/>
      <c r="C10" s="564"/>
      <c r="D10" s="564"/>
      <c r="E10" s="564"/>
      <c r="F10" s="564"/>
      <c r="G10" s="564"/>
      <c r="H10" s="564"/>
      <c r="I10" s="564"/>
      <c r="J10" s="564"/>
      <c r="K10" s="565"/>
    </row>
    <row r="11" spans="1:21" ht="34.5" customHeight="1" x14ac:dyDescent="0.25">
      <c r="A11" s="560" t="s">
        <v>342</v>
      </c>
      <c r="B11" s="561"/>
      <c r="C11" s="561"/>
      <c r="D11" s="561"/>
      <c r="E11" s="561"/>
      <c r="F11" s="561"/>
      <c r="G11" s="561"/>
      <c r="H11" s="561"/>
      <c r="I11" s="561"/>
      <c r="J11" s="561"/>
      <c r="K11" s="562"/>
    </row>
    <row r="12" spans="1:21" ht="50.25" customHeight="1" thickBot="1" x14ac:dyDescent="0.3">
      <c r="A12" s="551" t="s">
        <v>343</v>
      </c>
      <c r="B12" s="552"/>
      <c r="C12" s="552"/>
      <c r="D12" s="552"/>
      <c r="E12" s="552"/>
      <c r="F12" s="552"/>
      <c r="G12" s="552"/>
      <c r="H12" s="552"/>
      <c r="I12" s="552"/>
      <c r="J12" s="552"/>
      <c r="K12" s="553"/>
    </row>
    <row r="13" spans="1:21" x14ac:dyDescent="0.25">
      <c r="A13" s="93"/>
      <c r="B13" s="93"/>
      <c r="C13" s="93"/>
      <c r="D13" s="93"/>
      <c r="E13" s="93"/>
      <c r="F13" s="93"/>
      <c r="G13" s="93"/>
      <c r="H13" s="93"/>
      <c r="I13" s="93"/>
      <c r="J13" s="93"/>
      <c r="K13" s="93"/>
    </row>
    <row r="14" spans="1:21" s="95" customFormat="1" x14ac:dyDescent="0.25">
      <c r="A14" s="94"/>
      <c r="B14" s="548" t="s">
        <v>344</v>
      </c>
      <c r="C14" s="549"/>
      <c r="D14" s="550" t="s">
        <v>345</v>
      </c>
      <c r="E14" s="550"/>
      <c r="G14" s="53" t="s">
        <v>301</v>
      </c>
    </row>
    <row r="15" spans="1:21" x14ac:dyDescent="0.25">
      <c r="A15" s="96" t="s">
        <v>346</v>
      </c>
      <c r="B15" s="97">
        <f>+COUNTIF('8 MAPA RIESGOS'!$G$9:$G$46,G15)</f>
        <v>4</v>
      </c>
      <c r="C15" s="98">
        <f>+B15/$B$19</f>
        <v>0.16666666666666666</v>
      </c>
      <c r="D15" s="97">
        <f>+COUNTIF('8 MAPA RIESGOS'!$L$9:$L$46,G15)</f>
        <v>8</v>
      </c>
      <c r="E15" s="98">
        <f>+D15/$D$19</f>
        <v>0.26666666666666666</v>
      </c>
      <c r="G15" s="83" t="s">
        <v>299</v>
      </c>
    </row>
    <row r="16" spans="1:21" x14ac:dyDescent="0.25">
      <c r="A16" s="96" t="s">
        <v>347</v>
      </c>
      <c r="B16" s="97">
        <f>+COUNTIF('8 MAPA RIESGOS'!$G$9:$G$46,G16)</f>
        <v>8</v>
      </c>
      <c r="C16" s="98">
        <f t="shared" ref="C16:C19" si="0">+B16/$B$19</f>
        <v>0.33333333333333331</v>
      </c>
      <c r="D16" s="97">
        <f>+COUNTIF('8 MAPA RIESGOS'!$L$9:$L$46,G16)</f>
        <v>12</v>
      </c>
      <c r="E16" s="98">
        <f t="shared" ref="E16:E19" si="1">+D16/$D$19</f>
        <v>0.4</v>
      </c>
      <c r="G16" s="66" t="s">
        <v>298</v>
      </c>
    </row>
    <row r="17" spans="1:7" x14ac:dyDescent="0.25">
      <c r="A17" s="96" t="s">
        <v>348</v>
      </c>
      <c r="B17" s="97">
        <f>+COUNTIF('8 MAPA RIESGOS'!$G$9:$G$46,G17)</f>
        <v>12</v>
      </c>
      <c r="C17" s="98">
        <f t="shared" si="0"/>
        <v>0.5</v>
      </c>
      <c r="D17" s="97">
        <f>+COUNTIF('8 MAPA RIESGOS'!$L$9:$L$46,G17)</f>
        <v>10</v>
      </c>
      <c r="E17" s="98">
        <f t="shared" si="1"/>
        <v>0.33333333333333331</v>
      </c>
      <c r="G17" s="70" t="s">
        <v>280</v>
      </c>
    </row>
    <row r="18" spans="1:7" x14ac:dyDescent="0.25">
      <c r="A18" s="96" t="s">
        <v>349</v>
      </c>
      <c r="B18" s="97">
        <f>+COUNTIF('8 MAPA RIESGOS'!$G$9:$G$46,G18)</f>
        <v>0</v>
      </c>
      <c r="C18" s="98">
        <f t="shared" si="0"/>
        <v>0</v>
      </c>
      <c r="D18" s="97">
        <f>+COUNTIF('8 MAPA RIESGOS'!$L$9:$L$46,G18)</f>
        <v>0</v>
      </c>
      <c r="E18" s="98">
        <f t="shared" si="1"/>
        <v>0</v>
      </c>
      <c r="G18" s="74" t="s">
        <v>300</v>
      </c>
    </row>
    <row r="19" spans="1:7" x14ac:dyDescent="0.25">
      <c r="A19" s="96" t="s">
        <v>350</v>
      </c>
      <c r="B19" s="97">
        <f>+SUM(B15:B18)</f>
        <v>24</v>
      </c>
      <c r="C19" s="98">
        <f t="shared" si="0"/>
        <v>1</v>
      </c>
      <c r="D19" s="97">
        <f>+SUM(D15:D18)</f>
        <v>30</v>
      </c>
      <c r="E19" s="98">
        <f t="shared" si="1"/>
        <v>1</v>
      </c>
    </row>
    <row r="20" spans="1:7" x14ac:dyDescent="0.25"/>
    <row r="21" spans="1:7" s="99" customFormat="1" x14ac:dyDescent="0.25">
      <c r="B21" s="100" t="s">
        <v>344</v>
      </c>
      <c r="D21" s="100" t="s">
        <v>345</v>
      </c>
    </row>
    <row r="22" spans="1:7" s="99" customFormat="1" ht="41.45" customHeight="1" x14ac:dyDescent="0.25">
      <c r="B22" s="101" t="str">
        <f>+IF((B15/B19)&gt;=0.2,G15,+IF(((B15/B19)+(B16/B19))&gt;=0.3,G16,+IF(((B15/B19)+(B16/B19)+(B17/B19))&gt;=0.4,G17,+IF((B15/B19)+(B16/B19)+(B17/B19)+(B18/B19)&gt;=0.5,G18,""))))</f>
        <v>Alto</v>
      </c>
      <c r="D22" s="101" t="str">
        <f>+IF((D15/D19)&gt;=0.2,G15,+IF(((D15/D19)+(D16/D19))&gt;=0.3,G16,+IF(((D15/D19)+(D16/D19)+(D17/D19))&gt;=0.4,G17,+IF((D15/D19)+(D16/D19)+(D17/D19)+(D18/D19)&gt;=0.5,G18,""))))</f>
        <v>Extremo</v>
      </c>
    </row>
    <row r="23" spans="1:7" ht="15.75" thickBot="1" x14ac:dyDescent="0.3"/>
    <row r="24" spans="1:7" ht="16.5" thickTop="1" thickBot="1" x14ac:dyDescent="0.3">
      <c r="A24" s="387" t="s">
        <v>377</v>
      </c>
      <c r="B24" s="387"/>
      <c r="C24" s="387"/>
      <c r="D24" s="387"/>
      <c r="E24" s="387"/>
      <c r="F24" s="387"/>
      <c r="G24" s="387"/>
    </row>
    <row r="25" spans="1:7" ht="16.5" thickTop="1" thickBot="1" x14ac:dyDescent="0.3">
      <c r="A25" s="321" t="s">
        <v>378</v>
      </c>
      <c r="B25" s="387" t="s">
        <v>379</v>
      </c>
      <c r="C25" s="387"/>
      <c r="D25" s="387" t="s">
        <v>380</v>
      </c>
      <c r="E25" s="387"/>
      <c r="F25" s="387" t="s">
        <v>381</v>
      </c>
      <c r="G25" s="387"/>
    </row>
    <row r="26" spans="1:7" ht="16.5" thickTop="1" thickBot="1" x14ac:dyDescent="0.3">
      <c r="A26" s="322" t="s">
        <v>382</v>
      </c>
      <c r="B26" s="388">
        <v>46163</v>
      </c>
      <c r="C26" s="388"/>
      <c r="D26" s="389" t="s">
        <v>383</v>
      </c>
      <c r="E26" s="389"/>
      <c r="F26" s="390" t="s">
        <v>384</v>
      </c>
      <c r="G26" s="390"/>
    </row>
  </sheetData>
  <sheetProtection formatCells="0" formatColumns="0" formatRows="0"/>
  <mergeCells count="19">
    <mergeCell ref="A24:G24"/>
    <mergeCell ref="B25:C25"/>
    <mergeCell ref="D25:E25"/>
    <mergeCell ref="F25:G25"/>
    <mergeCell ref="B26:C26"/>
    <mergeCell ref="D26:E26"/>
    <mergeCell ref="F26:G26"/>
    <mergeCell ref="A1:A3"/>
    <mergeCell ref="B1:I2"/>
    <mergeCell ref="B3:I3"/>
    <mergeCell ref="A4:K4"/>
    <mergeCell ref="B14:C14"/>
    <mergeCell ref="D14:E14"/>
    <mergeCell ref="A12:K12"/>
    <mergeCell ref="A7:K7"/>
    <mergeCell ref="A8:K8"/>
    <mergeCell ref="A9:K9"/>
    <mergeCell ref="A11:K11"/>
    <mergeCell ref="A10:K10"/>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zoomScale="80" zoomScaleNormal="80" workbookViewId="0">
      <selection activeCell="H43" sqref="H43"/>
    </sheetView>
  </sheetViews>
  <sheetFormatPr baseColWidth="10" defaultColWidth="0" defaultRowHeight="14.25" x14ac:dyDescent="0.25"/>
  <cols>
    <col min="1" max="1" width="27.140625" style="4" customWidth="1"/>
    <col min="2" max="2" width="32.5703125" style="4" customWidth="1"/>
    <col min="3" max="3" width="22.85546875" style="4" customWidth="1"/>
    <col min="4" max="4" width="21.28515625" style="4" hidden="1" customWidth="1"/>
    <col min="5" max="5" width="36.85546875" style="331" customWidth="1"/>
    <col min="6" max="6" width="21.42578125" style="4" customWidth="1"/>
    <col min="7" max="7" width="34" style="4" customWidth="1"/>
    <col min="8" max="8" width="32.42578125" style="4" customWidth="1"/>
    <col min="9" max="9" width="39.28515625" style="4" customWidth="1"/>
    <col min="10" max="10" width="53.5703125" style="4" customWidth="1"/>
    <col min="11" max="11" width="39.42578125" style="4" customWidth="1"/>
    <col min="12" max="12" width="11.425781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2" ht="20.100000000000001" customHeight="1" thickTop="1" x14ac:dyDescent="0.25">
      <c r="A1" s="367"/>
      <c r="B1" s="370" t="s">
        <v>375</v>
      </c>
      <c r="C1" s="371"/>
      <c r="D1" s="371"/>
      <c r="E1" s="371"/>
      <c r="F1" s="371"/>
      <c r="G1" s="371"/>
      <c r="H1" s="371"/>
      <c r="I1" s="372"/>
      <c r="J1" s="313" t="s">
        <v>373</v>
      </c>
      <c r="K1" s="314"/>
      <c r="L1" s="260"/>
    </row>
    <row r="2" spans="1:12" ht="20.100000000000001" customHeight="1" x14ac:dyDescent="0.25">
      <c r="A2" s="368"/>
      <c r="B2" s="373"/>
      <c r="C2" s="374"/>
      <c r="D2" s="374"/>
      <c r="E2" s="374"/>
      <c r="F2" s="374"/>
      <c r="G2" s="374"/>
      <c r="H2" s="374"/>
      <c r="I2" s="375"/>
      <c r="J2" s="315" t="s">
        <v>376</v>
      </c>
      <c r="K2" s="316"/>
      <c r="L2" s="260"/>
    </row>
    <row r="3" spans="1:12" s="3" customFormat="1" ht="16.5" thickBot="1" x14ac:dyDescent="0.25">
      <c r="A3" s="369"/>
      <c r="B3" s="376" t="s">
        <v>359</v>
      </c>
      <c r="C3" s="377"/>
      <c r="D3" s="377"/>
      <c r="E3" s="377"/>
      <c r="F3" s="377"/>
      <c r="G3" s="377"/>
      <c r="H3" s="377"/>
      <c r="I3" s="378"/>
      <c r="J3" s="317" t="s">
        <v>374</v>
      </c>
      <c r="K3" s="318"/>
      <c r="L3" s="261"/>
    </row>
    <row r="4" spans="1:12" s="3" customFormat="1" ht="17.100000000000001" customHeight="1" thickTop="1" x14ac:dyDescent="0.2">
      <c r="A4" s="381"/>
      <c r="B4" s="382"/>
      <c r="C4" s="382"/>
      <c r="D4" s="382"/>
      <c r="E4" s="382"/>
      <c r="F4" s="382"/>
      <c r="G4" s="382"/>
      <c r="H4" s="382"/>
      <c r="I4" s="382"/>
      <c r="J4" s="382"/>
      <c r="K4" s="383"/>
    </row>
    <row r="5" spans="1:12" ht="27" customHeight="1" x14ac:dyDescent="0.25">
      <c r="A5" s="12" t="s">
        <v>80</v>
      </c>
      <c r="B5" s="266" t="s">
        <v>385</v>
      </c>
      <c r="C5" s="267"/>
      <c r="D5" s="267"/>
      <c r="E5" s="268"/>
      <c r="F5" s="251" t="s">
        <v>81</v>
      </c>
      <c r="G5" s="458" t="s">
        <v>386</v>
      </c>
      <c r="H5" s="460"/>
      <c r="I5" s="251" t="s">
        <v>353</v>
      </c>
      <c r="J5" s="269">
        <v>2026</v>
      </c>
      <c r="K5" s="270"/>
    </row>
    <row r="6" spans="1:12" ht="99.75" customHeight="1" x14ac:dyDescent="0.25">
      <c r="A6" s="225" t="s">
        <v>82</v>
      </c>
      <c r="B6" s="458" t="s">
        <v>387</v>
      </c>
      <c r="C6" s="459"/>
      <c r="D6" s="459"/>
      <c r="E6" s="460"/>
      <c r="F6" s="251" t="s">
        <v>352</v>
      </c>
      <c r="G6" s="461" t="s">
        <v>388</v>
      </c>
      <c r="H6" s="462"/>
      <c r="I6" s="462"/>
      <c r="J6" s="462"/>
      <c r="K6" s="463"/>
    </row>
    <row r="7" spans="1:12" ht="15" x14ac:dyDescent="0.25">
      <c r="F7" s="166"/>
      <c r="G7" s="167"/>
      <c r="H7" s="167"/>
      <c r="I7" s="168"/>
      <c r="J7" s="169"/>
    </row>
    <row r="8" spans="1:12" ht="21" customHeight="1" x14ac:dyDescent="0.25">
      <c r="A8" s="457" t="s">
        <v>83</v>
      </c>
      <c r="B8" s="457" t="s">
        <v>84</v>
      </c>
      <c r="C8" s="457"/>
      <c r="D8" s="457"/>
      <c r="E8" s="457"/>
    </row>
    <row r="9" spans="1:12" s="28" customFormat="1" ht="77.45" customHeight="1" x14ac:dyDescent="0.25">
      <c r="A9" s="457"/>
      <c r="B9" s="108" t="s">
        <v>85</v>
      </c>
      <c r="C9" s="108" t="s">
        <v>86</v>
      </c>
      <c r="D9" s="108" t="s">
        <v>87</v>
      </c>
      <c r="E9" s="108" t="s">
        <v>88</v>
      </c>
      <c r="F9" s="244" t="s">
        <v>89</v>
      </c>
      <c r="G9" s="251" t="s">
        <v>19</v>
      </c>
      <c r="H9" s="251" t="s">
        <v>90</v>
      </c>
      <c r="I9" s="251" t="s">
        <v>91</v>
      </c>
      <c r="J9" s="251" t="s">
        <v>25</v>
      </c>
      <c r="K9" s="244" t="s">
        <v>92</v>
      </c>
    </row>
    <row r="10" spans="1:12" s="5" customFormat="1" ht="123" customHeight="1" x14ac:dyDescent="0.25">
      <c r="A10" s="1" t="s">
        <v>93</v>
      </c>
      <c r="B10" s="2" t="s">
        <v>189</v>
      </c>
      <c r="C10" s="2" t="s">
        <v>193</v>
      </c>
      <c r="D10" s="125" t="str">
        <f>+IF(B10='11 FORMULAS'!$B$4,'11 FORMULAS'!$C$4,IF(B10='11 FORMULAS'!$B$6,'11 FORMULAS'!$C$6,IF(B10='11 FORMULAS'!$B$8,'11 FORMULAS'!$C$8,IF(B10='11 FORMULAS'!$B$10,'11 FORMULAS'!$C$10,""))))</f>
        <v/>
      </c>
      <c r="E10" s="152"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245" t="s">
        <v>389</v>
      </c>
      <c r="I10" s="245" t="s">
        <v>390</v>
      </c>
      <c r="J10" s="250" t="str">
        <f>(CONCATENATE(Tabla1[[#This Row],[¿QUÉ? 
IMPACTO]]," ","por ",Tabla1[[#This Row],[¿CÓMO?
CAUSA INMEDIATA 
(Iniciar con la palabra 
por)]]," ","debido a"," ",Tabla1[[#This Row],[¿PORQUÉ?
CAUSA RAÍZ
(Iniciar con 
debido a/a causa de)]]))</f>
        <v>Posibilidad de afectación reputacional por investigaciones de entes de control debido a la falta de control y seguimiento a las partidas conciliatorias y conceptos de ingresos que afectan los movimientos bancarios, generando inconsistencias entre los libros contables y los extractos bancarios</v>
      </c>
      <c r="K10" s="247"/>
    </row>
    <row r="11" spans="1:12" s="5" customFormat="1" ht="125.25" customHeight="1" x14ac:dyDescent="0.25">
      <c r="A11" s="1" t="s">
        <v>98</v>
      </c>
      <c r="B11" s="2" t="s">
        <v>189</v>
      </c>
      <c r="C11" s="2" t="s">
        <v>193</v>
      </c>
      <c r="D11" s="125" t="str">
        <f>+IF(B11='11 FORMULAS'!$B$4,'11 FORMULAS'!$C$4,IF(B11='11 FORMULAS'!$B$6,'11 FORMULAS'!$C$6,IF(B11='11 FORMULAS'!$B$8,'11 FORMULAS'!$C$8,IF(B11='11 FORMULAS'!$B$10,'11 FORMULAS'!$C$10,""))))</f>
        <v/>
      </c>
      <c r="E11" s="152"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245" t="s">
        <v>400</v>
      </c>
      <c r="I11" s="245" t="s">
        <v>401</v>
      </c>
      <c r="J11" s="250" t="str">
        <f>(CONCATENATE(Tabla1[[#This Row],[¿QUÉ? 
IMPACTO]]," ","por ",Tabla1[[#This Row],[¿CÓMO?
CAUSA INMEDIATA 
(Iniciar con la palabra 
por)]]," ","debido a"," ",Tabla1[[#This Row],[¿PORQUÉ?
CAUSA RAÍZ
(Iniciar con 
debido a/a causa de)]]))</f>
        <v>Posibilidad de afectación reputacional por deficiencias en la planeación de las necesidades del Plan Anual de Adquisiciones de la Secretaría de Hacienda,  debido a insuficiencias en la identificación y proyección oportuna de los requerimientos contractuales, generando compromisos de vigencias futuras para atender necesidades de la vigencia actual</v>
      </c>
      <c r="K11" s="247"/>
    </row>
    <row r="12" spans="1:12" ht="93" customHeight="1" x14ac:dyDescent="0.25">
      <c r="A12" s="1" t="s">
        <v>99</v>
      </c>
      <c r="B12" s="2" t="s">
        <v>189</v>
      </c>
      <c r="C12" s="2" t="s">
        <v>193</v>
      </c>
      <c r="D12" s="125" t="str">
        <f>+IF(B12='11 FORMULAS'!$B$4,'11 FORMULAS'!$C$4,IF(B12='11 FORMULAS'!$B$6,'11 FORMULAS'!$C$6,IF(B12='11 FORMULAS'!$B$8,'11 FORMULAS'!$C$8,IF(B12='11 FORMULAS'!$B$10,'11 FORMULAS'!$C$10,""))))</f>
        <v/>
      </c>
      <c r="E12" s="152"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245" t="s">
        <v>408</v>
      </c>
      <c r="I12" s="245" t="s">
        <v>409</v>
      </c>
      <c r="J12" s="250" t="str">
        <f>(CONCATENATE(Tabla1[[#This Row],[¿QUÉ? 
IMPACTO]]," ","por ",Tabla1[[#This Row],[¿CÓMO?
CAUSA INMEDIATA 
(Iniciar con la palabra 
por)]]," ","debido a"," ",Tabla1[[#This Row],[¿PORQUÉ?
CAUSA RAÍZ
(Iniciar con 
debido a/a causa de)]]))</f>
        <v>Posibilidad de afectación reputacional por investigaciones y sanciones disciplinarias  debido a entes de control, debido al incumplimiento de la Ley 594 de 2000 en la gestión documental de la Secretaría de Hacienda</v>
      </c>
      <c r="K12" s="248"/>
    </row>
    <row r="13" spans="1:12" ht="124.5" customHeight="1" x14ac:dyDescent="0.25">
      <c r="A13" s="1" t="s">
        <v>100</v>
      </c>
      <c r="B13" s="2" t="s">
        <v>189</v>
      </c>
      <c r="C13" s="2" t="s">
        <v>193</v>
      </c>
      <c r="D13" s="125" t="str">
        <f>+IF(B13='11 FORMULAS'!$B$4,'11 FORMULAS'!$C$4,IF(B13='11 FORMULAS'!$B$6,'11 FORMULAS'!$C$6,IF(B13='11 FORMULAS'!$B$8,'11 FORMULAS'!$C$8,IF(B13='11 FORMULAS'!$B$10,'11 FORMULAS'!$C$10,""))))</f>
        <v/>
      </c>
      <c r="E13" s="152"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180</v>
      </c>
      <c r="H13" s="245" t="s">
        <v>421</v>
      </c>
      <c r="I13" s="245" t="s">
        <v>422</v>
      </c>
      <c r="J13" s="250" t="str">
        <f>(CONCATENATE(Tabla1[[#This Row],[¿QUÉ? 
IMPACTO]]," ","por ",Tabla1[[#This Row],[¿CÓMO?
CAUSA INMEDIATA 
(Iniciar con la palabra 
por)]]," ","debido a"," ",Tabla1[[#This Row],[¿PORQUÉ?
CAUSA RAÍZ
(Iniciar con 
debido a/a causa de)]]))</f>
        <v xml:space="preserve">Posibilidad de afectación reputacional por inconsistencias o errores en el registro y reporte de la información de ingresos presentada en los sistemas CHIP y SIA Contraloría,  debido a deficiencias en la parametrización, interoperabilidad y funcionamiento del Sistema de Información Financiero (SIF), frente a los lineamientos establecidos por los entes de control. </v>
      </c>
      <c r="K13" s="248"/>
    </row>
    <row r="14" spans="1:12" ht="106.5" customHeight="1" x14ac:dyDescent="0.25">
      <c r="A14" s="1" t="s">
        <v>101</v>
      </c>
      <c r="B14" s="2" t="s">
        <v>189</v>
      </c>
      <c r="C14" s="2" t="s">
        <v>193</v>
      </c>
      <c r="D14" s="125" t="str">
        <f>+IF(B14='11 FORMULAS'!$B$4,'11 FORMULAS'!$C$4,IF(B14='11 FORMULAS'!$B$6,'11 FORMULAS'!$C$6,IF(B14='11 FORMULAS'!$B$8,'11 FORMULAS'!$C$8,IF(B14='11 FORMULAS'!$B$10,'11 FORMULAS'!$C$10,""))))</f>
        <v/>
      </c>
      <c r="E14" s="152"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168</v>
      </c>
      <c r="G14" s="1" t="s">
        <v>180</v>
      </c>
      <c r="H14" s="245" t="s">
        <v>429</v>
      </c>
      <c r="I14" s="245" t="s">
        <v>430</v>
      </c>
      <c r="J14" s="250" t="str">
        <f>(CONCATENATE(Tabla1[[#This Row],[¿QUÉ? 
IMPACTO]]," ","por ",Tabla1[[#This Row],[¿CÓMO?
CAUSA INMEDIATA 
(Iniciar con la palabra 
por)]]," ","debido a"," ",Tabla1[[#This Row],[¿PORQUÉ?
CAUSA RAÍZ
(Iniciar con 
debido a/a causa de)]]))</f>
        <v xml:space="preserve">Posibilidad de afectación reputacional por debilidades en la planeación, gestión y ejecución de las obligaciones contractuales por parte de las unidades gestoras debido a deficiencias en la supervisión y ejecución oportuna contractual producto de la constitución de reservas presupuestales y pasivos exigibles </v>
      </c>
      <c r="K14" s="248"/>
    </row>
    <row r="15" spans="1:12" ht="129" customHeight="1" x14ac:dyDescent="0.25">
      <c r="A15" s="1" t="s">
        <v>102</v>
      </c>
      <c r="B15" s="2" t="s">
        <v>189</v>
      </c>
      <c r="C15" s="2" t="s">
        <v>193</v>
      </c>
      <c r="D15" s="125" t="str">
        <f>+IF(B15='11 FORMULAS'!$B$4,'11 FORMULAS'!$C$4,IF(B15='11 FORMULAS'!$B$6,'11 FORMULAS'!$C$6,IF(B15='11 FORMULAS'!$B$8,'11 FORMULAS'!$C$8,IF(B15='11 FORMULAS'!$B$10,'11 FORMULAS'!$C$10,""))))</f>
        <v/>
      </c>
      <c r="E15" s="152"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168</v>
      </c>
      <c r="G15" s="1" t="s">
        <v>183</v>
      </c>
      <c r="H15" s="245" t="s">
        <v>442</v>
      </c>
      <c r="I15" s="245" t="s">
        <v>443</v>
      </c>
      <c r="J15" s="250" t="str">
        <f>(CONCATENATE(Tabla1[[#This Row],[¿QUÉ? 
IMPACTO]]," ","por ",Tabla1[[#This Row],[¿CÓMO?
CAUSA INMEDIATA 
(Iniciar con la palabra 
por)]]," ","debido a"," ",Tabla1[[#This Row],[¿PORQUÉ?
CAUSA RAÍZ
(Iniciar con 
debido a/a causa de)]]))</f>
        <v xml:space="preserve">Posibilidad de afectación económica y reputacional por generación de información contable y financiera no razonable o inconsistente del Municipio de Bucaramanga,  debido a debilidades en la depuración contable, validación de saldos, conciliación y análisis de la información registrada en el Sistema de Información Financiera, en incumplimiento del Marco Normativo del Régimen de Contabilidad Pública. </v>
      </c>
      <c r="K15" s="248"/>
    </row>
    <row r="16" spans="1:12" ht="93" customHeight="1" x14ac:dyDescent="0.25">
      <c r="A16" s="1" t="s">
        <v>103</v>
      </c>
      <c r="B16" s="2" t="s">
        <v>189</v>
      </c>
      <c r="C16" s="2" t="s">
        <v>193</v>
      </c>
      <c r="D16" s="125" t="str">
        <f>+IF(B16='11 FORMULAS'!$B$4,'11 FORMULAS'!$C$4,IF(B16='11 FORMULAS'!$B$6,'11 FORMULAS'!$C$6,IF(B16='11 FORMULAS'!$B$8,'11 FORMULAS'!$C$8,IF(B16='11 FORMULAS'!$B$10,'11 FORMULAS'!$C$10,""))))</f>
        <v/>
      </c>
      <c r="E16" s="152"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168</v>
      </c>
      <c r="G16" s="1" t="s">
        <v>180</v>
      </c>
      <c r="H16" s="245" t="s">
        <v>452</v>
      </c>
      <c r="I16" s="245" t="s">
        <v>453</v>
      </c>
      <c r="J16" s="250"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la falta de seguimiento al cumplimiento de metas del Plan de Desarrollo Municipal programadas para la vigencia.</v>
      </c>
      <c r="K16" s="248"/>
    </row>
    <row r="17" spans="1:11" ht="93" customHeight="1" x14ac:dyDescent="0.25">
      <c r="A17" s="1" t="s">
        <v>104</v>
      </c>
      <c r="B17" s="2" t="s">
        <v>189</v>
      </c>
      <c r="C17" s="2" t="s">
        <v>193</v>
      </c>
      <c r="D17" s="125" t="str">
        <f>+IF(B17='11 FORMULAS'!$B$4,'11 FORMULAS'!$C$4,IF(B17='11 FORMULAS'!$B$6,'11 FORMULAS'!$C$6,IF(B17='11 FORMULAS'!$B$8,'11 FORMULAS'!$C$8,IF(B17='11 FORMULAS'!$B$10,'11 FORMULAS'!$C$10,""))))</f>
        <v/>
      </c>
      <c r="E17" s="152"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168</v>
      </c>
      <c r="G17" s="1" t="s">
        <v>180</v>
      </c>
      <c r="H17" s="245" t="s">
        <v>461</v>
      </c>
      <c r="I17" s="245" t="s">
        <v>462</v>
      </c>
      <c r="J17" s="250" t="str">
        <f>(CONCATENATE(Tabla1[[#This Row],[¿QUÉ? 
IMPACTO]]," ","por ",Tabla1[[#This Row],[¿CÓMO?
CAUSA INMEDIATA 
(Iniciar con la palabra 
por)]]," ","debido a"," ",Tabla1[[#This Row],[¿PORQUÉ?
CAUSA RAÍZ
(Iniciar con 
debido a/a causa de)]]))</f>
        <v xml:space="preserve">Posibilidad de afectación reputacional por debilidades en la publicación y actualización de la información obligatoria en la página web institucional,  debido a incumplimiento de los lineamientos establecidos en la Ley 1712 de 2014 y la Resolución 1519 de 2020 del MINTIC. </v>
      </c>
      <c r="K17" s="248"/>
    </row>
    <row r="18" spans="1:11" s="6" customFormat="1" ht="93" customHeight="1" x14ac:dyDescent="0.25">
      <c r="A18" s="1" t="s">
        <v>105</v>
      </c>
      <c r="B18" s="2" t="s">
        <v>189</v>
      </c>
      <c r="C18" s="2" t="s">
        <v>193</v>
      </c>
      <c r="D18" s="125" t="str">
        <f>+IF(B18='11 FORMULAS'!$B$4,'11 FORMULAS'!$C$4,IF(B18='11 FORMULAS'!$B$6,'11 FORMULAS'!$C$6,IF(B18='11 FORMULAS'!$B$8,'11 FORMULAS'!$C$8,IF(B18='11 FORMULAS'!$B$10,'11 FORMULAS'!$C$10,""))))</f>
        <v/>
      </c>
      <c r="E18" s="152"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168</v>
      </c>
      <c r="G18" s="1" t="s">
        <v>183</v>
      </c>
      <c r="H18" s="245" t="s">
        <v>460</v>
      </c>
      <c r="I18" s="245" t="s">
        <v>469</v>
      </c>
      <c r="J18" s="250" t="str">
        <f>(CONCATENATE(Tabla1[[#This Row],[¿QUÉ? 
IMPACTO]]," ","por ",Tabla1[[#This Row],[¿CÓMO?
CAUSA INMEDIATA 
(Iniciar con la palabra 
por)]]," ","debido a"," ",Tabla1[[#This Row],[¿PORQUÉ?
CAUSA RAÍZ
(Iniciar con 
debido a/a causa de)]]))</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K18" s="249"/>
    </row>
    <row r="19" spans="1:11" s="6" customFormat="1" ht="93" customHeight="1" x14ac:dyDescent="0.25">
      <c r="A19" s="1" t="s">
        <v>106</v>
      </c>
      <c r="B19" s="2" t="s">
        <v>189</v>
      </c>
      <c r="C19" s="2" t="s">
        <v>193</v>
      </c>
      <c r="D19" s="125" t="str">
        <f>+IF(B19='11 FORMULAS'!$B$4,'11 FORMULAS'!$C$4,IF(B19='11 FORMULAS'!$B$6,'11 FORMULAS'!$C$6,IF(B19='11 FORMULAS'!$B$8,'11 FORMULAS'!$C$8,IF(B19='11 FORMULAS'!$B$10,'11 FORMULAS'!$C$10,""))))</f>
        <v/>
      </c>
      <c r="E19" s="152"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168</v>
      </c>
      <c r="G19" s="1" t="s">
        <v>183</v>
      </c>
      <c r="H19" s="245" t="s">
        <v>476</v>
      </c>
      <c r="I19" s="245" t="s">
        <v>477</v>
      </c>
      <c r="J19" s="250" t="str">
        <f>(CONCATENATE(Tabla1[[#This Row],[¿QUÉ? 
IMPACTO]]," ","por ",Tabla1[[#This Row],[¿CÓMO?
CAUSA INMEDIATA 
(Iniciar con la palabra 
por)]]," ","debido a"," ",Tabla1[[#This Row],[¿PORQUÉ?
CAUSA RAÍZ
(Iniciar con 
debido a/a causa de)]]))</f>
        <v xml:space="preserve">Posibilidad de afectación económica y reputacional por desconocimiento del avance y ejecución de las metas institucionales,  debido a a debilidades en el seguimiento a los recursos del Fondo Municipal de Gestión del Riesgo. </v>
      </c>
      <c r="K19" s="249"/>
    </row>
    <row r="20" spans="1:11" s="6" customFormat="1" ht="93" customHeight="1" x14ac:dyDescent="0.25">
      <c r="A20" s="1" t="s">
        <v>107</v>
      </c>
      <c r="B20" s="2" t="s">
        <v>189</v>
      </c>
      <c r="C20" s="2" t="s">
        <v>193</v>
      </c>
      <c r="D20" s="125" t="str">
        <f>+IF(B20='11 FORMULAS'!$B$4,'11 FORMULAS'!$C$4,IF(B20='11 FORMULAS'!$B$6,'11 FORMULAS'!$C$6,IF(B20='11 FORMULAS'!$B$8,'11 FORMULAS'!$C$8,IF(B20='11 FORMULAS'!$B$10,'11 FORMULAS'!$C$10,""))))</f>
        <v/>
      </c>
      <c r="E20" s="152" t="str">
        <f>+IFERROR(VLOOKUP(B20,Tabla3[],2,0),"")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0" s="1" t="s">
        <v>96</v>
      </c>
      <c r="G20" s="1" t="s">
        <v>177</v>
      </c>
      <c r="H20" s="245" t="s">
        <v>483</v>
      </c>
      <c r="I20" s="245" t="s">
        <v>484</v>
      </c>
      <c r="J20" s="250" t="str">
        <f>(CONCATENATE(Tabla1[[#This Row],[¿QUÉ? 
IMPACTO]]," ","por ",Tabla1[[#This Row],[¿CÓMO?
CAUSA INMEDIATA 
(Iniciar con la palabra 
por)]]," ","debido a"," ",Tabla1[[#This Row],[¿PORQUÉ?
CAUSA RAÍZ
(Iniciar con 
debido a/a causa de)]]))</f>
        <v xml:space="preserve">Posibilidad  de efecto dañoso sobre el recurso público por pérdida, extravío, hurto o faltantes en inventario de bienes muebles de la entidad,  debido a deficiencias en la actualización, verificación y control del inventario de bienes muebles. </v>
      </c>
      <c r="K20" s="249"/>
    </row>
    <row r="21" spans="1:11" s="6" customFormat="1" ht="93" customHeight="1" x14ac:dyDescent="0.25">
      <c r="A21" s="1" t="s">
        <v>108</v>
      </c>
      <c r="B21" s="2" t="s">
        <v>189</v>
      </c>
      <c r="C21" s="2" t="s">
        <v>193</v>
      </c>
      <c r="D21" s="125" t="str">
        <f>+IF(B21='11 FORMULAS'!$B$4,'11 FORMULAS'!$C$4,IF(B21='11 FORMULAS'!$B$6,'11 FORMULAS'!$C$6,IF(B21='11 FORMULAS'!$B$8,'11 FORMULAS'!$C$8,IF(B21='11 FORMULAS'!$B$10,'11 FORMULAS'!$C$10,""))))</f>
        <v/>
      </c>
      <c r="E21" s="152" t="str">
        <f>+IFERROR(VLOOKUP(B21,Tabla3[],2,0),"")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1" s="1" t="s">
        <v>96</v>
      </c>
      <c r="G21" s="1" t="s">
        <v>177</v>
      </c>
      <c r="H21" s="245" t="s">
        <v>491</v>
      </c>
      <c r="I21" s="245" t="s">
        <v>492</v>
      </c>
      <c r="J21" s="250" t="str">
        <f>(CONCATENATE(Tabla1[[#This Row],[¿QUÉ? 
IMPACTO]]," ","por ",Tabla1[[#This Row],[¿CÓMO?
CAUSA INMEDIATA 
(Iniciar con la palabra 
por)]]," ","debido a"," ",Tabla1[[#This Row],[¿PORQUÉ?
CAUSA RAÍZ
(Iniciar con 
debido a/a causa de)]]))</f>
        <v xml:space="preserve">Posibilidad  de efecto dañoso sobre el recurso público por incumplimiento en la atención oportuna de requerimientos emitidos por entes de control y vigilancia, debido a deficiencias en el seguimiento, gestión y control de los términos establecidos para su respuesta. </v>
      </c>
      <c r="K21" s="249"/>
    </row>
    <row r="22" spans="1:11" s="6" customFormat="1" ht="117" customHeight="1" x14ac:dyDescent="0.25">
      <c r="A22" s="1" t="s">
        <v>109</v>
      </c>
      <c r="B22" s="2" t="s">
        <v>189</v>
      </c>
      <c r="C22" s="2" t="s">
        <v>225</v>
      </c>
      <c r="D22" s="125" t="str">
        <f>+IF(B22='11 FORMULAS'!$B$4,'11 FORMULAS'!$C$4,IF(B22='11 FORMULAS'!$B$6,'11 FORMULAS'!$C$6,IF(B22='11 FORMULAS'!$B$8,'11 FORMULAS'!$C$8,IF(B22='11 FORMULAS'!$B$10,'11 FORMULAS'!$C$10,""))))</f>
        <v/>
      </c>
      <c r="E22" s="152" t="str">
        <f>+IFERROR(VLOOKUP(B22,Tabla3[],2,0),"")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2" s="1" t="s">
        <v>96</v>
      </c>
      <c r="G22" s="1" t="s">
        <v>177</v>
      </c>
      <c r="H22" s="245" t="s">
        <v>498</v>
      </c>
      <c r="I22" s="245" t="s">
        <v>499</v>
      </c>
      <c r="J22" s="250" t="str">
        <f>(CONCATENATE(Tabla1[[#This Row],[¿QUÉ? 
IMPACTO]]," ","por ",Tabla1[[#This Row],[¿CÓMO?
CAUSA INMEDIATA 
(Iniciar con la palabra 
por)]]," ","debido a"," ",Tabla1[[#This Row],[¿PORQUÉ?
CAUSA RAÍZ
(Iniciar con 
debido a/a causa de)]]))</f>
        <v xml:space="preserve">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 </v>
      </c>
      <c r="K22" s="249"/>
    </row>
    <row r="23" spans="1:11" s="6" customFormat="1" ht="114.75" customHeight="1" x14ac:dyDescent="0.25">
      <c r="A23" s="1" t="s">
        <v>110</v>
      </c>
      <c r="B23" s="2" t="s">
        <v>189</v>
      </c>
      <c r="C23" s="2" t="s">
        <v>193</v>
      </c>
      <c r="D23" s="125" t="str">
        <f>+IF(B23='11 FORMULAS'!$B$4,'11 FORMULAS'!$C$4,IF(B23='11 FORMULAS'!$B$6,'11 FORMULAS'!$C$6,IF(B23='11 FORMULAS'!$B$8,'11 FORMULAS'!$C$8,IF(B23='11 FORMULAS'!$B$10,'11 FORMULAS'!$C$10,""))))</f>
        <v/>
      </c>
      <c r="E23" s="152" t="str">
        <f>+IFERROR(VLOOKUP(B23,Tabla3[],2,0),"")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3" s="1" t="s">
        <v>96</v>
      </c>
      <c r="G23" s="1" t="s">
        <v>177</v>
      </c>
      <c r="H23" s="245" t="s">
        <v>506</v>
      </c>
      <c r="I23" s="245" t="s">
        <v>507</v>
      </c>
      <c r="J23" s="250" t="str">
        <f>(CONCATENATE(Tabla1[[#This Row],[¿QUÉ? 
IMPACTO]]," ","por ",Tabla1[[#This Row],[¿CÓMO?
CAUSA INMEDIATA 
(Iniciar con la palabra 
por)]]," ","debido a"," ",Tabla1[[#This Row],[¿PORQUÉ?
CAUSA RAÍZ
(Iniciar con 
debido a/a causa de)]]))</f>
        <v>Posibilidad  de efecto dañoso sobre el recurso público por pago de sanciones debido a omisiones, errores o inconsistencias en el diligenciamiento, validación y reporte de la información financiera, contable y tributaria requerida por los entes de control y vigilancia, dentro de los plazos y lineamientos establecidos por la normatividad aplicable</v>
      </c>
      <c r="K23" s="249"/>
    </row>
    <row r="24" spans="1:11" s="6" customFormat="1" ht="143.25" customHeight="1" x14ac:dyDescent="0.25">
      <c r="A24" s="1" t="s">
        <v>111</v>
      </c>
      <c r="B24" s="2" t="s">
        <v>189</v>
      </c>
      <c r="C24" s="2" t="s">
        <v>193</v>
      </c>
      <c r="D24" s="125" t="str">
        <f>+IF(B24='11 FORMULAS'!$B$4,'11 FORMULAS'!$C$4,IF(B24='11 FORMULAS'!$B$6,'11 FORMULAS'!$C$6,IF(B24='11 FORMULAS'!$B$8,'11 FORMULAS'!$C$8,IF(B24='11 FORMULAS'!$B$10,'11 FORMULAS'!$C$10,""))))</f>
        <v/>
      </c>
      <c r="E24" s="152" t="str">
        <f>+IFERROR(VLOOKUP(B24,Tabla3[],2,0),"")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4" s="1" t="s">
        <v>96</v>
      </c>
      <c r="G24" s="1" t="s">
        <v>177</v>
      </c>
      <c r="H24" s="245" t="s">
        <v>514</v>
      </c>
      <c r="I24" s="245" t="s">
        <v>515</v>
      </c>
      <c r="J24" s="250" t="str">
        <f>(CONCATENATE(Tabla1[[#This Row],[¿QUÉ? 
IMPACTO]]," ","por ",Tabla1[[#This Row],[¿CÓMO?
CAUSA INMEDIATA 
(Iniciar con la palabra 
por)]]," ","debido a"," ",Tabla1[[#This Row],[¿PORQUÉ?
CAUSA RAÍZ
(Iniciar con 
debido a/a causa de)]]))</f>
        <v xml:space="preserve">Posibilidad  de efecto dañoso sobre el recurso público por disminución de ingresos o prescripción de la cartera en mora,  debido a la renuencia de los contribuyentes al pago de las obligaciones tributarias, dificultades para la localización de deudores morosos, fallecimiento de contribuyentes y procesos de legalización y cesión de predios que afectan la recuperación oportuna de la cartera dentro de los términos establecidos para el cobro persuasivo y coactivo. </v>
      </c>
      <c r="K24" s="249"/>
    </row>
    <row r="25" spans="1:11" s="6" customFormat="1" ht="93" customHeight="1" x14ac:dyDescent="0.25">
      <c r="A25" s="1" t="s">
        <v>112</v>
      </c>
      <c r="B25" s="2" t="s">
        <v>189</v>
      </c>
      <c r="C25" s="2" t="s">
        <v>193</v>
      </c>
      <c r="D25" s="125" t="str">
        <f>+IF(B25='11 FORMULAS'!$B$4,'11 FORMULAS'!$C$4,IF(B25='11 FORMULAS'!$B$6,'11 FORMULAS'!$C$6,IF(B25='11 FORMULAS'!$B$8,'11 FORMULAS'!$C$8,IF(B25='11 FORMULAS'!$B$10,'11 FORMULAS'!$C$10,""))))</f>
        <v/>
      </c>
      <c r="E25" s="152" t="str">
        <f>+IFERROR(VLOOKUP(B25,Tabla3[],2,0),"")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5" s="1" t="s">
        <v>96</v>
      </c>
      <c r="G25" s="1" t="s">
        <v>177</v>
      </c>
      <c r="H25" s="245" t="s">
        <v>522</v>
      </c>
      <c r="I25" s="245" t="s">
        <v>523</v>
      </c>
      <c r="J25" s="250" t="str">
        <f>(CONCATENATE(Tabla1[[#This Row],[¿QUÉ? 
IMPACTO]]," ","por ",Tabla1[[#This Row],[¿CÓMO?
CAUSA INMEDIATA 
(Iniciar con la palabra 
por)]]," ","debido a"," ",Tabla1[[#This Row],[¿PORQUÉ?
CAUSA RAÍZ
(Iniciar con 
debido a/a causa de)]]))</f>
        <v xml:space="preserve">Posibilidad  de efecto dañoso sobre el recurso público por afectación en la ejecución de los proyectos de presupuestos participativos,  debido a cambios en la destinación de los recursos asignados para su financiación. </v>
      </c>
      <c r="K25" s="249"/>
    </row>
    <row r="26" spans="1:11" s="6" customFormat="1" ht="93" customHeight="1" x14ac:dyDescent="0.25">
      <c r="A26" s="1" t="s">
        <v>113</v>
      </c>
      <c r="B26" s="2" t="s">
        <v>189</v>
      </c>
      <c r="C26" s="2" t="s">
        <v>193</v>
      </c>
      <c r="D26" s="125" t="str">
        <f>+IF(B26='11 FORMULAS'!$B$4,'11 FORMULAS'!$C$4,IF(B26='11 FORMULAS'!$B$6,'11 FORMULAS'!$C$6,IF(B26='11 FORMULAS'!$B$8,'11 FORMULAS'!$C$8,IF(B26='11 FORMULAS'!$B$10,'11 FORMULAS'!$C$10,""))))</f>
        <v/>
      </c>
      <c r="E26" s="152" t="str">
        <f>+IFERROR(VLOOKUP(B26,Tabla3[],2,0),"")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6" s="1" t="s">
        <v>96</v>
      </c>
      <c r="G26" s="1" t="s">
        <v>177</v>
      </c>
      <c r="H26" s="245" t="s">
        <v>530</v>
      </c>
      <c r="I26" s="245" t="s">
        <v>531</v>
      </c>
      <c r="J26" s="250" t="str">
        <f>(CONCATENATE(Tabla1[[#This Row],[¿QUÉ? 
IMPACTO]]," ","por ",Tabla1[[#This Row],[¿CÓMO?
CAUSA INMEDIATA 
(Iniciar con la palabra 
por)]]," ","debido a"," ",Tabla1[[#This Row],[¿PORQUÉ?
CAUSA RAÍZ
(Iniciar con 
debido a/a causa de)]]))</f>
        <v xml:space="preserve">Posibilidad  de efecto dañoso sobre el recurso público por la no disponibilidad de recursos del FONPET para la atención de obligaciones pensionales, debido a deficiencias en la gestión y presentación de la documentación habilitante dentro de los términos establecidos. </v>
      </c>
      <c r="K26" s="249"/>
    </row>
    <row r="27" spans="1:11" s="6" customFormat="1" ht="93" customHeight="1" x14ac:dyDescent="0.25">
      <c r="A27" s="1" t="s">
        <v>114</v>
      </c>
      <c r="B27" s="2" t="s">
        <v>189</v>
      </c>
      <c r="C27" s="2" t="s">
        <v>193</v>
      </c>
      <c r="D27" s="125" t="str">
        <f>+IF(B27='11 FORMULAS'!$B$4,'11 FORMULAS'!$C$4,IF(B27='11 FORMULAS'!$B$6,'11 FORMULAS'!$C$6,IF(B27='11 FORMULAS'!$B$8,'11 FORMULAS'!$C$8,IF(B27='11 FORMULAS'!$B$10,'11 FORMULAS'!$C$10,""))))</f>
        <v/>
      </c>
      <c r="E27" s="152" t="str">
        <f>+IFERROR(VLOOKUP(B27,Tabla3[],2,0),"")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7" s="1" t="s">
        <v>96</v>
      </c>
      <c r="G27" s="1" t="s">
        <v>177</v>
      </c>
      <c r="H27" s="245" t="s">
        <v>538</v>
      </c>
      <c r="I27" s="245" t="s">
        <v>539</v>
      </c>
      <c r="J27" s="250" t="str">
        <f>(CONCATENATE(Tabla1[[#This Row],[¿QUÉ? 
IMPACTO]]," ","por ",Tabla1[[#This Row],[¿CÓMO?
CAUSA INMEDIATA 
(Iniciar con la palabra 
por)]]," ","debido a"," ",Tabla1[[#This Row],[¿PORQUÉ?
CAUSA RAÍZ
(Iniciar con 
debido a/a causa de)]]))</f>
        <v>Posibilidad  de efecto dañoso sobre el recurso público por configuración del silencio administrativo positivo en recursos de reconsideración y solicitudes de revocatoria directa presentadas por los contribuyentes,  debido a incumplimiento de los términos legales para su trámite y respuesta</v>
      </c>
      <c r="K27" s="249"/>
    </row>
    <row r="28" spans="1:11" s="6" customFormat="1" ht="105" customHeight="1" x14ac:dyDescent="0.25">
      <c r="A28" s="1" t="s">
        <v>115</v>
      </c>
      <c r="B28" s="2" t="s">
        <v>189</v>
      </c>
      <c r="C28" s="2" t="s">
        <v>193</v>
      </c>
      <c r="D28" s="125" t="str">
        <f>+IF(B28='11 FORMULAS'!$B$4,'11 FORMULAS'!$C$4,IF(B28='11 FORMULAS'!$B$6,'11 FORMULAS'!$C$6,IF(B28='11 FORMULAS'!$B$8,'11 FORMULAS'!$C$8,IF(B28='11 FORMULAS'!$B$10,'11 FORMULAS'!$C$10,""))))</f>
        <v/>
      </c>
      <c r="E28" s="152" t="str">
        <f>+IFERROR(VLOOKUP(B28,Tabla3[],2,0),"")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8" s="1" t="s">
        <v>96</v>
      </c>
      <c r="G28" s="1" t="s">
        <v>177</v>
      </c>
      <c r="H28" s="245" t="s">
        <v>546</v>
      </c>
      <c r="I28" s="245" t="s">
        <v>547</v>
      </c>
      <c r="J28" s="250" t="str">
        <f>(CONCATENATE(Tabla1[[#This Row],[¿QUÉ? 
IMPACTO]]," ","por ",Tabla1[[#This Row],[¿CÓMO?
CAUSA INMEDIATA 
(Iniciar con la palabra 
por)]]," ","debido a"," ",Tabla1[[#This Row],[¿PORQUÉ?
CAUSA RAÍZ
(Iniciar con 
debido a/a causa de)]]))</f>
        <v xml:space="preserve">Posibilidad  de efecto dañoso sobre el recurso público por inconsistencias en la liquidación, gestión y control del Impuesto Predial Unificado (IPU),  debido a la falta de interoperabilidad entre el Sistema de Información de Impuestos Municipales (SIIM) y la plataforma BCGS del Área Metropolitana de Bucaramanga (AMB). </v>
      </c>
      <c r="K28" s="249"/>
    </row>
    <row r="29" spans="1:11" s="6" customFormat="1" ht="104.25" customHeight="1" x14ac:dyDescent="0.25">
      <c r="A29" s="1" t="s">
        <v>116</v>
      </c>
      <c r="B29" s="2" t="s">
        <v>189</v>
      </c>
      <c r="C29" s="2" t="s">
        <v>225</v>
      </c>
      <c r="D29" s="125"/>
      <c r="E29" s="152" t="str">
        <f>+IFERROR(VLOOKUP(B29,Tabla3[],2,0),"")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29" s="273" t="s">
        <v>96</v>
      </c>
      <c r="G29" s="273" t="s">
        <v>177</v>
      </c>
      <c r="H29" s="245" t="s">
        <v>557</v>
      </c>
      <c r="I29" s="245" t="s">
        <v>558</v>
      </c>
      <c r="J29" s="275" t="str">
        <f>(CONCATENATE(Tabla1[[#This Row],[¿QUÉ? 
IMPACTO]]," ","por ",Tabla1[[#This Row],[¿CÓMO?
CAUSA INMEDIATA 
(Iniciar con la palabra 
por)]]," ","debido a"," ",Tabla1[[#This Row],[¿PORQUÉ?
CAUSA RAÍZ
(Iniciar con 
debido a/a causa de)]]))</f>
        <v xml:space="preserve">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 </v>
      </c>
      <c r="K29" s="249"/>
    </row>
    <row r="30" spans="1:11" s="6" customFormat="1" ht="103.5" customHeight="1" x14ac:dyDescent="0.25">
      <c r="A30" s="1" t="s">
        <v>361</v>
      </c>
      <c r="B30" s="2" t="s">
        <v>189</v>
      </c>
      <c r="C30" s="2" t="s">
        <v>193</v>
      </c>
      <c r="D30" s="125"/>
      <c r="E30" s="152" t="str">
        <f>+IFERROR(VLOOKUP(B30,Tabla3[],2,0),"")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30" s="273" t="s">
        <v>168</v>
      </c>
      <c r="G30" s="273" t="s">
        <v>183</v>
      </c>
      <c r="H30" s="245" t="s">
        <v>564</v>
      </c>
      <c r="I30" s="245" t="s">
        <v>565</v>
      </c>
      <c r="J30" s="275" t="str">
        <f>(CONCATENATE(Tabla1[[#This Row],[¿QUÉ? 
IMPACTO]]," ","por ",Tabla1[[#This Row],[¿CÓMO?
CAUSA INMEDIATA 
(Iniciar con la palabra 
por)]]," ","debido a"," ",Tabla1[[#This Row],[¿PORQUÉ?
CAUSA RAÍZ
(Iniciar con 
debido a/a causa de)]]))</f>
        <v>Posibilidad de afectación económica y reputacional por inconsistencias en la aplicación de novedades del módulo de Industria y Comercio del Sistema de Impuestos Municipales, debido a deficiencias en la validación, revisión y soporte de la información registrada.</v>
      </c>
      <c r="K30" s="249"/>
    </row>
    <row r="31" spans="1:11" s="6" customFormat="1" ht="108" customHeight="1" x14ac:dyDescent="0.25">
      <c r="A31" s="1" t="s">
        <v>362</v>
      </c>
      <c r="B31" s="2" t="s">
        <v>164</v>
      </c>
      <c r="C31" s="2" t="s">
        <v>201</v>
      </c>
      <c r="D31" s="125"/>
      <c r="E31" s="152" t="str">
        <f>+IFERROR(VLOOKUP(B31,Tabla3[],2,0),"")</f>
        <v>Eventos relacionados con las conductas o comportamientos de los empleados que afectan la Integridad Pública</v>
      </c>
      <c r="F31" s="273" t="s">
        <v>174</v>
      </c>
      <c r="G31" s="273" t="s">
        <v>182</v>
      </c>
      <c r="H31" s="245" t="s">
        <v>571</v>
      </c>
      <c r="I31" s="245" t="s">
        <v>572</v>
      </c>
      <c r="J31" s="275" t="str">
        <f>(CONCATENATE(Tabla1[[#This Row],[¿QUÉ? 
IMPACTO]]," ","por ",Tabla1[[#This Row],[¿CÓMO?
CAUSA INMEDIATA 
(Iniciar con la palabra 
por)]]," ","debido a"," ",Tabla1[[#This Row],[¿PORQUÉ?
CAUSA RAÍZ
(Iniciar con 
debido a/a causa de)]]))</f>
        <v>Posibilidad de pérdida reputacional por soborno entrante en la administración de recursos públicos de la Secretaría de Hacienda,  debido a al recibir o solicitar ventajas indebidas para manipular y/o favorecer la constitución de inversiones, debido a debilidades en los controles y seguimiento de las operaciones financieras.</v>
      </c>
      <c r="K31" s="249"/>
    </row>
    <row r="32" spans="1:11" s="6" customFormat="1" ht="93" customHeight="1" x14ac:dyDescent="0.25">
      <c r="A32" s="1" t="s">
        <v>363</v>
      </c>
      <c r="B32" s="2" t="s">
        <v>164</v>
      </c>
      <c r="C32" s="2" t="s">
        <v>201</v>
      </c>
      <c r="D32" s="125"/>
      <c r="E32" s="152" t="str">
        <f>+IFERROR(VLOOKUP(B32,Tabla3[],2,0),"")</f>
        <v>Eventos relacionados con las conductas o comportamientos de los empleados que afectan la Integridad Pública</v>
      </c>
      <c r="F32" s="273" t="s">
        <v>174</v>
      </c>
      <c r="G32" s="273" t="s">
        <v>182</v>
      </c>
      <c r="H32" s="245" t="s">
        <v>581</v>
      </c>
      <c r="I32" s="245" t="s">
        <v>582</v>
      </c>
      <c r="J32" s="275" t="str">
        <f>(CONCATENATE(Tabla1[[#This Row],[¿QUÉ? 
IMPACTO]]," ","por ",Tabla1[[#This Row],[¿CÓMO?
CAUSA INMEDIATA 
(Iniciar con la palabra 
por)]]," ","debido a"," ",Tabla1[[#This Row],[¿PORQUÉ?
CAUSA RAÍZ
(Iniciar con 
debido a/a causa de)]]))</f>
        <v>Posibilidad de pérdida reputacional por por soborno entrante en el retiro de registros del Boletín de Deudores Morosos del Estado (BDME),  debido a al solicitar o recibir ventajas indebidas a nombre propio o de terceros para efectuar exclusiones sin el cumplimiento de los requisitos establecidos por la Contaduría General de la Nación.</v>
      </c>
      <c r="K32" s="249"/>
    </row>
    <row r="33" spans="1:11" s="6" customFormat="1" ht="93" customHeight="1" x14ac:dyDescent="0.25">
      <c r="A33" s="1" t="s">
        <v>364</v>
      </c>
      <c r="B33" s="2" t="s">
        <v>189</v>
      </c>
      <c r="C33" s="2" t="s">
        <v>193</v>
      </c>
      <c r="D33" s="125"/>
      <c r="E33" s="152" t="str">
        <f>+IFERROR(VLOOKUP(B33,Tabla3[],2,0),"")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33" s="273" t="s">
        <v>168</v>
      </c>
      <c r="G33" s="273" t="s">
        <v>183</v>
      </c>
      <c r="H33" s="245" t="s">
        <v>587</v>
      </c>
      <c r="I33" s="245" t="s">
        <v>588</v>
      </c>
      <c r="J33" s="275" t="str">
        <f>(CONCATENATE(Tabla1[[#This Row],[¿QUÉ? 
IMPACTO]]," ","por ",Tabla1[[#This Row],[¿CÓMO?
CAUSA INMEDIATA 
(Iniciar con la palabra 
por)]]," ","debido a"," ",Tabla1[[#This Row],[¿PORQUÉ?
CAUSA RAÍZ
(Iniciar con 
debido a/a causa de)]]))</f>
        <v>Posibilidad de afectación económica y reputacional por inconsistencias en la aplicación de novedades del Impuesto Predial Unificado en el Sistema de Impuestos Municipales,  debido a deficiencias en la revisión, validación y soporte de la información registrada.</v>
      </c>
      <c r="K33" s="249"/>
    </row>
    <row r="34" spans="1:11" s="6" customFormat="1" ht="93" hidden="1" customHeight="1" x14ac:dyDescent="0.25">
      <c r="A34" s="1" t="s">
        <v>365</v>
      </c>
      <c r="B34" s="2"/>
      <c r="C34" s="2"/>
      <c r="D34" s="125"/>
      <c r="E34" s="152" t="str">
        <f>+IFERROR(VLOOKUP(B34,Tabla3[],2,0),"")</f>
        <v/>
      </c>
      <c r="F34" s="273"/>
      <c r="G34" s="273"/>
      <c r="H34" s="274"/>
      <c r="I34" s="274"/>
      <c r="J34" s="275" t="str">
        <f>(CONCATENATE(Tabla1[[#This Row],[¿QUÉ? 
IMPACTO]]," ","por ",Tabla1[[#This Row],[¿CÓMO?
CAUSA INMEDIATA 
(Iniciar con la palabra 
por)]]," ","debido a"," ",Tabla1[[#This Row],[¿PORQUÉ?
CAUSA RAÍZ
(Iniciar con 
debido a/a causa de)]]))</f>
        <v xml:space="preserve"> por  debido a </v>
      </c>
      <c r="K34" s="249"/>
    </row>
    <row r="35" spans="1:11" s="6" customFormat="1" ht="93" hidden="1" customHeight="1" x14ac:dyDescent="0.25">
      <c r="A35" s="1" t="s">
        <v>366</v>
      </c>
      <c r="B35" s="2"/>
      <c r="C35" s="2"/>
      <c r="D35" s="125"/>
      <c r="E35" s="152" t="str">
        <f>+IFERROR(VLOOKUP(B35,Tabla3[],2,0),"")</f>
        <v/>
      </c>
      <c r="F35" s="273"/>
      <c r="G35" s="273"/>
      <c r="H35" s="274"/>
      <c r="I35" s="274"/>
      <c r="J35" s="275" t="str">
        <f>(CONCATENATE(Tabla1[[#This Row],[¿QUÉ? 
IMPACTO]]," ","por ",Tabla1[[#This Row],[¿CÓMO?
CAUSA INMEDIATA 
(Iniciar con la palabra 
por)]]," ","debido a"," ",Tabla1[[#This Row],[¿PORQUÉ?
CAUSA RAÍZ
(Iniciar con 
debido a/a causa de)]]))</f>
        <v xml:space="preserve"> por  debido a </v>
      </c>
      <c r="K35" s="249"/>
    </row>
    <row r="36" spans="1:11" s="6" customFormat="1" ht="93" hidden="1" customHeight="1" x14ac:dyDescent="0.25">
      <c r="A36" s="1" t="s">
        <v>367</v>
      </c>
      <c r="B36" s="2"/>
      <c r="C36" s="2"/>
      <c r="D36" s="125"/>
      <c r="E36" s="152" t="str">
        <f>+IFERROR(VLOOKUP(B36,Tabla3[],2,0),"")</f>
        <v/>
      </c>
      <c r="F36" s="273"/>
      <c r="G36" s="273"/>
      <c r="H36" s="274"/>
      <c r="I36" s="274"/>
      <c r="J36" s="275" t="str">
        <f>(CONCATENATE(Tabla1[[#This Row],[¿QUÉ? 
IMPACTO]]," ","por ",Tabla1[[#This Row],[¿CÓMO?
CAUSA INMEDIATA 
(Iniciar con la palabra 
por)]]," ","debido a"," ",Tabla1[[#This Row],[¿PORQUÉ?
CAUSA RAÍZ
(Iniciar con 
debido a/a causa de)]]))</f>
        <v xml:space="preserve"> por  debido a </v>
      </c>
      <c r="K36" s="249"/>
    </row>
    <row r="37" spans="1:11" s="6" customFormat="1" ht="93" hidden="1" customHeight="1" x14ac:dyDescent="0.25">
      <c r="A37" s="1" t="s">
        <v>368</v>
      </c>
      <c r="B37" s="2"/>
      <c r="C37" s="2"/>
      <c r="D37" s="125"/>
      <c r="E37" s="152" t="str">
        <f>+IFERROR(VLOOKUP(B37,Tabla3[],2,0),"")</f>
        <v/>
      </c>
      <c r="F37" s="273"/>
      <c r="G37" s="273"/>
      <c r="H37" s="274"/>
      <c r="I37" s="274"/>
      <c r="J37" s="275" t="str">
        <f>(CONCATENATE(Tabla1[[#This Row],[¿QUÉ? 
IMPACTO]]," ","por ",Tabla1[[#This Row],[¿CÓMO?
CAUSA INMEDIATA 
(Iniciar con la palabra 
por)]]," ","debido a"," ",Tabla1[[#This Row],[¿PORQUÉ?
CAUSA RAÍZ
(Iniciar con 
debido a/a causa de)]]))</f>
        <v xml:space="preserve"> por  debido a </v>
      </c>
      <c r="K37" s="249"/>
    </row>
    <row r="38" spans="1:11" s="6" customFormat="1" ht="93" hidden="1" customHeight="1" x14ac:dyDescent="0.25">
      <c r="A38" s="1" t="s">
        <v>369</v>
      </c>
      <c r="B38" s="2"/>
      <c r="C38" s="2"/>
      <c r="D38" s="125"/>
      <c r="E38" s="152" t="str">
        <f>+IFERROR(VLOOKUP(B38,Tabla3[],2,0),"")</f>
        <v/>
      </c>
      <c r="F38" s="273"/>
      <c r="G38" s="273"/>
      <c r="H38" s="274"/>
      <c r="I38" s="274"/>
      <c r="J38" s="275" t="str">
        <f>(CONCATENATE(Tabla1[[#This Row],[¿QUÉ? 
IMPACTO]]," ","por ",Tabla1[[#This Row],[¿CÓMO?
CAUSA INMEDIATA 
(Iniciar con la palabra 
por)]]," ","debido a"," ",Tabla1[[#This Row],[¿PORQUÉ?
CAUSA RAÍZ
(Iniciar con 
debido a/a causa de)]]))</f>
        <v xml:space="preserve"> por  debido a </v>
      </c>
      <c r="K38" s="249"/>
    </row>
    <row r="39" spans="1:11" s="6" customFormat="1" ht="93" hidden="1" customHeight="1" x14ac:dyDescent="0.25">
      <c r="A39" s="1" t="s">
        <v>370</v>
      </c>
      <c r="B39" s="2"/>
      <c r="C39" s="2"/>
      <c r="D39" s="125" t="str">
        <f>+IF(B39='11 FORMULAS'!$B$4,'11 FORMULAS'!$C$4,IF(B39='11 FORMULAS'!$B$6,'11 FORMULAS'!$C$6,IF(B39='11 FORMULAS'!$B$8,'11 FORMULAS'!$C$8,IF(B39='11 FORMULAS'!$B$10,'11 FORMULAS'!$C$10,""))))</f>
        <v/>
      </c>
      <c r="E39" s="152" t="str">
        <f>+IFERROR(VLOOKUP(B39,Tabla3[],2,0),"")</f>
        <v/>
      </c>
      <c r="F39" s="1"/>
      <c r="G39" s="1"/>
      <c r="H39" s="246"/>
      <c r="I39" s="246"/>
      <c r="J39" s="250" t="str">
        <f>(CONCATENATE(Tabla1[[#This Row],[¿QUÉ? 
IMPACTO]]," ","por ",Tabla1[[#This Row],[¿CÓMO?
CAUSA INMEDIATA 
(Iniciar con la palabra 
por)]]," ","debido a"," ",Tabla1[[#This Row],[¿PORQUÉ?
CAUSA RAÍZ
(Iniciar con 
debido a/a causa de)]]))</f>
        <v xml:space="preserve"> por  debido a </v>
      </c>
      <c r="K39" s="249"/>
    </row>
    <row r="40" spans="1:11" s="6" customFormat="1" ht="18.75" thickBot="1" x14ac:dyDescent="0.3">
      <c r="E40" s="332"/>
      <c r="F40" s="7"/>
      <c r="G40" s="7"/>
      <c r="H40" s="7"/>
      <c r="I40" s="7"/>
      <c r="J40" s="8"/>
    </row>
    <row r="41" spans="1:11" ht="15.75" thickTop="1" thickBot="1" x14ac:dyDescent="0.25">
      <c r="A41" s="387" t="s">
        <v>377</v>
      </c>
      <c r="B41" s="387"/>
      <c r="C41" s="387"/>
      <c r="D41" s="387"/>
      <c r="E41" s="387"/>
      <c r="F41" s="387"/>
      <c r="G41" s="387"/>
      <c r="H41" s="3"/>
      <c r="I41" s="3"/>
    </row>
    <row r="42" spans="1:11" ht="15.75" thickTop="1" thickBot="1" x14ac:dyDescent="0.25">
      <c r="A42" s="321" t="s">
        <v>378</v>
      </c>
      <c r="B42" s="387" t="s">
        <v>379</v>
      </c>
      <c r="C42" s="387"/>
      <c r="D42" s="387" t="s">
        <v>380</v>
      </c>
      <c r="E42" s="387"/>
      <c r="F42" s="387" t="s">
        <v>381</v>
      </c>
      <c r="G42" s="387"/>
      <c r="H42" s="3"/>
      <c r="I42" s="3"/>
    </row>
    <row r="43" spans="1:11" ht="67.5" customHeight="1" thickTop="1" thickBot="1" x14ac:dyDescent="0.3">
      <c r="A43" s="322" t="s">
        <v>382</v>
      </c>
      <c r="B43" s="388">
        <v>46163</v>
      </c>
      <c r="C43" s="388"/>
      <c r="D43" s="389" t="s">
        <v>383</v>
      </c>
      <c r="E43" s="389"/>
      <c r="F43" s="390" t="s">
        <v>384</v>
      </c>
      <c r="G43" s="390"/>
      <c r="H43" s="9"/>
      <c r="I43" s="9"/>
    </row>
    <row r="44" spans="1:11" ht="15" thickTop="1" x14ac:dyDescent="0.2">
      <c r="F44" s="3"/>
      <c r="G44" s="3"/>
      <c r="H44" s="3"/>
      <c r="I44" s="3"/>
    </row>
    <row r="45" spans="1:11" x14ac:dyDescent="0.2">
      <c r="F45" s="3"/>
      <c r="G45" s="3"/>
      <c r="H45" s="3"/>
      <c r="I45" s="3"/>
    </row>
    <row r="46" spans="1:11" x14ac:dyDescent="0.2">
      <c r="F46" s="3"/>
      <c r="G46" s="3"/>
      <c r="H46" s="3"/>
      <c r="I46" s="3"/>
    </row>
    <row r="50" spans="24:26" ht="14.25" customHeight="1" x14ac:dyDescent="0.25"/>
    <row r="54" spans="24:26" ht="14.25" customHeight="1" x14ac:dyDescent="0.25">
      <c r="X54" s="10"/>
    </row>
    <row r="55" spans="24:26" x14ac:dyDescent="0.25">
      <c r="Z55" s="10"/>
    </row>
    <row r="56" spans="24:26" x14ac:dyDescent="0.25">
      <c r="Z56" s="10"/>
    </row>
    <row r="57" spans="24:26" x14ac:dyDescent="0.25">
      <c r="Z57" s="10"/>
    </row>
    <row r="58" spans="24:26" x14ac:dyDescent="0.25">
      <c r="Z58" s="10"/>
    </row>
    <row r="59" spans="24:26" x14ac:dyDescent="0.25">
      <c r="Z59" s="10"/>
    </row>
    <row r="60" spans="24:26" x14ac:dyDescent="0.25">
      <c r="Z60" s="10"/>
    </row>
    <row r="61" spans="24:26" x14ac:dyDescent="0.25">
      <c r="Z61" s="10"/>
    </row>
    <row r="62" spans="24:26" ht="14.25" customHeight="1" x14ac:dyDescent="0.25">
      <c r="Z62" s="10"/>
    </row>
    <row r="63" spans="24:26" x14ac:dyDescent="0.25">
      <c r="Z63" s="10"/>
    </row>
  </sheetData>
  <sheetProtection formatCells="0" formatColumns="0" formatRows="0" sort="0" autoFilter="0" pivotTables="0"/>
  <mergeCells count="16">
    <mergeCell ref="A41:G41"/>
    <mergeCell ref="B42:C42"/>
    <mergeCell ref="D42:E42"/>
    <mergeCell ref="F42:G42"/>
    <mergeCell ref="B43:C43"/>
    <mergeCell ref="D43:E43"/>
    <mergeCell ref="F43:G43"/>
    <mergeCell ref="B1:I2"/>
    <mergeCell ref="B3:I3"/>
    <mergeCell ref="B8:E8"/>
    <mergeCell ref="A8:A9"/>
    <mergeCell ref="A4:K4"/>
    <mergeCell ref="B6:E6"/>
    <mergeCell ref="G6:K6"/>
    <mergeCell ref="A1:A3"/>
    <mergeCell ref="G5:H5"/>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topLeftCell="G2" zoomScale="80" zoomScaleNormal="80" zoomScaleSheetLayoutView="80" workbookViewId="0">
      <selection activeCell="G5" sqref="G5:H5"/>
    </sheetView>
  </sheetViews>
  <sheetFormatPr baseColWidth="10" defaultColWidth="14.42578125" defaultRowHeight="14.25" x14ac:dyDescent="0.25"/>
  <cols>
    <col min="1" max="1" width="18.140625" style="4" customWidth="1"/>
    <col min="2" max="2" width="50.7109375" style="28" customWidth="1"/>
    <col min="3" max="3" width="28.42578125" style="28" customWidth="1"/>
    <col min="4" max="4" width="21.140625" style="4" customWidth="1"/>
    <col min="5" max="5" width="14" style="13" customWidth="1"/>
    <col min="6" max="6" width="14.42578125" style="4" customWidth="1"/>
    <col min="7" max="7" width="30.28515625" style="13" customWidth="1"/>
    <col min="8" max="8" width="16.5703125" style="13" customWidth="1"/>
    <col min="9" max="9" width="21.28515625" style="13" customWidth="1"/>
    <col min="10" max="10" width="30.7109375" style="13" customWidth="1"/>
    <col min="11" max="11" width="24.42578125" style="13" customWidth="1"/>
    <col min="12" max="12" width="13" style="13" customWidth="1"/>
    <col min="13" max="13" width="17.5703125" style="162" customWidth="1"/>
    <col min="14" max="14" width="15.85546875" style="162" customWidth="1"/>
    <col min="15" max="15" width="8" style="4" customWidth="1"/>
    <col min="16" max="16" width="21.42578125" style="4" customWidth="1"/>
    <col min="17" max="17" width="32.85546875" style="4" customWidth="1"/>
    <col min="18" max="18" width="12.42578125" style="28" customWidth="1"/>
    <col min="19" max="19" width="16.5703125" style="28" customWidth="1"/>
    <col min="20" max="20" width="17.85546875" style="4" customWidth="1"/>
    <col min="21" max="21" width="5.42578125" style="4" customWidth="1"/>
    <col min="22" max="22" width="14.140625" style="4" bestFit="1" customWidth="1"/>
    <col min="23" max="23" width="14.85546875" style="4" bestFit="1" customWidth="1"/>
    <col min="24" max="24" width="27.425781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20.100000000000001" customHeight="1" thickTop="1" x14ac:dyDescent="0.25">
      <c r="A1" s="367"/>
      <c r="B1" s="370" t="s">
        <v>375</v>
      </c>
      <c r="C1" s="371"/>
      <c r="D1" s="371"/>
      <c r="E1" s="371"/>
      <c r="F1" s="371"/>
      <c r="G1" s="371"/>
      <c r="H1" s="371"/>
      <c r="I1" s="372"/>
      <c r="J1" s="313" t="s">
        <v>373</v>
      </c>
      <c r="K1" s="314"/>
      <c r="L1" s="260"/>
      <c r="M1" s="4"/>
      <c r="N1" s="4"/>
      <c r="R1" s="4"/>
      <c r="S1" s="4"/>
    </row>
    <row r="2" spans="1:25" ht="20.100000000000001" customHeight="1" x14ac:dyDescent="0.25">
      <c r="A2" s="368"/>
      <c r="B2" s="373"/>
      <c r="C2" s="374"/>
      <c r="D2" s="374"/>
      <c r="E2" s="374"/>
      <c r="F2" s="374"/>
      <c r="G2" s="374"/>
      <c r="H2" s="374"/>
      <c r="I2" s="375"/>
      <c r="J2" s="315" t="s">
        <v>376</v>
      </c>
      <c r="K2" s="316"/>
      <c r="L2" s="260"/>
      <c r="M2" s="4"/>
      <c r="N2" s="4"/>
      <c r="R2" s="4"/>
      <c r="S2" s="4"/>
    </row>
    <row r="3" spans="1:25" s="3" customFormat="1" ht="16.5" thickBot="1" x14ac:dyDescent="0.25">
      <c r="A3" s="369"/>
      <c r="B3" s="376" t="s">
        <v>359</v>
      </c>
      <c r="C3" s="377"/>
      <c r="D3" s="377"/>
      <c r="E3" s="377"/>
      <c r="F3" s="377"/>
      <c r="G3" s="377"/>
      <c r="H3" s="377"/>
      <c r="I3" s="378"/>
      <c r="J3" s="317" t="s">
        <v>374</v>
      </c>
      <c r="K3" s="318"/>
      <c r="L3" s="261"/>
    </row>
    <row r="4" spans="1:25" s="3" customFormat="1" ht="17.100000000000001" customHeight="1" thickTop="1" x14ac:dyDescent="0.2">
      <c r="A4" s="381"/>
      <c r="B4" s="382"/>
      <c r="C4" s="382"/>
      <c r="D4" s="382"/>
      <c r="E4" s="382"/>
      <c r="F4" s="382"/>
      <c r="G4" s="382"/>
      <c r="H4" s="382"/>
      <c r="I4" s="382"/>
      <c r="J4" s="382"/>
      <c r="K4" s="383"/>
    </row>
    <row r="5" spans="1:25" ht="27" customHeight="1" x14ac:dyDescent="0.25">
      <c r="A5" s="12" t="s">
        <v>80</v>
      </c>
      <c r="B5" s="266" t="str">
        <f>'2 IDENTIFICACIÓN'!B5</f>
        <v>ALCALDIA DE BUCARAMANGA</v>
      </c>
      <c r="C5" s="267"/>
      <c r="D5" s="267"/>
      <c r="E5" s="268"/>
      <c r="F5" s="251" t="s">
        <v>81</v>
      </c>
      <c r="G5" s="566" t="str">
        <f>'2 IDENTIFICACIÓN'!G5</f>
        <v>GESTIÓN DE LAS FINANZAS PUBLICAS</v>
      </c>
      <c r="H5" s="567"/>
      <c r="I5" s="251" t="s">
        <v>353</v>
      </c>
      <c r="J5" s="269">
        <f>'2 IDENTIFICACIÓN'!J5</f>
        <v>2026</v>
      </c>
      <c r="K5" s="270"/>
      <c r="L5" s="4"/>
      <c r="M5" s="4"/>
      <c r="N5" s="4"/>
      <c r="R5" s="4"/>
      <c r="S5" s="4"/>
    </row>
    <row r="6" spans="1:25" ht="15.75" thickBot="1" x14ac:dyDescent="0.3">
      <c r="A6" s="166"/>
      <c r="B6" s="262"/>
      <c r="C6" s="262"/>
      <c r="D6" s="262"/>
      <c r="E6" s="262"/>
      <c r="F6" s="263"/>
      <c r="G6" s="264"/>
      <c r="H6" s="264"/>
      <c r="I6" s="264"/>
      <c r="J6" s="264"/>
      <c r="K6" s="264"/>
      <c r="L6" s="4"/>
      <c r="M6" s="4"/>
      <c r="N6" s="4"/>
      <c r="R6" s="4"/>
      <c r="S6" s="4"/>
    </row>
    <row r="7" spans="1:25" s="3" customFormat="1" ht="15.75" thickBot="1" x14ac:dyDescent="0.25">
      <c r="A7" s="265"/>
      <c r="B7" s="165"/>
      <c r="C7" s="165"/>
      <c r="D7" s="165"/>
      <c r="E7" s="14"/>
      <c r="F7" s="14"/>
      <c r="G7" s="470" t="s">
        <v>250</v>
      </c>
      <c r="H7" s="471"/>
      <c r="I7" s="471"/>
      <c r="J7" s="471"/>
      <c r="K7" s="471"/>
      <c r="L7" s="471"/>
      <c r="M7" s="471"/>
      <c r="N7" s="472"/>
      <c r="R7" s="129"/>
      <c r="S7" s="129"/>
    </row>
    <row r="8" spans="1:25" s="16" customFormat="1" ht="14.25" customHeight="1" thickBot="1" x14ac:dyDescent="0.3">
      <c r="A8" s="15"/>
      <c r="B8" s="15"/>
      <c r="C8" s="470" t="s">
        <v>251</v>
      </c>
      <c r="D8" s="471"/>
      <c r="E8" s="471"/>
      <c r="F8" s="472"/>
      <c r="G8" s="473" t="s">
        <v>36</v>
      </c>
      <c r="H8" s="474"/>
      <c r="I8" s="475"/>
      <c r="J8" s="473" t="s">
        <v>38</v>
      </c>
      <c r="K8" s="474"/>
      <c r="L8" s="475"/>
      <c r="M8" s="473" t="s">
        <v>252</v>
      </c>
      <c r="N8" s="475"/>
      <c r="P8" s="467" t="s">
        <v>253</v>
      </c>
      <c r="Q8" s="468"/>
      <c r="R8" s="468"/>
      <c r="S8" s="468"/>
      <c r="T8" s="469"/>
      <c r="V8" s="464" t="s">
        <v>254</v>
      </c>
      <c r="W8" s="465"/>
      <c r="X8" s="465"/>
      <c r="Y8" s="466"/>
    </row>
    <row r="9" spans="1:25" s="111" customFormat="1" ht="42.75" x14ac:dyDescent="0.25">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31.25" customHeight="1" x14ac:dyDescent="0.25">
      <c r="A10" s="20" t="str">
        <f>'2 IDENTIFICACIÓN'!A10</f>
        <v>R1</v>
      </c>
      <c r="B10" s="152" t="str">
        <f>+'2 IDENTIFICACIÓN'!J10</f>
        <v>Posibilidad de afectación reputacional por investigaciones de entes de control debido a la falta de control y seguimiento a las partidas conciliatorias y conceptos de ingresos que afectan los movimientos bancarios, generando inconsistencias entre los libros contables y los extractos bancarios</v>
      </c>
      <c r="C10" s="153">
        <v>243</v>
      </c>
      <c r="D10" s="130" t="str">
        <f t="shared" ref="D10:D39" si="0">+IF(C10="","",IF(C10&lt;=$S$10,$Q$10,IF(C10&lt;=$S$11,$Q$11,IF(C10&lt;=$S$12,$Q$12,IF(C10&lt;=$S$13,$Q$13,IF(C10&gt;=$R$14,$Q$14,""))))))</f>
        <v>La actividad que conlleva el riesgo se ejecuta de 24 a 500 veces por año</v>
      </c>
      <c r="E10" s="131">
        <f t="shared" ref="E10:E39" si="1">+IF(D10="","",IF(D10=$Q$10,$T$10,IF(D10=$Q$11,$T$11,IF(D10=$Q$12,$T$12,IF(D10=$Q$13,$T$13,IF(D10=$Q$14,$T$14))))))</f>
        <v>0.6</v>
      </c>
      <c r="F10" s="21" t="str">
        <f t="shared" ref="F10:F39" si="2">+IF(D10="","",IF(D10=$Q$10,$P$10,IF(D10=$Q$11,$P$11,IF(D10=$Q$12,$P$12,IF(D10=$Q$13,$P$13,IF(D10=$Q$14,$P$14))))))</f>
        <v>Media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81">
        <v>0</v>
      </c>
      <c r="S10" s="281">
        <v>2</v>
      </c>
      <c r="T10" s="23">
        <v>0.2</v>
      </c>
      <c r="V10" s="221" t="s">
        <v>272</v>
      </c>
      <c r="W10" s="24">
        <v>0.2</v>
      </c>
      <c r="X10" s="281" t="s">
        <v>273</v>
      </c>
      <c r="Y10" s="284" t="s">
        <v>269</v>
      </c>
    </row>
    <row r="11" spans="1:25" ht="127.5" customHeight="1" x14ac:dyDescent="0.25">
      <c r="A11" s="20" t="str">
        <f>'2 IDENTIFICACIÓN'!A11</f>
        <v>R2</v>
      </c>
      <c r="B11" s="152" t="str">
        <f>+'2 IDENTIFICACIÓN'!J11</f>
        <v>Posibilidad de afectación reputacional por deficiencias en la planeación de las necesidades del Plan Anual de Adquisiciones de la Secretaría de Hacienda,  debido a insuficiencias en la identificación y proyección oportuna de los requerimientos contractuales, generando compromisos de vigencias futuras para atender necesidades de la vigencia actual</v>
      </c>
      <c r="C11" s="154">
        <v>12</v>
      </c>
      <c r="D11" s="130" t="str">
        <f t="shared" si="0"/>
        <v>La actividad que conlleva el riesgo se ejecuta de 3 a 24 veces por año</v>
      </c>
      <c r="E11" s="131">
        <f t="shared" si="1"/>
        <v>0.4</v>
      </c>
      <c r="F11" s="21" t="str">
        <f t="shared" si="2"/>
        <v>Baja</v>
      </c>
      <c r="G11" s="138" t="s">
        <v>293</v>
      </c>
      <c r="H11" s="132" t="str">
        <f t="shared" ref="H11:H39" si="6">+IF(G11="","",IF(G11="N/A","",IF(OR(G11=$X$10,G11=$Y$10),$W$10,IF(OR(G11=$X$11,G11=$Y$11),$W$11,IF(OR(G11=$X$12,G11=$Y$12),$W$12,IF(OR(G11=$X$13,G11=$Y$13),$W$13,IF(OR(G11=$X$14,G11=$Y$14),$W$14)))))))</f>
        <v/>
      </c>
      <c r="I11" s="137" t="str">
        <f t="shared" si="3"/>
        <v/>
      </c>
      <c r="J11" s="138" t="s">
        <v>282</v>
      </c>
      <c r="K11" s="132">
        <f t="shared" si="4"/>
        <v>0.6</v>
      </c>
      <c r="L11" s="137" t="str">
        <f t="shared" si="5"/>
        <v>Moderado</v>
      </c>
      <c r="M11" s="160">
        <f>+IF(H11="",K11,IF(K11="",H11,IF(H11&gt;K11,H11,K11)))</f>
        <v>0.6</v>
      </c>
      <c r="N11" s="161" t="str">
        <f t="shared" ref="N11:N39" si="7">+IF(M11="","",IF(M11=$W$10,$V$10,IF(M11=$W$11,$V$11,IF(M11=$W$12,$V$12,IF(M11=$W$13,$V$13,IF(M11=$W$14,$V$14))))))</f>
        <v>Moderado</v>
      </c>
      <c r="P11" s="222" t="s">
        <v>274</v>
      </c>
      <c r="Q11" s="25" t="s">
        <v>275</v>
      </c>
      <c r="R11" s="281">
        <v>3</v>
      </c>
      <c r="S11" s="281">
        <v>24</v>
      </c>
      <c r="T11" s="23">
        <v>0.4</v>
      </c>
      <c r="V11" s="222" t="s">
        <v>276</v>
      </c>
      <c r="W11" s="24">
        <v>0.4</v>
      </c>
      <c r="X11" s="281" t="s">
        <v>268</v>
      </c>
      <c r="Y11" s="285" t="s">
        <v>277</v>
      </c>
    </row>
    <row r="12" spans="1:25" ht="93" customHeight="1" x14ac:dyDescent="0.25">
      <c r="A12" s="20" t="str">
        <f>'2 IDENTIFICACIÓN'!A12</f>
        <v>R3</v>
      </c>
      <c r="B12" s="152" t="str">
        <f>+'2 IDENTIFICACIÓN'!J12</f>
        <v>Posibilidad de afectación reputacional por investigaciones y sanciones disciplinarias  debido a entes de control, debido al incumplimiento de la Ley 594 de 2000 en la gestión documental de la Secretaría de Hacienda</v>
      </c>
      <c r="C12" s="154">
        <v>243</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282</v>
      </c>
      <c r="K12" s="132">
        <f t="shared" si="4"/>
        <v>0.6</v>
      </c>
      <c r="L12" s="137" t="str">
        <f t="shared" si="5"/>
        <v>Moderado</v>
      </c>
      <c r="M12" s="160">
        <f t="shared" ref="M12:M39" si="8">+IF(H12="",K12,IF(K12="",H12,IF(H12&gt;K12,H12,K12)))</f>
        <v>0.6</v>
      </c>
      <c r="N12" s="161" t="str">
        <f t="shared" si="7"/>
        <v>Moderado</v>
      </c>
      <c r="P12" s="223" t="s">
        <v>278</v>
      </c>
      <c r="Q12" s="25" t="s">
        <v>279</v>
      </c>
      <c r="R12" s="281">
        <v>25</v>
      </c>
      <c r="S12" s="281">
        <v>500</v>
      </c>
      <c r="T12" s="23">
        <v>0.6</v>
      </c>
      <c r="V12" s="223" t="s">
        <v>280</v>
      </c>
      <c r="W12" s="24">
        <v>0.6</v>
      </c>
      <c r="X12" s="281" t="s">
        <v>281</v>
      </c>
      <c r="Y12" s="285" t="s">
        <v>282</v>
      </c>
    </row>
    <row r="13" spans="1:25" ht="129.75" customHeight="1" x14ac:dyDescent="0.25">
      <c r="A13" s="20" t="str">
        <f>'2 IDENTIFICACIÓN'!A13</f>
        <v>R4</v>
      </c>
      <c r="B13" s="152" t="str">
        <f>+'2 IDENTIFICACIÓN'!J13</f>
        <v xml:space="preserve">Posibilidad de afectación reputacional por inconsistencias o errores en el registro y reporte de la información de ingresos presentada en los sistemas CHIP y SIA Contraloría,  debido a deficiencias en la parametrización, interoperabilidad y funcionamiento del Sistema de Información Financiero (SIF), frente a los lineamientos establecidos por los entes de control. </v>
      </c>
      <c r="C13" s="154">
        <v>365</v>
      </c>
      <c r="D13" s="130" t="str">
        <f t="shared" si="0"/>
        <v>La actividad que conlleva el riesgo se ejecuta de 24 a 500 veces por año</v>
      </c>
      <c r="E13" s="131">
        <f t="shared" si="1"/>
        <v>0.6</v>
      </c>
      <c r="F13" s="21" t="str">
        <f t="shared" si="2"/>
        <v>Media</v>
      </c>
      <c r="G13" s="138" t="s">
        <v>293</v>
      </c>
      <c r="H13" s="132" t="str">
        <f t="shared" si="6"/>
        <v/>
      </c>
      <c r="I13" s="137" t="str">
        <f t="shared" si="3"/>
        <v/>
      </c>
      <c r="J13" s="138" t="s">
        <v>282</v>
      </c>
      <c r="K13" s="132">
        <f t="shared" si="4"/>
        <v>0.6</v>
      </c>
      <c r="L13" s="137" t="str">
        <f t="shared" si="5"/>
        <v>Moderado</v>
      </c>
      <c r="M13" s="160">
        <f t="shared" si="8"/>
        <v>0.6</v>
      </c>
      <c r="N13" s="161" t="str">
        <f t="shared" si="7"/>
        <v>Moderado</v>
      </c>
      <c r="P13" s="26" t="s">
        <v>283</v>
      </c>
      <c r="Q13" s="25" t="s">
        <v>284</v>
      </c>
      <c r="R13" s="281">
        <v>501</v>
      </c>
      <c r="S13" s="281">
        <v>5000</v>
      </c>
      <c r="T13" s="23">
        <v>0.8</v>
      </c>
      <c r="V13" s="26" t="s">
        <v>285</v>
      </c>
      <c r="W13" s="24">
        <v>0.8</v>
      </c>
      <c r="X13" s="281" t="s">
        <v>286</v>
      </c>
      <c r="Y13" s="285" t="s">
        <v>287</v>
      </c>
    </row>
    <row r="14" spans="1:25" ht="104.25" customHeight="1" thickBot="1" x14ac:dyDescent="0.3">
      <c r="A14" s="20" t="str">
        <f>'2 IDENTIFICACIÓN'!A14</f>
        <v>R5</v>
      </c>
      <c r="B14" s="152" t="str">
        <f>+'2 IDENTIFICACIÓN'!J14</f>
        <v xml:space="preserve">Posibilidad de afectación reputacional por debilidades en la planeación, gestión y ejecución de las obligaciones contractuales por parte de las unidades gestoras debido a deficiencias en la supervisión y ejecución oportuna contractual producto de la constitución de reservas presupuestales y pasivos exigibles </v>
      </c>
      <c r="C14" s="154">
        <v>504</v>
      </c>
      <c r="D14" s="130" t="str">
        <f t="shared" si="0"/>
        <v>La actividad que conlleva el riesgo se ejecuta mínimo 500 veces al año y máximo 5.000 veces por año</v>
      </c>
      <c r="E14" s="131">
        <f t="shared" si="1"/>
        <v>0.8</v>
      </c>
      <c r="F14" s="21" t="str">
        <f t="shared" si="2"/>
        <v>Alta</v>
      </c>
      <c r="G14" s="138" t="s">
        <v>293</v>
      </c>
      <c r="H14" s="132" t="str">
        <f t="shared" si="6"/>
        <v/>
      </c>
      <c r="I14" s="137" t="str">
        <f t="shared" si="3"/>
        <v/>
      </c>
      <c r="J14" s="138" t="s">
        <v>282</v>
      </c>
      <c r="K14" s="132">
        <f t="shared" si="4"/>
        <v>0.6</v>
      </c>
      <c r="L14" s="137" t="str">
        <f t="shared" si="5"/>
        <v>Moderado</v>
      </c>
      <c r="M14" s="160">
        <f t="shared" si="8"/>
        <v>0.6</v>
      </c>
      <c r="N14" s="161" t="str">
        <f t="shared" si="7"/>
        <v>Moderado</v>
      </c>
      <c r="P14" s="278" t="s">
        <v>288</v>
      </c>
      <c r="Q14" s="279" t="s">
        <v>289</v>
      </c>
      <c r="R14" s="282">
        <v>5001</v>
      </c>
      <c r="S14" s="282"/>
      <c r="T14" s="280">
        <v>1</v>
      </c>
      <c r="V14" s="278" t="s">
        <v>290</v>
      </c>
      <c r="W14" s="283">
        <v>1</v>
      </c>
      <c r="X14" s="282" t="s">
        <v>291</v>
      </c>
      <c r="Y14" s="286" t="s">
        <v>292</v>
      </c>
    </row>
    <row r="15" spans="1:25" ht="135" customHeight="1" x14ac:dyDescent="0.25">
      <c r="A15" s="20" t="str">
        <f>'2 IDENTIFICACIÓN'!A15</f>
        <v>R6</v>
      </c>
      <c r="B15" s="152" t="str">
        <f>+'2 IDENTIFICACIÓN'!J15</f>
        <v xml:space="preserve">Posibilidad de afectación económica y reputacional por generación de información contable y financiera no razonable o inconsistente del Municipio de Bucaramanga,  debido a debilidades en la depuración contable, validación de saldos, conciliación y análisis de la información registrada en el Sistema de Información Financiera, en incumplimiento del Marco Normativo del Régimen de Contabilidad Pública. </v>
      </c>
      <c r="C15" s="154">
        <v>243</v>
      </c>
      <c r="D15" s="130" t="str">
        <f t="shared" si="0"/>
        <v>La actividad que conlleva el riesgo se ejecuta de 24 a 500 veces por año</v>
      </c>
      <c r="E15" s="131">
        <f t="shared" si="1"/>
        <v>0.6</v>
      </c>
      <c r="F15" s="21" t="str">
        <f t="shared" si="2"/>
        <v>Media</v>
      </c>
      <c r="G15" s="138" t="s">
        <v>286</v>
      </c>
      <c r="H15" s="132">
        <f t="shared" si="6"/>
        <v>0.8</v>
      </c>
      <c r="I15" s="137" t="str">
        <f t="shared" si="3"/>
        <v>Mayor</v>
      </c>
      <c r="J15" s="138" t="s">
        <v>282</v>
      </c>
      <c r="K15" s="132">
        <f t="shared" si="4"/>
        <v>0.6</v>
      </c>
      <c r="L15" s="137" t="str">
        <f t="shared" si="5"/>
        <v>Moderado</v>
      </c>
      <c r="M15" s="160">
        <f t="shared" si="8"/>
        <v>0.8</v>
      </c>
      <c r="N15" s="161" t="str">
        <f t="shared" si="7"/>
        <v>Mayor</v>
      </c>
      <c r="P15" s="28"/>
      <c r="X15" s="28" t="s">
        <v>293</v>
      </c>
      <c r="Y15" s="28" t="s">
        <v>293</v>
      </c>
    </row>
    <row r="16" spans="1:25" ht="93" customHeight="1" x14ac:dyDescent="0.25">
      <c r="A16" s="20" t="str">
        <f>'2 IDENTIFICACIÓN'!A16</f>
        <v>R7</v>
      </c>
      <c r="B16" s="152" t="str">
        <f>+'2 IDENTIFICACIÓN'!J16</f>
        <v>Posibilidad de afectación reputacional por investigaciones y sanciones disciplinarias por entes de control debido a la falta de seguimiento al cumplimiento de metas del Plan de Desarrollo Municipal programadas para la vigencia.</v>
      </c>
      <c r="C16" s="154">
        <v>5</v>
      </c>
      <c r="D16" s="130" t="str">
        <f t="shared" si="0"/>
        <v>La actividad que conlleva el riesgo se ejecuta de 3 a 24 veces por año</v>
      </c>
      <c r="E16" s="131">
        <f t="shared" si="1"/>
        <v>0.4</v>
      </c>
      <c r="F16" s="21" t="str">
        <f t="shared" si="2"/>
        <v>Baja</v>
      </c>
      <c r="G16" s="138" t="s">
        <v>293</v>
      </c>
      <c r="H16" s="132" t="str">
        <f t="shared" si="6"/>
        <v/>
      </c>
      <c r="I16" s="137" t="str">
        <f t="shared" si="3"/>
        <v/>
      </c>
      <c r="J16" s="138" t="s">
        <v>282</v>
      </c>
      <c r="K16" s="132">
        <f t="shared" si="4"/>
        <v>0.6</v>
      </c>
      <c r="L16" s="137" t="str">
        <f t="shared" si="5"/>
        <v>Moderado</v>
      </c>
      <c r="M16" s="160">
        <f t="shared" si="8"/>
        <v>0.6</v>
      </c>
      <c r="N16" s="161" t="str">
        <f t="shared" si="7"/>
        <v>Moderado</v>
      </c>
    </row>
    <row r="17" spans="1:14" ht="93" customHeight="1" x14ac:dyDescent="0.25">
      <c r="A17" s="20" t="str">
        <f>'2 IDENTIFICACIÓN'!A17</f>
        <v>R8</v>
      </c>
      <c r="B17" s="152" t="str">
        <f>+'2 IDENTIFICACIÓN'!J17</f>
        <v xml:space="preserve">Posibilidad de afectación reputacional por debilidades en la publicación y actualización de la información obligatoria en la página web institucional,  debido a incumplimiento de los lineamientos establecidos en la Ley 1712 de 2014 y la Resolución 1519 de 2020 del MINTIC. </v>
      </c>
      <c r="C17" s="154">
        <v>243</v>
      </c>
      <c r="D17" s="130" t="str">
        <f t="shared" si="0"/>
        <v>La actividad que conlleva el riesgo se ejecuta de 24 a 500 veces por año</v>
      </c>
      <c r="E17" s="131">
        <f t="shared" si="1"/>
        <v>0.6</v>
      </c>
      <c r="F17" s="21" t="str">
        <f t="shared" si="2"/>
        <v>Media</v>
      </c>
      <c r="G17" s="138" t="s">
        <v>293</v>
      </c>
      <c r="H17" s="132" t="str">
        <f t="shared" si="6"/>
        <v/>
      </c>
      <c r="I17" s="137" t="str">
        <f t="shared" si="3"/>
        <v/>
      </c>
      <c r="J17" s="138" t="s">
        <v>277</v>
      </c>
      <c r="K17" s="132">
        <f t="shared" si="4"/>
        <v>0.4</v>
      </c>
      <c r="L17" s="137" t="str">
        <f t="shared" si="5"/>
        <v>Menor</v>
      </c>
      <c r="M17" s="160">
        <f t="shared" si="8"/>
        <v>0.4</v>
      </c>
      <c r="N17" s="161" t="str">
        <f t="shared" si="7"/>
        <v>Menor</v>
      </c>
    </row>
    <row r="18" spans="1:14" ht="93" customHeight="1" x14ac:dyDescent="0.25">
      <c r="A18" s="20" t="str">
        <f>'2 IDENTIFICACIÓN'!A18</f>
        <v>R9</v>
      </c>
      <c r="B18" s="152" t="str">
        <f>+'2 IDENTIFICACIÓN'!J18</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8" s="154">
        <v>3</v>
      </c>
      <c r="D18" s="130" t="str">
        <f t="shared" si="0"/>
        <v>La actividad que conlleva el riesgo se ejecuta de 3 a 24 veces por año</v>
      </c>
      <c r="E18" s="131">
        <f t="shared" si="1"/>
        <v>0.4</v>
      </c>
      <c r="F18" s="21" t="str">
        <f t="shared" si="2"/>
        <v>Baja</v>
      </c>
      <c r="G18" s="138" t="s">
        <v>268</v>
      </c>
      <c r="H18" s="132">
        <f t="shared" si="6"/>
        <v>0.4</v>
      </c>
      <c r="I18" s="137" t="str">
        <f t="shared" si="3"/>
        <v>Menor</v>
      </c>
      <c r="J18" s="138" t="s">
        <v>282</v>
      </c>
      <c r="K18" s="132">
        <f t="shared" si="4"/>
        <v>0.6</v>
      </c>
      <c r="L18" s="137" t="str">
        <f t="shared" si="5"/>
        <v>Moderado</v>
      </c>
      <c r="M18" s="160">
        <f t="shared" si="8"/>
        <v>0.6</v>
      </c>
      <c r="N18" s="161" t="str">
        <f t="shared" si="7"/>
        <v>Moderado</v>
      </c>
    </row>
    <row r="19" spans="1:14" ht="93" customHeight="1" x14ac:dyDescent="0.25">
      <c r="A19" s="20" t="str">
        <f>'2 IDENTIFICACIÓN'!A19</f>
        <v>R10</v>
      </c>
      <c r="B19" s="152" t="str">
        <f>+'2 IDENTIFICACIÓN'!J19</f>
        <v xml:space="preserve">Posibilidad de afectación económica y reputacional por desconocimiento del avance y ejecución de las metas institucionales,  debido a a debilidades en el seguimiento a los recursos del Fondo Municipal de Gestión del Riesgo. </v>
      </c>
      <c r="C19" s="154">
        <v>243</v>
      </c>
      <c r="D19" s="130" t="str">
        <f t="shared" si="0"/>
        <v>La actividad que conlleva el riesgo se ejecuta de 24 a 500 veces por año</v>
      </c>
      <c r="E19" s="131">
        <f t="shared" si="1"/>
        <v>0.6</v>
      </c>
      <c r="F19" s="21" t="str">
        <f t="shared" si="2"/>
        <v>Media</v>
      </c>
      <c r="G19" s="138" t="s">
        <v>281</v>
      </c>
      <c r="H19" s="132">
        <f t="shared" si="6"/>
        <v>0.6</v>
      </c>
      <c r="I19" s="137" t="str">
        <f t="shared" si="3"/>
        <v>Moderado</v>
      </c>
      <c r="J19" s="138" t="s">
        <v>282</v>
      </c>
      <c r="K19" s="132">
        <f t="shared" si="4"/>
        <v>0.6</v>
      </c>
      <c r="L19" s="137" t="str">
        <f t="shared" si="5"/>
        <v>Moderado</v>
      </c>
      <c r="M19" s="160">
        <f t="shared" si="8"/>
        <v>0.6</v>
      </c>
      <c r="N19" s="161" t="str">
        <f t="shared" si="7"/>
        <v>Moderado</v>
      </c>
    </row>
    <row r="20" spans="1:14" ht="93" customHeight="1" x14ac:dyDescent="0.25">
      <c r="A20" s="20" t="str">
        <f>'2 IDENTIFICACIÓN'!A20</f>
        <v>R11</v>
      </c>
      <c r="B20" s="152" t="str">
        <f>+'2 IDENTIFICACIÓN'!J20</f>
        <v xml:space="preserve">Posibilidad  de efecto dañoso sobre el recurso público por pérdida, extravío, hurto o faltantes en inventario de bienes muebles de la entidad,  debido a deficiencias en la actualización, verificación y control del inventario de bienes muebles. </v>
      </c>
      <c r="C20" s="154">
        <v>365</v>
      </c>
      <c r="D20" s="130" t="str">
        <f t="shared" si="0"/>
        <v>La actividad que conlleva el riesgo se ejecuta de 24 a 500 veces por año</v>
      </c>
      <c r="E20" s="131">
        <f t="shared" si="1"/>
        <v>0.6</v>
      </c>
      <c r="F20" s="21" t="str">
        <f t="shared" si="2"/>
        <v>Media</v>
      </c>
      <c r="G20" s="138" t="s">
        <v>286</v>
      </c>
      <c r="H20" s="132">
        <f t="shared" si="6"/>
        <v>0.8</v>
      </c>
      <c r="I20" s="137" t="str">
        <f t="shared" si="3"/>
        <v>Mayor</v>
      </c>
      <c r="J20" s="138" t="s">
        <v>269</v>
      </c>
      <c r="K20" s="132">
        <f t="shared" si="4"/>
        <v>0.2</v>
      </c>
      <c r="L20" s="137" t="str">
        <f t="shared" si="5"/>
        <v>Leve</v>
      </c>
      <c r="M20" s="160">
        <f t="shared" si="8"/>
        <v>0.8</v>
      </c>
      <c r="N20" s="161" t="str">
        <f t="shared" si="7"/>
        <v>Mayor</v>
      </c>
    </row>
    <row r="21" spans="1:14" ht="93" customHeight="1" x14ac:dyDescent="0.25">
      <c r="A21" s="20" t="str">
        <f>'2 IDENTIFICACIÓN'!A21</f>
        <v>R12</v>
      </c>
      <c r="B21" s="152" t="str">
        <f>+'2 IDENTIFICACIÓN'!J21</f>
        <v xml:space="preserve">Posibilidad  de efecto dañoso sobre el recurso público por incumplimiento en la atención oportuna de requerimientos emitidos por entes de control y vigilancia, debido a deficiencias en el seguimiento, gestión y control de los términos establecidos para su respuesta. </v>
      </c>
      <c r="C21" s="154">
        <v>317</v>
      </c>
      <c r="D21" s="130" t="str">
        <f t="shared" si="0"/>
        <v>La actividad que conlleva el riesgo se ejecuta de 24 a 500 veces por año</v>
      </c>
      <c r="E21" s="131">
        <f t="shared" si="1"/>
        <v>0.6</v>
      </c>
      <c r="F21" s="21" t="str">
        <f t="shared" si="2"/>
        <v>Media</v>
      </c>
      <c r="G21" s="138" t="s">
        <v>268</v>
      </c>
      <c r="H21" s="132">
        <f t="shared" si="6"/>
        <v>0.4</v>
      </c>
      <c r="I21" s="137" t="str">
        <f t="shared" si="3"/>
        <v>Menor</v>
      </c>
      <c r="J21" s="138" t="s">
        <v>269</v>
      </c>
      <c r="K21" s="132">
        <f t="shared" si="4"/>
        <v>0.2</v>
      </c>
      <c r="L21" s="137" t="str">
        <f t="shared" si="5"/>
        <v>Leve</v>
      </c>
      <c r="M21" s="160">
        <f t="shared" si="8"/>
        <v>0.4</v>
      </c>
      <c r="N21" s="161" t="str">
        <f t="shared" si="7"/>
        <v>Menor</v>
      </c>
    </row>
    <row r="22" spans="1:14" ht="132.75" customHeight="1" x14ac:dyDescent="0.25">
      <c r="A22" s="20" t="str">
        <f>'2 IDENTIFICACIÓN'!A22</f>
        <v>R13</v>
      </c>
      <c r="B22" s="152" t="str">
        <f>+'2 IDENTIFICACIÓN'!J22</f>
        <v xml:space="preserve">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 </v>
      </c>
      <c r="C22" s="154">
        <v>504</v>
      </c>
      <c r="D22" s="130" t="str">
        <f t="shared" si="0"/>
        <v>La actividad que conlleva el riesgo se ejecuta mínimo 500 veces al año y máximo 5.000 veces por año</v>
      </c>
      <c r="E22" s="131">
        <f t="shared" si="1"/>
        <v>0.8</v>
      </c>
      <c r="F22" s="21" t="str">
        <f t="shared" si="2"/>
        <v>Alta</v>
      </c>
      <c r="G22" s="138" t="s">
        <v>286</v>
      </c>
      <c r="H22" s="132">
        <f t="shared" si="6"/>
        <v>0.8</v>
      </c>
      <c r="I22" s="137" t="str">
        <f t="shared" si="3"/>
        <v>Mayor</v>
      </c>
      <c r="J22" s="138" t="s">
        <v>282</v>
      </c>
      <c r="K22" s="132">
        <f t="shared" si="4"/>
        <v>0.6</v>
      </c>
      <c r="L22" s="137" t="str">
        <f t="shared" si="5"/>
        <v>Moderado</v>
      </c>
      <c r="M22" s="160">
        <f t="shared" si="8"/>
        <v>0.8</v>
      </c>
      <c r="N22" s="161" t="str">
        <f t="shared" si="7"/>
        <v>Mayor</v>
      </c>
    </row>
    <row r="23" spans="1:14" ht="118.5" customHeight="1" x14ac:dyDescent="0.25">
      <c r="A23" s="20" t="str">
        <f>'2 IDENTIFICACIÓN'!A23</f>
        <v>R14</v>
      </c>
      <c r="B23" s="152" t="str">
        <f>+'2 IDENTIFICACIÓN'!J23</f>
        <v>Posibilidad  de efecto dañoso sobre el recurso público por pago de sanciones debido a omisiones, errores o inconsistencias en el diligenciamiento, validación y reporte de la información financiera, contable y tributaria requerida por los entes de control y vigilancia, dentro de los plazos y lineamientos establecidos por la normatividad aplicable</v>
      </c>
      <c r="C23" s="154">
        <v>30</v>
      </c>
      <c r="D23" s="130" t="str">
        <f t="shared" si="0"/>
        <v>La actividad que conlleva el riesgo se ejecuta de 24 a 500 veces por año</v>
      </c>
      <c r="E23" s="131">
        <f t="shared" si="1"/>
        <v>0.6</v>
      </c>
      <c r="F23" s="21" t="str">
        <f t="shared" si="2"/>
        <v>Media</v>
      </c>
      <c r="G23" s="138" t="s">
        <v>286</v>
      </c>
      <c r="H23" s="132">
        <f t="shared" si="6"/>
        <v>0.8</v>
      </c>
      <c r="I23" s="137" t="str">
        <f t="shared" si="3"/>
        <v>Mayor</v>
      </c>
      <c r="J23" s="138" t="s">
        <v>269</v>
      </c>
      <c r="K23" s="132">
        <f t="shared" si="4"/>
        <v>0.2</v>
      </c>
      <c r="L23" s="137" t="str">
        <f t="shared" si="5"/>
        <v>Leve</v>
      </c>
      <c r="M23" s="160">
        <f t="shared" si="8"/>
        <v>0.8</v>
      </c>
      <c r="N23" s="161" t="str">
        <f t="shared" si="7"/>
        <v>Mayor</v>
      </c>
    </row>
    <row r="24" spans="1:14" ht="144.75" customHeight="1" x14ac:dyDescent="0.25">
      <c r="A24" s="20" t="str">
        <f>'2 IDENTIFICACIÓN'!A24</f>
        <v>R15</v>
      </c>
      <c r="B24" s="152" t="str">
        <f>+'2 IDENTIFICACIÓN'!J24</f>
        <v xml:space="preserve">Posibilidad  de efecto dañoso sobre el recurso público por disminución de ingresos o prescripción de la cartera en mora,  debido a la renuencia de los contribuyentes al pago de las obligaciones tributarias, dificultades para la localización de deudores morosos, fallecimiento de contribuyentes y procesos de legalización y cesión de predios que afectan la recuperación oportuna de la cartera dentro de los términos establecidos para el cobro persuasivo y coactivo. </v>
      </c>
      <c r="C24" s="154">
        <v>248900</v>
      </c>
      <c r="D24" s="130" t="str">
        <f t="shared" si="0"/>
        <v>La actividad que conlleva el riesgo se ejecuta más de 5.000 veces por año</v>
      </c>
      <c r="E24" s="131">
        <f t="shared" si="1"/>
        <v>1</v>
      </c>
      <c r="F24" s="21" t="str">
        <f t="shared" si="2"/>
        <v>Muy Alta</v>
      </c>
      <c r="G24" s="138" t="s">
        <v>291</v>
      </c>
      <c r="H24" s="132">
        <f t="shared" si="6"/>
        <v>1</v>
      </c>
      <c r="I24" s="137" t="str">
        <f t="shared" si="3"/>
        <v>Catastrófico</v>
      </c>
      <c r="J24" s="138" t="s">
        <v>282</v>
      </c>
      <c r="K24" s="132">
        <f t="shared" si="4"/>
        <v>0.6</v>
      </c>
      <c r="L24" s="137" t="str">
        <f t="shared" si="5"/>
        <v>Moderado</v>
      </c>
      <c r="M24" s="160">
        <f t="shared" si="8"/>
        <v>1</v>
      </c>
      <c r="N24" s="161" t="str">
        <f t="shared" si="7"/>
        <v>Catastrófico</v>
      </c>
    </row>
    <row r="25" spans="1:14" ht="93" customHeight="1" x14ac:dyDescent="0.25">
      <c r="A25" s="20" t="str">
        <f>'2 IDENTIFICACIÓN'!A25</f>
        <v>R16</v>
      </c>
      <c r="B25" s="152" t="str">
        <f>+'2 IDENTIFICACIÓN'!J25</f>
        <v xml:space="preserve">Posibilidad  de efecto dañoso sobre el recurso público por afectación en la ejecución de los proyectos de presupuestos participativos,  debido a cambios en la destinación de los recursos asignados para su financiación. </v>
      </c>
      <c r="C25" s="154">
        <v>65</v>
      </c>
      <c r="D25" s="130" t="str">
        <f t="shared" si="0"/>
        <v>La actividad que conlleva el riesgo se ejecuta de 24 a 500 veces por año</v>
      </c>
      <c r="E25" s="131">
        <f t="shared" si="1"/>
        <v>0.6</v>
      </c>
      <c r="F25" s="21" t="str">
        <f t="shared" si="2"/>
        <v>Media</v>
      </c>
      <c r="G25" s="138" t="s">
        <v>291</v>
      </c>
      <c r="H25" s="132">
        <f t="shared" si="6"/>
        <v>1</v>
      </c>
      <c r="I25" s="137" t="str">
        <f t="shared" si="3"/>
        <v>Catastrófico</v>
      </c>
      <c r="J25" s="138" t="s">
        <v>282</v>
      </c>
      <c r="K25" s="132">
        <f t="shared" si="4"/>
        <v>0.6</v>
      </c>
      <c r="L25" s="137" t="str">
        <f t="shared" si="5"/>
        <v>Moderado</v>
      </c>
      <c r="M25" s="160">
        <f t="shared" si="8"/>
        <v>1</v>
      </c>
      <c r="N25" s="161" t="str">
        <f t="shared" si="7"/>
        <v>Catastrófico</v>
      </c>
    </row>
    <row r="26" spans="1:14" ht="93" customHeight="1" x14ac:dyDescent="0.25">
      <c r="A26" s="20" t="str">
        <f>'2 IDENTIFICACIÓN'!A26</f>
        <v>R17</v>
      </c>
      <c r="B26" s="152" t="str">
        <f>+'2 IDENTIFICACIÓN'!J26</f>
        <v xml:space="preserve">Posibilidad  de efecto dañoso sobre el recurso público por la no disponibilidad de recursos del FONPET para la atención de obligaciones pensionales, debido a deficiencias en la gestión y presentación de la documentación habilitante dentro de los términos establecidos. </v>
      </c>
      <c r="C26" s="154">
        <v>300</v>
      </c>
      <c r="D26" s="130" t="str">
        <f t="shared" si="0"/>
        <v>La actividad que conlleva el riesgo se ejecuta de 24 a 500 veces por año</v>
      </c>
      <c r="E26" s="131">
        <f t="shared" si="1"/>
        <v>0.6</v>
      </c>
      <c r="F26" s="21" t="str">
        <f t="shared" si="2"/>
        <v>Media</v>
      </c>
      <c r="G26" s="138" t="s">
        <v>286</v>
      </c>
      <c r="H26" s="132">
        <f t="shared" si="6"/>
        <v>0.8</v>
      </c>
      <c r="I26" s="137" t="str">
        <f t="shared" si="3"/>
        <v>Mayor</v>
      </c>
      <c r="J26" s="138" t="s">
        <v>282</v>
      </c>
      <c r="K26" s="132">
        <f t="shared" si="4"/>
        <v>0.6</v>
      </c>
      <c r="L26" s="137" t="str">
        <f t="shared" si="5"/>
        <v>Moderado</v>
      </c>
      <c r="M26" s="160">
        <f t="shared" si="8"/>
        <v>0.8</v>
      </c>
      <c r="N26" s="161" t="str">
        <f t="shared" si="7"/>
        <v>Mayor</v>
      </c>
    </row>
    <row r="27" spans="1:14" ht="101.25" customHeight="1" x14ac:dyDescent="0.25">
      <c r="A27" s="20" t="str">
        <f>'2 IDENTIFICACIÓN'!A27</f>
        <v>R18</v>
      </c>
      <c r="B27" s="152" t="str">
        <f>+'2 IDENTIFICACIÓN'!J27</f>
        <v>Posibilidad  de efecto dañoso sobre el recurso público por configuración del silencio administrativo positivo en recursos de reconsideración y solicitudes de revocatoria directa presentadas por los contribuyentes,  debido a incumplimiento de los términos legales para su trámite y respuesta</v>
      </c>
      <c r="C27" s="154">
        <v>300</v>
      </c>
      <c r="D27" s="130" t="str">
        <f t="shared" si="0"/>
        <v>La actividad que conlleva el riesgo se ejecuta de 24 a 500 veces por año</v>
      </c>
      <c r="E27" s="131">
        <f t="shared" si="1"/>
        <v>0.6</v>
      </c>
      <c r="F27" s="21" t="str">
        <f t="shared" si="2"/>
        <v>Media</v>
      </c>
      <c r="G27" s="138" t="s">
        <v>268</v>
      </c>
      <c r="H27" s="132">
        <f t="shared" si="6"/>
        <v>0.4</v>
      </c>
      <c r="I27" s="137" t="str">
        <f t="shared" si="3"/>
        <v>Menor</v>
      </c>
      <c r="J27" s="138" t="s">
        <v>269</v>
      </c>
      <c r="K27" s="132">
        <f t="shared" si="4"/>
        <v>0.2</v>
      </c>
      <c r="L27" s="137" t="str">
        <f t="shared" si="5"/>
        <v>Leve</v>
      </c>
      <c r="M27" s="160">
        <f t="shared" si="8"/>
        <v>0.4</v>
      </c>
      <c r="N27" s="161" t="str">
        <f t="shared" si="7"/>
        <v>Menor</v>
      </c>
    </row>
    <row r="28" spans="1:14" ht="105" customHeight="1" x14ac:dyDescent="0.25">
      <c r="A28" s="20" t="str">
        <f>'2 IDENTIFICACIÓN'!A28</f>
        <v>R19</v>
      </c>
      <c r="B28" s="152" t="str">
        <f>+'2 IDENTIFICACIÓN'!J28</f>
        <v xml:space="preserve">Posibilidad  de efecto dañoso sobre el recurso público por inconsistencias en la liquidación, gestión y control del Impuesto Predial Unificado (IPU),  debido a la falta de interoperabilidad entre el Sistema de Información de Impuestos Municipales (SIIM) y la plataforma BCGS del Área Metropolitana de Bucaramanga (AMB). </v>
      </c>
      <c r="C28" s="154">
        <v>1</v>
      </c>
      <c r="D28" s="130" t="str">
        <f t="shared" si="0"/>
        <v>La actividad que conlleva el riesgo se ejecuta como máximos 2 veces por año</v>
      </c>
      <c r="E28" s="131">
        <f t="shared" si="1"/>
        <v>0.2</v>
      </c>
      <c r="F28" s="21" t="str">
        <f t="shared" si="2"/>
        <v>Muy Baja</v>
      </c>
      <c r="G28" s="138" t="s">
        <v>286</v>
      </c>
      <c r="H28" s="132">
        <f t="shared" si="6"/>
        <v>0.8</v>
      </c>
      <c r="I28" s="137" t="str">
        <f t="shared" si="3"/>
        <v>Mayor</v>
      </c>
      <c r="J28" s="138" t="s">
        <v>282</v>
      </c>
      <c r="K28" s="132">
        <f t="shared" si="4"/>
        <v>0.6</v>
      </c>
      <c r="L28" s="137" t="str">
        <f t="shared" si="5"/>
        <v>Moderado</v>
      </c>
      <c r="M28" s="160">
        <f t="shared" si="8"/>
        <v>0.8</v>
      </c>
      <c r="N28" s="161" t="str">
        <f t="shared" si="7"/>
        <v>Mayor</v>
      </c>
    </row>
    <row r="29" spans="1:14" ht="118.5" customHeight="1" x14ac:dyDescent="0.25">
      <c r="A29" s="20" t="str">
        <f>'2 IDENTIFICACIÓN'!A29</f>
        <v>R20</v>
      </c>
      <c r="B29" s="152" t="str">
        <f>+'2 IDENTIFICACIÓN'!J29</f>
        <v xml:space="preserve">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 </v>
      </c>
      <c r="C29" s="276">
        <v>504</v>
      </c>
      <c r="D29" s="130" t="str">
        <f t="shared" si="0"/>
        <v>La actividad que conlleva el riesgo se ejecuta mínimo 500 veces al año y máximo 5.000 veces por año</v>
      </c>
      <c r="E29" s="131">
        <f t="shared" si="1"/>
        <v>0.8</v>
      </c>
      <c r="F29" s="21" t="str">
        <f t="shared" si="2"/>
        <v>Alta</v>
      </c>
      <c r="G29" s="277" t="s">
        <v>286</v>
      </c>
      <c r="H29" s="132">
        <f t="shared" si="6"/>
        <v>0.8</v>
      </c>
      <c r="I29" s="137" t="str">
        <f t="shared" si="3"/>
        <v>Mayor</v>
      </c>
      <c r="J29" s="277" t="s">
        <v>282</v>
      </c>
      <c r="K29" s="132">
        <f t="shared" si="4"/>
        <v>0.6</v>
      </c>
      <c r="L29" s="137" t="str">
        <f t="shared" si="5"/>
        <v>Moderado</v>
      </c>
      <c r="M29" s="160">
        <f t="shared" si="8"/>
        <v>0.8</v>
      </c>
      <c r="N29" s="161" t="str">
        <f t="shared" si="7"/>
        <v>Mayor</v>
      </c>
    </row>
    <row r="30" spans="1:14" ht="114" customHeight="1" x14ac:dyDescent="0.25">
      <c r="A30" s="20" t="str">
        <f>'2 IDENTIFICACIÓN'!A30</f>
        <v>R21</v>
      </c>
      <c r="B30" s="152" t="str">
        <f>+'2 IDENTIFICACIÓN'!J30</f>
        <v>Posibilidad de afectación económica y reputacional por inconsistencias en la aplicación de novedades del módulo de Industria y Comercio del Sistema de Impuestos Municipales, debido a deficiencias en la validación, revisión y soporte de la información registrada.</v>
      </c>
      <c r="C30" s="276">
        <v>365</v>
      </c>
      <c r="D30" s="130" t="str">
        <f t="shared" si="0"/>
        <v>La actividad que conlleva el riesgo se ejecuta de 24 a 500 veces por año</v>
      </c>
      <c r="E30" s="131">
        <f t="shared" si="1"/>
        <v>0.6</v>
      </c>
      <c r="F30" s="21" t="str">
        <f t="shared" si="2"/>
        <v>Media</v>
      </c>
      <c r="G30" s="277" t="s">
        <v>291</v>
      </c>
      <c r="H30" s="132">
        <f t="shared" si="6"/>
        <v>1</v>
      </c>
      <c r="I30" s="137" t="str">
        <f t="shared" si="3"/>
        <v>Catastrófico</v>
      </c>
      <c r="J30" s="277" t="s">
        <v>282</v>
      </c>
      <c r="K30" s="132">
        <f t="shared" si="4"/>
        <v>0.6</v>
      </c>
      <c r="L30" s="137" t="str">
        <f t="shared" si="5"/>
        <v>Moderado</v>
      </c>
      <c r="M30" s="160">
        <f t="shared" si="8"/>
        <v>1</v>
      </c>
      <c r="N30" s="161" t="str">
        <f t="shared" si="7"/>
        <v>Catastrófico</v>
      </c>
    </row>
    <row r="31" spans="1:14" ht="105" customHeight="1" x14ac:dyDescent="0.25">
      <c r="A31" s="20" t="str">
        <f>'2 IDENTIFICACIÓN'!A31</f>
        <v>R22</v>
      </c>
      <c r="B31" s="152" t="str">
        <f>+'2 IDENTIFICACIÓN'!J31</f>
        <v>Posibilidad de pérdida reputacional por soborno entrante en la administración de recursos públicos de la Secretaría de Hacienda,  debido a al recibir o solicitar ventajas indebidas para manipular y/o favorecer la constitución de inversiones, debido a debilidades en los controles y seguimiento de las operaciones financieras.</v>
      </c>
      <c r="C31" s="276">
        <v>5</v>
      </c>
      <c r="D31" s="130" t="str">
        <f t="shared" si="0"/>
        <v>La actividad que conlleva el riesgo se ejecuta de 3 a 24 veces por año</v>
      </c>
      <c r="E31" s="131">
        <f t="shared" si="1"/>
        <v>0.4</v>
      </c>
      <c r="F31" s="21" t="str">
        <f t="shared" si="2"/>
        <v>Baja</v>
      </c>
      <c r="G31" s="277" t="s">
        <v>293</v>
      </c>
      <c r="H31" s="132" t="str">
        <f t="shared" si="6"/>
        <v/>
      </c>
      <c r="I31" s="137" t="str">
        <f t="shared" si="3"/>
        <v/>
      </c>
      <c r="J31" s="277" t="s">
        <v>282</v>
      </c>
      <c r="K31" s="132">
        <f t="shared" si="4"/>
        <v>0.6</v>
      </c>
      <c r="L31" s="137" t="str">
        <f t="shared" si="5"/>
        <v>Moderado</v>
      </c>
      <c r="M31" s="160">
        <f t="shared" si="8"/>
        <v>0.6</v>
      </c>
      <c r="N31" s="161" t="str">
        <f t="shared" si="7"/>
        <v>Moderado</v>
      </c>
    </row>
    <row r="32" spans="1:14" ht="119.25" customHeight="1" x14ac:dyDescent="0.25">
      <c r="A32" s="20" t="str">
        <f>'2 IDENTIFICACIÓN'!A32</f>
        <v>R23</v>
      </c>
      <c r="B32" s="152" t="str">
        <f>+'2 IDENTIFICACIÓN'!J32</f>
        <v>Posibilidad de pérdida reputacional por por soborno entrante en el retiro de registros del Boletín de Deudores Morosos del Estado (BDME),  debido a al solicitar o recibir ventajas indebidas a nombre propio o de terceros para efectuar exclusiones sin el cumplimiento de los requisitos establecidos por la Contaduría General de la Nación.</v>
      </c>
      <c r="C32" s="276">
        <v>365</v>
      </c>
      <c r="D32" s="130" t="str">
        <f t="shared" si="0"/>
        <v>La actividad que conlleva el riesgo se ejecuta de 24 a 500 veces por año</v>
      </c>
      <c r="E32" s="131">
        <f t="shared" si="1"/>
        <v>0.6</v>
      </c>
      <c r="F32" s="21" t="str">
        <f t="shared" si="2"/>
        <v>Media</v>
      </c>
      <c r="G32" s="277" t="s">
        <v>293</v>
      </c>
      <c r="H32" s="132" t="str">
        <f t="shared" si="6"/>
        <v/>
      </c>
      <c r="I32" s="137" t="str">
        <f t="shared" si="3"/>
        <v/>
      </c>
      <c r="J32" s="277" t="s">
        <v>282</v>
      </c>
      <c r="K32" s="132">
        <f t="shared" si="4"/>
        <v>0.6</v>
      </c>
      <c r="L32" s="137" t="str">
        <f t="shared" si="5"/>
        <v>Moderado</v>
      </c>
      <c r="M32" s="160">
        <f t="shared" si="8"/>
        <v>0.6</v>
      </c>
      <c r="N32" s="161" t="str">
        <f t="shared" si="7"/>
        <v>Moderado</v>
      </c>
    </row>
    <row r="33" spans="1:14" ht="93" customHeight="1" x14ac:dyDescent="0.25">
      <c r="A33" s="20" t="str">
        <f>'2 IDENTIFICACIÓN'!A33</f>
        <v>R24</v>
      </c>
      <c r="B33" s="152" t="str">
        <f>+'2 IDENTIFICACIÓN'!J33</f>
        <v>Posibilidad de afectación económica y reputacional por inconsistencias en la aplicación de novedades del Impuesto Predial Unificado en el Sistema de Impuestos Municipales,  debido a deficiencias en la revisión, validación y soporte de la información registrada.</v>
      </c>
      <c r="C33" s="154">
        <v>365</v>
      </c>
      <c r="D33" s="130" t="str">
        <f t="shared" si="0"/>
        <v>La actividad que conlleva el riesgo se ejecuta de 24 a 500 veces por año</v>
      </c>
      <c r="E33" s="137">
        <f t="shared" si="1"/>
        <v>0.6</v>
      </c>
      <c r="F33" s="348" t="str">
        <f t="shared" si="2"/>
        <v>Media</v>
      </c>
      <c r="G33" s="138" t="s">
        <v>291</v>
      </c>
      <c r="H33" s="132">
        <f t="shared" si="6"/>
        <v>1</v>
      </c>
      <c r="I33" s="137" t="str">
        <f t="shared" si="3"/>
        <v>Catastrófico</v>
      </c>
      <c r="J33" s="138" t="s">
        <v>282</v>
      </c>
      <c r="K33" s="132">
        <f t="shared" si="4"/>
        <v>0.6</v>
      </c>
      <c r="L33" s="137" t="str">
        <f t="shared" si="5"/>
        <v>Moderado</v>
      </c>
      <c r="M33" s="160">
        <f t="shared" si="8"/>
        <v>1</v>
      </c>
      <c r="N33" s="161" t="str">
        <f t="shared" si="7"/>
        <v>Catastrófico</v>
      </c>
    </row>
    <row r="34" spans="1:14" ht="93" hidden="1" customHeight="1" x14ac:dyDescent="0.25">
      <c r="A34" s="20" t="str">
        <f>'2 IDENTIFICACIÓN'!A34</f>
        <v>R25</v>
      </c>
      <c r="B34" s="152" t="str">
        <f>+'2 IDENTIFICACIÓN'!J34</f>
        <v xml:space="preserve"> por  debido a </v>
      </c>
      <c r="C34" s="276"/>
      <c r="D34" s="130" t="str">
        <f t="shared" si="0"/>
        <v/>
      </c>
      <c r="E34" s="131" t="str">
        <f t="shared" si="1"/>
        <v/>
      </c>
      <c r="F34" s="21" t="str">
        <f t="shared" si="2"/>
        <v/>
      </c>
      <c r="G34" s="277"/>
      <c r="H34" s="132" t="str">
        <f t="shared" si="6"/>
        <v/>
      </c>
      <c r="I34" s="137" t="str">
        <f t="shared" si="3"/>
        <v/>
      </c>
      <c r="J34" s="277"/>
      <c r="K34" s="132" t="str">
        <f t="shared" si="4"/>
        <v/>
      </c>
      <c r="L34" s="137" t="str">
        <f t="shared" si="5"/>
        <v/>
      </c>
      <c r="M34" s="160" t="str">
        <f t="shared" si="8"/>
        <v/>
      </c>
      <c r="N34" s="161" t="str">
        <f t="shared" si="7"/>
        <v/>
      </c>
    </row>
    <row r="35" spans="1:14" ht="93" hidden="1" customHeight="1" x14ac:dyDescent="0.25">
      <c r="A35" s="20" t="str">
        <f>'2 IDENTIFICACIÓN'!A35</f>
        <v>R26</v>
      </c>
      <c r="B35" s="152" t="str">
        <f>+'2 IDENTIFICACIÓN'!J35</f>
        <v xml:space="preserve"> por  debido a </v>
      </c>
      <c r="C35" s="276"/>
      <c r="D35" s="130" t="str">
        <f t="shared" si="0"/>
        <v/>
      </c>
      <c r="E35" s="131" t="str">
        <f t="shared" si="1"/>
        <v/>
      </c>
      <c r="F35" s="21" t="str">
        <f t="shared" si="2"/>
        <v/>
      </c>
      <c r="G35" s="277"/>
      <c r="H35" s="132" t="str">
        <f t="shared" si="6"/>
        <v/>
      </c>
      <c r="I35" s="137" t="str">
        <f t="shared" si="3"/>
        <v/>
      </c>
      <c r="J35" s="277"/>
      <c r="K35" s="132" t="str">
        <f t="shared" si="4"/>
        <v/>
      </c>
      <c r="L35" s="137" t="str">
        <f t="shared" si="5"/>
        <v/>
      </c>
      <c r="M35" s="160" t="str">
        <f t="shared" si="8"/>
        <v/>
      </c>
      <c r="N35" s="161" t="str">
        <f t="shared" si="7"/>
        <v/>
      </c>
    </row>
    <row r="36" spans="1:14" ht="93" hidden="1" customHeight="1" x14ac:dyDescent="0.25">
      <c r="A36" s="20" t="str">
        <f>'2 IDENTIFICACIÓN'!A36</f>
        <v>R27</v>
      </c>
      <c r="B36" s="152" t="str">
        <f>+'2 IDENTIFICACIÓN'!J36</f>
        <v xml:space="preserve"> por  debido a </v>
      </c>
      <c r="C36" s="276"/>
      <c r="D36" s="130" t="str">
        <f t="shared" si="0"/>
        <v/>
      </c>
      <c r="E36" s="131" t="str">
        <f t="shared" si="1"/>
        <v/>
      </c>
      <c r="F36" s="21" t="str">
        <f t="shared" si="2"/>
        <v/>
      </c>
      <c r="G36" s="277"/>
      <c r="H36" s="132" t="str">
        <f t="shared" si="6"/>
        <v/>
      </c>
      <c r="I36" s="137" t="str">
        <f t="shared" si="3"/>
        <v/>
      </c>
      <c r="J36" s="277"/>
      <c r="K36" s="132" t="str">
        <f t="shared" si="4"/>
        <v/>
      </c>
      <c r="L36" s="137" t="str">
        <f t="shared" si="5"/>
        <v/>
      </c>
      <c r="M36" s="160" t="str">
        <f t="shared" si="8"/>
        <v/>
      </c>
      <c r="N36" s="161" t="str">
        <f t="shared" si="7"/>
        <v/>
      </c>
    </row>
    <row r="37" spans="1:14" ht="93" hidden="1" customHeight="1" x14ac:dyDescent="0.25">
      <c r="A37" s="20" t="str">
        <f>'2 IDENTIFICACIÓN'!A37</f>
        <v>R28</v>
      </c>
      <c r="B37" s="152" t="str">
        <f>+'2 IDENTIFICACIÓN'!J37</f>
        <v xml:space="preserve"> por  debido a </v>
      </c>
      <c r="C37" s="276"/>
      <c r="D37" s="130" t="str">
        <f t="shared" si="0"/>
        <v/>
      </c>
      <c r="E37" s="131" t="str">
        <f t="shared" si="1"/>
        <v/>
      </c>
      <c r="F37" s="21" t="str">
        <f t="shared" si="2"/>
        <v/>
      </c>
      <c r="G37" s="277"/>
      <c r="H37" s="132" t="str">
        <f t="shared" si="6"/>
        <v/>
      </c>
      <c r="I37" s="137" t="str">
        <f t="shared" si="3"/>
        <v/>
      </c>
      <c r="J37" s="277"/>
      <c r="K37" s="132" t="str">
        <f t="shared" si="4"/>
        <v/>
      </c>
      <c r="L37" s="137" t="str">
        <f t="shared" si="5"/>
        <v/>
      </c>
      <c r="M37" s="160" t="str">
        <f t="shared" si="8"/>
        <v/>
      </c>
      <c r="N37" s="161" t="str">
        <f t="shared" si="7"/>
        <v/>
      </c>
    </row>
    <row r="38" spans="1:14" ht="93" hidden="1" customHeight="1" x14ac:dyDescent="0.25">
      <c r="A38" s="20" t="str">
        <f>'2 IDENTIFICACIÓN'!A38</f>
        <v>R29</v>
      </c>
      <c r="B38" s="152" t="str">
        <f>+'2 IDENTIFICACIÓN'!J38</f>
        <v xml:space="preserve"> por  debido a </v>
      </c>
      <c r="C38" s="276"/>
      <c r="D38" s="130" t="str">
        <f t="shared" si="0"/>
        <v/>
      </c>
      <c r="E38" s="131" t="str">
        <f t="shared" si="1"/>
        <v/>
      </c>
      <c r="F38" s="21" t="str">
        <f t="shared" si="2"/>
        <v/>
      </c>
      <c r="G38" s="277"/>
      <c r="H38" s="132" t="str">
        <f t="shared" si="6"/>
        <v/>
      </c>
      <c r="I38" s="137" t="str">
        <f t="shared" si="3"/>
        <v/>
      </c>
      <c r="J38" s="277"/>
      <c r="K38" s="132" t="str">
        <f t="shared" si="4"/>
        <v/>
      </c>
      <c r="L38" s="137" t="str">
        <f t="shared" si="5"/>
        <v/>
      </c>
      <c r="M38" s="160" t="str">
        <f t="shared" si="8"/>
        <v/>
      </c>
      <c r="N38" s="161" t="str">
        <f t="shared" si="7"/>
        <v/>
      </c>
    </row>
    <row r="39" spans="1:14" ht="93" hidden="1" customHeight="1" thickBot="1" x14ac:dyDescent="0.3">
      <c r="A39" s="27" t="str">
        <f>'2 IDENTIFICACIÓN'!A39</f>
        <v>R30</v>
      </c>
      <c r="B39" s="323" t="str">
        <f>+'2 IDENTIFICACIÓN'!J39</f>
        <v xml:space="preserve"> por  debido a </v>
      </c>
      <c r="C39" s="155"/>
      <c r="D39" s="324" t="str">
        <f t="shared" si="0"/>
        <v/>
      </c>
      <c r="E39" s="325" t="str">
        <f t="shared" si="1"/>
        <v/>
      </c>
      <c r="F39" s="326" t="str">
        <f t="shared" si="2"/>
        <v/>
      </c>
      <c r="G39" s="139"/>
      <c r="H39" s="327" t="str">
        <f t="shared" si="6"/>
        <v/>
      </c>
      <c r="I39" s="328" t="str">
        <f t="shared" si="3"/>
        <v/>
      </c>
      <c r="J39" s="139"/>
      <c r="K39" s="327" t="str">
        <f t="shared" si="4"/>
        <v/>
      </c>
      <c r="L39" s="328" t="str">
        <f t="shared" si="5"/>
        <v/>
      </c>
      <c r="M39" s="329" t="str">
        <f t="shared" si="8"/>
        <v/>
      </c>
      <c r="N39" s="330" t="str">
        <f t="shared" si="7"/>
        <v/>
      </c>
    </row>
    <row r="40" spans="1:14" ht="15" thickBot="1" x14ac:dyDescent="0.3"/>
    <row r="41" spans="1:14" ht="15.75" thickTop="1" thickBot="1" x14ac:dyDescent="0.3">
      <c r="A41" s="387" t="s">
        <v>377</v>
      </c>
      <c r="B41" s="387"/>
      <c r="C41" s="387"/>
      <c r="D41" s="387"/>
      <c r="E41" s="387"/>
      <c r="F41" s="387"/>
      <c r="G41" s="387"/>
    </row>
    <row r="42" spans="1:14" ht="15.75" thickTop="1" thickBot="1" x14ac:dyDescent="0.3">
      <c r="A42" s="321" t="s">
        <v>378</v>
      </c>
      <c r="B42" s="387" t="s">
        <v>379</v>
      </c>
      <c r="C42" s="387"/>
      <c r="D42" s="387" t="s">
        <v>380</v>
      </c>
      <c r="E42" s="387"/>
      <c r="F42" s="387" t="s">
        <v>381</v>
      </c>
      <c r="G42" s="387"/>
    </row>
    <row r="43" spans="1:14" ht="93" customHeight="1" thickTop="1" thickBot="1" x14ac:dyDescent="0.3">
      <c r="A43" s="322" t="s">
        <v>382</v>
      </c>
      <c r="B43" s="388">
        <v>46163</v>
      </c>
      <c r="C43" s="388"/>
      <c r="D43" s="389" t="s">
        <v>383</v>
      </c>
      <c r="E43" s="389"/>
      <c r="F43" s="390" t="s">
        <v>384</v>
      </c>
      <c r="G43" s="390"/>
    </row>
    <row r="44" spans="1:14" ht="15" thickTop="1" x14ac:dyDescent="0.25"/>
  </sheetData>
  <sheetProtection formatCells="0" formatColumns="0" formatRows="0" sort="0" autoFilter="0" pivotTables="0"/>
  <autoFilter ref="A9:N9" xr:uid="{00000000-0009-0000-0000-000003000000}"/>
  <dataConsolidate/>
  <mergeCells count="19">
    <mergeCell ref="A41:G41"/>
    <mergeCell ref="B42:C42"/>
    <mergeCell ref="D42:E42"/>
    <mergeCell ref="F42:G42"/>
    <mergeCell ref="B43:C43"/>
    <mergeCell ref="D43:E43"/>
    <mergeCell ref="F43:G43"/>
    <mergeCell ref="A1:A3"/>
    <mergeCell ref="B1:I2"/>
    <mergeCell ref="B3:I3"/>
    <mergeCell ref="A4:K4"/>
    <mergeCell ref="V8:Y8"/>
    <mergeCell ref="P8:T8"/>
    <mergeCell ref="C8:F8"/>
    <mergeCell ref="G8:I8"/>
    <mergeCell ref="J8:L8"/>
    <mergeCell ref="M8:N8"/>
    <mergeCell ref="G7:N7"/>
    <mergeCell ref="G5:H5"/>
  </mergeCells>
  <conditionalFormatting sqref="E10:E39 G10:G39">
    <cfRule type="cellIs" dxfId="204" priority="1" operator="equal">
      <formula>$T$10</formula>
    </cfRule>
    <cfRule type="cellIs" dxfId="203" priority="2" operator="equal">
      <formula>$T$11</formula>
    </cfRule>
    <cfRule type="cellIs" dxfId="202" priority="3" operator="equal">
      <formula>$T$12</formula>
    </cfRule>
    <cfRule type="cellIs" dxfId="201" priority="4" operator="equal">
      <formula>$T$13</formula>
    </cfRule>
    <cfRule type="cellIs" dxfId="200" priority="5" operator="equal">
      <formula>$T$14</formula>
    </cfRule>
  </conditionalFormatting>
  <conditionalFormatting sqref="F10:F39">
    <cfRule type="cellIs" dxfId="199" priority="163" operator="equal">
      <formula>$P$14</formula>
    </cfRule>
    <cfRule type="cellIs" dxfId="198" priority="159" operator="equal">
      <formula>$P$10</formula>
    </cfRule>
    <cfRule type="cellIs" dxfId="197" priority="160" operator="equal">
      <formula>$P$11</formula>
    </cfRule>
    <cfRule type="cellIs" dxfId="196" priority="161" operator="equal">
      <formula>$P$12</formula>
    </cfRule>
    <cfRule type="cellIs" dxfId="195" priority="162" operator="equal">
      <formula>$P$13</formula>
    </cfRule>
  </conditionalFormatting>
  <conditionalFormatting sqref="H10:H39">
    <cfRule type="cellIs" dxfId="194" priority="77" operator="equal">
      <formula>$W$11</formula>
    </cfRule>
    <cfRule type="cellIs" dxfId="193" priority="78" operator="equal">
      <formula>$W$12</formula>
    </cfRule>
    <cfRule type="cellIs" dxfId="192" priority="79" operator="equal">
      <formula>$W$13</formula>
    </cfRule>
    <cfRule type="cellIs" dxfId="191" priority="80" operator="equal">
      <formula>$W$14</formula>
    </cfRule>
    <cfRule type="cellIs" dxfId="190" priority="76" operator="equal">
      <formula>$W$10</formula>
    </cfRule>
  </conditionalFormatting>
  <conditionalFormatting sqref="I10:J39">
    <cfRule type="cellIs" dxfId="189" priority="81" operator="equal">
      <formula>$V$10</formula>
    </cfRule>
    <cfRule type="cellIs" dxfId="188" priority="82" operator="equal">
      <formula>$V$11</formula>
    </cfRule>
    <cfRule type="cellIs" dxfId="187" priority="83" operator="equal">
      <formula>$V$12</formula>
    </cfRule>
    <cfRule type="cellIs" dxfId="186" priority="84" operator="equal">
      <formula>$V$13</formula>
    </cfRule>
    <cfRule type="cellIs" dxfId="185" priority="85" operator="equal">
      <formula>$V$14</formula>
    </cfRule>
  </conditionalFormatting>
  <conditionalFormatting sqref="K10:K39">
    <cfRule type="cellIs" dxfId="184" priority="61" operator="equal">
      <formula>$W$10</formula>
    </cfRule>
    <cfRule type="cellIs" dxfId="183" priority="62" operator="equal">
      <formula>$W$11</formula>
    </cfRule>
    <cfRule type="cellIs" dxfId="182" priority="63" operator="equal">
      <formula>$W$12</formula>
    </cfRule>
    <cfRule type="cellIs" dxfId="181" priority="64" operator="equal">
      <formula>$W$13</formula>
    </cfRule>
    <cfRule type="cellIs" dxfId="180" priority="65" operator="equal">
      <formula>$W$14</formula>
    </cfRule>
  </conditionalFormatting>
  <conditionalFormatting sqref="L10:L39">
    <cfRule type="cellIs" dxfId="179" priority="96" operator="equal">
      <formula>$V$10</formula>
    </cfRule>
    <cfRule type="cellIs" dxfId="178" priority="97" operator="equal">
      <formula>$V$11</formula>
    </cfRule>
    <cfRule type="cellIs" dxfId="177" priority="98" operator="equal">
      <formula>$V$12</formula>
    </cfRule>
    <cfRule type="cellIs" dxfId="176" priority="99" operator="equal">
      <formula>$V$13</formula>
    </cfRule>
    <cfRule type="cellIs" dxfId="175" priority="100" operator="equal">
      <formula>$V$14</formula>
    </cfRule>
  </conditionalFormatting>
  <conditionalFormatting sqref="M10:M39">
    <cfRule type="cellIs" dxfId="174" priority="6" operator="equal">
      <formula>$W$10</formula>
    </cfRule>
    <cfRule type="cellIs" dxfId="173" priority="7" operator="equal">
      <formula>$W$11</formula>
    </cfRule>
    <cfRule type="cellIs" dxfId="172" priority="8" operator="equal">
      <formula>$W$12</formula>
    </cfRule>
    <cfRule type="cellIs" dxfId="171" priority="9" operator="equal">
      <formula>$W$13</formula>
    </cfRule>
    <cfRule type="cellIs" dxfId="170" priority="10" operator="equal">
      <formula>$W$14</formula>
    </cfRule>
  </conditionalFormatting>
  <conditionalFormatting sqref="N10:N39">
    <cfRule type="cellIs" dxfId="169" priority="31" operator="equal">
      <formula>$V$10</formula>
    </cfRule>
    <cfRule type="cellIs" dxfId="168" priority="32" operator="equal">
      <formula>$V$11</formula>
    </cfRule>
    <cfRule type="cellIs" dxfId="167" priority="33" operator="equal">
      <formula>$V$12</formula>
    </cfRule>
    <cfRule type="cellIs" dxfId="166" priority="34" operator="equal">
      <formula>$V$13</formula>
    </cfRule>
    <cfRule type="cellIs" dxfId="165"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80" zoomScaleNormal="80" workbookViewId="0">
      <selection activeCell="G5" sqref="G5:H5"/>
    </sheetView>
  </sheetViews>
  <sheetFormatPr baseColWidth="10" defaultColWidth="0" defaultRowHeight="12.75" x14ac:dyDescent="0.25"/>
  <cols>
    <col min="1" max="1" width="12.85546875" style="46" customWidth="1"/>
    <col min="2" max="2" width="38.85546875" style="51" customWidth="1"/>
    <col min="3" max="3" width="16.42578125" style="46" customWidth="1"/>
    <col min="4" max="4" width="12.42578125" style="51" customWidth="1"/>
    <col min="5" max="5" width="22.85546875" style="51" customWidth="1"/>
    <col min="6" max="6" width="13.42578125" style="51" customWidth="1"/>
    <col min="7" max="7" width="29" style="51" bestFit="1" customWidth="1"/>
    <col min="8" max="8" width="14" style="51" customWidth="1"/>
    <col min="9" max="9" width="13.85546875" style="51" customWidth="1"/>
    <col min="10" max="10" width="29" style="51" bestFit="1" customWidth="1"/>
    <col min="11" max="11" width="18" style="51" customWidth="1"/>
    <col min="12" max="13" width="12.42578125" style="51" customWidth="1"/>
    <col min="14" max="14" width="3.85546875" style="51" customWidth="1"/>
    <col min="15" max="15" width="4.85546875" style="46" customWidth="1"/>
    <col min="16" max="16" width="6.42578125" style="46" customWidth="1"/>
    <col min="17" max="17" width="11" style="46" bestFit="1" customWidth="1"/>
    <col min="18" max="22" width="12" style="46" customWidth="1"/>
    <col min="23" max="23" width="11.42578125" style="46" customWidth="1"/>
    <col min="24" max="27" width="11.42578125" style="46" hidden="1" customWidth="1"/>
    <col min="28" max="28" width="5.42578125" style="46" hidden="1" customWidth="1"/>
    <col min="29" max="29" width="26.85546875" style="46" hidden="1" customWidth="1"/>
    <col min="30" max="34" width="22.85546875" style="51" hidden="1" customWidth="1"/>
    <col min="35" max="35" width="23.42578125" style="46" hidden="1" customWidth="1"/>
    <col min="36" max="263" width="11.42578125" style="46" hidden="1" customWidth="1"/>
    <col min="264" max="264" width="12.42578125" style="46" hidden="1" customWidth="1"/>
    <col min="265" max="265" width="47" style="46" hidden="1" customWidth="1"/>
    <col min="266" max="266" width="35" style="46" hidden="1" customWidth="1"/>
    <col min="267" max="16384" width="14.42578125" style="46" hidden="1"/>
  </cols>
  <sheetData>
    <row r="1" spans="1:36" s="4" customFormat="1" ht="20.100000000000001" customHeight="1" thickTop="1" x14ac:dyDescent="0.25">
      <c r="A1" s="367"/>
      <c r="B1" s="370" t="s">
        <v>375</v>
      </c>
      <c r="C1" s="371"/>
      <c r="D1" s="371"/>
      <c r="E1" s="371"/>
      <c r="F1" s="371"/>
      <c r="G1" s="371"/>
      <c r="H1" s="371"/>
      <c r="I1" s="372"/>
      <c r="J1" s="313" t="s">
        <v>373</v>
      </c>
      <c r="K1" s="314"/>
      <c r="L1" s="260"/>
    </row>
    <row r="2" spans="1:36" s="4" customFormat="1" ht="20.100000000000001" customHeight="1" x14ac:dyDescent="0.25">
      <c r="A2" s="368"/>
      <c r="B2" s="373"/>
      <c r="C2" s="374"/>
      <c r="D2" s="374"/>
      <c r="E2" s="374"/>
      <c r="F2" s="374"/>
      <c r="G2" s="374"/>
      <c r="H2" s="374"/>
      <c r="I2" s="375"/>
      <c r="J2" s="315" t="s">
        <v>376</v>
      </c>
      <c r="K2" s="316"/>
      <c r="L2" s="260"/>
    </row>
    <row r="3" spans="1:36" s="3" customFormat="1" ht="16.5" thickBot="1" x14ac:dyDescent="0.25">
      <c r="A3" s="369"/>
      <c r="B3" s="376" t="s">
        <v>359</v>
      </c>
      <c r="C3" s="377"/>
      <c r="D3" s="377"/>
      <c r="E3" s="377"/>
      <c r="F3" s="377"/>
      <c r="G3" s="377"/>
      <c r="H3" s="377"/>
      <c r="I3" s="378"/>
      <c r="J3" s="317" t="s">
        <v>374</v>
      </c>
      <c r="K3" s="318"/>
      <c r="L3" s="261"/>
    </row>
    <row r="4" spans="1:36" s="3" customFormat="1" ht="17.100000000000001" customHeight="1" thickTop="1" x14ac:dyDescent="0.2">
      <c r="A4" s="381"/>
      <c r="B4" s="382"/>
      <c r="C4" s="382"/>
      <c r="D4" s="382"/>
      <c r="E4" s="382"/>
      <c r="F4" s="382"/>
      <c r="G4" s="382"/>
      <c r="H4" s="382"/>
      <c r="I4" s="382"/>
      <c r="J4" s="382"/>
      <c r="K4" s="383"/>
    </row>
    <row r="5" spans="1:36" s="4" customFormat="1" ht="27" customHeight="1" x14ac:dyDescent="0.25">
      <c r="A5" s="12" t="s">
        <v>80</v>
      </c>
      <c r="B5" s="272" t="str">
        <f>'2 IDENTIFICACIÓN'!B5</f>
        <v>ALCALDIA DE BUCARAMANGA</v>
      </c>
      <c r="C5" s="267"/>
      <c r="D5" s="267"/>
      <c r="E5" s="268"/>
      <c r="F5" s="251" t="s">
        <v>81</v>
      </c>
      <c r="G5" s="566" t="str">
        <f>'2 IDENTIFICACIÓN'!G5</f>
        <v>GESTIÓN DE LAS FINANZAS PUBLICAS</v>
      </c>
      <c r="H5" s="567"/>
      <c r="I5" s="251" t="s">
        <v>353</v>
      </c>
      <c r="J5" s="269">
        <f>'2 IDENTIFICACIÓN'!J5</f>
        <v>2026</v>
      </c>
      <c r="K5" s="270"/>
    </row>
    <row r="6" spans="1:36" s="4" customFormat="1" ht="15.75" thickBot="1" x14ac:dyDescent="0.3">
      <c r="A6" s="166"/>
      <c r="B6" s="262"/>
      <c r="C6" s="262"/>
      <c r="D6" s="262"/>
      <c r="E6" s="262"/>
      <c r="F6" s="263"/>
      <c r="G6" s="264"/>
      <c r="H6" s="264"/>
      <c r="I6" s="264"/>
      <c r="J6" s="264"/>
      <c r="K6" s="264"/>
    </row>
    <row r="7" spans="1:36" s="37" customFormat="1" ht="15.75" thickBot="1" x14ac:dyDescent="0.25">
      <c r="A7" s="166"/>
      <c r="B7" s="165"/>
      <c r="C7" s="165"/>
      <c r="D7" s="40"/>
      <c r="G7" s="482" t="s">
        <v>294</v>
      </c>
      <c r="H7" s="483"/>
      <c r="I7" s="483"/>
      <c r="J7" s="483"/>
      <c r="K7" s="483"/>
      <c r="L7" s="483"/>
      <c r="M7" s="484"/>
      <c r="O7" s="41"/>
      <c r="P7" s="41"/>
      <c r="Q7" s="42"/>
      <c r="R7" s="476" t="s">
        <v>158</v>
      </c>
      <c r="S7" s="476"/>
      <c r="T7" s="476"/>
      <c r="U7" s="476"/>
      <c r="V7" s="477"/>
      <c r="AD7" s="38"/>
      <c r="AE7" s="38"/>
      <c r="AF7" s="38"/>
      <c r="AG7" s="38"/>
      <c r="AH7" s="38"/>
    </row>
    <row r="8" spans="1:36" x14ac:dyDescent="0.25">
      <c r="A8" s="288"/>
      <c r="B8" s="287"/>
      <c r="C8" s="394" t="s">
        <v>295</v>
      </c>
      <c r="D8" s="394"/>
      <c r="E8" s="394"/>
      <c r="F8" s="43"/>
      <c r="G8" s="44"/>
      <c r="H8" s="45"/>
      <c r="I8" s="476" t="s">
        <v>158</v>
      </c>
      <c r="J8" s="476"/>
      <c r="K8" s="476"/>
      <c r="L8" s="476"/>
      <c r="M8" s="477"/>
      <c r="N8" s="43"/>
      <c r="O8" s="47"/>
      <c r="P8" s="47"/>
      <c r="R8" s="48">
        <v>0.2</v>
      </c>
      <c r="S8" s="48">
        <v>0.4</v>
      </c>
      <c r="T8" s="48">
        <v>0.6</v>
      </c>
      <c r="U8" s="48">
        <v>0.8</v>
      </c>
      <c r="V8" s="49">
        <v>1</v>
      </c>
      <c r="W8" s="50"/>
      <c r="X8" s="50"/>
      <c r="Y8" s="50"/>
      <c r="Z8" s="50"/>
      <c r="AA8" s="50"/>
      <c r="AB8" s="50"/>
      <c r="AC8" s="50"/>
    </row>
    <row r="9" spans="1:36" ht="25.5" x14ac:dyDescent="0.2">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106.5" customHeight="1" x14ac:dyDescent="0.2">
      <c r="A10" s="62" t="str">
        <f>'2 IDENTIFICACIÓN'!A10</f>
        <v>R1</v>
      </c>
      <c r="B10" s="63" t="str">
        <f>+'2 IDENTIFICACIÓN'!J10</f>
        <v>Posibilidad de afectación reputacional por investigaciones de entes de control debido a la falta de control y seguimiento a las partidas conciliatorias y conceptos de ingresos que afectan los movimientos bancarios, generando inconsistencias entre los libros contables y los extractos bancarios</v>
      </c>
      <c r="C10" s="64" t="str">
        <f>+'3 PROBABIL E IMPACTO INHERENTE'!F10</f>
        <v>Media</v>
      </c>
      <c r="D10" s="64" t="str">
        <f>+'3 PROBABIL E IMPACTO INHERENTE'!N10</f>
        <v>Moderado</v>
      </c>
      <c r="E10" s="258"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65"/>
      <c r="G10" s="480"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R15     </v>
      </c>
      <c r="N10" s="65"/>
      <c r="O10" s="478"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
      <c r="A11" s="62" t="str">
        <f>'2 IDENTIFICACIÓN'!A11</f>
        <v>R2</v>
      </c>
      <c r="B11" s="63" t="str">
        <f>+'2 IDENTIFICACIÓN'!J11</f>
        <v>Posibilidad de afectación reputacional por deficiencias en la planeación de las necesidades del Plan Anual de Adquisiciones de la Secretaría de Hacienda,  debido a insuficiencias en la identificación y proyección oportuna de los requerimientos contractuales, generando compromisos de vigencias futuras para atender necesidades de la vigencia actual</v>
      </c>
      <c r="C11" s="64" t="str">
        <f>+'3 PROBABIL E IMPACTO INHERENTE'!F11</f>
        <v>Baja</v>
      </c>
      <c r="D11" s="64" t="str">
        <f>+'3 PROBABIL E IMPACTO INHERENTE'!N11</f>
        <v>Moderado</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65"/>
      <c r="G11" s="480"/>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R5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R13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78"/>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
      <c r="A12" s="62" t="str">
        <f>'2 IDENTIFICACIÓN'!A12</f>
        <v>R3</v>
      </c>
      <c r="B12" s="63" t="str">
        <f>+'2 IDENTIFICACIÓN'!J12</f>
        <v>Posibilidad de afectación reputacional por investigaciones y sanciones disciplinarias  debido a entes de control, debido al incumplimiento de la Ley 594 de 2000 en la gestión documental de la Secretaría de Hacienda</v>
      </c>
      <c r="C12" s="64" t="str">
        <f>+'3 PROBABIL E IMPACTO INHERENTE'!F12</f>
        <v>Media</v>
      </c>
      <c r="D12" s="64" t="str">
        <f>+'3 PROBABIL E IMPACTO INHERENTE'!N12</f>
        <v>Moderado</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80"/>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R8    R12      R18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R1  R3 R4      R10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R6     R11   R14   R17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R16    </v>
      </c>
      <c r="N12" s="65"/>
      <c r="O12" s="478"/>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117" customHeight="1" x14ac:dyDescent="0.2">
      <c r="A13" s="62" t="str">
        <f>'2 IDENTIFICACIÓN'!A13</f>
        <v>R4</v>
      </c>
      <c r="B13" s="63" t="str">
        <f>+'2 IDENTIFICACIÓN'!J13</f>
        <v xml:space="preserve">Posibilidad de afectación reputacional por inconsistencias o errores en el registro y reporte de la información de ingresos presentada en los sistemas CHIP y SIA Contraloría,  debido a deficiencias en la parametrización, interoperabilidad y funcionamiento del Sistema de Información Financiero (SIF), frente a los lineamientos establecidos por los entes de control. </v>
      </c>
      <c r="C13" s="64" t="str">
        <f>+'3 PROBABIL E IMPACTO INHERENTE'!F13</f>
        <v>Media</v>
      </c>
      <c r="D13" s="64" t="str">
        <f>+'3 PROBABIL E IMPACTO INHERENTE'!N13</f>
        <v>Moderado</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80"/>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R2     R7  R9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78"/>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25">
      <c r="A14" s="62" t="str">
        <f>'2 IDENTIFICACIÓN'!A14</f>
        <v>R5</v>
      </c>
      <c r="B14" s="63" t="str">
        <f>+'2 IDENTIFICACIÓN'!J14</f>
        <v xml:space="preserve">Posibilidad de afectación reputacional por debilidades en la planeación, gestión y ejecución de las obligaciones contractuales por parte de las unidades gestoras debido a deficiencias en la supervisión y ejecución oportuna contractual producto de la constitución de reservas presupuestales y pasivos exigibles </v>
      </c>
      <c r="C14" s="64" t="str">
        <f>+'3 PROBABIL E IMPACTO INHERENTE'!F14</f>
        <v>Alta</v>
      </c>
      <c r="D14" s="64" t="str">
        <f>+'3 PROBABIL E IMPACTO INHERENTE'!N14</f>
        <v>Moderado</v>
      </c>
      <c r="E14" s="63" t="str">
        <f t="shared" si="0"/>
        <v>Alto</v>
      </c>
      <c r="F14" s="65"/>
      <c r="G14" s="481"/>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R19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79"/>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
      <c r="A15" s="62" t="str">
        <f>'2 IDENTIFICACIÓN'!A15</f>
        <v>R6</v>
      </c>
      <c r="B15" s="63" t="str">
        <f>+'2 IDENTIFICACIÓN'!J15</f>
        <v xml:space="preserve">Posibilidad de afectación económica y reputacional por generación de información contable y financiera no razonable o inconsistente del Municipio de Bucaramanga,  debido a debilidades en la depuración contable, validación de saldos, conciliación y análisis de la información registrada en el Sistema de Información Financiera, en incumplimiento del Marco Normativo del Régimen de Contabilidad Pública. </v>
      </c>
      <c r="C15" s="64" t="str">
        <f>+'3 PROBABIL E IMPACTO INHERENTE'!F15</f>
        <v>Media</v>
      </c>
      <c r="D15" s="64" t="str">
        <f>+'3 PROBABIL E IMPACTO INHERENTE'!N15</f>
        <v>Mayor</v>
      </c>
      <c r="E15" s="63" t="str">
        <f t="shared" si="0"/>
        <v>Alto</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
      <c r="A16" s="62" t="str">
        <f>'2 IDENTIFICACIÓN'!A16</f>
        <v>R7</v>
      </c>
      <c r="B16" s="63" t="str">
        <f>+'2 IDENTIFICACIÓN'!J16</f>
        <v>Posibilidad de afectación reputacional por investigaciones y sanciones disciplinarias por entes de control debido a la falta de seguimiento al cumplimiento de metas del Plan de Desarrollo Municipal programadas para la vigencia.</v>
      </c>
      <c r="C16" s="64" t="str">
        <f>+'3 PROBABIL E IMPACTO INHERENTE'!F16</f>
        <v>Baja</v>
      </c>
      <c r="D16" s="64" t="str">
        <f>+'3 PROBABIL E IMPACTO INHERENTE'!N16</f>
        <v>Moderado</v>
      </c>
      <c r="E16" s="63" t="str">
        <f t="shared" si="0"/>
        <v>Moderado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customHeight="1" x14ac:dyDescent="0.2">
      <c r="A17" s="62" t="str">
        <f>'2 IDENTIFICACIÓN'!A17</f>
        <v>R8</v>
      </c>
      <c r="B17" s="63" t="str">
        <f>+'2 IDENTIFICACIÓN'!J17</f>
        <v xml:space="preserve">Posibilidad de afectación reputacional por debilidades en la publicación y actualización de la información obligatoria en la página web institucional,  debido a incumplimiento de los lineamientos establecidos en la Ley 1712 de 2014 y la Resolución 1519 de 2020 del MINTIC. </v>
      </c>
      <c r="C17" s="64" t="str">
        <f>+'3 PROBABIL E IMPACTO INHERENTE'!F17</f>
        <v>Media</v>
      </c>
      <c r="D17" s="64" t="str">
        <f>+'3 PROBABIL E IMPACTO INHERENTE'!N17</f>
        <v>Menor</v>
      </c>
      <c r="E17" s="63" t="str">
        <f t="shared" si="0"/>
        <v>Moderado</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customHeight="1" x14ac:dyDescent="0.2">
      <c r="A18" s="62" t="str">
        <f>'2 IDENTIFICACIÓN'!A18</f>
        <v>R9</v>
      </c>
      <c r="B18" s="63" t="str">
        <f>+'2 IDENTIFICACIÓN'!J18</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8" s="64" t="str">
        <f>+'3 PROBABIL E IMPACTO INHERENTE'!F18</f>
        <v>Baja</v>
      </c>
      <c r="D18" s="64" t="str">
        <f>+'3 PROBABIL E IMPACTO INHERENTE'!N18</f>
        <v>Moderado</v>
      </c>
      <c r="E18" s="63" t="str">
        <f t="shared" si="0"/>
        <v>Moderado</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customHeight="1" x14ac:dyDescent="0.2">
      <c r="A19" s="62" t="str">
        <f>'2 IDENTIFICACIÓN'!A19</f>
        <v>R10</v>
      </c>
      <c r="B19" s="63" t="str">
        <f>+'2 IDENTIFICACIÓN'!J19</f>
        <v xml:space="preserve">Posibilidad de afectación económica y reputacional por desconocimiento del avance y ejecución de las metas institucionales,  debido a a debilidades en el seguimiento a los recursos del Fondo Municipal de Gestión del Riesgo. </v>
      </c>
      <c r="C19" s="64" t="str">
        <f>+'3 PROBABIL E IMPACTO INHERENTE'!F19</f>
        <v>Media</v>
      </c>
      <c r="D19" s="64" t="str">
        <f>+'3 PROBABIL E IMPACTO INHERENTE'!N19</f>
        <v>Moderado</v>
      </c>
      <c r="E19" s="63" t="str">
        <f t="shared" si="0"/>
        <v>Moderado</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customHeight="1" x14ac:dyDescent="0.2">
      <c r="A20" s="62" t="str">
        <f>'2 IDENTIFICACIÓN'!A20</f>
        <v>R11</v>
      </c>
      <c r="B20" s="63" t="str">
        <f>+'2 IDENTIFICACIÓN'!J20</f>
        <v xml:space="preserve">Posibilidad  de efecto dañoso sobre el recurso público por pérdida, extravío, hurto o faltantes en inventario de bienes muebles de la entidad,  debido a deficiencias en la actualización, verificación y control del inventario de bienes muebles. </v>
      </c>
      <c r="C20" s="64" t="str">
        <f>+'3 PROBABIL E IMPACTO INHERENTE'!F20</f>
        <v>Media</v>
      </c>
      <c r="D20" s="64" t="str">
        <f>+'3 PROBABIL E IMPACTO INHERENTE'!N20</f>
        <v>Mayor</v>
      </c>
      <c r="E20" s="63" t="str">
        <f t="shared" si="0"/>
        <v>Alto</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customHeight="1" x14ac:dyDescent="0.2">
      <c r="A21" s="62" t="str">
        <f>'2 IDENTIFICACIÓN'!A21</f>
        <v>R12</v>
      </c>
      <c r="B21" s="63" t="str">
        <f>+'2 IDENTIFICACIÓN'!J21</f>
        <v xml:space="preserve">Posibilidad  de efecto dañoso sobre el recurso público por incumplimiento en la atención oportuna de requerimientos emitidos por entes de control y vigilancia, debido a deficiencias en el seguimiento, gestión y control de los términos establecidos para su respuesta. </v>
      </c>
      <c r="C21" s="64" t="str">
        <f>+'3 PROBABIL E IMPACTO INHERENTE'!F21</f>
        <v>Media</v>
      </c>
      <c r="D21" s="64" t="str">
        <f>+'3 PROBABIL E IMPACTO INHERENTE'!N21</f>
        <v>Menor</v>
      </c>
      <c r="E21" s="63" t="str">
        <f t="shared" si="0"/>
        <v>Moderado</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customHeight="1" x14ac:dyDescent="0.2">
      <c r="A22" s="62" t="str">
        <f>'2 IDENTIFICACIÓN'!A22</f>
        <v>R13</v>
      </c>
      <c r="B22" s="63" t="str">
        <f>+'2 IDENTIFICACIÓN'!J22</f>
        <v xml:space="preserve">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 </v>
      </c>
      <c r="C22" s="64" t="str">
        <f>+'3 PROBABIL E IMPACTO INHERENTE'!F22</f>
        <v>Alta</v>
      </c>
      <c r="D22" s="64" t="str">
        <f>+'3 PROBABIL E IMPACTO INHERENTE'!N22</f>
        <v>Mayor</v>
      </c>
      <c r="E22" s="63" t="str">
        <f t="shared" si="0"/>
        <v>Alto</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customHeight="1" x14ac:dyDescent="0.2">
      <c r="A23" s="62" t="str">
        <f>'2 IDENTIFICACIÓN'!A23</f>
        <v>R14</v>
      </c>
      <c r="B23" s="63" t="str">
        <f>+'2 IDENTIFICACIÓN'!J23</f>
        <v>Posibilidad  de efecto dañoso sobre el recurso público por pago de sanciones debido a omisiones, errores o inconsistencias en el diligenciamiento, validación y reporte de la información financiera, contable y tributaria requerida por los entes de control y vigilancia, dentro de los plazos y lineamientos establecidos por la normatividad aplicable</v>
      </c>
      <c r="C23" s="64" t="str">
        <f>+'3 PROBABIL E IMPACTO INHERENTE'!F23</f>
        <v>Media</v>
      </c>
      <c r="D23" s="64" t="str">
        <f>+'3 PROBABIL E IMPACTO INHERENTE'!N23</f>
        <v>Mayor</v>
      </c>
      <c r="E23" s="63" t="str">
        <f t="shared" si="0"/>
        <v>Alto</v>
      </c>
      <c r="F23" s="65"/>
      <c r="G23" s="65"/>
      <c r="H23" s="65"/>
      <c r="I23" s="65"/>
      <c r="J23" s="65"/>
      <c r="K23" s="65"/>
      <c r="L23" s="65"/>
      <c r="M23" s="65"/>
      <c r="N23" s="65"/>
      <c r="O23" s="86"/>
      <c r="P23" s="86"/>
      <c r="AA23" s="61"/>
      <c r="AB23" s="88"/>
      <c r="AC23" s="88"/>
      <c r="AD23" s="88"/>
      <c r="AE23" s="88"/>
      <c r="AF23" s="88"/>
      <c r="AG23" s="88"/>
      <c r="AH23" s="69"/>
      <c r="AI23" s="61"/>
      <c r="AJ23" s="61"/>
    </row>
    <row r="24" spans="1:36" ht="93" customHeight="1" x14ac:dyDescent="0.2">
      <c r="A24" s="62" t="str">
        <f>'2 IDENTIFICACIÓN'!A24</f>
        <v>R15</v>
      </c>
      <c r="B24" s="63" t="str">
        <f>+'2 IDENTIFICACIÓN'!J24</f>
        <v xml:space="preserve">Posibilidad  de efecto dañoso sobre el recurso público por disminución de ingresos o prescripción de la cartera en mora,  debido a la renuencia de los contribuyentes al pago de las obligaciones tributarias, dificultades para la localización de deudores morosos, fallecimiento de contribuyentes y procesos de legalización y cesión de predios que afectan la recuperación oportuna de la cartera dentro de los términos establecidos para el cobro persuasivo y coactivo. </v>
      </c>
      <c r="C24" s="64" t="str">
        <f>+'3 PROBABIL E IMPACTO INHERENTE'!F24</f>
        <v>Muy Alta</v>
      </c>
      <c r="D24" s="64" t="str">
        <f>+'3 PROBABIL E IMPACTO INHERENTE'!N24</f>
        <v>Catastrófico</v>
      </c>
      <c r="E24" s="63" t="str">
        <f t="shared" si="0"/>
        <v>Extremo</v>
      </c>
      <c r="F24" s="65"/>
      <c r="G24" s="65"/>
      <c r="H24" s="65"/>
      <c r="I24" s="65"/>
      <c r="J24" s="65"/>
      <c r="K24" s="65"/>
      <c r="L24" s="65"/>
      <c r="M24" s="65"/>
      <c r="N24" s="65"/>
      <c r="O24" s="86"/>
      <c r="P24" s="86"/>
      <c r="AA24" s="61"/>
      <c r="AB24" s="82"/>
      <c r="AC24" s="82"/>
      <c r="AD24" s="82"/>
      <c r="AE24" s="82"/>
      <c r="AF24" s="82"/>
      <c r="AG24" s="82"/>
      <c r="AH24" s="69"/>
      <c r="AI24" s="61"/>
      <c r="AJ24" s="61"/>
    </row>
    <row r="25" spans="1:36" ht="93" customHeight="1" x14ac:dyDescent="0.2">
      <c r="A25" s="62" t="str">
        <f>'2 IDENTIFICACIÓN'!A25</f>
        <v>R16</v>
      </c>
      <c r="B25" s="63" t="str">
        <f>+'2 IDENTIFICACIÓN'!J25</f>
        <v xml:space="preserve">Posibilidad  de efecto dañoso sobre el recurso público por afectación en la ejecución de los proyectos de presupuestos participativos,  debido a cambios en la destinación de los recursos asignados para su financiación. </v>
      </c>
      <c r="C25" s="64" t="str">
        <f>+'3 PROBABIL E IMPACTO INHERENTE'!F25</f>
        <v>Media</v>
      </c>
      <c r="D25" s="64" t="str">
        <f>+'3 PROBABIL E IMPACTO INHERENTE'!N25</f>
        <v>Catastrófico</v>
      </c>
      <c r="E25" s="63" t="str">
        <f t="shared" si="0"/>
        <v>Extremo</v>
      </c>
      <c r="F25" s="65"/>
      <c r="G25" s="65"/>
      <c r="H25" s="65"/>
      <c r="I25" s="65"/>
      <c r="J25" s="65"/>
      <c r="K25" s="65"/>
      <c r="L25" s="65"/>
      <c r="M25" s="65"/>
      <c r="N25" s="65"/>
      <c r="AA25" s="61"/>
      <c r="AB25" s="82"/>
      <c r="AC25" s="82"/>
      <c r="AD25" s="82"/>
      <c r="AE25" s="82"/>
      <c r="AF25" s="82"/>
      <c r="AG25" s="82"/>
      <c r="AH25" s="69"/>
      <c r="AI25" s="61"/>
      <c r="AJ25" s="61"/>
    </row>
    <row r="26" spans="1:36" ht="93" customHeight="1" x14ac:dyDescent="0.25">
      <c r="A26" s="62" t="str">
        <f>'2 IDENTIFICACIÓN'!A26</f>
        <v>R17</v>
      </c>
      <c r="B26" s="63" t="str">
        <f>+'2 IDENTIFICACIÓN'!J26</f>
        <v xml:space="preserve">Posibilidad  de efecto dañoso sobre el recurso público por la no disponibilidad de recursos del FONPET para la atención de obligaciones pensionales, debido a deficiencias en la gestión y presentación de la documentación habilitante dentro de los términos establecidos. </v>
      </c>
      <c r="C26" s="64" t="str">
        <f>+'3 PROBABIL E IMPACTO INHERENTE'!F26</f>
        <v>Media</v>
      </c>
      <c r="D26" s="64" t="str">
        <f>+'3 PROBABIL E IMPACTO INHERENTE'!N26</f>
        <v>Mayor</v>
      </c>
      <c r="E26" s="63" t="str">
        <f t="shared" si="0"/>
        <v>Alto</v>
      </c>
      <c r="F26" s="65"/>
      <c r="G26" s="65"/>
      <c r="H26" s="65"/>
      <c r="I26" s="65"/>
      <c r="J26" s="65"/>
      <c r="K26" s="65"/>
      <c r="L26" s="65"/>
      <c r="M26" s="65"/>
      <c r="N26" s="65"/>
    </row>
    <row r="27" spans="1:36" ht="93" customHeight="1" x14ac:dyDescent="0.25">
      <c r="A27" s="62" t="str">
        <f>'2 IDENTIFICACIÓN'!A27</f>
        <v>R18</v>
      </c>
      <c r="B27" s="63" t="str">
        <f>+'2 IDENTIFICACIÓN'!J27</f>
        <v>Posibilidad  de efecto dañoso sobre el recurso público por configuración del silencio administrativo positivo en recursos de reconsideración y solicitudes de revocatoria directa presentadas por los contribuyentes,  debido a incumplimiento de los términos legales para su trámite y respuesta</v>
      </c>
      <c r="C27" s="64" t="str">
        <f>+'3 PROBABIL E IMPACTO INHERENTE'!F27</f>
        <v>Media</v>
      </c>
      <c r="D27" s="64" t="str">
        <f>+'3 PROBABIL E IMPACTO INHERENTE'!N27</f>
        <v>Menor</v>
      </c>
      <c r="E27" s="63" t="str">
        <f t="shared" si="0"/>
        <v>Moderado</v>
      </c>
      <c r="F27" s="65"/>
      <c r="G27" s="65"/>
      <c r="H27" s="65"/>
      <c r="I27" s="65"/>
      <c r="J27" s="65"/>
      <c r="K27" s="65"/>
      <c r="L27" s="65"/>
      <c r="M27" s="65"/>
      <c r="N27" s="65"/>
    </row>
    <row r="28" spans="1:36" ht="93" customHeight="1" x14ac:dyDescent="0.25">
      <c r="A28" s="62" t="str">
        <f>'2 IDENTIFICACIÓN'!A28</f>
        <v>R19</v>
      </c>
      <c r="B28" s="63" t="str">
        <f>+'2 IDENTIFICACIÓN'!J28</f>
        <v xml:space="preserve">Posibilidad  de efecto dañoso sobre el recurso público por inconsistencias en la liquidación, gestión y control del Impuesto Predial Unificado (IPU),  debido a la falta de interoperabilidad entre el Sistema de Información de Impuestos Municipales (SIIM) y la plataforma BCGS del Área Metropolitana de Bucaramanga (AMB). </v>
      </c>
      <c r="C28" s="64" t="str">
        <f>+'3 PROBABIL E IMPACTO INHERENTE'!F28</f>
        <v>Muy Baja</v>
      </c>
      <c r="D28" s="64" t="str">
        <f>+'3 PROBABIL E IMPACTO INHERENTE'!N28</f>
        <v>Mayor</v>
      </c>
      <c r="E28" s="63" t="str">
        <f t="shared" si="0"/>
        <v>Alto</v>
      </c>
      <c r="F28" s="65"/>
      <c r="G28" s="65"/>
      <c r="H28" s="65"/>
      <c r="I28" s="65"/>
      <c r="J28" s="65"/>
      <c r="K28" s="65"/>
      <c r="L28" s="65"/>
      <c r="M28" s="65"/>
      <c r="N28" s="65"/>
    </row>
    <row r="29" spans="1:36" ht="93" customHeight="1" x14ac:dyDescent="0.25">
      <c r="A29" s="62" t="str">
        <f>'2 IDENTIFICACIÓN'!A29</f>
        <v>R20</v>
      </c>
      <c r="B29" s="63" t="str">
        <f>+'2 IDENTIFICACIÓN'!J29</f>
        <v xml:space="preserve">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 </v>
      </c>
      <c r="C29" s="64" t="str">
        <f>+'3 PROBABIL E IMPACTO INHERENTE'!F29</f>
        <v>Alta</v>
      </c>
      <c r="D29" s="64" t="str">
        <f>+'3 PROBABIL E IMPACTO INHERENTE'!N29</f>
        <v>Mayor</v>
      </c>
      <c r="E29" s="63" t="str">
        <f t="shared" si="0"/>
        <v>Alto</v>
      </c>
      <c r="F29" s="65"/>
      <c r="G29" s="65"/>
      <c r="H29" s="65"/>
      <c r="I29" s="65"/>
      <c r="J29" s="65"/>
      <c r="K29" s="65"/>
      <c r="L29" s="65"/>
      <c r="M29" s="65"/>
      <c r="N29" s="65"/>
    </row>
    <row r="30" spans="1:36" ht="93" customHeight="1" x14ac:dyDescent="0.25">
      <c r="A30" s="62" t="str">
        <f>'2 IDENTIFICACIÓN'!A30</f>
        <v>R21</v>
      </c>
      <c r="B30" s="63" t="str">
        <f>+'2 IDENTIFICACIÓN'!J30</f>
        <v>Posibilidad de afectación económica y reputacional por inconsistencias en la aplicación de novedades del módulo de Industria y Comercio del Sistema de Impuestos Municipales, debido a deficiencias en la validación, revisión y soporte de la información registrada.</v>
      </c>
      <c r="C30" s="64" t="str">
        <f>+'3 PROBABIL E IMPACTO INHERENTE'!F30</f>
        <v>Media</v>
      </c>
      <c r="D30" s="64" t="str">
        <f>+'3 PROBABIL E IMPACTO INHERENTE'!N30</f>
        <v>Catastrófico</v>
      </c>
      <c r="E30" s="63" t="str">
        <f t="shared" si="0"/>
        <v>Extremo</v>
      </c>
      <c r="F30" s="65"/>
      <c r="G30" s="65"/>
      <c r="H30" s="65"/>
      <c r="I30" s="65"/>
      <c r="J30" s="65"/>
      <c r="K30" s="65"/>
      <c r="L30" s="65"/>
      <c r="M30" s="65"/>
      <c r="N30" s="65"/>
    </row>
    <row r="31" spans="1:36" ht="93" customHeight="1" x14ac:dyDescent="0.25">
      <c r="A31" s="62" t="str">
        <f>'2 IDENTIFICACIÓN'!A31</f>
        <v>R22</v>
      </c>
      <c r="B31" s="63" t="str">
        <f>+'2 IDENTIFICACIÓN'!J31</f>
        <v>Posibilidad de pérdida reputacional por soborno entrante en la administración de recursos públicos de la Secretaría de Hacienda,  debido a al recibir o solicitar ventajas indebidas para manipular y/o favorecer la constitución de inversiones, debido a debilidades en los controles y seguimiento de las operaciones financieras.</v>
      </c>
      <c r="C31" s="64" t="str">
        <f>+'3 PROBABIL E IMPACTO INHERENTE'!F31</f>
        <v>Baja</v>
      </c>
      <c r="D31" s="64" t="str">
        <f>+'3 PROBABIL E IMPACTO INHERENTE'!N31</f>
        <v>Moderado</v>
      </c>
      <c r="E31" s="63" t="str">
        <f t="shared" si="0"/>
        <v>Moderado</v>
      </c>
      <c r="F31" s="65"/>
      <c r="G31" s="65"/>
      <c r="H31" s="65"/>
      <c r="I31" s="65"/>
      <c r="J31" s="65"/>
      <c r="K31" s="65"/>
      <c r="L31" s="65"/>
      <c r="M31" s="65"/>
      <c r="N31" s="65"/>
    </row>
    <row r="32" spans="1:36" ht="93" customHeight="1" x14ac:dyDescent="0.25">
      <c r="A32" s="62" t="str">
        <f>'2 IDENTIFICACIÓN'!A32</f>
        <v>R23</v>
      </c>
      <c r="B32" s="63" t="str">
        <f>+'2 IDENTIFICACIÓN'!J32</f>
        <v>Posibilidad de pérdida reputacional por por soborno entrante en el retiro de registros del Boletín de Deudores Morosos del Estado (BDME),  debido a al solicitar o recibir ventajas indebidas a nombre propio o de terceros para efectuar exclusiones sin el cumplimiento de los requisitos establecidos por la Contaduría General de la Nación.</v>
      </c>
      <c r="C32" s="64" t="str">
        <f>+'3 PROBABIL E IMPACTO INHERENTE'!F32</f>
        <v>Media</v>
      </c>
      <c r="D32" s="64" t="str">
        <f>+'3 PROBABIL E IMPACTO INHERENTE'!N32</f>
        <v>Moderado</v>
      </c>
      <c r="E32" s="63" t="str">
        <f t="shared" si="0"/>
        <v>Moderado</v>
      </c>
      <c r="F32" s="65"/>
      <c r="G32" s="65"/>
      <c r="H32" s="65"/>
      <c r="I32" s="65"/>
      <c r="J32" s="65"/>
      <c r="K32" s="65"/>
      <c r="L32" s="65"/>
      <c r="M32" s="65"/>
      <c r="N32" s="65"/>
    </row>
    <row r="33" spans="1:34" ht="93" customHeight="1" x14ac:dyDescent="0.25">
      <c r="A33" s="62" t="str">
        <f>'2 IDENTIFICACIÓN'!A33</f>
        <v>R24</v>
      </c>
      <c r="B33" s="63" t="str">
        <f>+'2 IDENTIFICACIÓN'!J33</f>
        <v>Posibilidad de afectación económica y reputacional por inconsistencias en la aplicación de novedades del Impuesto Predial Unificado en el Sistema de Impuestos Municipales,  debido a deficiencias en la revisión, validación y soporte de la información registrada.</v>
      </c>
      <c r="C33" s="64" t="str">
        <f>+'3 PROBABIL E IMPACTO INHERENTE'!F33</f>
        <v>Media</v>
      </c>
      <c r="D33" s="64" t="str">
        <f>+'3 PROBABIL E IMPACTO INHERENTE'!N33</f>
        <v>Catastrófico</v>
      </c>
      <c r="E33" s="63" t="str">
        <f t="shared" si="0"/>
        <v>Extremo</v>
      </c>
      <c r="F33" s="65"/>
      <c r="G33" s="65"/>
      <c r="H33" s="65"/>
      <c r="I33" s="65"/>
      <c r="J33" s="65"/>
      <c r="K33" s="65"/>
      <c r="L33" s="65"/>
      <c r="M33" s="65"/>
      <c r="N33" s="65"/>
    </row>
    <row r="34" spans="1:34" ht="93" customHeight="1" x14ac:dyDescent="0.25">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customHeight="1" x14ac:dyDescent="0.25">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customHeight="1" x14ac:dyDescent="0.25">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customHeight="1" x14ac:dyDescent="0.25">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customHeight="1" x14ac:dyDescent="0.25">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customHeight="1" x14ac:dyDescent="0.25">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45" customHeight="1" thickBot="1" x14ac:dyDescent="0.3">
      <c r="B40" s="46"/>
      <c r="D40" s="46"/>
      <c r="E40" s="46"/>
      <c r="F40" s="46"/>
      <c r="G40" s="46"/>
      <c r="H40" s="46"/>
      <c r="I40" s="46"/>
      <c r="J40" s="46"/>
      <c r="K40" s="46"/>
      <c r="L40" s="46"/>
      <c r="M40" s="46"/>
      <c r="N40" s="46"/>
      <c r="Y40" s="51"/>
      <c r="Z40" s="51"/>
      <c r="AA40" s="51"/>
      <c r="AB40" s="51"/>
      <c r="AC40" s="51"/>
      <c r="AD40" s="46"/>
      <c r="AE40" s="46"/>
      <c r="AF40" s="46"/>
      <c r="AG40" s="46"/>
      <c r="AH40" s="46"/>
    </row>
    <row r="41" spans="1:34" ht="14.25" thickTop="1" thickBot="1" x14ac:dyDescent="0.3">
      <c r="A41" s="387" t="s">
        <v>377</v>
      </c>
      <c r="B41" s="387"/>
      <c r="C41" s="387"/>
      <c r="D41" s="387"/>
      <c r="E41" s="387"/>
      <c r="F41" s="387"/>
      <c r="G41" s="387"/>
      <c r="H41" s="46"/>
      <c r="I41" s="46"/>
      <c r="J41" s="46"/>
      <c r="K41" s="46"/>
      <c r="L41" s="46"/>
      <c r="M41" s="46"/>
      <c r="N41" s="46"/>
      <c r="Y41" s="51"/>
      <c r="Z41" s="51"/>
      <c r="AA41" s="51"/>
      <c r="AB41" s="51"/>
      <c r="AC41" s="51"/>
      <c r="AD41" s="46"/>
      <c r="AE41" s="46"/>
      <c r="AF41" s="46"/>
      <c r="AG41" s="46"/>
      <c r="AH41" s="46"/>
    </row>
    <row r="42" spans="1:34" ht="19.5" customHeight="1" thickTop="1" thickBot="1" x14ac:dyDescent="0.3">
      <c r="A42" s="321" t="s">
        <v>378</v>
      </c>
      <c r="B42" s="387" t="s">
        <v>379</v>
      </c>
      <c r="C42" s="387"/>
      <c r="D42" s="387" t="s">
        <v>380</v>
      </c>
      <c r="E42" s="387"/>
      <c r="F42" s="387" t="s">
        <v>381</v>
      </c>
      <c r="G42" s="387"/>
      <c r="H42" s="46"/>
      <c r="I42" s="46"/>
      <c r="J42" s="46"/>
      <c r="K42" s="46"/>
      <c r="L42" s="46"/>
      <c r="M42" s="46"/>
      <c r="N42" s="46"/>
      <c r="Y42" s="51"/>
      <c r="Z42" s="51"/>
      <c r="AA42" s="51"/>
      <c r="AB42" s="51"/>
      <c r="AC42" s="51"/>
      <c r="AD42" s="46"/>
      <c r="AE42" s="46"/>
      <c r="AF42" s="46"/>
      <c r="AG42" s="46"/>
      <c r="AH42" s="46"/>
    </row>
    <row r="43" spans="1:34" ht="73.5" customHeight="1" thickTop="1" thickBot="1" x14ac:dyDescent="0.3">
      <c r="A43" s="322" t="s">
        <v>382</v>
      </c>
      <c r="B43" s="388">
        <v>46163</v>
      </c>
      <c r="C43" s="388"/>
      <c r="D43" s="389" t="s">
        <v>383</v>
      </c>
      <c r="E43" s="389"/>
      <c r="F43" s="390" t="s">
        <v>384</v>
      </c>
      <c r="G43" s="390"/>
      <c r="H43" s="46"/>
      <c r="I43" s="46"/>
      <c r="J43" s="46"/>
      <c r="K43" s="46"/>
      <c r="L43" s="46"/>
      <c r="M43" s="46"/>
      <c r="N43" s="46"/>
      <c r="Y43" s="51"/>
      <c r="Z43" s="51"/>
      <c r="AA43" s="51"/>
      <c r="AB43" s="51"/>
      <c r="AC43" s="51"/>
      <c r="AD43" s="46"/>
      <c r="AE43" s="46"/>
      <c r="AF43" s="46"/>
      <c r="AG43" s="46"/>
      <c r="AH43" s="46"/>
    </row>
    <row r="44" spans="1:34" ht="19.5" customHeight="1" thickTop="1" x14ac:dyDescent="0.25">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25">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25">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8">
    <mergeCell ref="A41:G41"/>
    <mergeCell ref="B42:C42"/>
    <mergeCell ref="D42:E42"/>
    <mergeCell ref="F42:G42"/>
    <mergeCell ref="B43:C43"/>
    <mergeCell ref="D43:E43"/>
    <mergeCell ref="F43:G43"/>
    <mergeCell ref="C8:E8"/>
    <mergeCell ref="O10:O14"/>
    <mergeCell ref="I8:M8"/>
    <mergeCell ref="G10:G14"/>
    <mergeCell ref="G7:M7"/>
    <mergeCell ref="A1:A3"/>
    <mergeCell ref="B1:I2"/>
    <mergeCell ref="B3:I3"/>
    <mergeCell ref="A4:K4"/>
    <mergeCell ref="R7:V7"/>
    <mergeCell ref="G5:H5"/>
  </mergeCells>
  <conditionalFormatting sqref="C10:C39">
    <cfRule type="cellIs" dxfId="164" priority="6" operator="equal">
      <formula>$Q$14</formula>
    </cfRule>
    <cfRule type="cellIs" dxfId="163" priority="7" operator="equal">
      <formula>$Q$13</formula>
    </cfRule>
    <cfRule type="cellIs" dxfId="162" priority="8" operator="equal">
      <formula>$Q$12</formula>
    </cfRule>
    <cfRule type="cellIs" dxfId="161" priority="9" operator="equal">
      <formula>$Q$11</formula>
    </cfRule>
    <cfRule type="cellIs" dxfId="160" priority="10" operator="equal">
      <formula>$Q$10</formula>
    </cfRule>
  </conditionalFormatting>
  <conditionalFormatting sqref="D10:D39">
    <cfRule type="cellIs" dxfId="159" priority="1" operator="equal">
      <formula>$R$9</formula>
    </cfRule>
    <cfRule type="cellIs" dxfId="158" priority="2" operator="equal">
      <formula>$S$9</formula>
    </cfRule>
    <cfRule type="cellIs" dxfId="157" priority="3" operator="equal">
      <formula>$T$9</formula>
    </cfRule>
    <cfRule type="cellIs" dxfId="156" priority="4" operator="equal">
      <formula>$U$9</formula>
    </cfRule>
    <cfRule type="cellIs" dxfId="155" priority="5" operator="equal">
      <formula>$V$9</formula>
    </cfRule>
  </conditionalFormatting>
  <conditionalFormatting sqref="E10:E39">
    <cfRule type="cellIs" dxfId="154" priority="102" operator="equal">
      <formula>$R$17</formula>
    </cfRule>
    <cfRule type="cellIs" dxfId="153" priority="103" operator="equal">
      <formula>$R$18</formula>
    </cfRule>
    <cfRule type="cellIs" dxfId="152" priority="104" operator="equal">
      <formula>$R$19</formula>
    </cfRule>
    <cfRule type="cellIs" dxfId="151"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opLeftCell="K1" zoomScale="80" zoomScaleNormal="80" zoomScaleSheetLayoutView="65" workbookViewId="0">
      <selection activeCell="O77" sqref="O77:R81"/>
    </sheetView>
  </sheetViews>
  <sheetFormatPr baseColWidth="10" defaultColWidth="11.42578125" defaultRowHeight="14.25" x14ac:dyDescent="0.25"/>
  <cols>
    <col min="1" max="1" width="14.85546875" style="29" customWidth="1"/>
    <col min="2" max="2" width="39.28515625" style="29" customWidth="1"/>
    <col min="3" max="3" width="15.42578125" style="29" customWidth="1"/>
    <col min="4" max="4" width="11.42578125" style="29" customWidth="1"/>
    <col min="5" max="5" width="10.140625" style="29" customWidth="1"/>
    <col min="6" max="6" width="22.42578125" style="29" customWidth="1"/>
    <col min="7" max="7" width="34.5703125" style="29" customWidth="1"/>
    <col min="8" max="8" width="47.85546875" style="29" customWidth="1"/>
    <col min="9" max="9" width="57" style="29" customWidth="1"/>
    <col min="10" max="10" width="29" style="29" bestFit="1" customWidth="1"/>
    <col min="11" max="11" width="22.5703125" style="34" customWidth="1"/>
    <col min="12" max="12" width="19.42578125" style="34" customWidth="1"/>
    <col min="13" max="13" width="19.42578125" style="29" bestFit="1" customWidth="1"/>
    <col min="14" max="14" width="12.140625" style="34" customWidth="1"/>
    <col min="15" max="15" width="18.85546875" style="34" customWidth="1"/>
    <col min="16" max="16" width="16.42578125" style="34" bestFit="1" customWidth="1"/>
    <col min="17" max="17" width="14.42578125" style="34" customWidth="1"/>
    <col min="18" max="18" width="13" style="34" customWidth="1"/>
    <col min="19" max="19" width="13.42578125" style="217" customWidth="1"/>
    <col min="20" max="20" width="19.42578125" style="217" customWidth="1"/>
    <col min="21" max="21" width="12.42578125" style="217" hidden="1" customWidth="1"/>
    <col min="22" max="22" width="16.42578125" style="111" customWidth="1"/>
    <col min="23" max="23" width="14.42578125" style="111" customWidth="1"/>
    <col min="24" max="24" width="11.42578125" style="29"/>
    <col min="25" max="25" width="21.42578125" style="4" customWidth="1"/>
    <col min="26" max="26" width="7.42578125" style="4" bestFit="1" customWidth="1"/>
    <col min="27" max="27" width="8.42578125" style="4" bestFit="1" customWidth="1"/>
    <col min="28" max="16384" width="11.42578125" style="29"/>
  </cols>
  <sheetData>
    <row r="1" spans="1:27" s="4" customFormat="1" ht="20.100000000000001" customHeight="1" thickTop="1" x14ac:dyDescent="0.25">
      <c r="A1" s="367"/>
      <c r="B1" s="370" t="s">
        <v>375</v>
      </c>
      <c r="C1" s="371"/>
      <c r="D1" s="371"/>
      <c r="E1" s="371"/>
      <c r="F1" s="371"/>
      <c r="G1" s="371"/>
      <c r="H1" s="371"/>
      <c r="I1" s="372"/>
      <c r="J1" s="313" t="s">
        <v>373</v>
      </c>
      <c r="K1" s="314"/>
      <c r="L1" s="260"/>
    </row>
    <row r="2" spans="1:27" s="4" customFormat="1" ht="20.100000000000001" customHeight="1" x14ac:dyDescent="0.25">
      <c r="A2" s="368"/>
      <c r="B2" s="373"/>
      <c r="C2" s="374"/>
      <c r="D2" s="374"/>
      <c r="E2" s="374"/>
      <c r="F2" s="374"/>
      <c r="G2" s="374"/>
      <c r="H2" s="374"/>
      <c r="I2" s="375"/>
      <c r="J2" s="315" t="s">
        <v>376</v>
      </c>
      <c r="K2" s="316"/>
      <c r="L2" s="260"/>
    </row>
    <row r="3" spans="1:27" s="3" customFormat="1" ht="16.5" thickBot="1" x14ac:dyDescent="0.25">
      <c r="A3" s="369"/>
      <c r="B3" s="376" t="s">
        <v>359</v>
      </c>
      <c r="C3" s="377"/>
      <c r="D3" s="377"/>
      <c r="E3" s="377"/>
      <c r="F3" s="377"/>
      <c r="G3" s="377"/>
      <c r="H3" s="377"/>
      <c r="I3" s="378"/>
      <c r="J3" s="317" t="s">
        <v>374</v>
      </c>
      <c r="K3" s="318"/>
      <c r="L3" s="261"/>
    </row>
    <row r="4" spans="1:27" s="3" customFormat="1" ht="17.100000000000001" customHeight="1" thickTop="1" x14ac:dyDescent="0.2">
      <c r="A4" s="381"/>
      <c r="B4" s="382"/>
      <c r="C4" s="382"/>
      <c r="D4" s="382"/>
      <c r="E4" s="382"/>
      <c r="F4" s="382"/>
      <c r="G4" s="382"/>
      <c r="H4" s="382"/>
      <c r="I4" s="382"/>
      <c r="J4" s="382"/>
      <c r="K4" s="383"/>
    </row>
    <row r="5" spans="1:27" s="4" customFormat="1" ht="27" customHeight="1" x14ac:dyDescent="0.25">
      <c r="A5" s="12" t="s">
        <v>80</v>
      </c>
      <c r="B5" s="266" t="str">
        <f>'2 IDENTIFICACIÓN'!B5</f>
        <v>ALCALDIA DE BUCARAMANGA</v>
      </c>
      <c r="C5" s="267"/>
      <c r="D5" s="267"/>
      <c r="E5" s="268"/>
      <c r="F5" s="251" t="s">
        <v>81</v>
      </c>
      <c r="G5" s="266" t="str">
        <f>'2 IDENTIFICACIÓN'!G5</f>
        <v>GESTIÓN DE LAS FINANZAS PUBLICAS</v>
      </c>
      <c r="H5" s="268"/>
      <c r="I5" s="251" t="s">
        <v>353</v>
      </c>
      <c r="J5" s="289">
        <f>'2 IDENTIFICACIÓN'!J5</f>
        <v>2026</v>
      </c>
      <c r="K5" s="270"/>
    </row>
    <row r="6" spans="1:27" s="4" customFormat="1" ht="15" x14ac:dyDescent="0.25">
      <c r="A6" s="166"/>
      <c r="B6" s="262"/>
      <c r="C6" s="262"/>
      <c r="D6" s="262"/>
      <c r="E6" s="262"/>
      <c r="F6" s="263"/>
      <c r="G6" s="264"/>
      <c r="H6" s="264"/>
      <c r="I6" s="264"/>
      <c r="J6" s="169"/>
      <c r="K6" s="264"/>
      <c r="S6" s="515" t="s">
        <v>303</v>
      </c>
      <c r="T6" s="515" t="s">
        <v>304</v>
      </c>
      <c r="U6" s="515" t="s">
        <v>62</v>
      </c>
    </row>
    <row r="7" spans="1:27" s="32" customFormat="1" ht="16.5" customHeight="1" x14ac:dyDescent="0.25">
      <c r="A7" s="166"/>
      <c r="B7" s="165"/>
      <c r="C7" s="165"/>
      <c r="D7" s="111"/>
      <c r="E7" s="31"/>
      <c r="F7" s="30" t="s">
        <v>302</v>
      </c>
      <c r="G7" s="31"/>
      <c r="H7" s="31"/>
      <c r="I7" s="31"/>
      <c r="J7" s="530" t="s">
        <v>305</v>
      </c>
      <c r="K7" s="531"/>
      <c r="L7" s="531"/>
      <c r="M7" s="531"/>
      <c r="N7" s="531"/>
      <c r="O7" s="531"/>
      <c r="P7" s="531"/>
      <c r="Q7" s="531"/>
      <c r="R7" s="532"/>
      <c r="S7" s="516"/>
      <c r="T7" s="516"/>
      <c r="U7" s="516"/>
      <c r="V7" s="111"/>
      <c r="W7" s="111"/>
      <c r="X7" s="28"/>
      <c r="Y7" s="17" t="s">
        <v>261</v>
      </c>
      <c r="Z7" s="18" t="s">
        <v>306</v>
      </c>
      <c r="AA7" s="19" t="s">
        <v>307</v>
      </c>
    </row>
    <row r="8" spans="1:27" ht="29.25" customHeight="1" x14ac:dyDescent="0.25">
      <c r="A8" s="518" t="s">
        <v>255</v>
      </c>
      <c r="B8" s="518" t="s">
        <v>256</v>
      </c>
      <c r="C8" s="518" t="s">
        <v>308</v>
      </c>
      <c r="D8" s="518" t="s">
        <v>309</v>
      </c>
      <c r="E8" s="520" t="s">
        <v>310</v>
      </c>
      <c r="F8" s="525" t="s">
        <v>44</v>
      </c>
      <c r="G8" s="526"/>
      <c r="H8" s="520"/>
      <c r="I8" s="142"/>
      <c r="J8" s="522" t="s">
        <v>119</v>
      </c>
      <c r="K8" s="523"/>
      <c r="L8" s="523"/>
      <c r="M8" s="523"/>
      <c r="N8" s="524"/>
      <c r="O8" s="527" t="s">
        <v>311</v>
      </c>
      <c r="P8" s="528"/>
      <c r="Q8" s="528"/>
      <c r="R8" s="529"/>
      <c r="S8" s="517"/>
      <c r="T8" s="517"/>
      <c r="U8" s="517"/>
      <c r="X8" s="28"/>
      <c r="Y8" s="221" t="s">
        <v>270</v>
      </c>
      <c r="Z8" s="24">
        <v>0.01</v>
      </c>
      <c r="AA8" s="23">
        <v>0.2</v>
      </c>
    </row>
    <row r="9" spans="1:27" s="28" customFormat="1" ht="57.75" thickBot="1" x14ac:dyDescent="0.3">
      <c r="A9" s="519"/>
      <c r="B9" s="519"/>
      <c r="C9" s="519"/>
      <c r="D9" s="519"/>
      <c r="E9" s="521"/>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x14ac:dyDescent="0.25">
      <c r="A10" s="500" t="str">
        <f>'2 IDENTIFICACIÓN'!A10</f>
        <v>R1</v>
      </c>
      <c r="B10" s="504" t="str">
        <f>+'2 IDENTIFICACIÓN'!J10</f>
        <v>Posibilidad de afectación reputacional por investigaciones de entes de control debido a la falta de control y seguimiento a las partidas conciliatorias y conceptos de ingresos que afectan los movimientos bancarios, generando inconsistencias entre los libros contables y los extractos bancarios</v>
      </c>
      <c r="C10" s="493">
        <f>+'3 PROBABIL E IMPACTO INHERENTE'!E10</f>
        <v>0.6</v>
      </c>
      <c r="D10" s="496">
        <f>+'3 PROBABIL E IMPACTO INHERENTE'!M10</f>
        <v>0.6</v>
      </c>
      <c r="E10" s="252">
        <v>1</v>
      </c>
      <c r="F10" s="241" t="s">
        <v>391</v>
      </c>
      <c r="G10" s="35" t="s">
        <v>393</v>
      </c>
      <c r="H10" s="35" t="s">
        <v>392</v>
      </c>
      <c r="I10" s="212" t="str">
        <f t="shared" ref="I10:I73" si="0">+CONCATENATE(F10," ",G10," ",H10)</f>
        <v>La Tesorería General  verifica las partidas conciliatorias bancarias reportadas por Contabilidad, a través de la revisión y seguimiento de las diferencias identificadas, con el fin de gestionar su saneamiento oportuno.</v>
      </c>
      <c r="J10" s="290" t="s">
        <v>133</v>
      </c>
      <c r="K10" s="216">
        <f>+IFERROR(VLOOKUP($J10,'11 FORMULAS'!$B$51:$C$53,2,0),"")</f>
        <v>0.25</v>
      </c>
      <c r="L10" s="216" t="str">
        <f>+IFERROR(VLOOKUP($J10,'11 FORMULAS'!$B$51:$D$53,3,0),"")</f>
        <v>Probabilidad</v>
      </c>
      <c r="M10" s="253" t="s">
        <v>145</v>
      </c>
      <c r="N10" s="216">
        <f>+IFERROR(VLOOKUP($M10,'11 FORMULAS'!$B$54:$C$55,2,0),"")</f>
        <v>0.15</v>
      </c>
      <c r="O10" s="255" t="s">
        <v>146</v>
      </c>
      <c r="P10" s="255" t="s">
        <v>237</v>
      </c>
      <c r="Q10" s="255" t="s">
        <v>148</v>
      </c>
      <c r="R10" s="255" t="s">
        <v>138</v>
      </c>
      <c r="S10" s="216">
        <f>+IFERROR($K10+$N10,"")</f>
        <v>0.4</v>
      </c>
      <c r="T10" s="216">
        <f>IF($L10='11 FORMULAS'!$D$51,$C$10-($C$10*$S$10),$C$10)</f>
        <v>0.36</v>
      </c>
      <c r="U10" s="216">
        <f>IF(L10='11 FORMULAS'!$D$53,$D10-($D10*$S10),$D10)</f>
        <v>0.6</v>
      </c>
      <c r="V10" s="485">
        <f>+IF(T15="","",T15)</f>
        <v>0.6</v>
      </c>
      <c r="W10" s="489">
        <f>+IF(U15="","",U15)</f>
        <v>0.6</v>
      </c>
      <c r="X10" s="28"/>
      <c r="Y10" s="223" t="s">
        <v>278</v>
      </c>
      <c r="Z10" s="24">
        <v>0.41</v>
      </c>
      <c r="AA10" s="23">
        <v>0.6</v>
      </c>
    </row>
    <row r="11" spans="1:27" ht="29.45" customHeight="1" x14ac:dyDescent="0.25">
      <c r="A11" s="502"/>
      <c r="B11" s="506"/>
      <c r="C11" s="494"/>
      <c r="D11" s="498"/>
      <c r="E11" s="252">
        <v>2</v>
      </c>
      <c r="F11" s="240"/>
      <c r="G11" s="163"/>
      <c r="H11" s="163"/>
      <c r="I11" s="212" t="str">
        <f t="shared" si="0"/>
        <v xml:space="preserve">  </v>
      </c>
      <c r="J11" s="290"/>
      <c r="K11" s="216" t="str">
        <f>+IFERROR(VLOOKUP($J11,'11 FORMULAS'!$B$51:$C$53,2,0),"")</f>
        <v/>
      </c>
      <c r="L11" s="216" t="str">
        <f>+IFERROR(VLOOKUP($J11,'11 FORMULAS'!$B$51:$D$53,3,0),"")</f>
        <v/>
      </c>
      <c r="M11" s="253"/>
      <c r="N11" s="216" t="str">
        <f>+IFERROR(VLOOKUP($M11,'11 FORMULAS'!$B$54:$C$55,2,0),"")</f>
        <v/>
      </c>
      <c r="O11" s="255"/>
      <c r="P11" s="255"/>
      <c r="Q11" s="255"/>
      <c r="R11" s="255"/>
      <c r="S11" s="216" t="str">
        <f t="shared" ref="S11:S74" si="1">+IFERROR($K11+$N11,"")</f>
        <v/>
      </c>
      <c r="T11" s="216">
        <f>IF($L11='11 FORMULAS'!$D$51,$C$10-($C$10*$S$10),$C$10)</f>
        <v>0.6</v>
      </c>
      <c r="U11" s="216">
        <f>IF(L11='11 FORMULAS'!$D$53,$D$10-($D$10*$S$10),$D$10)</f>
        <v>0.6</v>
      </c>
      <c r="V11" s="487"/>
      <c r="W11" s="491"/>
      <c r="X11" s="28"/>
      <c r="Y11" s="26" t="s">
        <v>283</v>
      </c>
      <c r="Z11" s="24">
        <v>0.61</v>
      </c>
      <c r="AA11" s="23">
        <v>0.8</v>
      </c>
    </row>
    <row r="12" spans="1:27" ht="29.45" customHeight="1" x14ac:dyDescent="0.25">
      <c r="A12" s="502"/>
      <c r="B12" s="506"/>
      <c r="C12" s="494"/>
      <c r="D12" s="498"/>
      <c r="E12" s="252">
        <v>3</v>
      </c>
      <c r="F12" s="240"/>
      <c r="G12" s="163"/>
      <c r="H12" s="163"/>
      <c r="I12" s="212" t="str">
        <f t="shared" si="0"/>
        <v xml:space="preserve">  </v>
      </c>
      <c r="J12" s="290"/>
      <c r="K12" s="216" t="str">
        <f>+IFERROR(VLOOKUP($J12,'11 FORMULAS'!$B$51:$C$53,2,0),"")</f>
        <v/>
      </c>
      <c r="L12" s="216" t="str">
        <f>+IFERROR(VLOOKUP($J12,'11 FORMULAS'!$B$51:$D$53,3,0),"")</f>
        <v/>
      </c>
      <c r="M12" s="253"/>
      <c r="N12" s="216" t="str">
        <f>+IFERROR(VLOOKUP($M12,'11 FORMULAS'!$B$54:$C$55,2,0),"")</f>
        <v/>
      </c>
      <c r="O12" s="255"/>
      <c r="P12" s="255"/>
      <c r="Q12" s="255"/>
      <c r="R12" s="255"/>
      <c r="S12" s="216" t="str">
        <f t="shared" si="1"/>
        <v/>
      </c>
      <c r="T12" s="216">
        <f>IF($L12='11 FORMULAS'!$D$51,$C$10-($C$10*$S$10),$C$10)</f>
        <v>0.6</v>
      </c>
      <c r="U12" s="216">
        <f>IF(L12='11 FORMULAS'!$D$53,$D$10-($D$10*$S$10),$D$10)</f>
        <v>0.6</v>
      </c>
      <c r="V12" s="487"/>
      <c r="W12" s="491"/>
      <c r="X12" s="28"/>
      <c r="Y12" s="224" t="s">
        <v>288</v>
      </c>
      <c r="Z12" s="24">
        <v>0.81</v>
      </c>
      <c r="AA12" s="23">
        <v>1</v>
      </c>
    </row>
    <row r="13" spans="1:27" ht="29.45" customHeight="1" x14ac:dyDescent="0.25">
      <c r="A13" s="502"/>
      <c r="B13" s="506"/>
      <c r="C13" s="494"/>
      <c r="D13" s="498"/>
      <c r="E13" s="252">
        <v>4</v>
      </c>
      <c r="F13" s="240"/>
      <c r="G13" s="163"/>
      <c r="H13" s="163"/>
      <c r="I13" s="212" t="str">
        <f t="shared" si="0"/>
        <v xml:space="preserve">  </v>
      </c>
      <c r="J13" s="290"/>
      <c r="K13" s="216" t="str">
        <f>+IFERROR(VLOOKUP($J13,'11 FORMULAS'!$B$51:$C$53,2,0),"")</f>
        <v/>
      </c>
      <c r="L13" s="216" t="str">
        <f>+IFERROR(VLOOKUP($J13,'11 FORMULAS'!$B$51:$D$53,3,0),"")</f>
        <v/>
      </c>
      <c r="M13" s="253"/>
      <c r="N13" s="216" t="str">
        <f>+IFERROR(VLOOKUP($M13,'11 FORMULAS'!$B$54:$C$55,2,0),"")</f>
        <v/>
      </c>
      <c r="O13" s="255"/>
      <c r="P13" s="255"/>
      <c r="Q13" s="255"/>
      <c r="R13" s="255"/>
      <c r="S13" s="216" t="str">
        <f t="shared" si="1"/>
        <v/>
      </c>
      <c r="T13" s="216">
        <f>IF($L13='11 FORMULAS'!$D$51,$C$10-($C$10*$S$10),$C$10)</f>
        <v>0.6</v>
      </c>
      <c r="U13" s="216">
        <f>IF(L13='11 FORMULAS'!$D$53,$D$10-($D$10*$S$10),$D$10)</f>
        <v>0.6</v>
      </c>
      <c r="V13" s="487"/>
      <c r="W13" s="491"/>
      <c r="X13" s="28"/>
      <c r="Y13" s="214"/>
      <c r="Z13" s="214"/>
      <c r="AA13" s="214"/>
    </row>
    <row r="14" spans="1:27" ht="29.45" customHeight="1" x14ac:dyDescent="0.25">
      <c r="A14" s="502"/>
      <c r="B14" s="506"/>
      <c r="C14" s="494"/>
      <c r="D14" s="498"/>
      <c r="E14" s="252">
        <v>5</v>
      </c>
      <c r="F14" s="240"/>
      <c r="G14" s="163"/>
      <c r="H14" s="163"/>
      <c r="I14" s="212" t="str">
        <f t="shared" si="0"/>
        <v xml:space="preserve">  </v>
      </c>
      <c r="J14" s="290"/>
      <c r="K14" s="216" t="str">
        <f>+IFERROR(VLOOKUP($J14,'11 FORMULAS'!$B$51:$C$53,2,0),"")</f>
        <v/>
      </c>
      <c r="L14" s="216" t="str">
        <f>+IFERROR(VLOOKUP($J14,'11 FORMULAS'!$B$51:$D$53,3,0),"")</f>
        <v/>
      </c>
      <c r="M14" s="253"/>
      <c r="N14" s="216" t="str">
        <f>+IFERROR(VLOOKUP($M14,'11 FORMULAS'!$B$54:$C$55,2,0),"")</f>
        <v/>
      </c>
      <c r="O14" s="255"/>
      <c r="P14" s="255"/>
      <c r="Q14" s="255"/>
      <c r="R14" s="255"/>
      <c r="S14" s="216" t="str">
        <f t="shared" si="1"/>
        <v/>
      </c>
      <c r="T14" s="216">
        <f>IF($L14='11 FORMULAS'!$D$51,$C$10-($C$10*$S$10),$C$10)</f>
        <v>0.6</v>
      </c>
      <c r="U14" s="216">
        <f>IF(L14='11 FORMULAS'!$D$53,$D$10-($D$10*$S$10),$D$10)</f>
        <v>0.6</v>
      </c>
      <c r="V14" s="487"/>
      <c r="W14" s="491"/>
      <c r="X14" s="28"/>
      <c r="Y14" s="214"/>
      <c r="Z14" s="214"/>
      <c r="AA14" s="214"/>
    </row>
    <row r="15" spans="1:27" ht="29.45" customHeight="1" thickBot="1" x14ac:dyDescent="0.3">
      <c r="A15" s="503"/>
      <c r="B15" s="507"/>
      <c r="C15" s="495"/>
      <c r="D15" s="499"/>
      <c r="E15" s="256">
        <v>6</v>
      </c>
      <c r="F15" s="243"/>
      <c r="G15" s="164"/>
      <c r="H15" s="164"/>
      <c r="I15" s="212" t="str">
        <f t="shared" si="0"/>
        <v xml:space="preserve">  </v>
      </c>
      <c r="J15" s="290"/>
      <c r="K15" s="216" t="str">
        <f>+IFERROR(VLOOKUP($J15,'11 FORMULAS'!$B$51:$C$53,2,0),"")</f>
        <v/>
      </c>
      <c r="L15" s="216" t="str">
        <f>+IFERROR(VLOOKUP($J15,'11 FORMULAS'!$B$51:$D$53,3,0),"")</f>
        <v/>
      </c>
      <c r="M15" s="253"/>
      <c r="N15" s="216" t="str">
        <f>+IFERROR(VLOOKUP($M15,'11 FORMULAS'!$B$54:$C$55,2,0),"")</f>
        <v/>
      </c>
      <c r="O15" s="255"/>
      <c r="P15" s="255"/>
      <c r="Q15" s="255"/>
      <c r="R15" s="255"/>
      <c r="S15" s="216" t="str">
        <f t="shared" si="1"/>
        <v/>
      </c>
      <c r="T15" s="216">
        <f>IF($L15='11 FORMULAS'!$D$51,$C$10-($C$10*$S$10),$C$10)</f>
        <v>0.6</v>
      </c>
      <c r="U15" s="216">
        <f>IF(L15='11 FORMULAS'!$D$53,$D$10-($D$10*$S$10),$D$10)</f>
        <v>0.6</v>
      </c>
      <c r="V15" s="488"/>
      <c r="W15" s="492"/>
      <c r="X15" s="28"/>
      <c r="Y15" s="214"/>
      <c r="Z15" s="214"/>
      <c r="AA15" s="214"/>
    </row>
    <row r="16" spans="1:27" ht="98.25" customHeight="1" x14ac:dyDescent="0.25">
      <c r="A16" s="500" t="str">
        <f>'2 IDENTIFICACIÓN'!A11</f>
        <v>R2</v>
      </c>
      <c r="B16" s="504" t="str">
        <f>+'2 IDENTIFICACIÓN'!J11</f>
        <v>Posibilidad de afectación reputacional por deficiencias en la planeación de las necesidades del Plan Anual de Adquisiciones de la Secretaría de Hacienda,  debido a insuficiencias en la identificación y proyección oportuna de los requerimientos contractuales, generando compromisos de vigencias futuras para atender necesidades de la vigencia actual</v>
      </c>
      <c r="C16" s="512">
        <f>+'3 PROBABIL E IMPACTO INHERENTE'!E11</f>
        <v>0.4</v>
      </c>
      <c r="D16" s="496">
        <f>+'3 PROBABIL E IMPACTO INHERENTE'!M11</f>
        <v>0.6</v>
      </c>
      <c r="E16" s="257">
        <v>1</v>
      </c>
      <c r="F16" s="241" t="s">
        <v>402</v>
      </c>
      <c r="G16" s="35" t="s">
        <v>404</v>
      </c>
      <c r="H16" s="35" t="s">
        <v>403</v>
      </c>
      <c r="I16" s="212" t="str">
        <f t="shared" si="0"/>
        <v xml:space="preserve">El Secretario de Hacienda y el equipo de contratación  verifican las necesidades contractuales incluidas en el Plan Anual de Adquisiciones, a través de la revisión y seguimiento de la identificación y proyección de los requerimientos de las dependencias, con el fin de gestionar oportunamente las modificaciones y actualizaciones requeridas. </v>
      </c>
      <c r="J16" s="290" t="s">
        <v>133</v>
      </c>
      <c r="K16" s="216">
        <f>+IFERROR(VLOOKUP($J16,'11 FORMULAS'!$B$51:$C$53,2,0),"")</f>
        <v>0.25</v>
      </c>
      <c r="L16" s="216" t="str">
        <f>+IFERROR(VLOOKUP($J16,'11 FORMULAS'!$B$51:$D$53,3,0),"")</f>
        <v>Probabilidad</v>
      </c>
      <c r="M16" s="253" t="s">
        <v>145</v>
      </c>
      <c r="N16" s="216">
        <f>+IFERROR(VLOOKUP($M16,'11 FORMULAS'!$B$54:$C$55,2,0),"")</f>
        <v>0.15</v>
      </c>
      <c r="O16" s="255" t="s">
        <v>135</v>
      </c>
      <c r="P16" s="255" t="s">
        <v>237</v>
      </c>
      <c r="Q16" s="255" t="s">
        <v>148</v>
      </c>
      <c r="R16" s="255" t="s">
        <v>138</v>
      </c>
      <c r="S16" s="216">
        <f t="shared" si="1"/>
        <v>0.4</v>
      </c>
      <c r="T16" s="216">
        <f>IF($L16='11 FORMULAS'!$D$51,$C$10-($C$10*$S$10),$C$10)</f>
        <v>0.36</v>
      </c>
      <c r="U16" s="216">
        <f>IF(L16='11 FORMULAS'!$D$53,$D$16-($D$16*$S$16),$D$16)</f>
        <v>0.6</v>
      </c>
      <c r="V16" s="485">
        <f>+IF(T21="","",T21)</f>
        <v>0.6</v>
      </c>
      <c r="W16" s="489">
        <f>+IF(U21="","",U21)</f>
        <v>0.6</v>
      </c>
      <c r="X16" s="28"/>
      <c r="Y16" s="214"/>
      <c r="Z16" s="215"/>
      <c r="AA16" s="215"/>
    </row>
    <row r="17" spans="1:27" ht="29.45" customHeight="1" x14ac:dyDescent="0.25">
      <c r="A17" s="502"/>
      <c r="B17" s="506"/>
      <c r="C17" s="364"/>
      <c r="D17" s="498"/>
      <c r="E17" s="252">
        <v>2</v>
      </c>
      <c r="F17" s="240"/>
      <c r="G17" s="163"/>
      <c r="H17" s="163"/>
      <c r="I17" s="212" t="str">
        <f t="shared" si="0"/>
        <v xml:space="preserve">  </v>
      </c>
      <c r="J17" s="290"/>
      <c r="K17" s="216" t="str">
        <f>+IFERROR(VLOOKUP($J17,'11 FORMULAS'!$B$51:$C$53,2,0),"")</f>
        <v/>
      </c>
      <c r="L17" s="216" t="str">
        <f>+IFERROR(VLOOKUP($J17,'11 FORMULAS'!$B$51:$D$53,3,0),"")</f>
        <v/>
      </c>
      <c r="M17" s="253"/>
      <c r="N17" s="216" t="str">
        <f>+IFERROR(VLOOKUP($M17,'11 FORMULAS'!$B$54:$C$55,2,0),"")</f>
        <v/>
      </c>
      <c r="O17" s="255"/>
      <c r="P17" s="255"/>
      <c r="Q17" s="255"/>
      <c r="R17" s="255"/>
      <c r="S17" s="216" t="str">
        <f t="shared" si="1"/>
        <v/>
      </c>
      <c r="T17" s="216">
        <f>IF($L17='11 FORMULAS'!$D$51,$C$10-($C$10*$S$10),$C$10)</f>
        <v>0.6</v>
      </c>
      <c r="U17" s="216">
        <f>IF(L17='11 FORMULAS'!$D$53,$D$16-($D$16*$S$16),$D$16)</f>
        <v>0.6</v>
      </c>
      <c r="V17" s="487"/>
      <c r="W17" s="491"/>
      <c r="X17" s="28"/>
      <c r="Y17" s="214"/>
      <c r="Z17" s="215"/>
      <c r="AA17" s="215"/>
    </row>
    <row r="18" spans="1:27" ht="29.45" customHeight="1" x14ac:dyDescent="0.25">
      <c r="A18" s="502"/>
      <c r="B18" s="506"/>
      <c r="C18" s="364"/>
      <c r="D18" s="498"/>
      <c r="E18" s="252">
        <v>3</v>
      </c>
      <c r="F18" s="240"/>
      <c r="G18" s="163"/>
      <c r="H18" s="163"/>
      <c r="I18" s="212" t="str">
        <f t="shared" si="0"/>
        <v xml:space="preserve">  </v>
      </c>
      <c r="J18" s="290"/>
      <c r="K18" s="216" t="str">
        <f>+IFERROR(VLOOKUP($J18,'11 FORMULAS'!$B$51:$C$53,2,0),"")</f>
        <v/>
      </c>
      <c r="L18" s="216" t="str">
        <f>+IFERROR(VLOOKUP($J18,'11 FORMULAS'!$B$51:$D$53,3,0),"")</f>
        <v/>
      </c>
      <c r="M18" s="253"/>
      <c r="N18" s="216" t="str">
        <f>+IFERROR(VLOOKUP($M18,'11 FORMULAS'!$B$54:$C$55,2,0),"")</f>
        <v/>
      </c>
      <c r="O18" s="255"/>
      <c r="P18" s="255"/>
      <c r="Q18" s="255"/>
      <c r="R18" s="255"/>
      <c r="S18" s="216" t="str">
        <f t="shared" si="1"/>
        <v/>
      </c>
      <c r="T18" s="216">
        <f>IF($L18='11 FORMULAS'!$D$51,$C$10-($C$10*$S$10),$C$10)</f>
        <v>0.6</v>
      </c>
      <c r="U18" s="216">
        <f>IF(L18='11 FORMULAS'!$D$53,$D$16-($D$16*$S$16),$D$16)</f>
        <v>0.6</v>
      </c>
      <c r="V18" s="487"/>
      <c r="W18" s="491"/>
      <c r="X18" s="28"/>
      <c r="Y18" s="214"/>
      <c r="Z18" s="215"/>
      <c r="AA18" s="215"/>
    </row>
    <row r="19" spans="1:27" ht="29.45" customHeight="1" x14ac:dyDescent="0.25">
      <c r="A19" s="510"/>
      <c r="B19" s="511"/>
      <c r="C19" s="364"/>
      <c r="D19" s="514"/>
      <c r="E19" s="252">
        <v>4</v>
      </c>
      <c r="F19" s="242"/>
      <c r="G19" s="237"/>
      <c r="H19" s="237"/>
      <c r="I19" s="212" t="str">
        <f t="shared" si="0"/>
        <v xml:space="preserve">  </v>
      </c>
      <c r="J19" s="290"/>
      <c r="K19" s="216" t="str">
        <f>+IFERROR(VLOOKUP($J19,'11 FORMULAS'!$B$51:$C$53,2,0),"")</f>
        <v/>
      </c>
      <c r="L19" s="216" t="str">
        <f>+IFERROR(VLOOKUP($J19,'11 FORMULAS'!$B$51:$D$53,3,0),"")</f>
        <v/>
      </c>
      <c r="M19" s="253"/>
      <c r="N19" s="216" t="str">
        <f>+IFERROR(VLOOKUP($M19,'11 FORMULAS'!$B$54:$C$55,2,0),"")</f>
        <v/>
      </c>
      <c r="O19" s="255"/>
      <c r="P19" s="255"/>
      <c r="Q19" s="255"/>
      <c r="R19" s="255"/>
      <c r="S19" s="216" t="str">
        <f t="shared" si="1"/>
        <v/>
      </c>
      <c r="T19" s="216">
        <f>IF($L19='11 FORMULAS'!$D$51,$C$10-($C$10*$S$10),$C$10)</f>
        <v>0.6</v>
      </c>
      <c r="U19" s="216">
        <f>IF(L19='11 FORMULAS'!$D$53,$D$16-($D$16*$S$16),$D$16)</f>
        <v>0.6</v>
      </c>
      <c r="V19" s="508"/>
      <c r="W19" s="509"/>
      <c r="X19" s="28"/>
      <c r="Y19" s="214"/>
      <c r="Z19" s="215"/>
      <c r="AA19" s="215"/>
    </row>
    <row r="20" spans="1:27" ht="29.45" customHeight="1" x14ac:dyDescent="0.25">
      <c r="A20" s="510"/>
      <c r="B20" s="511"/>
      <c r="C20" s="364"/>
      <c r="D20" s="514"/>
      <c r="E20" s="252">
        <v>5</v>
      </c>
      <c r="F20" s="242"/>
      <c r="G20" s="237"/>
      <c r="H20" s="237"/>
      <c r="I20" s="212" t="str">
        <f t="shared" si="0"/>
        <v xml:space="preserve">  </v>
      </c>
      <c r="J20" s="290"/>
      <c r="K20" s="216" t="str">
        <f>+IFERROR(VLOOKUP($J20,'11 FORMULAS'!$B$51:$C$53,2,0),"")</f>
        <v/>
      </c>
      <c r="L20" s="216" t="str">
        <f>+IFERROR(VLOOKUP($J20,'11 FORMULAS'!$B$51:$D$53,3,0),"")</f>
        <v/>
      </c>
      <c r="M20" s="253"/>
      <c r="N20" s="216" t="str">
        <f>+IFERROR(VLOOKUP($M20,'11 FORMULAS'!$B$54:$C$55,2,0),"")</f>
        <v/>
      </c>
      <c r="O20" s="255"/>
      <c r="P20" s="255"/>
      <c r="Q20" s="255"/>
      <c r="R20" s="255"/>
      <c r="S20" s="216" t="str">
        <f t="shared" si="1"/>
        <v/>
      </c>
      <c r="T20" s="216">
        <f>IF($L20='11 FORMULAS'!$D$51,$C$10-($C$10*$S$10),$C$10)</f>
        <v>0.6</v>
      </c>
      <c r="U20" s="216">
        <f>IF(L20='11 FORMULAS'!$D$53,$D$16-($D$16*$S$16),$D$16)</f>
        <v>0.6</v>
      </c>
      <c r="V20" s="508"/>
      <c r="W20" s="509"/>
      <c r="X20" s="28"/>
      <c r="Y20" s="214"/>
      <c r="Z20" s="215"/>
      <c r="AA20" s="215"/>
    </row>
    <row r="21" spans="1:27" ht="29.45" customHeight="1" thickBot="1" x14ac:dyDescent="0.3">
      <c r="A21" s="503"/>
      <c r="B21" s="507"/>
      <c r="C21" s="513"/>
      <c r="D21" s="499"/>
      <c r="E21" s="256">
        <v>6</v>
      </c>
      <c r="F21" s="243"/>
      <c r="G21" s="164"/>
      <c r="H21" s="164"/>
      <c r="I21" s="212" t="str">
        <f t="shared" si="0"/>
        <v xml:space="preserve">  </v>
      </c>
      <c r="J21" s="290"/>
      <c r="K21" s="216" t="str">
        <f>+IFERROR(VLOOKUP($J21,'11 FORMULAS'!$B$51:$C$53,2,0),"")</f>
        <v/>
      </c>
      <c r="L21" s="216" t="str">
        <f>+IFERROR(VLOOKUP($J21,'11 FORMULAS'!$B$51:$D$53,3,0),"")</f>
        <v/>
      </c>
      <c r="M21" s="253"/>
      <c r="N21" s="216" t="str">
        <f>+IFERROR(VLOOKUP($M21,'11 FORMULAS'!$B$54:$C$55,2,0),"")</f>
        <v/>
      </c>
      <c r="O21" s="255"/>
      <c r="P21" s="255"/>
      <c r="Q21" s="255"/>
      <c r="R21" s="255"/>
      <c r="S21" s="216" t="str">
        <f t="shared" si="1"/>
        <v/>
      </c>
      <c r="T21" s="216">
        <f>IF($L21='11 FORMULAS'!$D$51,$C$10-($C$10*$S$10),$C$10)</f>
        <v>0.6</v>
      </c>
      <c r="U21" s="216">
        <f>IF(L21='11 FORMULAS'!$D$53,$D$16-($D$16*$S$16),$D$16)</f>
        <v>0.6</v>
      </c>
      <c r="V21" s="488"/>
      <c r="W21" s="492"/>
      <c r="X21" s="28"/>
    </row>
    <row r="22" spans="1:27" ht="138" customHeight="1" x14ac:dyDescent="0.25">
      <c r="A22" s="500" t="str">
        <f>'2 IDENTIFICACIÓN'!A12</f>
        <v>R3</v>
      </c>
      <c r="B22" s="504" t="str">
        <f>+'2 IDENTIFICACIÓN'!J12</f>
        <v>Posibilidad de afectación reputacional por investigaciones y sanciones disciplinarias  debido a entes de control, debido al incumplimiento de la Ley 594 de 2000 en la gestión documental de la Secretaría de Hacienda</v>
      </c>
      <c r="C22" s="493">
        <f>+'3 PROBABIL E IMPACTO INHERENTE'!E12</f>
        <v>0.6</v>
      </c>
      <c r="D22" s="496">
        <f>+'3 PROBABIL E IMPACTO INHERENTE'!M12</f>
        <v>0.6</v>
      </c>
      <c r="E22" s="257">
        <v>1</v>
      </c>
      <c r="F22" s="241" t="s">
        <v>410</v>
      </c>
      <c r="G22" s="35" t="s">
        <v>411</v>
      </c>
      <c r="H22" s="35" t="s">
        <v>412</v>
      </c>
      <c r="I22" s="212" t="str">
        <f t="shared" si="0"/>
        <v>El área de archivo de la Secretaría de Hacienda encargado del manejo del archivo  aplica los manuales y procedimientos para la intervención documental el cual establece los lineamientos para llevar a cabo la: organización, inventario y transferencias documentales primarias desde los Archivos de Gestión al Archivo Central, teniendo en cuenta el cumplimiento de los tiempos de retención en las fases del ciclo vital de la documentación, según lo estipulen las tablas de retención documental, tablas de valoración documental y las directrices del Archivo General de la Nación</v>
      </c>
      <c r="J22" s="290" t="s">
        <v>133</v>
      </c>
      <c r="K22" s="216">
        <f>+IFERROR(VLOOKUP($J22,'11 FORMULAS'!$B$51:$C$53,2,0),"")</f>
        <v>0.25</v>
      </c>
      <c r="L22" s="216" t="str">
        <f>+IFERROR(VLOOKUP($J22,'11 FORMULAS'!$B$51:$D$53,3,0),"")</f>
        <v>Probabilidad</v>
      </c>
      <c r="M22" s="253" t="s">
        <v>145</v>
      </c>
      <c r="N22" s="216">
        <f>+IFERROR(VLOOKUP($M22,'11 FORMULAS'!$B$54:$C$55,2,0),"")</f>
        <v>0.15</v>
      </c>
      <c r="O22" s="255" t="s">
        <v>135</v>
      </c>
      <c r="P22" s="255" t="s">
        <v>237</v>
      </c>
      <c r="Q22" s="255" t="s">
        <v>137</v>
      </c>
      <c r="R22" s="255" t="s">
        <v>138</v>
      </c>
      <c r="S22" s="216">
        <f t="shared" si="1"/>
        <v>0.4</v>
      </c>
      <c r="T22" s="216">
        <f>IF($L22='11 FORMULAS'!$D$51,$C$10-($C$10*$S$10),$C$10)</f>
        <v>0.36</v>
      </c>
      <c r="U22" s="216">
        <f>IF(L22='11 FORMULAS'!$D$53,$D$22-($D$22*$S$22),$D$22)</f>
        <v>0.6</v>
      </c>
      <c r="V22" s="485">
        <f>+IF(T27="","",T27)</f>
        <v>0.6</v>
      </c>
      <c r="W22" s="489">
        <f>+IF(U27="","",U27)</f>
        <v>0.6</v>
      </c>
      <c r="X22" s="28"/>
      <c r="Y22" s="214"/>
      <c r="Z22" s="215"/>
      <c r="AA22" s="215"/>
    </row>
    <row r="23" spans="1:27" ht="29.45" customHeight="1" x14ac:dyDescent="0.25">
      <c r="A23" s="502"/>
      <c r="B23" s="506"/>
      <c r="C23" s="494"/>
      <c r="D23" s="498"/>
      <c r="E23" s="252">
        <v>2</v>
      </c>
      <c r="F23" s="240"/>
      <c r="G23" s="163"/>
      <c r="H23" s="163"/>
      <c r="I23" s="212" t="str">
        <f t="shared" si="0"/>
        <v xml:space="preserve">  </v>
      </c>
      <c r="J23" s="290"/>
      <c r="K23" s="216" t="str">
        <f>+IFERROR(VLOOKUP($J23,'11 FORMULAS'!$B$51:$C$53,2,0),"")</f>
        <v/>
      </c>
      <c r="L23" s="216" t="str">
        <f>+IFERROR(VLOOKUP($J23,'11 FORMULAS'!$B$51:$D$53,3,0),"")</f>
        <v/>
      </c>
      <c r="M23" s="253"/>
      <c r="N23" s="216" t="str">
        <f>+IFERROR(VLOOKUP($M23,'11 FORMULAS'!$B$54:$C$55,2,0),"")</f>
        <v/>
      </c>
      <c r="O23" s="255"/>
      <c r="P23" s="255"/>
      <c r="Q23" s="255"/>
      <c r="R23" s="255"/>
      <c r="S23" s="216" t="str">
        <f t="shared" si="1"/>
        <v/>
      </c>
      <c r="T23" s="216">
        <f>IF($L23='11 FORMULAS'!$D$51,$C$10-($C$10*$S$10),$C$10)</f>
        <v>0.6</v>
      </c>
      <c r="U23" s="216">
        <f>IF(L23='11 FORMULAS'!$D$53,$D$22-($D$22*$S$22),$D$22)</f>
        <v>0.6</v>
      </c>
      <c r="V23" s="487"/>
      <c r="W23" s="491"/>
      <c r="X23" s="28"/>
      <c r="Y23" s="214"/>
      <c r="Z23" s="215"/>
      <c r="AA23" s="215"/>
    </row>
    <row r="24" spans="1:27" ht="29.45" customHeight="1" x14ac:dyDescent="0.25">
      <c r="A24" s="502"/>
      <c r="B24" s="506"/>
      <c r="C24" s="494"/>
      <c r="D24" s="498"/>
      <c r="E24" s="252">
        <v>3</v>
      </c>
      <c r="F24" s="240"/>
      <c r="G24" s="163"/>
      <c r="H24" s="163"/>
      <c r="I24" s="212" t="str">
        <f t="shared" si="0"/>
        <v xml:space="preserve">  </v>
      </c>
      <c r="J24" s="290"/>
      <c r="K24" s="216" t="str">
        <f>+IFERROR(VLOOKUP($J24,'11 FORMULAS'!$B$51:$C$53,2,0),"")</f>
        <v/>
      </c>
      <c r="L24" s="216" t="str">
        <f>+IFERROR(VLOOKUP($J24,'11 FORMULAS'!$B$51:$D$53,3,0),"")</f>
        <v/>
      </c>
      <c r="M24" s="253"/>
      <c r="N24" s="216" t="str">
        <f>+IFERROR(VLOOKUP($M24,'11 FORMULAS'!$B$54:$C$55,2,0),"")</f>
        <v/>
      </c>
      <c r="O24" s="255"/>
      <c r="P24" s="255"/>
      <c r="Q24" s="255"/>
      <c r="R24" s="255"/>
      <c r="S24" s="216" t="str">
        <f t="shared" si="1"/>
        <v/>
      </c>
      <c r="T24" s="216">
        <f>IF($L24='11 FORMULAS'!$D$51,$C$10-($C$10*$S$10),$C$10)</f>
        <v>0.6</v>
      </c>
      <c r="U24" s="216">
        <f>IF(L24='11 FORMULAS'!$D$53,$D$22-($D$22*$S$22),$D$22)</f>
        <v>0.6</v>
      </c>
      <c r="V24" s="487"/>
      <c r="W24" s="491"/>
      <c r="X24" s="28"/>
      <c r="Y24" s="214"/>
      <c r="Z24" s="215"/>
      <c r="AA24" s="215"/>
    </row>
    <row r="25" spans="1:27" ht="29.45" customHeight="1" x14ac:dyDescent="0.25">
      <c r="A25" s="502"/>
      <c r="B25" s="506"/>
      <c r="C25" s="494"/>
      <c r="D25" s="498"/>
      <c r="E25" s="252">
        <v>4</v>
      </c>
      <c r="F25" s="240"/>
      <c r="G25" s="163"/>
      <c r="H25" s="163"/>
      <c r="I25" s="212" t="str">
        <f t="shared" si="0"/>
        <v xml:space="preserve">  </v>
      </c>
      <c r="J25" s="290"/>
      <c r="K25" s="216" t="str">
        <f>+IFERROR(VLOOKUP($J25,'11 FORMULAS'!$B$51:$C$53,2,0),"")</f>
        <v/>
      </c>
      <c r="L25" s="216" t="str">
        <f>+IFERROR(VLOOKUP($J25,'11 FORMULAS'!$B$51:$D$53,3,0),"")</f>
        <v/>
      </c>
      <c r="M25" s="253"/>
      <c r="N25" s="216" t="str">
        <f>+IFERROR(VLOOKUP($M25,'11 FORMULAS'!$B$54:$C$55,2,0),"")</f>
        <v/>
      </c>
      <c r="O25" s="255"/>
      <c r="P25" s="255"/>
      <c r="Q25" s="255"/>
      <c r="R25" s="255"/>
      <c r="S25" s="216" t="str">
        <f t="shared" si="1"/>
        <v/>
      </c>
      <c r="T25" s="216">
        <f>IF($L25='11 FORMULAS'!$D$51,$C$10-($C$10*$S$10),$C$10)</f>
        <v>0.6</v>
      </c>
      <c r="U25" s="216">
        <f>IF(L25='11 FORMULAS'!$D$53,$D$22-($D$22*$S$22),$D$22)</f>
        <v>0.6</v>
      </c>
      <c r="V25" s="487"/>
      <c r="W25" s="491"/>
      <c r="X25" s="28"/>
      <c r="Y25" s="214"/>
      <c r="Z25" s="215"/>
      <c r="AA25" s="215"/>
    </row>
    <row r="26" spans="1:27" ht="29.45" customHeight="1" x14ac:dyDescent="0.25">
      <c r="A26" s="502"/>
      <c r="B26" s="506"/>
      <c r="C26" s="494"/>
      <c r="D26" s="498"/>
      <c r="E26" s="252">
        <v>5</v>
      </c>
      <c r="F26" s="240"/>
      <c r="G26" s="163"/>
      <c r="H26" s="163"/>
      <c r="I26" s="212" t="str">
        <f t="shared" si="0"/>
        <v xml:space="preserve">  </v>
      </c>
      <c r="J26" s="290"/>
      <c r="K26" s="216" t="str">
        <f>+IFERROR(VLOOKUP($J26,'11 FORMULAS'!$B$51:$C$53,2,0),"")</f>
        <v/>
      </c>
      <c r="L26" s="216" t="str">
        <f>+IFERROR(VLOOKUP($J26,'11 FORMULAS'!$B$51:$D$53,3,0),"")</f>
        <v/>
      </c>
      <c r="M26" s="253"/>
      <c r="N26" s="216" t="str">
        <f>+IFERROR(VLOOKUP($M26,'11 FORMULAS'!$B$54:$C$55,2,0),"")</f>
        <v/>
      </c>
      <c r="O26" s="255"/>
      <c r="P26" s="255"/>
      <c r="Q26" s="255"/>
      <c r="R26" s="255"/>
      <c r="S26" s="216" t="str">
        <f t="shared" si="1"/>
        <v/>
      </c>
      <c r="T26" s="216">
        <f>IF($L26='11 FORMULAS'!$D$51,$C$10-($C$10*$S$10),$C$10)</f>
        <v>0.6</v>
      </c>
      <c r="U26" s="216">
        <f>IF(L26='11 FORMULAS'!$D$53,$D$22-($D$22*$S$22),$D$22)</f>
        <v>0.6</v>
      </c>
      <c r="V26" s="487"/>
      <c r="W26" s="491"/>
      <c r="X26" s="28"/>
      <c r="Y26" s="214"/>
      <c r="Z26" s="215"/>
      <c r="AA26" s="215"/>
    </row>
    <row r="27" spans="1:27" ht="29.45" customHeight="1" thickBot="1" x14ac:dyDescent="0.3">
      <c r="A27" s="503"/>
      <c r="B27" s="507"/>
      <c r="C27" s="495"/>
      <c r="D27" s="499"/>
      <c r="E27" s="256">
        <v>6</v>
      </c>
      <c r="F27" s="243"/>
      <c r="G27" s="164"/>
      <c r="H27" s="164"/>
      <c r="I27" s="212" t="str">
        <f t="shared" si="0"/>
        <v xml:space="preserve">  </v>
      </c>
      <c r="J27" s="290"/>
      <c r="K27" s="216" t="str">
        <f>+IFERROR(VLOOKUP($J27,'11 FORMULAS'!$B$51:$C$53,2,0),"")</f>
        <v/>
      </c>
      <c r="L27" s="216" t="str">
        <f>+IFERROR(VLOOKUP($J27,'11 FORMULAS'!$B$51:$D$53,3,0),"")</f>
        <v/>
      </c>
      <c r="M27" s="253"/>
      <c r="N27" s="216" t="str">
        <f>+IFERROR(VLOOKUP($M27,'11 FORMULAS'!$B$54:$C$55,2,0),"")</f>
        <v/>
      </c>
      <c r="O27" s="255"/>
      <c r="P27" s="255"/>
      <c r="Q27" s="255"/>
      <c r="R27" s="255"/>
      <c r="S27" s="216" t="str">
        <f t="shared" si="1"/>
        <v/>
      </c>
      <c r="T27" s="216">
        <f>IF($L27='11 FORMULAS'!$D$51,$C$10-($C$10*$S$10),$C$10)</f>
        <v>0.6</v>
      </c>
      <c r="U27" s="216">
        <f>IF(L27='11 FORMULAS'!$D$53,$D$22-($D$22*$S$22),$D$22)</f>
        <v>0.6</v>
      </c>
      <c r="V27" s="488"/>
      <c r="W27" s="492"/>
      <c r="X27" s="28"/>
    </row>
    <row r="28" spans="1:27" ht="114.75" customHeight="1" x14ac:dyDescent="0.25">
      <c r="A28" s="500" t="str">
        <f>'2 IDENTIFICACIÓN'!A13</f>
        <v>R4</v>
      </c>
      <c r="B28" s="504" t="str">
        <f>+'2 IDENTIFICACIÓN'!J13</f>
        <v xml:space="preserve">Posibilidad de afectación reputacional por inconsistencias o errores en el registro y reporte de la información de ingresos presentada en los sistemas CHIP y SIA Contraloría,  debido a deficiencias en la parametrización, interoperabilidad y funcionamiento del Sistema de Información Financiero (SIF), frente a los lineamientos establecidos por los entes de control. </v>
      </c>
      <c r="C28" s="493">
        <f>+'3 PROBABIL E IMPACTO INHERENTE'!E13</f>
        <v>0.6</v>
      </c>
      <c r="D28" s="496">
        <f>+'3 PROBABIL E IMPACTO INHERENTE'!M13</f>
        <v>0.6</v>
      </c>
      <c r="E28" s="257">
        <v>1</v>
      </c>
      <c r="F28" s="333" t="s">
        <v>423</v>
      </c>
      <c r="G28" s="334" t="s">
        <v>424</v>
      </c>
      <c r="H28" s="334" t="s">
        <v>425</v>
      </c>
      <c r="I28" s="335" t="str">
        <f t="shared" si="0"/>
        <v>El Profesional Especializado del Área de Presupuesto verifica y valida la información presupuestal suministrada por el Área de Tesorería,  mediante la revisión de la ejecución de ingresos y la clasificación de cuentas en el Sistema de Información Financiero (SIF), con el fin de identificar inconsistencias en la información reportada a los sistemas CHIP y SIA Contraloría antes de su rendición a los entes de control.</v>
      </c>
      <c r="J28" s="290" t="s">
        <v>133</v>
      </c>
      <c r="K28" s="216">
        <f>+IFERROR(VLOOKUP($J28,'11 FORMULAS'!$B$51:$C$53,2,0),"")</f>
        <v>0.25</v>
      </c>
      <c r="L28" s="216" t="str">
        <f>+IFERROR(VLOOKUP($J28,'11 FORMULAS'!$B$51:$D$53,3,0),"")</f>
        <v>Probabilidad</v>
      </c>
      <c r="M28" s="253" t="s">
        <v>134</v>
      </c>
      <c r="N28" s="216">
        <f>+IFERROR(VLOOKUP($M28,'11 FORMULAS'!$B$54:$C$55,2,0),"")</f>
        <v>0.25</v>
      </c>
      <c r="O28" s="255" t="s">
        <v>146</v>
      </c>
      <c r="P28" s="255" t="s">
        <v>239</v>
      </c>
      <c r="Q28" s="255" t="s">
        <v>137</v>
      </c>
      <c r="R28" s="255" t="s">
        <v>138</v>
      </c>
      <c r="S28" s="216">
        <f t="shared" si="1"/>
        <v>0.5</v>
      </c>
      <c r="T28" s="216">
        <f>IF($L28='11 FORMULAS'!$D$51,$C$10-($C$10*$S$10),$C$10)</f>
        <v>0.36</v>
      </c>
      <c r="U28" s="216">
        <f>IF(L28='11 FORMULAS'!$D$53,$D$28-($D$28*$S$28),$D$28)</f>
        <v>0.6</v>
      </c>
      <c r="V28" s="485">
        <f>+IF(T33="","",T33)</f>
        <v>0.6</v>
      </c>
      <c r="W28" s="489">
        <f>+IF(U33="","",U33)</f>
        <v>0.6</v>
      </c>
      <c r="X28" s="28"/>
      <c r="Y28" s="214"/>
      <c r="Z28" s="215"/>
      <c r="AA28" s="215"/>
    </row>
    <row r="29" spans="1:27" ht="29.45" customHeight="1" x14ac:dyDescent="0.25">
      <c r="A29" s="502"/>
      <c r="B29" s="506"/>
      <c r="C29" s="494"/>
      <c r="D29" s="498"/>
      <c r="E29" s="252">
        <v>2</v>
      </c>
      <c r="F29" s="240"/>
      <c r="G29" s="163"/>
      <c r="H29" s="163"/>
      <c r="I29" s="212" t="str">
        <f t="shared" si="0"/>
        <v xml:space="preserve">  </v>
      </c>
      <c r="J29" s="290"/>
      <c r="K29" s="216" t="str">
        <f>+IFERROR(VLOOKUP($J29,'11 FORMULAS'!$B$51:$C$53,2,0),"")</f>
        <v/>
      </c>
      <c r="L29" s="216" t="str">
        <f>+IFERROR(VLOOKUP($J29,'11 FORMULAS'!$B$51:$D$53,3,0),"")</f>
        <v/>
      </c>
      <c r="M29" s="253"/>
      <c r="N29" s="216" t="str">
        <f>+IFERROR(VLOOKUP($M29,'11 FORMULAS'!$B$54:$C$55,2,0),"")</f>
        <v/>
      </c>
      <c r="O29" s="255"/>
      <c r="P29" s="255"/>
      <c r="Q29" s="255"/>
      <c r="R29" s="255"/>
      <c r="S29" s="216" t="str">
        <f t="shared" si="1"/>
        <v/>
      </c>
      <c r="T29" s="216">
        <f>IF($L29='11 FORMULAS'!$D$51,$C$10-($C$10*$S$10),$C$10)</f>
        <v>0.6</v>
      </c>
      <c r="U29" s="216">
        <f>IF(L29='11 FORMULAS'!$D$53,$D$28-($D$28*$S$28),$D$28)</f>
        <v>0.6</v>
      </c>
      <c r="V29" s="487"/>
      <c r="W29" s="491"/>
      <c r="X29" s="28"/>
      <c r="Y29" s="214"/>
      <c r="Z29" s="215"/>
      <c r="AA29" s="215"/>
    </row>
    <row r="30" spans="1:27" ht="29.45" customHeight="1" x14ac:dyDescent="0.25">
      <c r="A30" s="502"/>
      <c r="B30" s="506"/>
      <c r="C30" s="494"/>
      <c r="D30" s="498"/>
      <c r="E30" s="252">
        <v>3</v>
      </c>
      <c r="F30" s="240"/>
      <c r="G30" s="163"/>
      <c r="H30" s="163"/>
      <c r="I30" s="212" t="str">
        <f t="shared" si="0"/>
        <v xml:space="preserve">  </v>
      </c>
      <c r="J30" s="290"/>
      <c r="K30" s="216" t="str">
        <f>+IFERROR(VLOOKUP($J30,'11 FORMULAS'!$B$51:$C$53,2,0),"")</f>
        <v/>
      </c>
      <c r="L30" s="216" t="str">
        <f>+IFERROR(VLOOKUP($J30,'11 FORMULAS'!$B$51:$D$53,3,0),"")</f>
        <v/>
      </c>
      <c r="M30" s="253"/>
      <c r="N30" s="216" t="str">
        <f>+IFERROR(VLOOKUP($M30,'11 FORMULAS'!$B$54:$C$55,2,0),"")</f>
        <v/>
      </c>
      <c r="O30" s="255"/>
      <c r="P30" s="255"/>
      <c r="Q30" s="255"/>
      <c r="R30" s="255"/>
      <c r="S30" s="216" t="str">
        <f t="shared" si="1"/>
        <v/>
      </c>
      <c r="T30" s="216">
        <f>IF($L30='11 FORMULAS'!$D$51,$C$10-($C$10*$S$10),$C$10)</f>
        <v>0.6</v>
      </c>
      <c r="U30" s="216">
        <f>IF(L30='11 FORMULAS'!$D$53,$D$28-($D$28*$S$28),$D$28)</f>
        <v>0.6</v>
      </c>
      <c r="V30" s="487"/>
      <c r="W30" s="491"/>
      <c r="X30" s="28"/>
      <c r="Y30" s="214"/>
      <c r="Z30" s="215"/>
      <c r="AA30" s="215"/>
    </row>
    <row r="31" spans="1:27" ht="29.45" customHeight="1" x14ac:dyDescent="0.25">
      <c r="A31" s="502"/>
      <c r="B31" s="506"/>
      <c r="C31" s="494"/>
      <c r="D31" s="498"/>
      <c r="E31" s="252">
        <v>4</v>
      </c>
      <c r="F31" s="240"/>
      <c r="G31" s="163"/>
      <c r="H31" s="163"/>
      <c r="I31" s="212" t="str">
        <f t="shared" si="0"/>
        <v xml:space="preserve">  </v>
      </c>
      <c r="J31" s="290"/>
      <c r="K31" s="216" t="str">
        <f>+IFERROR(VLOOKUP($J31,'11 FORMULAS'!$B$51:$C$53,2,0),"")</f>
        <v/>
      </c>
      <c r="L31" s="216" t="str">
        <f>+IFERROR(VLOOKUP($J31,'11 FORMULAS'!$B$51:$D$53,3,0),"")</f>
        <v/>
      </c>
      <c r="M31" s="253"/>
      <c r="N31" s="216" t="str">
        <f>+IFERROR(VLOOKUP($M31,'11 FORMULAS'!$B$54:$C$55,2,0),"")</f>
        <v/>
      </c>
      <c r="O31" s="255"/>
      <c r="P31" s="255"/>
      <c r="Q31" s="255"/>
      <c r="R31" s="255"/>
      <c r="S31" s="216" t="str">
        <f t="shared" si="1"/>
        <v/>
      </c>
      <c r="T31" s="216">
        <f>IF($L31='11 FORMULAS'!$D$51,$C$10-($C$10*$S$10),$C$10)</f>
        <v>0.6</v>
      </c>
      <c r="U31" s="216">
        <f>IF(L31='11 FORMULAS'!$D$53,$D$28-($D$28*$S$28),$D$28)</f>
        <v>0.6</v>
      </c>
      <c r="V31" s="487"/>
      <c r="W31" s="491"/>
      <c r="X31" s="28"/>
      <c r="Y31" s="214"/>
      <c r="Z31" s="215"/>
      <c r="AA31" s="215"/>
    </row>
    <row r="32" spans="1:27" ht="29.45" customHeight="1" x14ac:dyDescent="0.25">
      <c r="A32" s="502"/>
      <c r="B32" s="506"/>
      <c r="C32" s="494"/>
      <c r="D32" s="498"/>
      <c r="E32" s="252">
        <v>5</v>
      </c>
      <c r="F32" s="240"/>
      <c r="G32" s="163"/>
      <c r="H32" s="163"/>
      <c r="I32" s="212" t="str">
        <f t="shared" si="0"/>
        <v xml:space="preserve">  </v>
      </c>
      <c r="J32" s="290"/>
      <c r="K32" s="216" t="str">
        <f>+IFERROR(VLOOKUP($J32,'11 FORMULAS'!$B$51:$C$53,2,0),"")</f>
        <v/>
      </c>
      <c r="L32" s="216" t="str">
        <f>+IFERROR(VLOOKUP($J32,'11 FORMULAS'!$B$51:$D$53,3,0),"")</f>
        <v/>
      </c>
      <c r="M32" s="253"/>
      <c r="N32" s="216" t="str">
        <f>+IFERROR(VLOOKUP($M32,'11 FORMULAS'!$B$54:$C$55,2,0),"")</f>
        <v/>
      </c>
      <c r="O32" s="255"/>
      <c r="P32" s="255"/>
      <c r="Q32" s="255"/>
      <c r="R32" s="255"/>
      <c r="S32" s="216" t="str">
        <f t="shared" si="1"/>
        <v/>
      </c>
      <c r="T32" s="216">
        <f>IF($L32='11 FORMULAS'!$D$51,$C$10-($C$10*$S$10),$C$10)</f>
        <v>0.6</v>
      </c>
      <c r="U32" s="216">
        <f>IF(L32='11 FORMULAS'!$D$53,$D$28-($D$28*$S$28),$D$28)</f>
        <v>0.6</v>
      </c>
      <c r="V32" s="487"/>
      <c r="W32" s="491"/>
      <c r="X32" s="28"/>
      <c r="Y32" s="214"/>
      <c r="Z32" s="215"/>
      <c r="AA32" s="215"/>
    </row>
    <row r="33" spans="1:27" ht="29.45" customHeight="1" thickBot="1" x14ac:dyDescent="0.3">
      <c r="A33" s="503"/>
      <c r="B33" s="507"/>
      <c r="C33" s="495"/>
      <c r="D33" s="499"/>
      <c r="E33" s="256">
        <v>6</v>
      </c>
      <c r="F33" s="243"/>
      <c r="G33" s="164"/>
      <c r="H33" s="164"/>
      <c r="I33" s="212" t="str">
        <f t="shared" si="0"/>
        <v xml:space="preserve">  </v>
      </c>
      <c r="J33" s="290"/>
      <c r="K33" s="216" t="str">
        <f>+IFERROR(VLOOKUP($J33,'11 FORMULAS'!$B$51:$C$53,2,0),"")</f>
        <v/>
      </c>
      <c r="L33" s="216" t="str">
        <f>+IFERROR(VLOOKUP($J33,'11 FORMULAS'!$B$51:$D$53,3,0),"")</f>
        <v/>
      </c>
      <c r="M33" s="253"/>
      <c r="N33" s="216" t="str">
        <f>+IFERROR(VLOOKUP($M33,'11 FORMULAS'!$B$54:$C$55,2,0),"")</f>
        <v/>
      </c>
      <c r="O33" s="255"/>
      <c r="P33" s="255"/>
      <c r="Q33" s="255"/>
      <c r="R33" s="255"/>
      <c r="S33" s="216" t="str">
        <f t="shared" si="1"/>
        <v/>
      </c>
      <c r="T33" s="216">
        <f>IF($L33='11 FORMULAS'!$D$51,$C$10-($C$10*$S$10),$C$10)</f>
        <v>0.6</v>
      </c>
      <c r="U33" s="216">
        <f>IF(L33='11 FORMULAS'!$D$53,$D$28-($D$28*$S$28),$D$28)</f>
        <v>0.6</v>
      </c>
      <c r="V33" s="488"/>
      <c r="W33" s="492"/>
      <c r="X33" s="28"/>
    </row>
    <row r="34" spans="1:27" ht="115.5" customHeight="1" x14ac:dyDescent="0.25">
      <c r="A34" s="500" t="str">
        <f>'2 IDENTIFICACIÓN'!A14</f>
        <v>R5</v>
      </c>
      <c r="B34" s="504" t="str">
        <f>+'2 IDENTIFICACIÓN'!J14</f>
        <v xml:space="preserve">Posibilidad de afectación reputacional por debilidades en la planeación, gestión y ejecución de las obligaciones contractuales por parte de las unidades gestoras debido a deficiencias en la supervisión y ejecución oportuna contractual producto de la constitución de reservas presupuestales y pasivos exigibles </v>
      </c>
      <c r="C34" s="493">
        <f>+'3 PROBABIL E IMPACTO INHERENTE'!E14</f>
        <v>0.8</v>
      </c>
      <c r="D34" s="496">
        <f>+'3 PROBABIL E IMPACTO INHERENTE'!M14</f>
        <v>0.6</v>
      </c>
      <c r="E34" s="257">
        <v>1</v>
      </c>
      <c r="F34" s="333" t="s">
        <v>431</v>
      </c>
      <c r="G34" s="334" t="s">
        <v>432</v>
      </c>
      <c r="H34" s="334" t="s">
        <v>433</v>
      </c>
      <c r="I34" s="335" t="str">
        <f t="shared" si="0"/>
        <v>El Secretario de Hacienda y el Profesional Especializado del Área de Presupuesto  imparten lineamientos a las unidades gestoras sobre el procedimiento para la constitución, seguimiento, ejecución y pago de las reservas presupuestales previamente constituidas, con el fin de fortalecer el cumplimiento oportuno de las obligaciones contractuales dentro de la vigencia fiscal correspondiente.</v>
      </c>
      <c r="J34" s="290" t="s">
        <v>133</v>
      </c>
      <c r="K34" s="216">
        <f>+IFERROR(VLOOKUP($J34,'11 FORMULAS'!$B$51:$C$53,2,0),"")</f>
        <v>0.25</v>
      </c>
      <c r="L34" s="216" t="str">
        <f>+IFERROR(VLOOKUP($J34,'11 FORMULAS'!$B$51:$D$53,3,0),"")</f>
        <v>Probabilidad</v>
      </c>
      <c r="M34" s="253" t="s">
        <v>145</v>
      </c>
      <c r="N34" s="216">
        <f>+IFERROR(VLOOKUP($M34,'11 FORMULAS'!$B$54:$C$55,2,0),"")</f>
        <v>0.15</v>
      </c>
      <c r="O34" s="255" t="s">
        <v>135</v>
      </c>
      <c r="P34" s="255" t="s">
        <v>372</v>
      </c>
      <c r="Q34" s="255" t="s">
        <v>137</v>
      </c>
      <c r="R34" s="255" t="s">
        <v>138</v>
      </c>
      <c r="S34" s="216">
        <f t="shared" si="1"/>
        <v>0.4</v>
      </c>
      <c r="T34" s="216">
        <f>IF($L34='11 FORMULAS'!$D$51,$C$10-($C$10*$S$10),$C$10)</f>
        <v>0.36</v>
      </c>
      <c r="U34" s="216">
        <f>IF($L34='11 FORMULAS'!$D$53,$D$34-($D$34*$S$34),$D$34)</f>
        <v>0.6</v>
      </c>
      <c r="V34" s="485">
        <f>+IF(T39="","",T39)</f>
        <v>0.6</v>
      </c>
      <c r="W34" s="489">
        <f>+IF(U39="","",U39)</f>
        <v>0.6</v>
      </c>
      <c r="X34" s="28"/>
      <c r="Y34" s="214"/>
      <c r="Z34" s="215"/>
      <c r="AA34" s="215"/>
    </row>
    <row r="35" spans="1:27" ht="29.45" customHeight="1" x14ac:dyDescent="0.25">
      <c r="A35" s="501"/>
      <c r="B35" s="505"/>
      <c r="C35" s="357"/>
      <c r="D35" s="497"/>
      <c r="E35" s="252">
        <v>2</v>
      </c>
      <c r="F35" s="239"/>
      <c r="G35" s="236"/>
      <c r="H35" s="236"/>
      <c r="I35" s="212" t="str">
        <f t="shared" si="0"/>
        <v xml:space="preserve">  </v>
      </c>
      <c r="J35" s="290"/>
      <c r="K35" s="216" t="str">
        <f>+IFERROR(VLOOKUP($J35,'11 FORMULAS'!$B$51:$C$53,2,0),"")</f>
        <v/>
      </c>
      <c r="L35" s="216" t="str">
        <f>+IFERROR(VLOOKUP($J35,'11 FORMULAS'!$B$51:$D$53,3,0),"")</f>
        <v/>
      </c>
      <c r="M35" s="253"/>
      <c r="N35" s="216" t="str">
        <f>+IFERROR(VLOOKUP($M35,'11 FORMULAS'!$B$54:$C$55,2,0),"")</f>
        <v/>
      </c>
      <c r="O35" s="255"/>
      <c r="P35" s="255"/>
      <c r="Q35" s="255"/>
      <c r="R35" s="255"/>
      <c r="S35" s="216" t="str">
        <f t="shared" si="1"/>
        <v/>
      </c>
      <c r="T35" s="216">
        <f>IF($L35='11 FORMULAS'!$D$51,$C$10-($C$10*$S$10),$C$10)</f>
        <v>0.6</v>
      </c>
      <c r="U35" s="216">
        <f>IF($L35='11 FORMULAS'!$D$53,$D$34-($D$34*$S$34),$D$34)</f>
        <v>0.6</v>
      </c>
      <c r="V35" s="486"/>
      <c r="W35" s="490"/>
      <c r="X35" s="28"/>
      <c r="Y35" s="214"/>
      <c r="Z35" s="215"/>
      <c r="AA35" s="215"/>
    </row>
    <row r="36" spans="1:27" ht="29.45" customHeight="1" x14ac:dyDescent="0.25">
      <c r="A36" s="501"/>
      <c r="B36" s="505"/>
      <c r="C36" s="357"/>
      <c r="D36" s="497"/>
      <c r="E36" s="252">
        <v>3</v>
      </c>
      <c r="F36" s="239"/>
      <c r="G36" s="236"/>
      <c r="H36" s="236"/>
      <c r="I36" s="212" t="str">
        <f t="shared" si="0"/>
        <v xml:space="preserve">  </v>
      </c>
      <c r="J36" s="290"/>
      <c r="K36" s="216" t="str">
        <f>+IFERROR(VLOOKUP($J36,'11 FORMULAS'!$B$51:$C$53,2,0),"")</f>
        <v/>
      </c>
      <c r="L36" s="216" t="str">
        <f>+IFERROR(VLOOKUP($J36,'11 FORMULAS'!$B$51:$D$53,3,0),"")</f>
        <v/>
      </c>
      <c r="M36" s="253"/>
      <c r="N36" s="216" t="str">
        <f>+IFERROR(VLOOKUP($M36,'11 FORMULAS'!$B$54:$C$55,2,0),"")</f>
        <v/>
      </c>
      <c r="O36" s="255"/>
      <c r="P36" s="255"/>
      <c r="Q36" s="255"/>
      <c r="R36" s="255"/>
      <c r="S36" s="216" t="str">
        <f t="shared" si="1"/>
        <v/>
      </c>
      <c r="T36" s="216">
        <f>IF($L36='11 FORMULAS'!$D$51,$C$10-($C$10*$S$10),$C$10)</f>
        <v>0.6</v>
      </c>
      <c r="U36" s="216">
        <f>IF($L36='11 FORMULAS'!$D$53,$D$34-($D$34*$S$34),$D$34)</f>
        <v>0.6</v>
      </c>
      <c r="V36" s="486"/>
      <c r="W36" s="490"/>
      <c r="X36" s="28"/>
      <c r="Y36" s="214"/>
      <c r="Z36" s="215"/>
      <c r="AA36" s="215"/>
    </row>
    <row r="37" spans="1:27" ht="29.45" customHeight="1" x14ac:dyDescent="0.25">
      <c r="A37" s="502"/>
      <c r="B37" s="506"/>
      <c r="C37" s="494"/>
      <c r="D37" s="498"/>
      <c r="E37" s="252">
        <v>4</v>
      </c>
      <c r="F37" s="240"/>
      <c r="G37" s="163"/>
      <c r="H37" s="163"/>
      <c r="I37" s="212" t="str">
        <f t="shared" si="0"/>
        <v xml:space="preserve">  </v>
      </c>
      <c r="J37" s="290"/>
      <c r="K37" s="216" t="str">
        <f>+IFERROR(VLOOKUP($J37,'11 FORMULAS'!$B$51:$C$53,2,0),"")</f>
        <v/>
      </c>
      <c r="L37" s="216" t="str">
        <f>+IFERROR(VLOOKUP($J37,'11 FORMULAS'!$B$51:$D$53,3,0),"")</f>
        <v/>
      </c>
      <c r="M37" s="253"/>
      <c r="N37" s="216" t="str">
        <f>+IFERROR(VLOOKUP($M37,'11 FORMULAS'!$B$54:$C$55,2,0),"")</f>
        <v/>
      </c>
      <c r="O37" s="255"/>
      <c r="P37" s="255"/>
      <c r="Q37" s="255"/>
      <c r="R37" s="255"/>
      <c r="S37" s="216" t="str">
        <f t="shared" si="1"/>
        <v/>
      </c>
      <c r="T37" s="216">
        <f>IF($L37='11 FORMULAS'!$D$51,$C$10-($C$10*$S$10),$C$10)</f>
        <v>0.6</v>
      </c>
      <c r="U37" s="216">
        <f>IF($L37='11 FORMULAS'!$D$53,$D$34-($D$34*$S$34),$D$34)</f>
        <v>0.6</v>
      </c>
      <c r="V37" s="487"/>
      <c r="W37" s="491"/>
      <c r="X37" s="28"/>
      <c r="Y37" s="214"/>
      <c r="Z37" s="215"/>
      <c r="AA37" s="215"/>
    </row>
    <row r="38" spans="1:27" ht="29.45" customHeight="1" x14ac:dyDescent="0.25">
      <c r="A38" s="502"/>
      <c r="B38" s="506"/>
      <c r="C38" s="494"/>
      <c r="D38" s="498"/>
      <c r="E38" s="252">
        <v>5</v>
      </c>
      <c r="F38" s="240"/>
      <c r="G38" s="163"/>
      <c r="H38" s="163"/>
      <c r="I38" s="212" t="str">
        <f t="shared" si="0"/>
        <v xml:space="preserve">  </v>
      </c>
      <c r="J38" s="290"/>
      <c r="K38" s="216" t="str">
        <f>+IFERROR(VLOOKUP($J38,'11 FORMULAS'!$B$51:$C$53,2,0),"")</f>
        <v/>
      </c>
      <c r="L38" s="216" t="str">
        <f>+IFERROR(VLOOKUP($J38,'11 FORMULAS'!$B$51:$D$53,3,0),"")</f>
        <v/>
      </c>
      <c r="M38" s="253"/>
      <c r="N38" s="216" t="str">
        <f>+IFERROR(VLOOKUP($M38,'11 FORMULAS'!$B$54:$C$55,2,0),"")</f>
        <v/>
      </c>
      <c r="O38" s="255"/>
      <c r="P38" s="255"/>
      <c r="Q38" s="255"/>
      <c r="R38" s="255"/>
      <c r="S38" s="216" t="str">
        <f t="shared" si="1"/>
        <v/>
      </c>
      <c r="T38" s="216">
        <f>IF($L38='11 FORMULAS'!$D$51,$C$10-($C$10*$S$10),$C$10)</f>
        <v>0.6</v>
      </c>
      <c r="U38" s="216">
        <f>IF($L38='11 FORMULAS'!$D$53,$D$34-($D$34*$S$34),$D$34)</f>
        <v>0.6</v>
      </c>
      <c r="V38" s="487"/>
      <c r="W38" s="491"/>
      <c r="X38" s="28"/>
      <c r="Y38" s="214"/>
      <c r="Z38" s="215"/>
      <c r="AA38" s="215"/>
    </row>
    <row r="39" spans="1:27" ht="29.45" customHeight="1" thickBot="1" x14ac:dyDescent="0.3">
      <c r="A39" s="503"/>
      <c r="B39" s="507"/>
      <c r="C39" s="495"/>
      <c r="D39" s="499"/>
      <c r="E39" s="252">
        <v>6</v>
      </c>
      <c r="F39" s="243"/>
      <c r="G39" s="164"/>
      <c r="H39" s="164"/>
      <c r="I39" s="212" t="str">
        <f t="shared" si="0"/>
        <v xml:space="preserve">  </v>
      </c>
      <c r="J39" s="290"/>
      <c r="K39" s="216" t="str">
        <f>+IFERROR(VLOOKUP($J39,'11 FORMULAS'!$B$51:$C$53,2,0),"")</f>
        <v/>
      </c>
      <c r="L39" s="216" t="str">
        <f>+IFERROR(VLOOKUP($J39,'11 FORMULAS'!$B$51:$D$53,3,0),"")</f>
        <v/>
      </c>
      <c r="M39" s="253"/>
      <c r="N39" s="216" t="str">
        <f>+IFERROR(VLOOKUP($M39,'11 FORMULAS'!$B$54:$C$55,2,0),"")</f>
        <v/>
      </c>
      <c r="O39" s="255"/>
      <c r="P39" s="255"/>
      <c r="Q39" s="255"/>
      <c r="R39" s="255"/>
      <c r="S39" s="216" t="str">
        <f t="shared" si="1"/>
        <v/>
      </c>
      <c r="T39" s="216">
        <f>IF($L39='11 FORMULAS'!$D$51,$C$10-($C$10*$S$10),$C$10)</f>
        <v>0.6</v>
      </c>
      <c r="U39" s="216">
        <f>IF($L39='11 FORMULAS'!$D$53,$D$34-($D$34*$S$34),$D$34)</f>
        <v>0.6</v>
      </c>
      <c r="V39" s="488"/>
      <c r="W39" s="492"/>
      <c r="X39" s="28"/>
    </row>
    <row r="40" spans="1:27" ht="120" customHeight="1" x14ac:dyDescent="0.25">
      <c r="A40" s="500" t="str">
        <f>'2 IDENTIFICACIÓN'!A15</f>
        <v>R6</v>
      </c>
      <c r="B40" s="504" t="str">
        <f>+'2 IDENTIFICACIÓN'!J15</f>
        <v xml:space="preserve">Posibilidad de afectación económica y reputacional por generación de información contable y financiera no razonable o inconsistente del Municipio de Bucaramanga,  debido a debilidades en la depuración contable, validación de saldos, conciliación y análisis de la información registrada en el Sistema de Información Financiera, en incumplimiento del Marco Normativo del Régimen de Contabilidad Pública. </v>
      </c>
      <c r="C40" s="493">
        <f>+'3 PROBABIL E IMPACTO INHERENTE'!E15</f>
        <v>0.6</v>
      </c>
      <c r="D40" s="496">
        <f>+'3 PROBABIL E IMPACTO INHERENTE'!M15</f>
        <v>0.8</v>
      </c>
      <c r="E40" s="252">
        <v>1</v>
      </c>
      <c r="F40" s="333" t="s">
        <v>444</v>
      </c>
      <c r="G40" s="334" t="s">
        <v>445</v>
      </c>
      <c r="H40" s="334" t="s">
        <v>446</v>
      </c>
      <c r="I40" s="335" t="str">
        <f t="shared" si="0"/>
        <v>El profesional especializado del Área de Contabilidad  revisa y valida periódicamente la información contable y financiera registrada en el Sistema de Información Financiera,  mediante actividades de conciliación, depuración, análisis de saldos y articulación con las dependencias involucradas, con el fin de garantizar la razonabilidad y consistencia de la información financiera del Municipio de Bucaramanga conforme al Marco Normativo del Régimen de Contabilidad Pública.</v>
      </c>
      <c r="J40" s="290" t="s">
        <v>133</v>
      </c>
      <c r="K40" s="216">
        <f>+IFERROR(VLOOKUP($J40,'11 FORMULAS'!$B$51:$C$53,2,0),"")</f>
        <v>0.25</v>
      </c>
      <c r="L40" s="216" t="str">
        <f>+IFERROR(VLOOKUP($J40,'11 FORMULAS'!$B$51:$D$53,3,0),"")</f>
        <v>Probabilidad</v>
      </c>
      <c r="M40" s="253" t="s">
        <v>145</v>
      </c>
      <c r="N40" s="216">
        <f>+IFERROR(VLOOKUP($M40,'11 FORMULAS'!$B$54:$C$55,2,0),"")</f>
        <v>0.15</v>
      </c>
      <c r="O40" s="255" t="s">
        <v>146</v>
      </c>
      <c r="P40" s="255" t="s">
        <v>237</v>
      </c>
      <c r="Q40" s="255" t="s">
        <v>148</v>
      </c>
      <c r="R40" s="255" t="s">
        <v>138</v>
      </c>
      <c r="S40" s="216">
        <f t="shared" si="1"/>
        <v>0.4</v>
      </c>
      <c r="T40" s="216">
        <f>IF($L40='11 FORMULAS'!$D$51,$C$10-($C$10*$S$10),$C$10)</f>
        <v>0.36</v>
      </c>
      <c r="U40" s="216">
        <f>IF($L40='11 FORMULAS'!$D$53,$D$40-($D$40*$S$40),$D$40)</f>
        <v>0.8</v>
      </c>
      <c r="V40" s="485">
        <f>+IF(T45="","",T45)</f>
        <v>0.6</v>
      </c>
      <c r="W40" s="489">
        <f>+IF(U45="","",U45)</f>
        <v>0.8</v>
      </c>
      <c r="X40" s="28"/>
      <c r="Y40" s="214"/>
      <c r="Z40" s="215"/>
      <c r="AA40" s="215"/>
    </row>
    <row r="41" spans="1:27" ht="29.45" customHeight="1" x14ac:dyDescent="0.25">
      <c r="A41" s="501"/>
      <c r="B41" s="505"/>
      <c r="C41" s="357"/>
      <c r="D41" s="497"/>
      <c r="E41" s="252">
        <v>2</v>
      </c>
      <c r="F41" s="239"/>
      <c r="G41" s="236"/>
      <c r="H41" s="236"/>
      <c r="I41" s="212" t="str">
        <f t="shared" si="0"/>
        <v xml:space="preserve">  </v>
      </c>
      <c r="J41" s="290"/>
      <c r="K41" s="216" t="str">
        <f>+IFERROR(VLOOKUP($J41,'11 FORMULAS'!$B$51:$C$53,2,0),"")</f>
        <v/>
      </c>
      <c r="L41" s="216" t="str">
        <f>+IFERROR(VLOOKUP($J41,'11 FORMULAS'!$B$51:$D$53,3,0),"")</f>
        <v/>
      </c>
      <c r="M41" s="253"/>
      <c r="N41" s="216" t="str">
        <f>+IFERROR(VLOOKUP($M41,'11 FORMULAS'!$B$54:$C$55,2,0),"")</f>
        <v/>
      </c>
      <c r="O41" s="255"/>
      <c r="P41" s="255"/>
      <c r="Q41" s="255"/>
      <c r="R41" s="255"/>
      <c r="S41" s="216" t="str">
        <f t="shared" si="1"/>
        <v/>
      </c>
      <c r="T41" s="216">
        <f>IF($L41='11 FORMULAS'!$D$51,$C$10-($C$10*$S$10),$C$10)</f>
        <v>0.6</v>
      </c>
      <c r="U41" s="216">
        <f>IF($L41='11 FORMULAS'!$D$53,$D$40-($D$40*$S$40),$D$40)</f>
        <v>0.8</v>
      </c>
      <c r="V41" s="486"/>
      <c r="W41" s="490"/>
      <c r="X41" s="28"/>
      <c r="Y41" s="214"/>
      <c r="Z41" s="215"/>
      <c r="AA41" s="215"/>
    </row>
    <row r="42" spans="1:27" ht="29.45" customHeight="1" x14ac:dyDescent="0.25">
      <c r="A42" s="501"/>
      <c r="B42" s="505"/>
      <c r="C42" s="357"/>
      <c r="D42" s="497"/>
      <c r="E42" s="252">
        <v>3</v>
      </c>
      <c r="F42" s="239"/>
      <c r="G42" s="236"/>
      <c r="H42" s="236"/>
      <c r="I42" s="212" t="str">
        <f t="shared" si="0"/>
        <v xml:space="preserve">  </v>
      </c>
      <c r="J42" s="290"/>
      <c r="K42" s="216" t="str">
        <f>+IFERROR(VLOOKUP($J42,'11 FORMULAS'!$B$51:$C$53,2,0),"")</f>
        <v/>
      </c>
      <c r="L42" s="216" t="str">
        <f>+IFERROR(VLOOKUP($J42,'11 FORMULAS'!$B$51:$D$53,3,0),"")</f>
        <v/>
      </c>
      <c r="M42" s="253"/>
      <c r="N42" s="216" t="str">
        <f>+IFERROR(VLOOKUP($M42,'11 FORMULAS'!$B$54:$C$55,2,0),"")</f>
        <v/>
      </c>
      <c r="O42" s="255"/>
      <c r="P42" s="255"/>
      <c r="Q42" s="255"/>
      <c r="R42" s="255"/>
      <c r="S42" s="216" t="str">
        <f t="shared" si="1"/>
        <v/>
      </c>
      <c r="T42" s="216">
        <f>IF($L42='11 FORMULAS'!$D$51,$C$10-($C$10*$S$10),$C$10)</f>
        <v>0.6</v>
      </c>
      <c r="U42" s="216">
        <f>IF($L42='11 FORMULAS'!$D$53,$D$40-($D$40*$S$40),$D$40)</f>
        <v>0.8</v>
      </c>
      <c r="V42" s="486"/>
      <c r="W42" s="490"/>
      <c r="X42" s="28"/>
      <c r="Y42" s="214"/>
      <c r="Z42" s="215"/>
      <c r="AA42" s="215"/>
    </row>
    <row r="43" spans="1:27" ht="29.45" customHeight="1" x14ac:dyDescent="0.25">
      <c r="A43" s="502"/>
      <c r="B43" s="506"/>
      <c r="C43" s="494"/>
      <c r="D43" s="498"/>
      <c r="E43" s="252">
        <v>4</v>
      </c>
      <c r="F43" s="240"/>
      <c r="G43" s="163"/>
      <c r="H43" s="163"/>
      <c r="I43" s="212" t="str">
        <f t="shared" si="0"/>
        <v xml:space="preserve">  </v>
      </c>
      <c r="J43" s="290"/>
      <c r="K43" s="216" t="str">
        <f>+IFERROR(VLOOKUP($J43,'11 FORMULAS'!$B$51:$C$53,2,0),"")</f>
        <v/>
      </c>
      <c r="L43" s="216" t="str">
        <f>+IFERROR(VLOOKUP($J43,'11 FORMULAS'!$B$51:$D$53,3,0),"")</f>
        <v/>
      </c>
      <c r="M43" s="253"/>
      <c r="N43" s="216" t="str">
        <f>+IFERROR(VLOOKUP($M43,'11 FORMULAS'!$B$54:$C$55,2,0),"")</f>
        <v/>
      </c>
      <c r="O43" s="255"/>
      <c r="P43" s="255"/>
      <c r="Q43" s="255"/>
      <c r="R43" s="255"/>
      <c r="S43" s="216" t="str">
        <f t="shared" si="1"/>
        <v/>
      </c>
      <c r="T43" s="216">
        <f>IF($L43='11 FORMULAS'!$D$51,$C$10-($C$10*$S$10),$C$10)</f>
        <v>0.6</v>
      </c>
      <c r="U43" s="216">
        <f>IF($L43='11 FORMULAS'!$D$53,$D$40-($D$40*$S$40),$D$40)</f>
        <v>0.8</v>
      </c>
      <c r="V43" s="487"/>
      <c r="W43" s="491"/>
      <c r="X43" s="28"/>
      <c r="Y43" s="214"/>
      <c r="Z43" s="215"/>
      <c r="AA43" s="215"/>
    </row>
    <row r="44" spans="1:27" ht="29.45" customHeight="1" x14ac:dyDescent="0.25">
      <c r="A44" s="502"/>
      <c r="B44" s="506"/>
      <c r="C44" s="494"/>
      <c r="D44" s="498"/>
      <c r="E44" s="252">
        <v>5</v>
      </c>
      <c r="F44" s="240"/>
      <c r="G44" s="163"/>
      <c r="H44" s="163"/>
      <c r="I44" s="212" t="str">
        <f t="shared" si="0"/>
        <v xml:space="preserve">  </v>
      </c>
      <c r="J44" s="290"/>
      <c r="K44" s="216" t="str">
        <f>+IFERROR(VLOOKUP($J44,'11 FORMULAS'!$B$51:$C$53,2,0),"")</f>
        <v/>
      </c>
      <c r="L44" s="216" t="str">
        <f>+IFERROR(VLOOKUP($J44,'11 FORMULAS'!$B$51:$D$53,3,0),"")</f>
        <v/>
      </c>
      <c r="M44" s="253"/>
      <c r="N44" s="216" t="str">
        <f>+IFERROR(VLOOKUP($M44,'11 FORMULAS'!$B$54:$C$55,2,0),"")</f>
        <v/>
      </c>
      <c r="O44" s="255"/>
      <c r="P44" s="255"/>
      <c r="Q44" s="255"/>
      <c r="R44" s="255"/>
      <c r="S44" s="216" t="str">
        <f t="shared" si="1"/>
        <v/>
      </c>
      <c r="T44" s="216">
        <f>IF($L44='11 FORMULAS'!$D$51,$C$10-($C$10*$S$10),$C$10)</f>
        <v>0.6</v>
      </c>
      <c r="U44" s="216">
        <f>IF($L44='11 FORMULAS'!$D$53,$D$40-($D$40*$S$40),$D$40)</f>
        <v>0.8</v>
      </c>
      <c r="V44" s="487"/>
      <c r="W44" s="491"/>
      <c r="X44" s="28"/>
      <c r="Y44" s="214"/>
      <c r="Z44" s="215"/>
      <c r="AA44" s="215"/>
    </row>
    <row r="45" spans="1:27" ht="29.45" customHeight="1" thickBot="1" x14ac:dyDescent="0.3">
      <c r="A45" s="503"/>
      <c r="B45" s="507"/>
      <c r="C45" s="495"/>
      <c r="D45" s="499"/>
      <c r="E45" s="256">
        <v>6</v>
      </c>
      <c r="F45" s="243"/>
      <c r="G45" s="164"/>
      <c r="H45" s="164"/>
      <c r="I45" s="212" t="str">
        <f t="shared" si="0"/>
        <v xml:space="preserve">  </v>
      </c>
      <c r="J45" s="290"/>
      <c r="K45" s="216" t="str">
        <f>+IFERROR(VLOOKUP($J45,'11 FORMULAS'!$B$51:$C$53,2,0),"")</f>
        <v/>
      </c>
      <c r="L45" s="216" t="str">
        <f>+IFERROR(VLOOKUP($J45,'11 FORMULAS'!$B$51:$D$53,3,0),"")</f>
        <v/>
      </c>
      <c r="M45" s="253"/>
      <c r="N45" s="216" t="str">
        <f>+IFERROR(VLOOKUP($M45,'11 FORMULAS'!$B$54:$C$55,2,0),"")</f>
        <v/>
      </c>
      <c r="O45" s="255"/>
      <c r="P45" s="255"/>
      <c r="Q45" s="255"/>
      <c r="R45" s="255"/>
      <c r="S45" s="216" t="str">
        <f t="shared" si="1"/>
        <v/>
      </c>
      <c r="T45" s="216">
        <f>IF($L45='11 FORMULAS'!$D$51,$C$10-($C$10*$S$10),$C$10)</f>
        <v>0.6</v>
      </c>
      <c r="U45" s="216">
        <f>IF($L45='11 FORMULAS'!$D$53,$D$40-($D$40*$S$40),$D$40)</f>
        <v>0.8</v>
      </c>
      <c r="V45" s="488"/>
      <c r="W45" s="492"/>
      <c r="X45" s="28"/>
    </row>
    <row r="46" spans="1:27" ht="93.75" customHeight="1" x14ac:dyDescent="0.25">
      <c r="A46" s="500" t="str">
        <f>'2 IDENTIFICACIÓN'!A16</f>
        <v>R7</v>
      </c>
      <c r="B46" s="504" t="str">
        <f>+'2 IDENTIFICACIÓN'!J16</f>
        <v>Posibilidad de afectación reputacional por investigaciones y sanciones disciplinarias por entes de control debido a la falta de seguimiento al cumplimiento de metas del Plan de Desarrollo Municipal programadas para la vigencia.</v>
      </c>
      <c r="C46" s="493">
        <f>+'3 PROBABIL E IMPACTO INHERENTE'!E16</f>
        <v>0.4</v>
      </c>
      <c r="D46" s="496">
        <f>+'3 PROBABIL E IMPACTO INHERENTE'!M16</f>
        <v>0.6</v>
      </c>
      <c r="E46" s="257">
        <v>1</v>
      </c>
      <c r="F46" s="333" t="s">
        <v>454</v>
      </c>
      <c r="G46" s="334" t="s">
        <v>455</v>
      </c>
      <c r="H46" s="334" t="s">
        <v>456</v>
      </c>
      <c r="I46" s="335" t="str">
        <f t="shared" si="0"/>
        <v>La Secretaría de Hacienda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J46" s="290" t="s">
        <v>133</v>
      </c>
      <c r="K46" s="216">
        <f>+IFERROR(VLOOKUP($J46,'11 FORMULAS'!$B$51:$C$53,2,0),"")</f>
        <v>0.25</v>
      </c>
      <c r="L46" s="216" t="str">
        <f>+IFERROR(VLOOKUP($J46,'11 FORMULAS'!$B$51:$D$53,3,0),"")</f>
        <v>Probabilidad</v>
      </c>
      <c r="M46" s="253" t="s">
        <v>145</v>
      </c>
      <c r="N46" s="216">
        <f>+IFERROR(VLOOKUP($M46,'11 FORMULAS'!$B$54:$C$55,2,0),"")</f>
        <v>0.15</v>
      </c>
      <c r="O46" s="255" t="s">
        <v>135</v>
      </c>
      <c r="P46" s="255" t="s">
        <v>239</v>
      </c>
      <c r="Q46" s="255" t="s">
        <v>137</v>
      </c>
      <c r="R46" s="255" t="s">
        <v>138</v>
      </c>
      <c r="S46" s="216">
        <f t="shared" si="1"/>
        <v>0.4</v>
      </c>
      <c r="T46" s="216">
        <f>IF($L46='11 FORMULAS'!$D$51,$C$10-($C$10*$S$10),$C$10)</f>
        <v>0.36</v>
      </c>
      <c r="U46" s="216">
        <f>IF($L46='11 FORMULAS'!$D$53,$D$46-($D$46*$S$46),$D$46)</f>
        <v>0.6</v>
      </c>
      <c r="V46" s="485">
        <f>+IF(T51="","",T51)</f>
        <v>0.6</v>
      </c>
      <c r="W46" s="489">
        <f>+IF(U51="","",U51)</f>
        <v>0.6</v>
      </c>
      <c r="X46" s="28"/>
      <c r="Y46" s="214"/>
      <c r="Z46" s="215"/>
      <c r="AA46" s="215"/>
    </row>
    <row r="47" spans="1:27" ht="29.45" customHeight="1" x14ac:dyDescent="0.25">
      <c r="A47" s="502"/>
      <c r="B47" s="506"/>
      <c r="C47" s="494"/>
      <c r="D47" s="498"/>
      <c r="E47" s="252">
        <v>2</v>
      </c>
      <c r="F47" s="240"/>
      <c r="G47" s="163"/>
      <c r="H47" s="163"/>
      <c r="I47" s="212" t="str">
        <f t="shared" si="0"/>
        <v xml:space="preserve">  </v>
      </c>
      <c r="J47" s="290"/>
      <c r="K47" s="216" t="str">
        <f>+IFERROR(VLOOKUP($J47,'11 FORMULAS'!$B$51:$C$53,2,0),"")</f>
        <v/>
      </c>
      <c r="L47" s="216" t="str">
        <f>+IFERROR(VLOOKUP($J47,'11 FORMULAS'!$B$51:$D$53,3,0),"")</f>
        <v/>
      </c>
      <c r="M47" s="253"/>
      <c r="N47" s="216" t="str">
        <f>+IFERROR(VLOOKUP($M47,'11 FORMULAS'!$B$54:$C$55,2,0),"")</f>
        <v/>
      </c>
      <c r="O47" s="255"/>
      <c r="P47" s="255"/>
      <c r="Q47" s="255"/>
      <c r="R47" s="255"/>
      <c r="S47" s="216" t="str">
        <f t="shared" si="1"/>
        <v/>
      </c>
      <c r="T47" s="216">
        <f>IF($L47='11 FORMULAS'!$D$51,$C$10-($C$10*$S$10),$C$10)</f>
        <v>0.6</v>
      </c>
      <c r="U47" s="216">
        <f>IF($L47='11 FORMULAS'!$D$53,$D$46-($D$46*$S$46),$D$46)</f>
        <v>0.6</v>
      </c>
      <c r="V47" s="487"/>
      <c r="W47" s="491"/>
      <c r="X47" s="28"/>
      <c r="Y47" s="214"/>
      <c r="Z47" s="215"/>
      <c r="AA47" s="215"/>
    </row>
    <row r="48" spans="1:27" ht="29.45" customHeight="1" x14ac:dyDescent="0.25">
      <c r="A48" s="502"/>
      <c r="B48" s="506"/>
      <c r="C48" s="494"/>
      <c r="D48" s="498"/>
      <c r="E48" s="252">
        <v>3</v>
      </c>
      <c r="F48" s="240"/>
      <c r="G48" s="163"/>
      <c r="H48" s="163"/>
      <c r="I48" s="212" t="str">
        <f t="shared" si="0"/>
        <v xml:space="preserve">  </v>
      </c>
      <c r="J48" s="290"/>
      <c r="K48" s="216" t="str">
        <f>+IFERROR(VLOOKUP($J48,'11 FORMULAS'!$B$51:$C$53,2,0),"")</f>
        <v/>
      </c>
      <c r="L48" s="216" t="str">
        <f>+IFERROR(VLOOKUP($J48,'11 FORMULAS'!$B$51:$D$53,3,0),"")</f>
        <v/>
      </c>
      <c r="M48" s="253"/>
      <c r="N48" s="216" t="str">
        <f>+IFERROR(VLOOKUP($M48,'11 FORMULAS'!$B$54:$C$55,2,0),"")</f>
        <v/>
      </c>
      <c r="O48" s="255"/>
      <c r="P48" s="255"/>
      <c r="Q48" s="255"/>
      <c r="R48" s="255"/>
      <c r="S48" s="216" t="str">
        <f t="shared" si="1"/>
        <v/>
      </c>
      <c r="T48" s="216">
        <f>IF($L48='11 FORMULAS'!$D$51,$C$10-($C$10*$S$10),$C$10)</f>
        <v>0.6</v>
      </c>
      <c r="U48" s="216">
        <f>IF($L48='11 FORMULAS'!$D$53,$D$46-($D$46*$S$46),$D$46)</f>
        <v>0.6</v>
      </c>
      <c r="V48" s="487"/>
      <c r="W48" s="491"/>
      <c r="X48" s="28"/>
      <c r="Y48" s="214"/>
      <c r="Z48" s="215"/>
      <c r="AA48" s="215"/>
    </row>
    <row r="49" spans="1:27" ht="29.45" customHeight="1" x14ac:dyDescent="0.25">
      <c r="A49" s="502"/>
      <c r="B49" s="506"/>
      <c r="C49" s="494"/>
      <c r="D49" s="498"/>
      <c r="E49" s="252">
        <v>4</v>
      </c>
      <c r="F49" s="240"/>
      <c r="G49" s="163"/>
      <c r="H49" s="163"/>
      <c r="I49" s="212" t="str">
        <f t="shared" si="0"/>
        <v xml:space="preserve">  </v>
      </c>
      <c r="J49" s="290"/>
      <c r="K49" s="216" t="str">
        <f>+IFERROR(VLOOKUP($J49,'11 FORMULAS'!$B$51:$C$53,2,0),"")</f>
        <v/>
      </c>
      <c r="L49" s="216" t="str">
        <f>+IFERROR(VLOOKUP($J49,'11 FORMULAS'!$B$51:$D$53,3,0),"")</f>
        <v/>
      </c>
      <c r="M49" s="253"/>
      <c r="N49" s="216" t="str">
        <f>+IFERROR(VLOOKUP($M49,'11 FORMULAS'!$B$54:$C$55,2,0),"")</f>
        <v/>
      </c>
      <c r="O49" s="255"/>
      <c r="P49" s="255"/>
      <c r="Q49" s="255"/>
      <c r="R49" s="255"/>
      <c r="S49" s="216" t="str">
        <f t="shared" si="1"/>
        <v/>
      </c>
      <c r="T49" s="216">
        <f>IF($L49='11 FORMULAS'!$D$51,$C$10-($C$10*$S$10),$C$10)</f>
        <v>0.6</v>
      </c>
      <c r="U49" s="216">
        <f>IF($L49='11 FORMULAS'!$D$53,$D$46-($D$46*$S$46),$D$46)</f>
        <v>0.6</v>
      </c>
      <c r="V49" s="487"/>
      <c r="W49" s="491"/>
      <c r="X49" s="28"/>
      <c r="Y49" s="214"/>
      <c r="Z49" s="215"/>
      <c r="AA49" s="215"/>
    </row>
    <row r="50" spans="1:27" ht="29.45" customHeight="1" x14ac:dyDescent="0.25">
      <c r="A50" s="502"/>
      <c r="B50" s="506"/>
      <c r="C50" s="494"/>
      <c r="D50" s="498"/>
      <c r="E50" s="252">
        <v>5</v>
      </c>
      <c r="F50" s="240"/>
      <c r="G50" s="163"/>
      <c r="H50" s="163"/>
      <c r="I50" s="212" t="str">
        <f t="shared" si="0"/>
        <v xml:space="preserve">  </v>
      </c>
      <c r="J50" s="290"/>
      <c r="K50" s="216" t="str">
        <f>+IFERROR(VLOOKUP($J50,'11 FORMULAS'!$B$51:$C$53,2,0),"")</f>
        <v/>
      </c>
      <c r="L50" s="216" t="str">
        <f>+IFERROR(VLOOKUP($J50,'11 FORMULAS'!$B$51:$D$53,3,0),"")</f>
        <v/>
      </c>
      <c r="M50" s="253"/>
      <c r="N50" s="216" t="str">
        <f>+IFERROR(VLOOKUP($M50,'11 FORMULAS'!$B$54:$C$55,2,0),"")</f>
        <v/>
      </c>
      <c r="O50" s="255"/>
      <c r="P50" s="255"/>
      <c r="Q50" s="255"/>
      <c r="R50" s="255"/>
      <c r="S50" s="216" t="str">
        <f t="shared" si="1"/>
        <v/>
      </c>
      <c r="T50" s="216">
        <f>IF($L50='11 FORMULAS'!$D$51,$C$10-($C$10*$S$10),$C$10)</f>
        <v>0.6</v>
      </c>
      <c r="U50" s="216">
        <f>IF($L50='11 FORMULAS'!$D$53,$D$46-($D$46*$S$46),$D$46)</f>
        <v>0.6</v>
      </c>
      <c r="V50" s="487"/>
      <c r="W50" s="491"/>
      <c r="X50" s="28"/>
      <c r="Y50" s="214"/>
      <c r="Z50" s="215"/>
      <c r="AA50" s="215"/>
    </row>
    <row r="51" spans="1:27" ht="29.45" customHeight="1" thickBot="1" x14ac:dyDescent="0.3">
      <c r="A51" s="503"/>
      <c r="B51" s="507"/>
      <c r="C51" s="495"/>
      <c r="D51" s="499"/>
      <c r="E51" s="256">
        <v>6</v>
      </c>
      <c r="F51" s="243"/>
      <c r="G51" s="164"/>
      <c r="H51" s="164"/>
      <c r="I51" s="212" t="str">
        <f t="shared" si="0"/>
        <v xml:space="preserve">  </v>
      </c>
      <c r="J51" s="290"/>
      <c r="K51" s="216" t="str">
        <f>+IFERROR(VLOOKUP($J51,'11 FORMULAS'!$B$51:$C$53,2,0),"")</f>
        <v/>
      </c>
      <c r="L51" s="216" t="str">
        <f>+IFERROR(VLOOKUP($J51,'11 FORMULAS'!$B$51:$D$53,3,0),"")</f>
        <v/>
      </c>
      <c r="M51" s="253"/>
      <c r="N51" s="216" t="str">
        <f>+IFERROR(VLOOKUP($M51,'11 FORMULAS'!$B$54:$C$55,2,0),"")</f>
        <v/>
      </c>
      <c r="O51" s="255"/>
      <c r="P51" s="255"/>
      <c r="Q51" s="255"/>
      <c r="R51" s="255"/>
      <c r="S51" s="216" t="str">
        <f t="shared" si="1"/>
        <v/>
      </c>
      <c r="T51" s="216">
        <f>IF($L51='11 FORMULAS'!$D$51,$C$10-($C$10*$S$10),$C$10)</f>
        <v>0.6</v>
      </c>
      <c r="U51" s="216">
        <f>IF($L51='11 FORMULAS'!$D$53,$D$46-($D$46*$S$46),$D$46)</f>
        <v>0.6</v>
      </c>
      <c r="V51" s="488"/>
      <c r="W51" s="492"/>
      <c r="X51" s="28"/>
    </row>
    <row r="52" spans="1:27" ht="73.5" customHeight="1" x14ac:dyDescent="0.25">
      <c r="A52" s="500" t="str">
        <f>'2 IDENTIFICACIÓN'!A17</f>
        <v>R8</v>
      </c>
      <c r="B52" s="504" t="str">
        <f>+'2 IDENTIFICACIÓN'!J17</f>
        <v xml:space="preserve">Posibilidad de afectación reputacional por debilidades en la publicación y actualización de la información obligatoria en la página web institucional,  debido a incumplimiento de los lineamientos establecidos en la Ley 1712 de 2014 y la Resolución 1519 de 2020 del MINTIC. </v>
      </c>
      <c r="C52" s="493">
        <f>+'3 PROBABIL E IMPACTO INHERENTE'!E17</f>
        <v>0.6</v>
      </c>
      <c r="D52" s="496">
        <f>+'3 PROBABIL E IMPACTO INHERENTE'!M17</f>
        <v>0.4</v>
      </c>
      <c r="E52" s="257">
        <v>1</v>
      </c>
      <c r="F52" s="333" t="s">
        <v>463</v>
      </c>
      <c r="G52" s="334" t="s">
        <v>464</v>
      </c>
      <c r="H52" s="334" t="s">
        <v>465</v>
      </c>
      <c r="I52" s="335" t="str">
        <f t="shared" si="0"/>
        <v>El profesional asignado por el líder del proceso  verifica la información sujeta a publicación y actualización en la página web institucional,  de acuerdo con los lineamientos establecidos en la Resolución 1519 de 2020 y sus anexos.</v>
      </c>
      <c r="J52" s="290" t="s">
        <v>133</v>
      </c>
      <c r="K52" s="216">
        <f>+IFERROR(VLOOKUP($J52,'11 FORMULAS'!$B$51:$C$53,2,0),"")</f>
        <v>0.25</v>
      </c>
      <c r="L52" s="216" t="str">
        <f>+IFERROR(VLOOKUP($J52,'11 FORMULAS'!$B$51:$D$53,3,0),"")</f>
        <v>Probabilidad</v>
      </c>
      <c r="M52" s="253" t="s">
        <v>145</v>
      </c>
      <c r="N52" s="216">
        <f>+IFERROR(VLOOKUP($M52,'11 FORMULAS'!$B$54:$C$55,2,0),"")</f>
        <v>0.15</v>
      </c>
      <c r="O52" s="255" t="s">
        <v>146</v>
      </c>
      <c r="P52" s="255" t="s">
        <v>237</v>
      </c>
      <c r="Q52" s="255" t="s">
        <v>137</v>
      </c>
      <c r="R52" s="255" t="s">
        <v>138</v>
      </c>
      <c r="S52" s="216">
        <f t="shared" si="1"/>
        <v>0.4</v>
      </c>
      <c r="T52" s="216">
        <f>IF($L52='11 FORMULAS'!$D$51,$C$10-($C$10*$S$10),$C$10)</f>
        <v>0.36</v>
      </c>
      <c r="U52" s="216">
        <f>IF($L52='11 FORMULAS'!$D$53,$D$52-($D$52*$S$52),$D$52)</f>
        <v>0.4</v>
      </c>
      <c r="V52" s="485">
        <f>+IF(T57="","",T57)</f>
        <v>0.6</v>
      </c>
      <c r="W52" s="489">
        <f>+IF(U57="","",U57)</f>
        <v>0.4</v>
      </c>
      <c r="X52" s="28"/>
      <c r="Y52" s="214"/>
      <c r="Z52" s="215"/>
      <c r="AA52" s="215"/>
    </row>
    <row r="53" spans="1:27" ht="29.45" customHeight="1" x14ac:dyDescent="0.25">
      <c r="A53" s="502"/>
      <c r="B53" s="506"/>
      <c r="C53" s="494"/>
      <c r="D53" s="498"/>
      <c r="E53" s="252">
        <v>2</v>
      </c>
      <c r="F53" s="240"/>
      <c r="G53" s="163"/>
      <c r="H53" s="163"/>
      <c r="I53" s="212" t="str">
        <f t="shared" si="0"/>
        <v xml:space="preserve">  </v>
      </c>
      <c r="J53" s="290"/>
      <c r="K53" s="216" t="str">
        <f>+IFERROR(VLOOKUP($J53,'11 FORMULAS'!$B$51:$C$53,2,0),"")</f>
        <v/>
      </c>
      <c r="L53" s="216" t="str">
        <f>+IFERROR(VLOOKUP($J53,'11 FORMULAS'!$B$51:$D$53,3,0),"")</f>
        <v/>
      </c>
      <c r="M53" s="253"/>
      <c r="N53" s="216" t="str">
        <f>+IFERROR(VLOOKUP($M53,'11 FORMULAS'!$B$54:$C$55,2,0),"")</f>
        <v/>
      </c>
      <c r="O53" s="255"/>
      <c r="P53" s="255"/>
      <c r="Q53" s="255"/>
      <c r="R53" s="255"/>
      <c r="S53" s="216" t="str">
        <f t="shared" si="1"/>
        <v/>
      </c>
      <c r="T53" s="216">
        <f>IF($L53='11 FORMULAS'!$D$51,$C$10-($C$10*$S$10),$C$10)</f>
        <v>0.6</v>
      </c>
      <c r="U53" s="216">
        <f>IF($L53='11 FORMULAS'!$D$53,$D$52-($D$52*$S$52),$D$52)</f>
        <v>0.4</v>
      </c>
      <c r="V53" s="487"/>
      <c r="W53" s="491"/>
      <c r="X53" s="28"/>
      <c r="Y53" s="214"/>
      <c r="Z53" s="215"/>
      <c r="AA53" s="215"/>
    </row>
    <row r="54" spans="1:27" ht="29.45" customHeight="1" x14ac:dyDescent="0.25">
      <c r="A54" s="502"/>
      <c r="B54" s="506"/>
      <c r="C54" s="494"/>
      <c r="D54" s="498"/>
      <c r="E54" s="252">
        <v>3</v>
      </c>
      <c r="F54" s="240"/>
      <c r="G54" s="163"/>
      <c r="H54" s="163"/>
      <c r="I54" s="212" t="str">
        <f t="shared" si="0"/>
        <v xml:space="preserve">  </v>
      </c>
      <c r="J54" s="290"/>
      <c r="K54" s="216" t="str">
        <f>+IFERROR(VLOOKUP($J54,'11 FORMULAS'!$B$51:$C$53,2,0),"")</f>
        <v/>
      </c>
      <c r="L54" s="216" t="str">
        <f>+IFERROR(VLOOKUP($J54,'11 FORMULAS'!$B$51:$D$53,3,0),"")</f>
        <v/>
      </c>
      <c r="M54" s="253"/>
      <c r="N54" s="216" t="str">
        <f>+IFERROR(VLOOKUP($M54,'11 FORMULAS'!$B$54:$C$55,2,0),"")</f>
        <v/>
      </c>
      <c r="O54" s="255"/>
      <c r="P54" s="255"/>
      <c r="Q54" s="255"/>
      <c r="R54" s="255"/>
      <c r="S54" s="216" t="str">
        <f t="shared" si="1"/>
        <v/>
      </c>
      <c r="T54" s="216">
        <f>IF($L54='11 FORMULAS'!$D$51,$C$10-($C$10*$S$10),$C$10)</f>
        <v>0.6</v>
      </c>
      <c r="U54" s="216">
        <f>IF($L54='11 FORMULAS'!$D$53,$D$52-($D$52*$S$52),$D$52)</f>
        <v>0.4</v>
      </c>
      <c r="V54" s="487"/>
      <c r="W54" s="491"/>
      <c r="X54" s="28"/>
      <c r="Y54" s="214"/>
      <c r="Z54" s="215"/>
      <c r="AA54" s="215"/>
    </row>
    <row r="55" spans="1:27" ht="29.45" customHeight="1" x14ac:dyDescent="0.25">
      <c r="A55" s="502"/>
      <c r="B55" s="506"/>
      <c r="C55" s="494"/>
      <c r="D55" s="498"/>
      <c r="E55" s="252">
        <v>4</v>
      </c>
      <c r="F55" s="240"/>
      <c r="G55" s="163"/>
      <c r="H55" s="163"/>
      <c r="I55" s="212" t="str">
        <f t="shared" si="0"/>
        <v xml:space="preserve">  </v>
      </c>
      <c r="J55" s="290"/>
      <c r="K55" s="216" t="str">
        <f>+IFERROR(VLOOKUP($J55,'11 FORMULAS'!$B$51:$C$53,2,0),"")</f>
        <v/>
      </c>
      <c r="L55" s="216" t="str">
        <f>+IFERROR(VLOOKUP($J55,'11 FORMULAS'!$B$51:$D$53,3,0),"")</f>
        <v/>
      </c>
      <c r="M55" s="253"/>
      <c r="N55" s="216" t="str">
        <f>+IFERROR(VLOOKUP($M55,'11 FORMULAS'!$B$54:$C$55,2,0),"")</f>
        <v/>
      </c>
      <c r="O55" s="255"/>
      <c r="P55" s="255"/>
      <c r="Q55" s="255"/>
      <c r="R55" s="255"/>
      <c r="S55" s="216" t="str">
        <f t="shared" si="1"/>
        <v/>
      </c>
      <c r="T55" s="216">
        <f>IF($L55='11 FORMULAS'!$D$51,$C$10-($C$10*$S$10),$C$10)</f>
        <v>0.6</v>
      </c>
      <c r="U55" s="216">
        <f>IF($L55='11 FORMULAS'!$D$53,$D$52-($D$52*$S$52),$D$52)</f>
        <v>0.4</v>
      </c>
      <c r="V55" s="487"/>
      <c r="W55" s="491"/>
      <c r="X55" s="28"/>
      <c r="Y55" s="214"/>
      <c r="Z55" s="215"/>
      <c r="AA55" s="215"/>
    </row>
    <row r="56" spans="1:27" ht="29.45" customHeight="1" x14ac:dyDescent="0.25">
      <c r="A56" s="502"/>
      <c r="B56" s="506"/>
      <c r="C56" s="494"/>
      <c r="D56" s="498"/>
      <c r="E56" s="252">
        <v>5</v>
      </c>
      <c r="F56" s="240"/>
      <c r="G56" s="163"/>
      <c r="H56" s="163"/>
      <c r="I56" s="212" t="str">
        <f t="shared" si="0"/>
        <v xml:space="preserve">  </v>
      </c>
      <c r="J56" s="290"/>
      <c r="K56" s="216" t="str">
        <f>+IFERROR(VLOOKUP($J56,'11 FORMULAS'!$B$51:$C$53,2,0),"")</f>
        <v/>
      </c>
      <c r="L56" s="216" t="str">
        <f>+IFERROR(VLOOKUP($J56,'11 FORMULAS'!$B$51:$D$53,3,0),"")</f>
        <v/>
      </c>
      <c r="M56" s="253"/>
      <c r="N56" s="216" t="str">
        <f>+IFERROR(VLOOKUP($M56,'11 FORMULAS'!$B$54:$C$55,2,0),"")</f>
        <v/>
      </c>
      <c r="O56" s="255"/>
      <c r="P56" s="255"/>
      <c r="Q56" s="255"/>
      <c r="R56" s="255"/>
      <c r="S56" s="216" t="str">
        <f t="shared" si="1"/>
        <v/>
      </c>
      <c r="T56" s="216">
        <f>IF($L56='11 FORMULAS'!$D$51,$C$10-($C$10*$S$10),$C$10)</f>
        <v>0.6</v>
      </c>
      <c r="U56" s="216">
        <f>IF($L56='11 FORMULAS'!$D$53,$D$52-($D$52*$S$52),$D$52)</f>
        <v>0.4</v>
      </c>
      <c r="V56" s="487"/>
      <c r="W56" s="491"/>
      <c r="X56" s="28"/>
      <c r="Y56" s="214"/>
      <c r="Z56" s="215"/>
      <c r="AA56" s="215"/>
    </row>
    <row r="57" spans="1:27" ht="29.45" customHeight="1" thickBot="1" x14ac:dyDescent="0.3">
      <c r="A57" s="503"/>
      <c r="B57" s="507"/>
      <c r="C57" s="495"/>
      <c r="D57" s="499"/>
      <c r="E57" s="256">
        <v>6</v>
      </c>
      <c r="F57" s="243"/>
      <c r="G57" s="164"/>
      <c r="H57" s="164"/>
      <c r="I57" s="212" t="str">
        <f t="shared" si="0"/>
        <v xml:space="preserve">  </v>
      </c>
      <c r="J57" s="290"/>
      <c r="K57" s="216" t="str">
        <f>+IFERROR(VLOOKUP($J57,'11 FORMULAS'!$B$51:$C$53,2,0),"")</f>
        <v/>
      </c>
      <c r="L57" s="216" t="str">
        <f>+IFERROR(VLOOKUP($J57,'11 FORMULAS'!$B$51:$D$53,3,0),"")</f>
        <v/>
      </c>
      <c r="M57" s="253"/>
      <c r="N57" s="216" t="str">
        <f>+IFERROR(VLOOKUP($M57,'11 FORMULAS'!$B$54:$C$55,2,0),"")</f>
        <v/>
      </c>
      <c r="O57" s="255"/>
      <c r="P57" s="255"/>
      <c r="Q57" s="255"/>
      <c r="R57" s="255"/>
      <c r="S57" s="216" t="str">
        <f t="shared" si="1"/>
        <v/>
      </c>
      <c r="T57" s="216">
        <f>IF($L57='11 FORMULAS'!$D$51,$C$10-($C$10*$S$10),$C$10)</f>
        <v>0.6</v>
      </c>
      <c r="U57" s="216">
        <f>IF($L57='11 FORMULAS'!$D$53,$D$52-($D$52*$S$52),$D$52)</f>
        <v>0.4</v>
      </c>
      <c r="V57" s="488"/>
      <c r="W57" s="492"/>
      <c r="X57" s="28"/>
    </row>
    <row r="58" spans="1:27" ht="78" customHeight="1" x14ac:dyDescent="0.25">
      <c r="A58" s="500" t="str">
        <f>'2 IDENTIFICACIÓN'!A18</f>
        <v>R9</v>
      </c>
      <c r="B58" s="504" t="str">
        <f>+'2 IDENTIFICACIÓN'!J18</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58" s="493">
        <f>+'3 PROBABIL E IMPACTO INHERENTE'!E18</f>
        <v>0.4</v>
      </c>
      <c r="D58" s="496">
        <f>+'3 PROBABIL E IMPACTO INHERENTE'!M18</f>
        <v>0.6</v>
      </c>
      <c r="E58" s="257">
        <v>1</v>
      </c>
      <c r="F58" s="333" t="s">
        <v>470</v>
      </c>
      <c r="G58" s="334" t="s">
        <v>471</v>
      </c>
      <c r="H58" s="334" t="s">
        <v>472</v>
      </c>
      <c r="I58" s="335" t="str">
        <f t="shared" si="0"/>
        <v>La profesional encargada  revisa las acciones correctivas establecidas y plasmadas en los Planes de Mejoramiento de auditorías internas y externas suscritos,  a través de seguimientos con los responsables de su cumplimiento</v>
      </c>
      <c r="J58" s="290" t="s">
        <v>133</v>
      </c>
      <c r="K58" s="216">
        <f>+IFERROR(VLOOKUP($J58,'11 FORMULAS'!$B$51:$C$53,2,0),"")</f>
        <v>0.25</v>
      </c>
      <c r="L58" s="216" t="str">
        <f>+IFERROR(VLOOKUP($J58,'11 FORMULAS'!$B$51:$D$53,3,0),"")</f>
        <v>Probabilidad</v>
      </c>
      <c r="M58" s="253" t="s">
        <v>145</v>
      </c>
      <c r="N58" s="216">
        <f>+IFERROR(VLOOKUP($M58,'11 FORMULAS'!$B$54:$C$55,2,0),"")</f>
        <v>0.15</v>
      </c>
      <c r="O58" s="255" t="s">
        <v>135</v>
      </c>
      <c r="P58" s="255" t="s">
        <v>241</v>
      </c>
      <c r="Q58" s="255" t="s">
        <v>137</v>
      </c>
      <c r="R58" s="255" t="s">
        <v>138</v>
      </c>
      <c r="S58" s="216">
        <f t="shared" si="1"/>
        <v>0.4</v>
      </c>
      <c r="T58" s="216">
        <f>IF($L58='11 FORMULAS'!$D$51,$C$10-($C$10*$S$10),$C$10)</f>
        <v>0.36</v>
      </c>
      <c r="U58" s="216">
        <f>IF($L58='11 FORMULAS'!$D$53,$D$58-($D$58*$S$58),$D$58)</f>
        <v>0.6</v>
      </c>
      <c r="V58" s="485">
        <f>+IF(T63="","",T63)</f>
        <v>0.6</v>
      </c>
      <c r="W58" s="489">
        <f>+IF(U63="","",U63)</f>
        <v>0.6</v>
      </c>
      <c r="X58" s="28"/>
      <c r="Y58" s="214"/>
      <c r="Z58" s="215"/>
      <c r="AA58" s="215"/>
    </row>
    <row r="59" spans="1:27" ht="29.45" customHeight="1" x14ac:dyDescent="0.25">
      <c r="A59" s="502"/>
      <c r="B59" s="506"/>
      <c r="C59" s="494"/>
      <c r="D59" s="498"/>
      <c r="E59" s="252">
        <v>2</v>
      </c>
      <c r="F59" s="240"/>
      <c r="G59" s="163"/>
      <c r="H59" s="163"/>
      <c r="I59" s="212" t="str">
        <f t="shared" si="0"/>
        <v xml:space="preserve">  </v>
      </c>
      <c r="J59" s="290"/>
      <c r="K59" s="216" t="str">
        <f>+IFERROR(VLOOKUP($J59,'11 FORMULAS'!$B$51:$C$53,2,0),"")</f>
        <v/>
      </c>
      <c r="L59" s="216" t="str">
        <f>+IFERROR(VLOOKUP($J59,'11 FORMULAS'!$B$51:$D$53,3,0),"")</f>
        <v/>
      </c>
      <c r="M59" s="253"/>
      <c r="N59" s="216" t="str">
        <f>+IFERROR(VLOOKUP($M59,'11 FORMULAS'!$B$54:$C$55,2,0),"")</f>
        <v/>
      </c>
      <c r="O59" s="255"/>
      <c r="P59" s="255"/>
      <c r="Q59" s="255"/>
      <c r="R59" s="255"/>
      <c r="S59" s="216" t="str">
        <f t="shared" si="1"/>
        <v/>
      </c>
      <c r="T59" s="216">
        <f>IF($L59='11 FORMULAS'!$D$51,$C$10-($C$10*$S$10),$C$10)</f>
        <v>0.6</v>
      </c>
      <c r="U59" s="216">
        <f>IF($L59='11 FORMULAS'!$D$53,$D$58-($D$58*$S$58),$D$58)</f>
        <v>0.6</v>
      </c>
      <c r="V59" s="487"/>
      <c r="W59" s="491"/>
      <c r="X59" s="28"/>
      <c r="Y59" s="214"/>
      <c r="Z59" s="215"/>
      <c r="AA59" s="215"/>
    </row>
    <row r="60" spans="1:27" ht="29.45" customHeight="1" x14ac:dyDescent="0.25">
      <c r="A60" s="502"/>
      <c r="B60" s="506"/>
      <c r="C60" s="494"/>
      <c r="D60" s="498"/>
      <c r="E60" s="252">
        <v>3</v>
      </c>
      <c r="F60" s="240"/>
      <c r="G60" s="163"/>
      <c r="H60" s="163"/>
      <c r="I60" s="212" t="str">
        <f t="shared" si="0"/>
        <v xml:space="preserve">  </v>
      </c>
      <c r="J60" s="290"/>
      <c r="K60" s="216" t="str">
        <f>+IFERROR(VLOOKUP($J60,'11 FORMULAS'!$B$51:$C$53,2,0),"")</f>
        <v/>
      </c>
      <c r="L60" s="216" t="str">
        <f>+IFERROR(VLOOKUP($J60,'11 FORMULAS'!$B$51:$D$53,3,0),"")</f>
        <v/>
      </c>
      <c r="M60" s="253"/>
      <c r="N60" s="216" t="str">
        <f>+IFERROR(VLOOKUP($M60,'11 FORMULAS'!$B$54:$C$55,2,0),"")</f>
        <v/>
      </c>
      <c r="O60" s="255"/>
      <c r="P60" s="255"/>
      <c r="Q60" s="255"/>
      <c r="R60" s="255"/>
      <c r="S60" s="216" t="str">
        <f t="shared" si="1"/>
        <v/>
      </c>
      <c r="T60" s="216">
        <f>IF($L60='11 FORMULAS'!$D$51,$C$10-($C$10*$S$10),$C$10)</f>
        <v>0.6</v>
      </c>
      <c r="U60" s="216">
        <f>IF($L60='11 FORMULAS'!$D$53,$D$58-($D$58*$S$58),$D$58)</f>
        <v>0.6</v>
      </c>
      <c r="V60" s="487"/>
      <c r="W60" s="491"/>
      <c r="X60" s="28"/>
      <c r="Y60" s="214"/>
      <c r="Z60" s="215"/>
      <c r="AA60" s="215"/>
    </row>
    <row r="61" spans="1:27" ht="29.45" customHeight="1" x14ac:dyDescent="0.25">
      <c r="A61" s="502"/>
      <c r="B61" s="506"/>
      <c r="C61" s="494"/>
      <c r="D61" s="498"/>
      <c r="E61" s="252">
        <v>4</v>
      </c>
      <c r="F61" s="240"/>
      <c r="G61" s="163"/>
      <c r="H61" s="163"/>
      <c r="I61" s="212" t="str">
        <f t="shared" si="0"/>
        <v xml:space="preserve">  </v>
      </c>
      <c r="J61" s="290"/>
      <c r="K61" s="216" t="str">
        <f>+IFERROR(VLOOKUP($J61,'11 FORMULAS'!$B$51:$C$53,2,0),"")</f>
        <v/>
      </c>
      <c r="L61" s="216" t="str">
        <f>+IFERROR(VLOOKUP($J61,'11 FORMULAS'!$B$51:$D$53,3,0),"")</f>
        <v/>
      </c>
      <c r="M61" s="253"/>
      <c r="N61" s="216" t="str">
        <f>+IFERROR(VLOOKUP($M61,'11 FORMULAS'!$B$54:$C$55,2,0),"")</f>
        <v/>
      </c>
      <c r="O61" s="255"/>
      <c r="P61" s="255"/>
      <c r="Q61" s="255"/>
      <c r="R61" s="255"/>
      <c r="S61" s="216" t="str">
        <f t="shared" si="1"/>
        <v/>
      </c>
      <c r="T61" s="216">
        <f>IF($L61='11 FORMULAS'!$D$51,$C$10-($C$10*$S$10),$C$10)</f>
        <v>0.6</v>
      </c>
      <c r="U61" s="216">
        <f>IF($L61='11 FORMULAS'!$D$53,$D$58-($D$58*$S$58),$D$58)</f>
        <v>0.6</v>
      </c>
      <c r="V61" s="487"/>
      <c r="W61" s="491"/>
      <c r="X61" s="28"/>
      <c r="Y61" s="214"/>
      <c r="Z61" s="215"/>
      <c r="AA61" s="215"/>
    </row>
    <row r="62" spans="1:27" ht="29.45" customHeight="1" x14ac:dyDescent="0.25">
      <c r="A62" s="502"/>
      <c r="B62" s="506"/>
      <c r="C62" s="494"/>
      <c r="D62" s="498"/>
      <c r="E62" s="252">
        <v>5</v>
      </c>
      <c r="F62" s="240"/>
      <c r="G62" s="163"/>
      <c r="H62" s="163"/>
      <c r="I62" s="212" t="str">
        <f t="shared" si="0"/>
        <v xml:space="preserve">  </v>
      </c>
      <c r="J62" s="290"/>
      <c r="K62" s="216" t="str">
        <f>+IFERROR(VLOOKUP($J62,'11 FORMULAS'!$B$51:$C$53,2,0),"")</f>
        <v/>
      </c>
      <c r="L62" s="216" t="str">
        <f>+IFERROR(VLOOKUP($J62,'11 FORMULAS'!$B$51:$D$53,3,0),"")</f>
        <v/>
      </c>
      <c r="M62" s="253"/>
      <c r="N62" s="216" t="str">
        <f>+IFERROR(VLOOKUP($M62,'11 FORMULAS'!$B$54:$C$55,2,0),"")</f>
        <v/>
      </c>
      <c r="O62" s="255"/>
      <c r="P62" s="255"/>
      <c r="Q62" s="255"/>
      <c r="R62" s="255"/>
      <c r="S62" s="216" t="str">
        <f t="shared" si="1"/>
        <v/>
      </c>
      <c r="T62" s="216">
        <f>IF($L62='11 FORMULAS'!$D$51,$C$10-($C$10*$S$10),$C$10)</f>
        <v>0.6</v>
      </c>
      <c r="U62" s="216">
        <f>IF($L62='11 FORMULAS'!$D$53,$D$58-($D$58*$S$58),$D$58)</f>
        <v>0.6</v>
      </c>
      <c r="V62" s="487"/>
      <c r="W62" s="491"/>
      <c r="X62" s="28"/>
      <c r="Y62" s="214"/>
      <c r="Z62" s="215"/>
      <c r="AA62" s="215"/>
    </row>
    <row r="63" spans="1:27" ht="29.45" customHeight="1" thickBot="1" x14ac:dyDescent="0.3">
      <c r="A63" s="503"/>
      <c r="B63" s="507"/>
      <c r="C63" s="495"/>
      <c r="D63" s="499"/>
      <c r="E63" s="256">
        <v>6</v>
      </c>
      <c r="F63" s="243"/>
      <c r="G63" s="164"/>
      <c r="H63" s="164"/>
      <c r="I63" s="212" t="str">
        <f t="shared" si="0"/>
        <v xml:space="preserve">  </v>
      </c>
      <c r="J63" s="290"/>
      <c r="K63" s="216" t="str">
        <f>+IFERROR(VLOOKUP($J63,'11 FORMULAS'!$B$51:$C$53,2,0),"")</f>
        <v/>
      </c>
      <c r="L63" s="216" t="str">
        <f>+IFERROR(VLOOKUP($J63,'11 FORMULAS'!$B$51:$D$53,3,0),"")</f>
        <v/>
      </c>
      <c r="M63" s="253"/>
      <c r="N63" s="216" t="str">
        <f>+IFERROR(VLOOKUP($M63,'11 FORMULAS'!$B$54:$C$55,2,0),"")</f>
        <v/>
      </c>
      <c r="O63" s="255"/>
      <c r="P63" s="255"/>
      <c r="Q63" s="255"/>
      <c r="R63" s="255"/>
      <c r="S63" s="216" t="str">
        <f t="shared" si="1"/>
        <v/>
      </c>
      <c r="T63" s="216">
        <f>IF($L63='11 FORMULAS'!$D$51,$C$10-($C$10*$S$10),$C$10)</f>
        <v>0.6</v>
      </c>
      <c r="U63" s="216">
        <f>IF($L63='11 FORMULAS'!$D$53,$D$58-($D$58*$S$58),$D$58)</f>
        <v>0.6</v>
      </c>
      <c r="V63" s="488"/>
      <c r="W63" s="492"/>
      <c r="X63" s="28"/>
    </row>
    <row r="64" spans="1:27" ht="55.5" customHeight="1" x14ac:dyDescent="0.25">
      <c r="A64" s="500" t="str">
        <f>'2 IDENTIFICACIÓN'!A19</f>
        <v>R10</v>
      </c>
      <c r="B64" s="504" t="str">
        <f>+'2 IDENTIFICACIÓN'!J19</f>
        <v xml:space="preserve">Posibilidad de afectación económica y reputacional por desconocimiento del avance y ejecución de las metas institucionales,  debido a a debilidades en el seguimiento a los recursos del Fondo Municipal de Gestión del Riesgo. </v>
      </c>
      <c r="C64" s="493">
        <f>+'3 PROBABIL E IMPACTO INHERENTE'!E19</f>
        <v>0.6</v>
      </c>
      <c r="D64" s="496">
        <f>+'3 PROBABIL E IMPACTO INHERENTE'!M19</f>
        <v>0.6</v>
      </c>
      <c r="E64" s="257">
        <v>1</v>
      </c>
      <c r="F64" s="333" t="s">
        <v>478</v>
      </c>
      <c r="G64" s="334" t="s">
        <v>479</v>
      </c>
      <c r="H64" s="334" t="s">
        <v>480</v>
      </c>
      <c r="I64" s="335" t="str">
        <f t="shared" si="0"/>
        <v>El ordenador del gasto  verifica la destinación y ejecución de recursos del fondo de Gestión del Riesgo a través de seguimientos, a fin de garantizar el cumplimiento de metas institucionales</v>
      </c>
      <c r="J64" s="290" t="s">
        <v>133</v>
      </c>
      <c r="K64" s="216">
        <f>+IFERROR(VLOOKUP($J64,'11 FORMULAS'!$B$51:$C$53,2,0),"")</f>
        <v>0.25</v>
      </c>
      <c r="L64" s="216" t="str">
        <f>+IFERROR(VLOOKUP($J64,'11 FORMULAS'!$B$51:$D$53,3,0),"")</f>
        <v>Probabilidad</v>
      </c>
      <c r="M64" s="253" t="s">
        <v>145</v>
      </c>
      <c r="N64" s="216">
        <f>+IFERROR(VLOOKUP($M64,'11 FORMULAS'!$B$54:$C$55,2,0),"")</f>
        <v>0.15</v>
      </c>
      <c r="O64" s="255" t="s">
        <v>135</v>
      </c>
      <c r="P64" s="255" t="s">
        <v>237</v>
      </c>
      <c r="Q64" s="255" t="s">
        <v>137</v>
      </c>
      <c r="R64" s="255" t="s">
        <v>138</v>
      </c>
      <c r="S64" s="216">
        <f t="shared" si="1"/>
        <v>0.4</v>
      </c>
      <c r="T64" s="216">
        <f>IF($L64='11 FORMULAS'!$D$51,$C$10-($C$10*$S$10),$C$10)</f>
        <v>0.36</v>
      </c>
      <c r="U64" s="216">
        <f>IF($L64='11 FORMULAS'!$D$53,$D$64-($D$64*$S$64),$D$64)</f>
        <v>0.6</v>
      </c>
      <c r="V64" s="485">
        <f>+IF(T69="","",T69)</f>
        <v>0.6</v>
      </c>
      <c r="W64" s="489">
        <f>+IF(U69="","",U69)</f>
        <v>0.6</v>
      </c>
      <c r="X64" s="28"/>
      <c r="Y64" s="214"/>
      <c r="Z64" s="215"/>
      <c r="AA64" s="215"/>
    </row>
    <row r="65" spans="1:27" ht="29.45" customHeight="1" x14ac:dyDescent="0.25">
      <c r="A65" s="502"/>
      <c r="B65" s="506"/>
      <c r="C65" s="494"/>
      <c r="D65" s="498"/>
      <c r="E65" s="252">
        <v>2</v>
      </c>
      <c r="F65" s="240"/>
      <c r="G65" s="163"/>
      <c r="H65" s="163"/>
      <c r="I65" s="212" t="str">
        <f t="shared" si="0"/>
        <v xml:space="preserve">  </v>
      </c>
      <c r="J65" s="290"/>
      <c r="K65" s="216" t="str">
        <f>+IFERROR(VLOOKUP($J65,'11 FORMULAS'!$B$51:$C$53,2,0),"")</f>
        <v/>
      </c>
      <c r="L65" s="216" t="str">
        <f>+IFERROR(VLOOKUP($J65,'11 FORMULAS'!$B$51:$D$53,3,0),"")</f>
        <v/>
      </c>
      <c r="M65" s="253"/>
      <c r="N65" s="216" t="str">
        <f>+IFERROR(VLOOKUP($M65,'11 FORMULAS'!$B$54:$C$55,2,0),"")</f>
        <v/>
      </c>
      <c r="O65" s="255"/>
      <c r="P65" s="255"/>
      <c r="Q65" s="255"/>
      <c r="R65" s="255"/>
      <c r="S65" s="216" t="str">
        <f t="shared" si="1"/>
        <v/>
      </c>
      <c r="T65" s="216">
        <f>IF($L65='11 FORMULAS'!$D$51,$C$10-($C$10*$S$10),$C$10)</f>
        <v>0.6</v>
      </c>
      <c r="U65" s="216">
        <f>IF($L65='11 FORMULAS'!$D$53,$D$64-($D$64*$S$64),$D$64)</f>
        <v>0.6</v>
      </c>
      <c r="V65" s="487"/>
      <c r="W65" s="491"/>
      <c r="X65" s="28"/>
      <c r="Y65" s="214"/>
      <c r="Z65" s="215"/>
      <c r="AA65" s="215"/>
    </row>
    <row r="66" spans="1:27" ht="29.45" customHeight="1" x14ac:dyDescent="0.25">
      <c r="A66" s="502"/>
      <c r="B66" s="506"/>
      <c r="C66" s="494"/>
      <c r="D66" s="498"/>
      <c r="E66" s="252">
        <v>3</v>
      </c>
      <c r="F66" s="240"/>
      <c r="G66" s="163"/>
      <c r="H66" s="163"/>
      <c r="I66" s="212" t="str">
        <f t="shared" si="0"/>
        <v xml:space="preserve">  </v>
      </c>
      <c r="J66" s="290"/>
      <c r="K66" s="216" t="str">
        <f>+IFERROR(VLOOKUP($J66,'11 FORMULAS'!$B$51:$C$53,2,0),"")</f>
        <v/>
      </c>
      <c r="L66" s="216" t="str">
        <f>+IFERROR(VLOOKUP($J66,'11 FORMULAS'!$B$51:$D$53,3,0),"")</f>
        <v/>
      </c>
      <c r="M66" s="253"/>
      <c r="N66" s="216" t="str">
        <f>+IFERROR(VLOOKUP($M66,'11 FORMULAS'!$B$54:$C$55,2,0),"")</f>
        <v/>
      </c>
      <c r="O66" s="255"/>
      <c r="P66" s="255"/>
      <c r="Q66" s="255"/>
      <c r="R66" s="255"/>
      <c r="S66" s="216" t="str">
        <f t="shared" si="1"/>
        <v/>
      </c>
      <c r="T66" s="216">
        <f>IF($L66='11 FORMULAS'!$D$51,$C$10-($C$10*$S$10),$C$10)</f>
        <v>0.6</v>
      </c>
      <c r="U66" s="216">
        <f>IF($L66='11 FORMULAS'!$D$53,$D$64-($D$64*$S$64),$D$64)</f>
        <v>0.6</v>
      </c>
      <c r="V66" s="487"/>
      <c r="W66" s="491"/>
      <c r="X66" s="28"/>
      <c r="Y66" s="214"/>
      <c r="Z66" s="215"/>
      <c r="AA66" s="215"/>
    </row>
    <row r="67" spans="1:27" ht="29.45" customHeight="1" x14ac:dyDescent="0.25">
      <c r="A67" s="502"/>
      <c r="B67" s="506"/>
      <c r="C67" s="494"/>
      <c r="D67" s="498"/>
      <c r="E67" s="252">
        <v>4</v>
      </c>
      <c r="F67" s="240"/>
      <c r="G67" s="163"/>
      <c r="H67" s="163"/>
      <c r="I67" s="212" t="str">
        <f t="shared" si="0"/>
        <v xml:space="preserve">  </v>
      </c>
      <c r="J67" s="290"/>
      <c r="K67" s="216" t="str">
        <f>+IFERROR(VLOOKUP($J67,'11 FORMULAS'!$B$51:$C$53,2,0),"")</f>
        <v/>
      </c>
      <c r="L67" s="216" t="str">
        <f>+IFERROR(VLOOKUP($J67,'11 FORMULAS'!$B$51:$D$53,3,0),"")</f>
        <v/>
      </c>
      <c r="M67" s="253"/>
      <c r="N67" s="216" t="str">
        <f>+IFERROR(VLOOKUP($M67,'11 FORMULAS'!$B$54:$C$55,2,0),"")</f>
        <v/>
      </c>
      <c r="O67" s="255"/>
      <c r="P67" s="255"/>
      <c r="Q67" s="255"/>
      <c r="R67" s="255"/>
      <c r="S67" s="216" t="str">
        <f t="shared" si="1"/>
        <v/>
      </c>
      <c r="T67" s="216">
        <f>IF($L67='11 FORMULAS'!$D$51,$C$10-($C$10*$S$10),$C$10)</f>
        <v>0.6</v>
      </c>
      <c r="U67" s="216">
        <f>IF($L67='11 FORMULAS'!$D$53,$D$64-($D$64*$S$64),$D$64)</f>
        <v>0.6</v>
      </c>
      <c r="V67" s="487"/>
      <c r="W67" s="491"/>
      <c r="X67" s="28"/>
      <c r="Y67" s="214"/>
      <c r="Z67" s="215"/>
      <c r="AA67" s="215"/>
    </row>
    <row r="68" spans="1:27" ht="29.45" customHeight="1" x14ac:dyDescent="0.25">
      <c r="A68" s="502"/>
      <c r="B68" s="506"/>
      <c r="C68" s="494"/>
      <c r="D68" s="498"/>
      <c r="E68" s="252">
        <v>5</v>
      </c>
      <c r="F68" s="240"/>
      <c r="G68" s="163"/>
      <c r="H68" s="163"/>
      <c r="I68" s="212" t="str">
        <f t="shared" si="0"/>
        <v xml:space="preserve">  </v>
      </c>
      <c r="J68" s="290"/>
      <c r="K68" s="216" t="str">
        <f>+IFERROR(VLOOKUP($J68,'11 FORMULAS'!$B$51:$C$53,2,0),"")</f>
        <v/>
      </c>
      <c r="L68" s="216" t="str">
        <f>+IFERROR(VLOOKUP($J68,'11 FORMULAS'!$B$51:$D$53,3,0),"")</f>
        <v/>
      </c>
      <c r="M68" s="253"/>
      <c r="N68" s="216" t="str">
        <f>+IFERROR(VLOOKUP($M68,'11 FORMULAS'!$B$54:$C$55,2,0),"")</f>
        <v/>
      </c>
      <c r="O68" s="255"/>
      <c r="P68" s="255"/>
      <c r="Q68" s="255"/>
      <c r="R68" s="255"/>
      <c r="S68" s="216" t="str">
        <f t="shared" si="1"/>
        <v/>
      </c>
      <c r="T68" s="216">
        <f>IF($L68='11 FORMULAS'!$D$51,$C$10-($C$10*$S$10),$C$10)</f>
        <v>0.6</v>
      </c>
      <c r="U68" s="216">
        <f>IF($L68='11 FORMULAS'!$D$53,$D$64-($D$64*$S$64),$D$64)</f>
        <v>0.6</v>
      </c>
      <c r="V68" s="487"/>
      <c r="W68" s="491"/>
      <c r="X68" s="28"/>
      <c r="Y68" s="214"/>
      <c r="Z68" s="215"/>
      <c r="AA68" s="215"/>
    </row>
    <row r="69" spans="1:27" ht="29.45" customHeight="1" thickBot="1" x14ac:dyDescent="0.3">
      <c r="A69" s="503"/>
      <c r="B69" s="507"/>
      <c r="C69" s="495"/>
      <c r="D69" s="499"/>
      <c r="E69" s="256">
        <v>6</v>
      </c>
      <c r="F69" s="243"/>
      <c r="G69" s="164"/>
      <c r="H69" s="164"/>
      <c r="I69" s="212" t="str">
        <f t="shared" si="0"/>
        <v xml:space="preserve">  </v>
      </c>
      <c r="J69" s="290"/>
      <c r="K69" s="216" t="str">
        <f>+IFERROR(VLOOKUP($J69,'11 FORMULAS'!$B$51:$C$53,2,0),"")</f>
        <v/>
      </c>
      <c r="L69" s="216" t="str">
        <f>+IFERROR(VLOOKUP($J69,'11 FORMULAS'!$B$51:$D$53,3,0),"")</f>
        <v/>
      </c>
      <c r="M69" s="253"/>
      <c r="N69" s="216" t="str">
        <f>+IFERROR(VLOOKUP($M69,'11 FORMULAS'!$B$54:$C$55,2,0),"")</f>
        <v/>
      </c>
      <c r="O69" s="255"/>
      <c r="P69" s="255"/>
      <c r="Q69" s="255"/>
      <c r="R69" s="255"/>
      <c r="S69" s="216" t="str">
        <f t="shared" si="1"/>
        <v/>
      </c>
      <c r="T69" s="216">
        <f>IF($L69='11 FORMULAS'!$D$51,$C$10-($C$10*$S$10),$C$10)</f>
        <v>0.6</v>
      </c>
      <c r="U69" s="216">
        <f>IF($L69='11 FORMULAS'!$D$53,$D$64-($D$64*$S$64),$D$64)</f>
        <v>0.6</v>
      </c>
      <c r="V69" s="488"/>
      <c r="W69" s="492"/>
      <c r="X69" s="28"/>
    </row>
    <row r="70" spans="1:27" ht="86.25" customHeight="1" x14ac:dyDescent="0.25">
      <c r="A70" s="500" t="str">
        <f>'2 IDENTIFICACIÓN'!A20</f>
        <v>R11</v>
      </c>
      <c r="B70" s="504" t="str">
        <f>+'2 IDENTIFICACIÓN'!J20</f>
        <v xml:space="preserve">Posibilidad  de efecto dañoso sobre el recurso público por pérdida, extravío, hurto o faltantes en inventario de bienes muebles de la entidad,  debido a deficiencias en la actualización, verificación y control del inventario de bienes muebles. </v>
      </c>
      <c r="C70" s="493">
        <f>+'3 PROBABIL E IMPACTO INHERENTE'!E20</f>
        <v>0.6</v>
      </c>
      <c r="D70" s="496">
        <f>+'3 PROBABIL E IMPACTO INHERENTE'!M20</f>
        <v>0.8</v>
      </c>
      <c r="E70" s="257">
        <v>1</v>
      </c>
      <c r="F70" s="333" t="s">
        <v>485</v>
      </c>
      <c r="G70" s="334" t="s">
        <v>486</v>
      </c>
      <c r="H70" s="334" t="s">
        <v>487</v>
      </c>
      <c r="I70" s="335" t="str">
        <f t="shared" si="0"/>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J70" s="290" t="s">
        <v>133</v>
      </c>
      <c r="K70" s="216">
        <f>+IFERROR(VLOOKUP($J70,'11 FORMULAS'!$B$51:$C$53,2,0),"")</f>
        <v>0.25</v>
      </c>
      <c r="L70" s="216" t="str">
        <f>+IFERROR(VLOOKUP($J70,'11 FORMULAS'!$B$51:$D$53,3,0),"")</f>
        <v>Probabilidad</v>
      </c>
      <c r="M70" s="253" t="s">
        <v>145</v>
      </c>
      <c r="N70" s="216">
        <f>+IFERROR(VLOOKUP($M70,'11 FORMULAS'!$B$54:$C$55,2,0),"")</f>
        <v>0.15</v>
      </c>
      <c r="O70" s="255" t="s">
        <v>135</v>
      </c>
      <c r="P70" s="255" t="s">
        <v>242</v>
      </c>
      <c r="Q70" s="255" t="s">
        <v>137</v>
      </c>
      <c r="R70" s="255" t="s">
        <v>138</v>
      </c>
      <c r="S70" s="216">
        <f t="shared" si="1"/>
        <v>0.4</v>
      </c>
      <c r="T70" s="216">
        <f>IF($L70='11 FORMULAS'!$D$51,$C$10-($C$10*$S$10),$C$10)</f>
        <v>0.36</v>
      </c>
      <c r="U70" s="216">
        <f>IF($L70='11 FORMULAS'!$D$53,$D$70-($D$70*$S$70),$D$70)</f>
        <v>0.8</v>
      </c>
      <c r="V70" s="485">
        <f>+IF(T75="","",T75)</f>
        <v>0.6</v>
      </c>
      <c r="W70" s="489">
        <f>+IF(U75="","",U75)</f>
        <v>0.8</v>
      </c>
      <c r="X70" s="28"/>
      <c r="Y70" s="214"/>
      <c r="Z70" s="215"/>
      <c r="AA70" s="215"/>
    </row>
    <row r="71" spans="1:27" ht="29.45" customHeight="1" x14ac:dyDescent="0.25">
      <c r="A71" s="501"/>
      <c r="B71" s="505"/>
      <c r="C71" s="357"/>
      <c r="D71" s="497"/>
      <c r="E71" s="252">
        <v>2</v>
      </c>
      <c r="F71" s="239"/>
      <c r="G71" s="236"/>
      <c r="H71" s="236"/>
      <c r="I71" s="212" t="str">
        <f t="shared" si="0"/>
        <v xml:space="preserve">  </v>
      </c>
      <c r="J71" s="290"/>
      <c r="K71" s="216" t="str">
        <f>+IFERROR(VLOOKUP($J71,'11 FORMULAS'!$B$51:$C$53,2,0),"")</f>
        <v/>
      </c>
      <c r="L71" s="216" t="str">
        <f>+IFERROR(VLOOKUP($J71,'11 FORMULAS'!$B$51:$D$53,3,0),"")</f>
        <v/>
      </c>
      <c r="M71" s="253"/>
      <c r="N71" s="216" t="str">
        <f>+IFERROR(VLOOKUP($M71,'11 FORMULAS'!$B$54:$C$55,2,0),"")</f>
        <v/>
      </c>
      <c r="O71" s="255"/>
      <c r="P71" s="255"/>
      <c r="Q71" s="255"/>
      <c r="R71" s="255"/>
      <c r="S71" s="216" t="str">
        <f t="shared" si="1"/>
        <v/>
      </c>
      <c r="T71" s="216">
        <f>IF($L71='11 FORMULAS'!$D$51,$C$10-($C$10*$S$10),$C$10)</f>
        <v>0.6</v>
      </c>
      <c r="U71" s="216">
        <f>IF($L71='11 FORMULAS'!$D$53,$D$70-($D$70*$S$70),$D$70)</f>
        <v>0.8</v>
      </c>
      <c r="V71" s="486"/>
      <c r="W71" s="490"/>
      <c r="X71" s="28"/>
      <c r="Y71" s="214"/>
      <c r="Z71" s="215"/>
      <c r="AA71" s="215"/>
    </row>
    <row r="72" spans="1:27" ht="29.45" customHeight="1" x14ac:dyDescent="0.25">
      <c r="A72" s="501"/>
      <c r="B72" s="505"/>
      <c r="C72" s="357"/>
      <c r="D72" s="497"/>
      <c r="E72" s="252">
        <v>3</v>
      </c>
      <c r="F72" s="239"/>
      <c r="G72" s="236"/>
      <c r="H72" s="236"/>
      <c r="I72" s="212" t="str">
        <f t="shared" si="0"/>
        <v xml:space="preserve">  </v>
      </c>
      <c r="J72" s="290"/>
      <c r="K72" s="216" t="str">
        <f>+IFERROR(VLOOKUP($J72,'11 FORMULAS'!$B$51:$C$53,2,0),"")</f>
        <v/>
      </c>
      <c r="L72" s="216" t="str">
        <f>+IFERROR(VLOOKUP($J72,'11 FORMULAS'!$B$51:$D$53,3,0),"")</f>
        <v/>
      </c>
      <c r="M72" s="253"/>
      <c r="N72" s="216" t="str">
        <f>+IFERROR(VLOOKUP($M72,'11 FORMULAS'!$B$54:$C$55,2,0),"")</f>
        <v/>
      </c>
      <c r="O72" s="255"/>
      <c r="P72" s="255"/>
      <c r="Q72" s="255"/>
      <c r="R72" s="255"/>
      <c r="S72" s="216" t="str">
        <f t="shared" si="1"/>
        <v/>
      </c>
      <c r="T72" s="216">
        <f>IF($L72='11 FORMULAS'!$D$51,$C$10-($C$10*$S$10),$C$10)</f>
        <v>0.6</v>
      </c>
      <c r="U72" s="216">
        <f>IF($L72='11 FORMULAS'!$D$53,$D$70-($D$70*$S$70),$D$70)</f>
        <v>0.8</v>
      </c>
      <c r="V72" s="486"/>
      <c r="W72" s="490"/>
      <c r="X72" s="28"/>
      <c r="Y72" s="214"/>
      <c r="Z72" s="215"/>
      <c r="AA72" s="215"/>
    </row>
    <row r="73" spans="1:27" ht="29.45" customHeight="1" x14ac:dyDescent="0.25">
      <c r="A73" s="502"/>
      <c r="B73" s="506"/>
      <c r="C73" s="494"/>
      <c r="D73" s="498"/>
      <c r="E73" s="252">
        <v>4</v>
      </c>
      <c r="F73" s="240"/>
      <c r="G73" s="163"/>
      <c r="H73" s="163"/>
      <c r="I73" s="212" t="str">
        <f t="shared" si="0"/>
        <v xml:space="preserve">  </v>
      </c>
      <c r="J73" s="290"/>
      <c r="K73" s="216" t="str">
        <f>+IFERROR(VLOOKUP($J73,'11 FORMULAS'!$B$51:$C$53,2,0),"")</f>
        <v/>
      </c>
      <c r="L73" s="216" t="str">
        <f>+IFERROR(VLOOKUP($J73,'11 FORMULAS'!$B$51:$D$53,3,0),"")</f>
        <v/>
      </c>
      <c r="M73" s="253"/>
      <c r="N73" s="216" t="str">
        <f>+IFERROR(VLOOKUP($M73,'11 FORMULAS'!$B$54:$C$55,2,0),"")</f>
        <v/>
      </c>
      <c r="O73" s="255"/>
      <c r="P73" s="255"/>
      <c r="Q73" s="255"/>
      <c r="R73" s="255"/>
      <c r="S73" s="216" t="str">
        <f t="shared" si="1"/>
        <v/>
      </c>
      <c r="T73" s="216">
        <f>IF($L73='11 FORMULAS'!$D$51,$C$10-($C$10*$S$10),$C$10)</f>
        <v>0.6</v>
      </c>
      <c r="U73" s="216">
        <f>IF($L73='11 FORMULAS'!$D$53,$D$70-($D$70*$S$70),$D$70)</f>
        <v>0.8</v>
      </c>
      <c r="V73" s="487"/>
      <c r="W73" s="491"/>
      <c r="X73" s="28"/>
      <c r="Y73" s="214"/>
      <c r="Z73" s="215"/>
      <c r="AA73" s="215"/>
    </row>
    <row r="74" spans="1:27" ht="29.45" customHeight="1" x14ac:dyDescent="0.25">
      <c r="A74" s="502"/>
      <c r="B74" s="506"/>
      <c r="C74" s="494"/>
      <c r="D74" s="498"/>
      <c r="E74" s="252">
        <v>5</v>
      </c>
      <c r="F74" s="240"/>
      <c r="G74" s="163"/>
      <c r="H74" s="163"/>
      <c r="I74" s="212" t="str">
        <f t="shared" ref="I74:I189" si="2">+CONCATENATE(F74," ",G74," ",H74)</f>
        <v xml:space="preserve">  </v>
      </c>
      <c r="J74" s="290"/>
      <c r="K74" s="216" t="str">
        <f>+IFERROR(VLOOKUP($J74,'11 FORMULAS'!$B$51:$C$53,2,0),"")</f>
        <v/>
      </c>
      <c r="L74" s="216" t="str">
        <f>+IFERROR(VLOOKUP($J74,'11 FORMULAS'!$B$51:$D$53,3,0),"")</f>
        <v/>
      </c>
      <c r="M74" s="253"/>
      <c r="N74" s="216" t="str">
        <f>+IFERROR(VLOOKUP($M74,'11 FORMULAS'!$B$54:$C$55,2,0),"")</f>
        <v/>
      </c>
      <c r="O74" s="255"/>
      <c r="P74" s="255"/>
      <c r="Q74" s="255"/>
      <c r="R74" s="255"/>
      <c r="S74" s="216" t="str">
        <f t="shared" si="1"/>
        <v/>
      </c>
      <c r="T74" s="216">
        <f>IF($L74='11 FORMULAS'!$D$51,$C$10-($C$10*$S$10),$C$10)</f>
        <v>0.6</v>
      </c>
      <c r="U74" s="216">
        <f>IF($L74='11 FORMULAS'!$D$53,$D$70-($D$70*$S$70),$D$70)</f>
        <v>0.8</v>
      </c>
      <c r="V74" s="487"/>
      <c r="W74" s="491"/>
      <c r="X74" s="28"/>
      <c r="Y74" s="214"/>
      <c r="Z74" s="215"/>
      <c r="AA74" s="215"/>
    </row>
    <row r="75" spans="1:27" ht="29.45" customHeight="1" thickBot="1" x14ac:dyDescent="0.3">
      <c r="A75" s="503"/>
      <c r="B75" s="507"/>
      <c r="C75" s="495"/>
      <c r="D75" s="499"/>
      <c r="E75" s="256">
        <v>6</v>
      </c>
      <c r="F75" s="243"/>
      <c r="G75" s="164"/>
      <c r="H75" s="164"/>
      <c r="I75" s="212" t="str">
        <f t="shared" si="2"/>
        <v xml:space="preserve">  </v>
      </c>
      <c r="J75" s="290"/>
      <c r="K75" s="216" t="str">
        <f>+IFERROR(VLOOKUP($J75,'11 FORMULAS'!$B$51:$C$53,2,0),"")</f>
        <v/>
      </c>
      <c r="L75" s="216" t="str">
        <f>+IFERROR(VLOOKUP($J75,'11 FORMULAS'!$B$51:$D$53,3,0),"")</f>
        <v/>
      </c>
      <c r="M75" s="253"/>
      <c r="N75" s="216" t="str">
        <f>+IFERROR(VLOOKUP($M75,'11 FORMULAS'!$B$54:$C$55,2,0),"")</f>
        <v/>
      </c>
      <c r="O75" s="255"/>
      <c r="P75" s="255"/>
      <c r="Q75" s="255"/>
      <c r="R75" s="255"/>
      <c r="S75" s="216" t="str">
        <f t="shared" ref="S75:S189" si="3">+IFERROR($K75+$N75,"")</f>
        <v/>
      </c>
      <c r="T75" s="216">
        <f>IF($L75='11 FORMULAS'!$D$51,$C$10-($C$10*$S$10),$C$10)</f>
        <v>0.6</v>
      </c>
      <c r="U75" s="216">
        <f>IF($L75='11 FORMULAS'!$D$53,$D$70-($D$70*$S$70),$D$70)</f>
        <v>0.8</v>
      </c>
      <c r="V75" s="488"/>
      <c r="W75" s="492"/>
      <c r="X75" s="28"/>
    </row>
    <row r="76" spans="1:27" ht="84" customHeight="1" x14ac:dyDescent="0.25">
      <c r="A76" s="500" t="str">
        <f>'2 IDENTIFICACIÓN'!A21</f>
        <v>R12</v>
      </c>
      <c r="B76" s="504" t="str">
        <f>+'2 IDENTIFICACIÓN'!J21</f>
        <v xml:space="preserve">Posibilidad  de efecto dañoso sobre el recurso público por incumplimiento en la atención oportuna de requerimientos emitidos por entes de control y vigilancia, debido a deficiencias en el seguimiento, gestión y control de los términos establecidos para su respuesta. </v>
      </c>
      <c r="C76" s="493">
        <f>+'3 PROBABIL E IMPACTO INHERENTE'!E21</f>
        <v>0.6</v>
      </c>
      <c r="D76" s="496">
        <f>+'3 PROBABIL E IMPACTO INHERENTE'!M21</f>
        <v>0.4</v>
      </c>
      <c r="E76" s="257">
        <v>1</v>
      </c>
      <c r="F76" s="333" t="s">
        <v>496</v>
      </c>
      <c r="G76" s="334" t="s">
        <v>493</v>
      </c>
      <c r="H76" s="334" t="s">
        <v>497</v>
      </c>
      <c r="I76" s="335" t="str">
        <f t="shared" si="2"/>
        <v>El profesional encargado verifica el cumplimiento de los términos establecidos para la atención de los requerimientos de los entes de control y vigilancia asignados a la Secretaría de Hacienda,  a través del seguimiento a las fechas de vencimiento y respuesta registradas en los mecanismos institucionales, identificando alertas frente a posibles incumplimientos.</v>
      </c>
      <c r="J76" s="290" t="s">
        <v>133</v>
      </c>
      <c r="K76" s="216">
        <f>+IFERROR(VLOOKUP($J76,'11 FORMULAS'!$B$51:$C$53,2,0),"")</f>
        <v>0.25</v>
      </c>
      <c r="L76" s="216" t="str">
        <f>+IFERROR(VLOOKUP($J76,'11 FORMULAS'!$B$51:$D$53,3,0),"")</f>
        <v>Probabilidad</v>
      </c>
      <c r="M76" s="253" t="s">
        <v>145</v>
      </c>
      <c r="N76" s="216">
        <f>+IFERROR(VLOOKUP($M76,'11 FORMULAS'!$B$54:$C$55,2,0),"")</f>
        <v>0.15</v>
      </c>
      <c r="O76" s="255" t="s">
        <v>146</v>
      </c>
      <c r="P76" s="255" t="s">
        <v>237</v>
      </c>
      <c r="Q76" s="255" t="s">
        <v>137</v>
      </c>
      <c r="R76" s="255" t="s">
        <v>138</v>
      </c>
      <c r="S76" s="216">
        <f t="shared" si="3"/>
        <v>0.4</v>
      </c>
      <c r="T76" s="216">
        <f>IF($L76='11 FORMULAS'!$D$51,$C$10-($C$10*$S$10),$C$10)</f>
        <v>0.36</v>
      </c>
      <c r="U76" s="216">
        <f>IF($L76='11 FORMULAS'!$D$53,$D$76-($D$76*$S$76),$D$76)</f>
        <v>0.4</v>
      </c>
      <c r="V76" s="485">
        <f>+IF(T81="","",T81)</f>
        <v>0.6</v>
      </c>
      <c r="W76" s="489">
        <f>+IF(U81="","",U81)</f>
        <v>0.4</v>
      </c>
      <c r="X76" s="28"/>
      <c r="Y76" s="214"/>
      <c r="Z76" s="215"/>
      <c r="AA76" s="215"/>
    </row>
    <row r="77" spans="1:27" ht="29.45" customHeight="1" x14ac:dyDescent="0.25">
      <c r="A77" s="502"/>
      <c r="B77" s="506"/>
      <c r="C77" s="494"/>
      <c r="D77" s="498"/>
      <c r="E77" s="252">
        <v>2</v>
      </c>
      <c r="F77" s="240"/>
      <c r="G77" s="163"/>
      <c r="H77" s="163"/>
      <c r="I77" s="212" t="str">
        <f t="shared" si="2"/>
        <v xml:space="preserve">  </v>
      </c>
      <c r="J77" s="290"/>
      <c r="K77" s="216" t="str">
        <f>+IFERROR(VLOOKUP($J77,'11 FORMULAS'!$B$51:$C$53,2,0),"")</f>
        <v/>
      </c>
      <c r="L77" s="216" t="str">
        <f>+IFERROR(VLOOKUP($J77,'11 FORMULAS'!$B$51:$D$53,3,0),"")</f>
        <v/>
      </c>
      <c r="M77" s="253"/>
      <c r="N77" s="216" t="str">
        <f>+IFERROR(VLOOKUP($M77,'11 FORMULAS'!$B$54:$C$55,2,0),"")</f>
        <v/>
      </c>
      <c r="O77" s="255"/>
      <c r="P77" s="255"/>
      <c r="Q77" s="255"/>
      <c r="R77" s="255"/>
      <c r="S77" s="216" t="str">
        <f t="shared" si="3"/>
        <v/>
      </c>
      <c r="T77" s="216">
        <f>IF($L77='11 FORMULAS'!$D$51,$C$10-($C$10*$S$10),$C$10)</f>
        <v>0.6</v>
      </c>
      <c r="U77" s="216">
        <f>IF($L77='11 FORMULAS'!$D$53,$D$76-($D$76*$S$76),$D$76)</f>
        <v>0.4</v>
      </c>
      <c r="V77" s="487"/>
      <c r="W77" s="491"/>
      <c r="X77" s="28"/>
      <c r="Y77" s="214"/>
      <c r="Z77" s="215"/>
      <c r="AA77" s="215"/>
    </row>
    <row r="78" spans="1:27" ht="29.45" customHeight="1" x14ac:dyDescent="0.25">
      <c r="A78" s="502"/>
      <c r="B78" s="506"/>
      <c r="C78" s="494"/>
      <c r="D78" s="498"/>
      <c r="E78" s="252">
        <v>3</v>
      </c>
      <c r="F78" s="240"/>
      <c r="G78" s="163"/>
      <c r="H78" s="163"/>
      <c r="I78" s="212" t="str">
        <f t="shared" si="2"/>
        <v xml:space="preserve">  </v>
      </c>
      <c r="J78" s="290"/>
      <c r="K78" s="216" t="str">
        <f>+IFERROR(VLOOKUP($J78,'11 FORMULAS'!$B$51:$C$53,2,0),"")</f>
        <v/>
      </c>
      <c r="L78" s="216" t="str">
        <f>+IFERROR(VLOOKUP($J78,'11 FORMULAS'!$B$51:$D$53,3,0),"")</f>
        <v/>
      </c>
      <c r="M78" s="253"/>
      <c r="N78" s="216" t="str">
        <f>+IFERROR(VLOOKUP($M78,'11 FORMULAS'!$B$54:$C$55,2,0),"")</f>
        <v/>
      </c>
      <c r="O78" s="255"/>
      <c r="P78" s="255"/>
      <c r="Q78" s="255"/>
      <c r="R78" s="255"/>
      <c r="S78" s="216" t="str">
        <f t="shared" si="3"/>
        <v/>
      </c>
      <c r="T78" s="216">
        <f>IF($L78='11 FORMULAS'!$D$51,$C$10-($C$10*$S$10),$C$10)</f>
        <v>0.6</v>
      </c>
      <c r="U78" s="216">
        <f>IF($L78='11 FORMULAS'!$D$53,$D$76-($D$76*$S$76),$D$76)</f>
        <v>0.4</v>
      </c>
      <c r="V78" s="487"/>
      <c r="W78" s="491"/>
      <c r="X78" s="28"/>
      <c r="Y78" s="214"/>
      <c r="Z78" s="215"/>
      <c r="AA78" s="215"/>
    </row>
    <row r="79" spans="1:27" ht="29.45" customHeight="1" x14ac:dyDescent="0.25">
      <c r="A79" s="502"/>
      <c r="B79" s="506"/>
      <c r="C79" s="494"/>
      <c r="D79" s="498"/>
      <c r="E79" s="252">
        <v>4</v>
      </c>
      <c r="F79" s="240"/>
      <c r="G79" s="163"/>
      <c r="H79" s="163"/>
      <c r="I79" s="212" t="str">
        <f t="shared" si="2"/>
        <v xml:space="preserve">  </v>
      </c>
      <c r="J79" s="290"/>
      <c r="K79" s="216" t="str">
        <f>+IFERROR(VLOOKUP($J79,'11 FORMULAS'!$B$51:$C$53,2,0),"")</f>
        <v/>
      </c>
      <c r="L79" s="216" t="str">
        <f>+IFERROR(VLOOKUP($J79,'11 FORMULAS'!$B$51:$D$53,3,0),"")</f>
        <v/>
      </c>
      <c r="M79" s="253"/>
      <c r="N79" s="216" t="str">
        <f>+IFERROR(VLOOKUP($M79,'11 FORMULAS'!$B$54:$C$55,2,0),"")</f>
        <v/>
      </c>
      <c r="O79" s="255"/>
      <c r="P79" s="255"/>
      <c r="Q79" s="255"/>
      <c r="R79" s="255"/>
      <c r="S79" s="216" t="str">
        <f t="shared" si="3"/>
        <v/>
      </c>
      <c r="T79" s="216">
        <f>IF($L79='11 FORMULAS'!$D$51,$C$10-($C$10*$S$10),$C$10)</f>
        <v>0.6</v>
      </c>
      <c r="U79" s="216">
        <f>IF($L79='11 FORMULAS'!$D$53,$D$76-($D$76*$S$76),$D$76)</f>
        <v>0.4</v>
      </c>
      <c r="V79" s="487"/>
      <c r="W79" s="491"/>
      <c r="X79" s="28"/>
      <c r="Y79" s="214"/>
      <c r="Z79" s="215"/>
      <c r="AA79" s="215"/>
    </row>
    <row r="80" spans="1:27" ht="29.45" customHeight="1" x14ac:dyDescent="0.25">
      <c r="A80" s="502"/>
      <c r="B80" s="506"/>
      <c r="C80" s="494"/>
      <c r="D80" s="498"/>
      <c r="E80" s="252">
        <v>5</v>
      </c>
      <c r="F80" s="240"/>
      <c r="G80" s="163"/>
      <c r="H80" s="163"/>
      <c r="I80" s="212" t="str">
        <f t="shared" si="2"/>
        <v xml:space="preserve">  </v>
      </c>
      <c r="J80" s="290"/>
      <c r="K80" s="216" t="str">
        <f>+IFERROR(VLOOKUP($J80,'11 FORMULAS'!$B$51:$C$53,2,0),"")</f>
        <v/>
      </c>
      <c r="L80" s="216" t="str">
        <f>+IFERROR(VLOOKUP($J80,'11 FORMULAS'!$B$51:$D$53,3,0),"")</f>
        <v/>
      </c>
      <c r="M80" s="253"/>
      <c r="N80" s="216" t="str">
        <f>+IFERROR(VLOOKUP($M80,'11 FORMULAS'!$B$54:$C$55,2,0),"")</f>
        <v/>
      </c>
      <c r="O80" s="255"/>
      <c r="P80" s="255"/>
      <c r="Q80" s="255"/>
      <c r="R80" s="255"/>
      <c r="S80" s="216" t="str">
        <f t="shared" si="3"/>
        <v/>
      </c>
      <c r="T80" s="216">
        <f>IF($L80='11 FORMULAS'!$D$51,$C$10-($C$10*$S$10),$C$10)</f>
        <v>0.6</v>
      </c>
      <c r="U80" s="216">
        <f>IF($L80='11 FORMULAS'!$D$53,$D$76-($D$76*$S$76),$D$76)</f>
        <v>0.4</v>
      </c>
      <c r="V80" s="487"/>
      <c r="W80" s="491"/>
      <c r="X80" s="28"/>
      <c r="Y80" s="214"/>
      <c r="Z80" s="215"/>
      <c r="AA80" s="215"/>
    </row>
    <row r="81" spans="1:27" ht="29.45" customHeight="1" thickBot="1" x14ac:dyDescent="0.3">
      <c r="A81" s="503"/>
      <c r="B81" s="507"/>
      <c r="C81" s="495"/>
      <c r="D81" s="499"/>
      <c r="E81" s="256">
        <v>6</v>
      </c>
      <c r="F81" s="243"/>
      <c r="G81" s="164"/>
      <c r="H81" s="164"/>
      <c r="I81" s="212" t="str">
        <f t="shared" si="2"/>
        <v xml:space="preserve">  </v>
      </c>
      <c r="J81" s="290"/>
      <c r="K81" s="216" t="str">
        <f>+IFERROR(VLOOKUP($J81,'11 FORMULAS'!$B$51:$C$53,2,0),"")</f>
        <v/>
      </c>
      <c r="L81" s="216" t="str">
        <f>+IFERROR(VLOOKUP($J81,'11 FORMULAS'!$B$51:$D$53,3,0),"")</f>
        <v/>
      </c>
      <c r="M81" s="253"/>
      <c r="N81" s="216" t="str">
        <f>+IFERROR(VLOOKUP($M81,'11 FORMULAS'!$B$54:$C$55,2,0),"")</f>
        <v/>
      </c>
      <c r="O81" s="255"/>
      <c r="P81" s="255"/>
      <c r="Q81" s="255"/>
      <c r="R81" s="255"/>
      <c r="S81" s="216" t="str">
        <f t="shared" si="3"/>
        <v/>
      </c>
      <c r="T81" s="216">
        <f>IF($L81='11 FORMULAS'!$D$51,$C$10-($C$10*$S$10),$C$10)</f>
        <v>0.6</v>
      </c>
      <c r="U81" s="216">
        <f>IF($L81='11 FORMULAS'!$D$53,$D$76-($D$76*$S$76),$D$76)</f>
        <v>0.4</v>
      </c>
      <c r="V81" s="488"/>
      <c r="W81" s="492"/>
      <c r="X81" s="28"/>
    </row>
    <row r="82" spans="1:27" ht="113.25" customHeight="1" x14ac:dyDescent="0.25">
      <c r="A82" s="500" t="str">
        <f>'2 IDENTIFICACIÓN'!A22</f>
        <v>R13</v>
      </c>
      <c r="B82" s="504" t="str">
        <f>+'2 IDENTIFICACIÓN'!J22</f>
        <v xml:space="preserve">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 </v>
      </c>
      <c r="C82" s="493">
        <f>+'3 PROBABIL E IMPACTO INHERENTE'!E22</f>
        <v>0.8</v>
      </c>
      <c r="D82" s="496">
        <f>+'3 PROBABIL E IMPACTO INHERENTE'!M22</f>
        <v>0.8</v>
      </c>
      <c r="E82" s="257">
        <v>1</v>
      </c>
      <c r="F82" s="333" t="s">
        <v>500</v>
      </c>
      <c r="G82" s="334" t="s">
        <v>501</v>
      </c>
      <c r="H82" s="334" t="s">
        <v>502</v>
      </c>
      <c r="I82" s="335" t="str">
        <f>+CONCATENATE(F82," ",G82," ",H82)</f>
        <v>Los profesionales encargados de la contratación y los supervisores designados verifican el cumplimiento de los lineamientos, requisitos y obligaciones establecidos en la normatividad vigente y en los documentos contractuales  durante las etapas precontractual, contractual y postcontractual de los procesos celebrados por la Secretaría de Hacienda, diferentes a contratos de prestación de servicios, mediante la aplicación de listas de chequeo y revisión del avance y ejecución contractual.</v>
      </c>
      <c r="J82" s="290" t="s">
        <v>133</v>
      </c>
      <c r="K82" s="216">
        <f>+IFERROR(VLOOKUP($J82,'11 FORMULAS'!$B$51:$C$53,2,0),"")</f>
        <v>0.25</v>
      </c>
      <c r="L82" s="216" t="str">
        <f>+IFERROR(VLOOKUP($J82,'11 FORMULAS'!$B$51:$D$53,3,0),"")</f>
        <v>Probabilidad</v>
      </c>
      <c r="M82" s="253" t="s">
        <v>145</v>
      </c>
      <c r="N82" s="216">
        <f>+IFERROR(VLOOKUP($M82,'11 FORMULAS'!$B$54:$C$55,2,0),"")</f>
        <v>0.15</v>
      </c>
      <c r="O82" s="255" t="s">
        <v>135</v>
      </c>
      <c r="P82" s="255" t="s">
        <v>237</v>
      </c>
      <c r="Q82" s="255" t="s">
        <v>137</v>
      </c>
      <c r="R82" s="255" t="s">
        <v>138</v>
      </c>
      <c r="S82" s="216">
        <f t="shared" si="3"/>
        <v>0.4</v>
      </c>
      <c r="T82" s="216">
        <f>IF($L82='11 FORMULAS'!$D$51,$C$10-($C$10*$S$10),$C$10)</f>
        <v>0.36</v>
      </c>
      <c r="U82" s="216">
        <f>IF($L82='11 FORMULAS'!$D$53,$D$82-($D$82*$S$82),$D$82)</f>
        <v>0.8</v>
      </c>
      <c r="V82" s="485">
        <f>+IF(T87="","",T87)</f>
        <v>0.6</v>
      </c>
      <c r="W82" s="489">
        <f>+IF(U87="","",U87)</f>
        <v>0.8</v>
      </c>
      <c r="X82" s="28"/>
      <c r="Y82" s="214"/>
      <c r="Z82" s="215"/>
      <c r="AA82" s="215"/>
    </row>
    <row r="83" spans="1:27" ht="29.45" customHeight="1" x14ac:dyDescent="0.25">
      <c r="A83" s="502"/>
      <c r="B83" s="506"/>
      <c r="C83" s="494"/>
      <c r="D83" s="498"/>
      <c r="E83" s="252">
        <v>2</v>
      </c>
      <c r="F83" s="240"/>
      <c r="G83" s="163"/>
      <c r="H83" s="163"/>
      <c r="I83" s="212" t="str">
        <f t="shared" si="2"/>
        <v xml:space="preserve">  </v>
      </c>
      <c r="J83" s="290"/>
      <c r="K83" s="216" t="str">
        <f>+IFERROR(VLOOKUP($J83,'11 FORMULAS'!$B$51:$C$53,2,0),"")</f>
        <v/>
      </c>
      <c r="L83" s="216" t="str">
        <f>+IFERROR(VLOOKUP($J83,'11 FORMULAS'!$B$51:$D$53,3,0),"")</f>
        <v/>
      </c>
      <c r="M83" s="253"/>
      <c r="N83" s="216" t="str">
        <f>+IFERROR(VLOOKUP($M83,'11 FORMULAS'!$B$54:$C$55,2,0),"")</f>
        <v/>
      </c>
      <c r="O83" s="255"/>
      <c r="P83" s="255"/>
      <c r="Q83" s="255"/>
      <c r="R83" s="255"/>
      <c r="S83" s="216" t="str">
        <f t="shared" si="3"/>
        <v/>
      </c>
      <c r="T83" s="216">
        <f>IF($L83='11 FORMULAS'!$D$51,$C$10-($C$10*$S$10),$C$10)</f>
        <v>0.6</v>
      </c>
      <c r="U83" s="216">
        <f>IF($L83='11 FORMULAS'!$D$53,$D$82-($D$82*$S$82),$D$82)</f>
        <v>0.8</v>
      </c>
      <c r="V83" s="487"/>
      <c r="W83" s="491"/>
      <c r="X83" s="28"/>
      <c r="Y83" s="214"/>
      <c r="Z83" s="215"/>
      <c r="AA83" s="215"/>
    </row>
    <row r="84" spans="1:27" ht="29.45" customHeight="1" x14ac:dyDescent="0.25">
      <c r="A84" s="502"/>
      <c r="B84" s="506"/>
      <c r="C84" s="494"/>
      <c r="D84" s="498"/>
      <c r="E84" s="252">
        <v>3</v>
      </c>
      <c r="F84" s="240"/>
      <c r="G84" s="163"/>
      <c r="H84" s="163"/>
      <c r="I84" s="212" t="str">
        <f t="shared" si="2"/>
        <v xml:space="preserve">  </v>
      </c>
      <c r="J84" s="290"/>
      <c r="K84" s="216" t="str">
        <f>+IFERROR(VLOOKUP($J84,'11 FORMULAS'!$B$51:$C$53,2,0),"")</f>
        <v/>
      </c>
      <c r="L84" s="216" t="str">
        <f>+IFERROR(VLOOKUP($J84,'11 FORMULAS'!$B$51:$D$53,3,0),"")</f>
        <v/>
      </c>
      <c r="M84" s="253"/>
      <c r="N84" s="216" t="str">
        <f>+IFERROR(VLOOKUP($M84,'11 FORMULAS'!$B$54:$C$55,2,0),"")</f>
        <v/>
      </c>
      <c r="O84" s="255"/>
      <c r="P84" s="255"/>
      <c r="Q84" s="255"/>
      <c r="R84" s="255"/>
      <c r="S84" s="216" t="str">
        <f t="shared" si="3"/>
        <v/>
      </c>
      <c r="T84" s="216">
        <f>IF($L84='11 FORMULAS'!$D$51,$C$10-($C$10*$S$10),$C$10)</f>
        <v>0.6</v>
      </c>
      <c r="U84" s="216">
        <f>IF($L84='11 FORMULAS'!$D$53,$D$82-($D$82*$S$82),$D$82)</f>
        <v>0.8</v>
      </c>
      <c r="V84" s="487"/>
      <c r="W84" s="491"/>
      <c r="X84" s="28"/>
      <c r="Y84" s="214"/>
      <c r="Z84" s="215"/>
      <c r="AA84" s="215"/>
    </row>
    <row r="85" spans="1:27" ht="29.45" customHeight="1" x14ac:dyDescent="0.25">
      <c r="A85" s="502"/>
      <c r="B85" s="506"/>
      <c r="C85" s="494"/>
      <c r="D85" s="498"/>
      <c r="E85" s="252">
        <v>4</v>
      </c>
      <c r="F85" s="240"/>
      <c r="G85" s="163"/>
      <c r="H85" s="163"/>
      <c r="I85" s="212" t="str">
        <f t="shared" si="2"/>
        <v xml:space="preserve">  </v>
      </c>
      <c r="J85" s="290"/>
      <c r="K85" s="216" t="str">
        <f>+IFERROR(VLOOKUP($J85,'11 FORMULAS'!$B$51:$C$53,2,0),"")</f>
        <v/>
      </c>
      <c r="L85" s="216" t="str">
        <f>+IFERROR(VLOOKUP($J85,'11 FORMULAS'!$B$51:$D$53,3,0),"")</f>
        <v/>
      </c>
      <c r="M85" s="253"/>
      <c r="N85" s="216" t="str">
        <f>+IFERROR(VLOOKUP($M85,'11 FORMULAS'!$B$54:$C$55,2,0),"")</f>
        <v/>
      </c>
      <c r="O85" s="255"/>
      <c r="P85" s="255"/>
      <c r="Q85" s="255"/>
      <c r="R85" s="255"/>
      <c r="S85" s="216" t="str">
        <f t="shared" si="3"/>
        <v/>
      </c>
      <c r="T85" s="216">
        <f>IF($L85='11 FORMULAS'!$D$51,$C$10-($C$10*$S$10),$C$10)</f>
        <v>0.6</v>
      </c>
      <c r="U85" s="216">
        <f>IF($L85='11 FORMULAS'!$D$53,$D$82-($D$82*$S$82),$D$82)</f>
        <v>0.8</v>
      </c>
      <c r="V85" s="487"/>
      <c r="W85" s="491"/>
      <c r="X85" s="28"/>
      <c r="Y85" s="214"/>
      <c r="Z85" s="215"/>
      <c r="AA85" s="215"/>
    </row>
    <row r="86" spans="1:27" ht="29.45" customHeight="1" x14ac:dyDescent="0.25">
      <c r="A86" s="502"/>
      <c r="B86" s="506"/>
      <c r="C86" s="494"/>
      <c r="D86" s="498"/>
      <c r="E86" s="252">
        <v>5</v>
      </c>
      <c r="F86" s="240"/>
      <c r="G86" s="163"/>
      <c r="H86" s="163"/>
      <c r="I86" s="212" t="str">
        <f t="shared" si="2"/>
        <v xml:space="preserve">  </v>
      </c>
      <c r="J86" s="290"/>
      <c r="K86" s="216" t="str">
        <f>+IFERROR(VLOOKUP($J86,'11 FORMULAS'!$B$51:$C$53,2,0),"")</f>
        <v/>
      </c>
      <c r="L86" s="216" t="str">
        <f>+IFERROR(VLOOKUP($J86,'11 FORMULAS'!$B$51:$D$53,3,0),"")</f>
        <v/>
      </c>
      <c r="M86" s="253"/>
      <c r="N86" s="216" t="str">
        <f>+IFERROR(VLOOKUP($M86,'11 FORMULAS'!$B$54:$C$55,2,0),"")</f>
        <v/>
      </c>
      <c r="O86" s="255"/>
      <c r="P86" s="255"/>
      <c r="Q86" s="255"/>
      <c r="R86" s="255"/>
      <c r="S86" s="216" t="str">
        <f t="shared" si="3"/>
        <v/>
      </c>
      <c r="T86" s="216">
        <f>IF($L86='11 FORMULAS'!$D$51,$C$10-($C$10*$S$10),$C$10)</f>
        <v>0.6</v>
      </c>
      <c r="U86" s="216">
        <f>IF($L86='11 FORMULAS'!$D$53,$D$82-($D$82*$S$82),$D$82)</f>
        <v>0.8</v>
      </c>
      <c r="V86" s="487"/>
      <c r="W86" s="491"/>
      <c r="X86" s="28"/>
      <c r="Y86" s="214"/>
      <c r="Z86" s="215"/>
      <c r="AA86" s="215"/>
    </row>
    <row r="87" spans="1:27" ht="29.45" customHeight="1" thickBot="1" x14ac:dyDescent="0.3">
      <c r="A87" s="503"/>
      <c r="B87" s="507"/>
      <c r="C87" s="495"/>
      <c r="D87" s="499"/>
      <c r="E87" s="256">
        <v>6</v>
      </c>
      <c r="F87" s="243"/>
      <c r="G87" s="164"/>
      <c r="H87" s="164"/>
      <c r="I87" s="212" t="str">
        <f t="shared" si="2"/>
        <v xml:space="preserve">  </v>
      </c>
      <c r="J87" s="290"/>
      <c r="K87" s="216" t="str">
        <f>+IFERROR(VLOOKUP($J87,'11 FORMULAS'!$B$51:$C$53,2,0),"")</f>
        <v/>
      </c>
      <c r="L87" s="216" t="str">
        <f>+IFERROR(VLOOKUP($J87,'11 FORMULAS'!$B$51:$D$53,3,0),"")</f>
        <v/>
      </c>
      <c r="M87" s="253"/>
      <c r="N87" s="216" t="str">
        <f>+IFERROR(VLOOKUP($M87,'11 FORMULAS'!$B$54:$C$55,2,0),"")</f>
        <v/>
      </c>
      <c r="O87" s="255"/>
      <c r="P87" s="255"/>
      <c r="Q87" s="255"/>
      <c r="R87" s="255"/>
      <c r="S87" s="216" t="str">
        <f t="shared" si="3"/>
        <v/>
      </c>
      <c r="T87" s="216">
        <f>IF($L87='11 FORMULAS'!$D$51,$C$10-($C$10*$S$10),$C$10)</f>
        <v>0.6</v>
      </c>
      <c r="U87" s="216">
        <f>IF($L87='11 FORMULAS'!$D$53,$D$82-($D$82*$S$82),$D$82)</f>
        <v>0.8</v>
      </c>
      <c r="V87" s="488"/>
      <c r="W87" s="492"/>
      <c r="X87" s="28"/>
    </row>
    <row r="88" spans="1:27" ht="84" customHeight="1" x14ac:dyDescent="0.25">
      <c r="A88" s="500" t="str">
        <f>'2 IDENTIFICACIÓN'!A23</f>
        <v>R14</v>
      </c>
      <c r="B88" s="504" t="str">
        <f>+'2 IDENTIFICACIÓN'!J23</f>
        <v>Posibilidad  de efecto dañoso sobre el recurso público por pago de sanciones debido a omisiones, errores o inconsistencias en el diligenciamiento, validación y reporte de la información financiera, contable y tributaria requerida por los entes de control y vigilancia, dentro de los plazos y lineamientos establecidos por la normatividad aplicable</v>
      </c>
      <c r="C88" s="493">
        <f>+'3 PROBABIL E IMPACTO INHERENTE'!E23</f>
        <v>0.6</v>
      </c>
      <c r="D88" s="496">
        <f>+'3 PROBABIL E IMPACTO INHERENTE'!M23</f>
        <v>0.8</v>
      </c>
      <c r="E88" s="257">
        <v>1</v>
      </c>
      <c r="F88" s="333" t="s">
        <v>508</v>
      </c>
      <c r="G88" s="334" t="s">
        <v>509</v>
      </c>
      <c r="H88" s="334" t="s">
        <v>510</v>
      </c>
      <c r="I88" s="335" t="str">
        <f t="shared" si="2"/>
        <v>El profesional del Área Contable verifica y valida que la información financiera, contable y tributaria requerida por los entes de control y vigilancia sea diligenciada y reportada dentro de los plazos y lineamientos establecidos por la normatividad aplicable, con el fin de evitar inconsistencias, omisiones y posibles sanciones para el Municipio de Bucaramanga.</v>
      </c>
      <c r="J88" s="290" t="s">
        <v>133</v>
      </c>
      <c r="K88" s="216">
        <f>+IFERROR(VLOOKUP($J88,'11 FORMULAS'!$B$51:$C$53,2,0),"")</f>
        <v>0.25</v>
      </c>
      <c r="L88" s="216" t="str">
        <f>+IFERROR(VLOOKUP($J88,'11 FORMULAS'!$B$51:$D$53,3,0),"")</f>
        <v>Probabilidad</v>
      </c>
      <c r="M88" s="253" t="s">
        <v>145</v>
      </c>
      <c r="N88" s="216">
        <f>+IFERROR(VLOOKUP($M88,'11 FORMULAS'!$B$54:$C$55,2,0),"")</f>
        <v>0.15</v>
      </c>
      <c r="O88" s="255" t="s">
        <v>146</v>
      </c>
      <c r="P88" s="255" t="s">
        <v>237</v>
      </c>
      <c r="Q88" s="255" t="s">
        <v>137</v>
      </c>
      <c r="R88" s="255" t="s">
        <v>138</v>
      </c>
      <c r="S88" s="216">
        <f t="shared" si="3"/>
        <v>0.4</v>
      </c>
      <c r="T88" s="216">
        <f>IF($L88='11 FORMULAS'!$D$51,$C$10-($C$10*$S$10),$C$10)</f>
        <v>0.36</v>
      </c>
      <c r="U88" s="216">
        <f>IF($L88='11 FORMULAS'!$D$53,$D$88-($D$88*$S$88),$D$88)</f>
        <v>0.8</v>
      </c>
      <c r="V88" s="485">
        <f>+IF(T93="","",T93)</f>
        <v>0.6</v>
      </c>
      <c r="W88" s="489">
        <f>+IF(U93="","",U93)</f>
        <v>0.8</v>
      </c>
      <c r="X88" s="28"/>
      <c r="Y88" s="214"/>
      <c r="Z88" s="215"/>
      <c r="AA88" s="215"/>
    </row>
    <row r="89" spans="1:27" ht="29.45" customHeight="1" x14ac:dyDescent="0.25">
      <c r="A89" s="502"/>
      <c r="B89" s="506"/>
      <c r="C89" s="494"/>
      <c r="D89" s="498"/>
      <c r="E89" s="252">
        <v>2</v>
      </c>
      <c r="F89" s="240"/>
      <c r="G89" s="163"/>
      <c r="H89" s="163"/>
      <c r="I89" s="212" t="str">
        <f t="shared" si="2"/>
        <v xml:space="preserve">  </v>
      </c>
      <c r="J89" s="290"/>
      <c r="K89" s="216" t="str">
        <f>+IFERROR(VLOOKUP($J89,'11 FORMULAS'!$B$51:$C$53,2,0),"")</f>
        <v/>
      </c>
      <c r="L89" s="216" t="str">
        <f>+IFERROR(VLOOKUP($J89,'11 FORMULAS'!$B$51:$D$53,3,0),"")</f>
        <v/>
      </c>
      <c r="M89" s="253"/>
      <c r="N89" s="216" t="str">
        <f>+IFERROR(VLOOKUP($M89,'11 FORMULAS'!$B$54:$C$55,2,0),"")</f>
        <v/>
      </c>
      <c r="O89" s="255"/>
      <c r="P89" s="255"/>
      <c r="Q89" s="255"/>
      <c r="R89" s="255"/>
      <c r="S89" s="216" t="str">
        <f t="shared" si="3"/>
        <v/>
      </c>
      <c r="T89" s="216">
        <f>IF($L89='11 FORMULAS'!$D$51,$C$10-($C$10*$S$10),$C$10)</f>
        <v>0.6</v>
      </c>
      <c r="U89" s="216">
        <f>IF($L89='11 FORMULAS'!$D$53,$D$88-($D$88*$S$88),$D$88)</f>
        <v>0.8</v>
      </c>
      <c r="V89" s="487"/>
      <c r="W89" s="491"/>
      <c r="X89" s="28"/>
      <c r="Y89" s="214"/>
      <c r="Z89" s="215"/>
      <c r="AA89" s="215"/>
    </row>
    <row r="90" spans="1:27" ht="29.45" customHeight="1" x14ac:dyDescent="0.25">
      <c r="A90" s="502"/>
      <c r="B90" s="506"/>
      <c r="C90" s="494"/>
      <c r="D90" s="498"/>
      <c r="E90" s="252">
        <v>3</v>
      </c>
      <c r="F90" s="240"/>
      <c r="G90" s="163"/>
      <c r="H90" s="163"/>
      <c r="I90" s="212" t="str">
        <f t="shared" si="2"/>
        <v xml:space="preserve">  </v>
      </c>
      <c r="J90" s="290"/>
      <c r="K90" s="216" t="str">
        <f>+IFERROR(VLOOKUP($J90,'11 FORMULAS'!$B$51:$C$53,2,0),"")</f>
        <v/>
      </c>
      <c r="L90" s="216" t="str">
        <f>+IFERROR(VLOOKUP($J90,'11 FORMULAS'!$B$51:$D$53,3,0),"")</f>
        <v/>
      </c>
      <c r="M90" s="253"/>
      <c r="N90" s="216" t="str">
        <f>+IFERROR(VLOOKUP($M90,'11 FORMULAS'!$B$54:$C$55,2,0),"")</f>
        <v/>
      </c>
      <c r="O90" s="255"/>
      <c r="P90" s="255"/>
      <c r="Q90" s="255"/>
      <c r="R90" s="255"/>
      <c r="S90" s="216" t="str">
        <f t="shared" si="3"/>
        <v/>
      </c>
      <c r="T90" s="216">
        <f>IF($L90='11 FORMULAS'!$D$51,$C$10-($C$10*$S$10),$C$10)</f>
        <v>0.6</v>
      </c>
      <c r="U90" s="216">
        <f>IF($L90='11 FORMULAS'!$D$53,$D$88-($D$88*$S$88),$D$88)</f>
        <v>0.8</v>
      </c>
      <c r="V90" s="487"/>
      <c r="W90" s="491"/>
      <c r="X90" s="28"/>
      <c r="Y90" s="214"/>
      <c r="Z90" s="215"/>
      <c r="AA90" s="215"/>
    </row>
    <row r="91" spans="1:27" ht="29.45" customHeight="1" x14ac:dyDescent="0.25">
      <c r="A91" s="502"/>
      <c r="B91" s="506"/>
      <c r="C91" s="494"/>
      <c r="D91" s="498"/>
      <c r="E91" s="252">
        <v>4</v>
      </c>
      <c r="F91" s="240"/>
      <c r="G91" s="163"/>
      <c r="H91" s="163"/>
      <c r="I91" s="212" t="str">
        <f t="shared" si="2"/>
        <v xml:space="preserve">  </v>
      </c>
      <c r="J91" s="290"/>
      <c r="K91" s="216" t="str">
        <f>+IFERROR(VLOOKUP($J91,'11 FORMULAS'!$B$51:$C$53,2,0),"")</f>
        <v/>
      </c>
      <c r="L91" s="216" t="str">
        <f>+IFERROR(VLOOKUP($J91,'11 FORMULAS'!$B$51:$D$53,3,0),"")</f>
        <v/>
      </c>
      <c r="M91" s="253"/>
      <c r="N91" s="216" t="str">
        <f>+IFERROR(VLOOKUP($M91,'11 FORMULAS'!$B$54:$C$55,2,0),"")</f>
        <v/>
      </c>
      <c r="O91" s="255"/>
      <c r="P91" s="255"/>
      <c r="Q91" s="255"/>
      <c r="R91" s="255"/>
      <c r="S91" s="216" t="str">
        <f t="shared" si="3"/>
        <v/>
      </c>
      <c r="T91" s="216">
        <f>IF($L91='11 FORMULAS'!$D$51,$C$10-($C$10*$S$10),$C$10)</f>
        <v>0.6</v>
      </c>
      <c r="U91" s="216">
        <f>IF($L91='11 FORMULAS'!$D$53,$D$88-($D$88*$S$88),$D$88)</f>
        <v>0.8</v>
      </c>
      <c r="V91" s="487"/>
      <c r="W91" s="491"/>
      <c r="X91" s="28"/>
      <c r="Y91" s="214"/>
      <c r="Z91" s="215"/>
      <c r="AA91" s="215"/>
    </row>
    <row r="92" spans="1:27" ht="29.45" customHeight="1" x14ac:dyDescent="0.25">
      <c r="A92" s="502"/>
      <c r="B92" s="506"/>
      <c r="C92" s="494"/>
      <c r="D92" s="498"/>
      <c r="E92" s="252">
        <v>5</v>
      </c>
      <c r="F92" s="240"/>
      <c r="G92" s="163"/>
      <c r="H92" s="163"/>
      <c r="I92" s="212" t="str">
        <f t="shared" si="2"/>
        <v xml:space="preserve">  </v>
      </c>
      <c r="J92" s="290"/>
      <c r="K92" s="216" t="str">
        <f>+IFERROR(VLOOKUP($J92,'11 FORMULAS'!$B$51:$C$53,2,0),"")</f>
        <v/>
      </c>
      <c r="L92" s="216" t="str">
        <f>+IFERROR(VLOOKUP($J92,'11 FORMULAS'!$B$51:$D$53,3,0),"")</f>
        <v/>
      </c>
      <c r="M92" s="253"/>
      <c r="N92" s="216" t="str">
        <f>+IFERROR(VLOOKUP($M92,'11 FORMULAS'!$B$54:$C$55,2,0),"")</f>
        <v/>
      </c>
      <c r="O92" s="255"/>
      <c r="P92" s="255"/>
      <c r="Q92" s="255"/>
      <c r="R92" s="255"/>
      <c r="S92" s="216" t="str">
        <f t="shared" si="3"/>
        <v/>
      </c>
      <c r="T92" s="216">
        <f>IF($L92='11 FORMULAS'!$D$51,$C$10-($C$10*$S$10),$C$10)</f>
        <v>0.6</v>
      </c>
      <c r="U92" s="216">
        <f>IF($L92='11 FORMULAS'!$D$53,$D$88-($D$88*$S$88),$D$88)</f>
        <v>0.8</v>
      </c>
      <c r="V92" s="487"/>
      <c r="W92" s="491"/>
      <c r="X92" s="28"/>
      <c r="Y92" s="214"/>
      <c r="Z92" s="215"/>
      <c r="AA92" s="215"/>
    </row>
    <row r="93" spans="1:27" ht="29.45" customHeight="1" thickBot="1" x14ac:dyDescent="0.3">
      <c r="A93" s="503"/>
      <c r="B93" s="507"/>
      <c r="C93" s="495"/>
      <c r="D93" s="499"/>
      <c r="E93" s="256">
        <v>6</v>
      </c>
      <c r="F93" s="243"/>
      <c r="G93" s="164"/>
      <c r="H93" s="164"/>
      <c r="I93" s="212" t="str">
        <f t="shared" si="2"/>
        <v xml:space="preserve">  </v>
      </c>
      <c r="J93" s="290"/>
      <c r="K93" s="216" t="str">
        <f>+IFERROR(VLOOKUP($J93,'11 FORMULAS'!$B$51:$C$53,2,0),"")</f>
        <v/>
      </c>
      <c r="L93" s="216" t="str">
        <f>+IFERROR(VLOOKUP($J93,'11 FORMULAS'!$B$51:$D$53,3,0),"")</f>
        <v/>
      </c>
      <c r="M93" s="253"/>
      <c r="N93" s="216" t="str">
        <f>+IFERROR(VLOOKUP($M93,'11 FORMULAS'!$B$54:$C$55,2,0),"")</f>
        <v/>
      </c>
      <c r="O93" s="255"/>
      <c r="P93" s="255"/>
      <c r="Q93" s="255"/>
      <c r="R93" s="255"/>
      <c r="S93" s="216" t="str">
        <f t="shared" si="3"/>
        <v/>
      </c>
      <c r="T93" s="216">
        <f>IF($L93='11 FORMULAS'!$D$51,$C$10-($C$10*$S$10),$C$10)</f>
        <v>0.6</v>
      </c>
      <c r="U93" s="216">
        <f>IF($L93='11 FORMULAS'!$D$53,$D$88-($D$88*$S$88),$D$88)</f>
        <v>0.8</v>
      </c>
      <c r="V93" s="488"/>
      <c r="W93" s="492"/>
      <c r="X93" s="28"/>
    </row>
    <row r="94" spans="1:27" ht="102.75" customHeight="1" x14ac:dyDescent="0.25">
      <c r="A94" s="500" t="str">
        <f>'2 IDENTIFICACIÓN'!A24</f>
        <v>R15</v>
      </c>
      <c r="B94" s="504" t="str">
        <f>+'2 IDENTIFICACIÓN'!J24</f>
        <v xml:space="preserve">Posibilidad  de efecto dañoso sobre el recurso público por disminución de ingresos o prescripción de la cartera en mora,  debido a la renuencia de los contribuyentes al pago de las obligaciones tributarias, dificultades para la localización de deudores morosos, fallecimiento de contribuyentes y procesos de legalización y cesión de predios que afectan la recuperación oportuna de la cartera dentro de los términos establecidos para el cobro persuasivo y coactivo. </v>
      </c>
      <c r="C94" s="493">
        <f>+'3 PROBABIL E IMPACTO INHERENTE'!E24</f>
        <v>1</v>
      </c>
      <c r="D94" s="496">
        <f>+'3 PROBABIL E IMPACTO INHERENTE'!M24</f>
        <v>1</v>
      </c>
      <c r="E94" s="257">
        <v>1</v>
      </c>
      <c r="F94" s="333" t="s">
        <v>516</v>
      </c>
      <c r="G94" s="334" t="s">
        <v>517</v>
      </c>
      <c r="H94" s="334" t="s">
        <v>518</v>
      </c>
      <c r="I94" s="335" t="str">
        <f t="shared" si="2"/>
        <v>El Tesorero General del Municipio y el equipo de trabajo verifican la gestión y recuperación de la cartera de las diferentes rentas municipales,  a través del seguimiento y validación de las actuaciones de cobro persuasivo y coactivo realizadas a los contribuyentes morosos, identificando oportunamente situaciones que puedan afectar el recaudo y evitar la prescripción de las obligaciones.</v>
      </c>
      <c r="J94" s="290" t="s">
        <v>133</v>
      </c>
      <c r="K94" s="216">
        <f>+IFERROR(VLOOKUP($J94,'11 FORMULAS'!$B$51:$C$53,2,0),"")</f>
        <v>0.25</v>
      </c>
      <c r="L94" s="216" t="str">
        <f>+IFERROR(VLOOKUP($J94,'11 FORMULAS'!$B$51:$D$53,3,0),"")</f>
        <v>Probabilidad</v>
      </c>
      <c r="M94" s="253" t="s">
        <v>145</v>
      </c>
      <c r="N94" s="216">
        <f>+IFERROR(VLOOKUP($M94,'11 FORMULAS'!$B$54:$C$55,2,0),"")</f>
        <v>0.15</v>
      </c>
      <c r="O94" s="255" t="s">
        <v>146</v>
      </c>
      <c r="P94" s="255" t="s">
        <v>237</v>
      </c>
      <c r="Q94" s="255" t="s">
        <v>137</v>
      </c>
      <c r="R94" s="255" t="s">
        <v>138</v>
      </c>
      <c r="S94" s="216">
        <f t="shared" si="3"/>
        <v>0.4</v>
      </c>
      <c r="T94" s="216">
        <f>IF($L94='11 FORMULAS'!$D$51,$C$10-($C$10*$S$10),$C$10)</f>
        <v>0.36</v>
      </c>
      <c r="U94" s="216">
        <f>IF($L94='11 FORMULAS'!$D$53,$D$94-($D$94*$S$94),$D$94)</f>
        <v>1</v>
      </c>
      <c r="V94" s="485">
        <f>+IF(T99="","",T99)</f>
        <v>0.6</v>
      </c>
      <c r="W94" s="489">
        <f>+IF(U99="","",U99)</f>
        <v>1</v>
      </c>
      <c r="X94" s="28"/>
      <c r="Y94" s="214"/>
      <c r="Z94" s="215"/>
      <c r="AA94" s="215"/>
    </row>
    <row r="95" spans="1:27" ht="29.45" customHeight="1" x14ac:dyDescent="0.25">
      <c r="A95" s="502"/>
      <c r="B95" s="506"/>
      <c r="C95" s="494"/>
      <c r="D95" s="498"/>
      <c r="E95" s="252">
        <v>2</v>
      </c>
      <c r="F95" s="240"/>
      <c r="G95" s="163"/>
      <c r="H95" s="163"/>
      <c r="I95" s="212" t="str">
        <f t="shared" si="2"/>
        <v xml:space="preserve">  </v>
      </c>
      <c r="J95" s="290"/>
      <c r="K95" s="216" t="str">
        <f>+IFERROR(VLOOKUP($J95,'11 FORMULAS'!$B$51:$C$53,2,0),"")</f>
        <v/>
      </c>
      <c r="L95" s="216" t="str">
        <f>+IFERROR(VLOOKUP($J95,'11 FORMULAS'!$B$51:$D$53,3,0),"")</f>
        <v/>
      </c>
      <c r="M95" s="253"/>
      <c r="N95" s="216" t="str">
        <f>+IFERROR(VLOOKUP($M95,'11 FORMULAS'!$B$54:$C$55,2,0),"")</f>
        <v/>
      </c>
      <c r="O95" s="255"/>
      <c r="P95" s="255"/>
      <c r="Q95" s="255"/>
      <c r="R95" s="255"/>
      <c r="S95" s="216" t="str">
        <f t="shared" si="3"/>
        <v/>
      </c>
      <c r="T95" s="216">
        <f>IF($L95='11 FORMULAS'!$D$51,$C$10-($C$10*$S$10),$C$10)</f>
        <v>0.6</v>
      </c>
      <c r="U95" s="216">
        <f>IF($L95='11 FORMULAS'!$D$53,$D$94-($D$94*$S$94),$D$94)</f>
        <v>1</v>
      </c>
      <c r="V95" s="487"/>
      <c r="W95" s="491"/>
      <c r="X95" s="28"/>
      <c r="Y95" s="214"/>
      <c r="Z95" s="215"/>
      <c r="AA95" s="215"/>
    </row>
    <row r="96" spans="1:27" ht="29.45" customHeight="1" x14ac:dyDescent="0.25">
      <c r="A96" s="502"/>
      <c r="B96" s="506"/>
      <c r="C96" s="494"/>
      <c r="D96" s="498"/>
      <c r="E96" s="252">
        <v>3</v>
      </c>
      <c r="F96" s="240"/>
      <c r="G96" s="163"/>
      <c r="H96" s="163"/>
      <c r="I96" s="212" t="str">
        <f t="shared" si="2"/>
        <v xml:space="preserve">  </v>
      </c>
      <c r="J96" s="290"/>
      <c r="K96" s="216" t="str">
        <f>+IFERROR(VLOOKUP($J96,'11 FORMULAS'!$B$51:$C$53,2,0),"")</f>
        <v/>
      </c>
      <c r="L96" s="216" t="str">
        <f>+IFERROR(VLOOKUP($J96,'11 FORMULAS'!$B$51:$D$53,3,0),"")</f>
        <v/>
      </c>
      <c r="M96" s="253"/>
      <c r="N96" s="216" t="str">
        <f>+IFERROR(VLOOKUP($M96,'11 FORMULAS'!$B$54:$C$55,2,0),"")</f>
        <v/>
      </c>
      <c r="O96" s="255"/>
      <c r="P96" s="255"/>
      <c r="Q96" s="255"/>
      <c r="R96" s="255"/>
      <c r="S96" s="216" t="str">
        <f t="shared" si="3"/>
        <v/>
      </c>
      <c r="T96" s="216">
        <f>IF($L96='11 FORMULAS'!$D$51,$C$10-($C$10*$S$10),$C$10)</f>
        <v>0.6</v>
      </c>
      <c r="U96" s="216">
        <f>IF($L96='11 FORMULAS'!$D$53,$D$94-($D$94*$S$94),$D$94)</f>
        <v>1</v>
      </c>
      <c r="V96" s="487"/>
      <c r="W96" s="491"/>
      <c r="X96" s="28"/>
      <c r="Y96" s="214"/>
      <c r="Z96" s="215"/>
      <c r="AA96" s="215"/>
    </row>
    <row r="97" spans="1:27" ht="29.45" customHeight="1" x14ac:dyDescent="0.25">
      <c r="A97" s="502"/>
      <c r="B97" s="506"/>
      <c r="C97" s="494"/>
      <c r="D97" s="498"/>
      <c r="E97" s="252">
        <v>4</v>
      </c>
      <c r="F97" s="240"/>
      <c r="G97" s="163"/>
      <c r="H97" s="163"/>
      <c r="I97" s="212" t="str">
        <f t="shared" si="2"/>
        <v xml:space="preserve">  </v>
      </c>
      <c r="J97" s="290"/>
      <c r="K97" s="216" t="str">
        <f>+IFERROR(VLOOKUP($J97,'11 FORMULAS'!$B$51:$C$53,2,0),"")</f>
        <v/>
      </c>
      <c r="L97" s="216" t="str">
        <f>+IFERROR(VLOOKUP($J97,'11 FORMULAS'!$B$51:$D$53,3,0),"")</f>
        <v/>
      </c>
      <c r="M97" s="253"/>
      <c r="N97" s="216" t="str">
        <f>+IFERROR(VLOOKUP($M97,'11 FORMULAS'!$B$54:$C$55,2,0),"")</f>
        <v/>
      </c>
      <c r="O97" s="255"/>
      <c r="P97" s="255"/>
      <c r="Q97" s="255"/>
      <c r="R97" s="255"/>
      <c r="S97" s="216" t="str">
        <f t="shared" si="3"/>
        <v/>
      </c>
      <c r="T97" s="216">
        <f>IF($L97='11 FORMULAS'!$D$51,$C$10-($C$10*$S$10),$C$10)</f>
        <v>0.6</v>
      </c>
      <c r="U97" s="216">
        <f>IF($L97='11 FORMULAS'!$D$53,$D$94-($D$94*$S$94),$D$94)</f>
        <v>1</v>
      </c>
      <c r="V97" s="487"/>
      <c r="W97" s="491"/>
      <c r="X97" s="28"/>
      <c r="Y97" s="214"/>
      <c r="Z97" s="215"/>
      <c r="AA97" s="215"/>
    </row>
    <row r="98" spans="1:27" ht="29.45" customHeight="1" x14ac:dyDescent="0.25">
      <c r="A98" s="502"/>
      <c r="B98" s="506"/>
      <c r="C98" s="494"/>
      <c r="D98" s="498"/>
      <c r="E98" s="252">
        <v>5</v>
      </c>
      <c r="F98" s="240"/>
      <c r="G98" s="163"/>
      <c r="H98" s="163"/>
      <c r="I98" s="212" t="str">
        <f t="shared" si="2"/>
        <v xml:space="preserve">  </v>
      </c>
      <c r="J98" s="290"/>
      <c r="K98" s="216" t="str">
        <f>+IFERROR(VLOOKUP($J98,'11 FORMULAS'!$B$51:$C$53,2,0),"")</f>
        <v/>
      </c>
      <c r="L98" s="216" t="str">
        <f>+IFERROR(VLOOKUP($J98,'11 FORMULAS'!$B$51:$D$53,3,0),"")</f>
        <v/>
      </c>
      <c r="M98" s="253"/>
      <c r="N98" s="216" t="str">
        <f>+IFERROR(VLOOKUP($M98,'11 FORMULAS'!$B$54:$C$55,2,0),"")</f>
        <v/>
      </c>
      <c r="O98" s="255"/>
      <c r="P98" s="255"/>
      <c r="Q98" s="255"/>
      <c r="R98" s="255"/>
      <c r="S98" s="216" t="str">
        <f t="shared" si="3"/>
        <v/>
      </c>
      <c r="T98" s="216">
        <f>IF($L98='11 FORMULAS'!$D$51,$C$10-($C$10*$S$10),$C$10)</f>
        <v>0.6</v>
      </c>
      <c r="U98" s="216">
        <f>IF($L98='11 FORMULAS'!$D$53,$D$94-($D$94*$S$94),$D$94)</f>
        <v>1</v>
      </c>
      <c r="V98" s="487"/>
      <c r="W98" s="491"/>
      <c r="X98" s="28"/>
      <c r="Y98" s="214"/>
      <c r="Z98" s="215"/>
      <c r="AA98" s="215"/>
    </row>
    <row r="99" spans="1:27" ht="29.45" customHeight="1" thickBot="1" x14ac:dyDescent="0.3">
      <c r="A99" s="503"/>
      <c r="B99" s="507"/>
      <c r="C99" s="495"/>
      <c r="D99" s="499"/>
      <c r="E99" s="256">
        <v>6</v>
      </c>
      <c r="F99" s="243"/>
      <c r="G99" s="164"/>
      <c r="H99" s="164"/>
      <c r="I99" s="212" t="str">
        <f t="shared" si="2"/>
        <v xml:space="preserve">  </v>
      </c>
      <c r="J99" s="290"/>
      <c r="K99" s="216" t="str">
        <f>+IFERROR(VLOOKUP($J99,'11 FORMULAS'!$B$51:$C$53,2,0),"")</f>
        <v/>
      </c>
      <c r="L99" s="216" t="str">
        <f>+IFERROR(VLOOKUP($J99,'11 FORMULAS'!$B$51:$D$53,3,0),"")</f>
        <v/>
      </c>
      <c r="M99" s="253"/>
      <c r="N99" s="216" t="str">
        <f>+IFERROR(VLOOKUP($M99,'11 FORMULAS'!$B$54:$C$55,2,0),"")</f>
        <v/>
      </c>
      <c r="O99" s="255"/>
      <c r="P99" s="255"/>
      <c r="Q99" s="255"/>
      <c r="R99" s="255"/>
      <c r="S99" s="216" t="str">
        <f t="shared" si="3"/>
        <v/>
      </c>
      <c r="T99" s="216">
        <f>IF($L99='11 FORMULAS'!$D$51,$C$10-($C$10*$S$10),$C$10)</f>
        <v>0.6</v>
      </c>
      <c r="U99" s="216">
        <f>IF($L99='11 FORMULAS'!$D$53,$D$94-($D$94*$S$94),$D$94)</f>
        <v>1</v>
      </c>
      <c r="V99" s="488"/>
      <c r="W99" s="492"/>
      <c r="X99" s="28"/>
    </row>
    <row r="100" spans="1:27" ht="85.5" customHeight="1" x14ac:dyDescent="0.25">
      <c r="A100" s="500" t="str">
        <f>'2 IDENTIFICACIÓN'!A25</f>
        <v>R16</v>
      </c>
      <c r="B100" s="504" t="str">
        <f>+'2 IDENTIFICACIÓN'!J25</f>
        <v xml:space="preserve">Posibilidad  de efecto dañoso sobre el recurso público por afectación en la ejecución de los proyectos de presupuestos participativos,  debido a cambios en la destinación de los recursos asignados para su financiación. </v>
      </c>
      <c r="C100" s="493">
        <f>+'3 PROBABIL E IMPACTO INHERENTE'!E25</f>
        <v>0.6</v>
      </c>
      <c r="D100" s="496">
        <f>+'3 PROBABIL E IMPACTO INHERENTE'!M25</f>
        <v>1</v>
      </c>
      <c r="E100" s="257">
        <v>1</v>
      </c>
      <c r="F100" s="333" t="s">
        <v>524</v>
      </c>
      <c r="G100" s="334" t="s">
        <v>525</v>
      </c>
      <c r="H100" s="334" t="s">
        <v>526</v>
      </c>
      <c r="I100" s="335" t="str">
        <f t="shared" si="2"/>
        <v xml:space="preserve">El profesional especializado de presupuesto erifica los traslados presupuestales cada vez que surja esta actividad,  a fin de garantizar que los mismos se hagan acorde a sus exigencias, y garantizar que en  ningún momento se afecte el rubro de presupuestos participativos a un uso diferente del definido en el Acuerdo que lo estableció. </v>
      </c>
      <c r="J100" s="290" t="s">
        <v>133</v>
      </c>
      <c r="K100" s="216">
        <f>+IFERROR(VLOOKUP($J100,'11 FORMULAS'!$B$51:$C$53,2,0),"")</f>
        <v>0.25</v>
      </c>
      <c r="L100" s="216" t="str">
        <f>+IFERROR(VLOOKUP($J100,'11 FORMULAS'!$B$51:$D$53,3,0),"")</f>
        <v>Probabilidad</v>
      </c>
      <c r="M100" s="253" t="s">
        <v>145</v>
      </c>
      <c r="N100" s="216">
        <f>+IFERROR(VLOOKUP($M100,'11 FORMULAS'!$B$54:$C$55,2,0),"")</f>
        <v>0.15</v>
      </c>
      <c r="O100" s="255" t="s">
        <v>135</v>
      </c>
      <c r="P100" s="255" t="s">
        <v>237</v>
      </c>
      <c r="Q100" s="255" t="s">
        <v>137</v>
      </c>
      <c r="R100" s="255" t="s">
        <v>138</v>
      </c>
      <c r="S100" s="216">
        <f t="shared" si="3"/>
        <v>0.4</v>
      </c>
      <c r="T100" s="216">
        <f>IF($L100='11 FORMULAS'!$D$51,$C$10-($C$10*$S$10),$C$10)</f>
        <v>0.36</v>
      </c>
      <c r="U100" s="216">
        <f>IF($L100='11 FORMULAS'!$D$53,$D$100-($D$100*$S$100),$D$100)</f>
        <v>1</v>
      </c>
      <c r="V100" s="485">
        <f>+IF(T105="","",T105)</f>
        <v>0.6</v>
      </c>
      <c r="W100" s="489">
        <f>+IF(U105="","",U105)</f>
        <v>1</v>
      </c>
      <c r="X100" s="28"/>
      <c r="Y100" s="214"/>
      <c r="Z100" s="215"/>
      <c r="AA100" s="215"/>
    </row>
    <row r="101" spans="1:27" ht="29.45" customHeight="1" x14ac:dyDescent="0.25">
      <c r="A101" s="502"/>
      <c r="B101" s="506"/>
      <c r="C101" s="494"/>
      <c r="D101" s="498"/>
      <c r="E101" s="252">
        <v>2</v>
      </c>
      <c r="F101" s="240"/>
      <c r="G101" s="163"/>
      <c r="H101" s="163"/>
      <c r="I101" s="212" t="str">
        <f t="shared" si="2"/>
        <v xml:space="preserve">  </v>
      </c>
      <c r="J101" s="290"/>
      <c r="K101" s="216" t="str">
        <f>+IFERROR(VLOOKUP($J101,'11 FORMULAS'!$B$51:$C$53,2,0),"")</f>
        <v/>
      </c>
      <c r="L101" s="216" t="str">
        <f>+IFERROR(VLOOKUP($J101,'11 FORMULAS'!$B$51:$D$53,3,0),"")</f>
        <v/>
      </c>
      <c r="M101" s="253"/>
      <c r="N101" s="216" t="str">
        <f>+IFERROR(VLOOKUP($M101,'11 FORMULAS'!$B$54:$C$55,2,0),"")</f>
        <v/>
      </c>
      <c r="O101" s="255"/>
      <c r="P101" s="255"/>
      <c r="Q101" s="255"/>
      <c r="R101" s="255"/>
      <c r="S101" s="216" t="str">
        <f t="shared" si="3"/>
        <v/>
      </c>
      <c r="T101" s="216">
        <f>IF($L101='11 FORMULAS'!$D$51,$C$10-($C$10*$S$10),$C$10)</f>
        <v>0.6</v>
      </c>
      <c r="U101" s="216">
        <f>IF($L101='11 FORMULAS'!$D$53,$D$100-($D$100*$S$100),$D$100)</f>
        <v>1</v>
      </c>
      <c r="V101" s="487"/>
      <c r="W101" s="491"/>
      <c r="X101" s="28"/>
      <c r="Y101" s="214"/>
      <c r="Z101" s="215"/>
      <c r="AA101" s="215"/>
    </row>
    <row r="102" spans="1:27" ht="29.45" customHeight="1" x14ac:dyDescent="0.25">
      <c r="A102" s="502"/>
      <c r="B102" s="506"/>
      <c r="C102" s="494"/>
      <c r="D102" s="498"/>
      <c r="E102" s="252">
        <v>3</v>
      </c>
      <c r="F102" s="240"/>
      <c r="G102" s="163"/>
      <c r="H102" s="163"/>
      <c r="I102" s="212" t="str">
        <f t="shared" si="2"/>
        <v xml:space="preserve">  </v>
      </c>
      <c r="J102" s="290"/>
      <c r="K102" s="216" t="str">
        <f>+IFERROR(VLOOKUP($J102,'11 FORMULAS'!$B$51:$C$53,2,0),"")</f>
        <v/>
      </c>
      <c r="L102" s="216" t="str">
        <f>+IFERROR(VLOOKUP($J102,'11 FORMULAS'!$B$51:$D$53,3,0),"")</f>
        <v/>
      </c>
      <c r="M102" s="253"/>
      <c r="N102" s="216" t="str">
        <f>+IFERROR(VLOOKUP($M102,'11 FORMULAS'!$B$54:$C$55,2,0),"")</f>
        <v/>
      </c>
      <c r="O102" s="255"/>
      <c r="P102" s="255"/>
      <c r="Q102" s="255"/>
      <c r="R102" s="255"/>
      <c r="S102" s="216" t="str">
        <f t="shared" si="3"/>
        <v/>
      </c>
      <c r="T102" s="216">
        <f>IF($L102='11 FORMULAS'!$D$51,$C$10-($C$10*$S$10),$C$10)</f>
        <v>0.6</v>
      </c>
      <c r="U102" s="216">
        <f>IF($L102='11 FORMULAS'!$D$53,$D$100-($D$100*$S$100),$D$100)</f>
        <v>1</v>
      </c>
      <c r="V102" s="487"/>
      <c r="W102" s="491"/>
      <c r="X102" s="28"/>
      <c r="Y102" s="214"/>
      <c r="Z102" s="215"/>
      <c r="AA102" s="215"/>
    </row>
    <row r="103" spans="1:27" ht="29.45" customHeight="1" x14ac:dyDescent="0.25">
      <c r="A103" s="502"/>
      <c r="B103" s="506"/>
      <c r="C103" s="494"/>
      <c r="D103" s="498"/>
      <c r="E103" s="252">
        <v>4</v>
      </c>
      <c r="F103" s="240"/>
      <c r="G103" s="163"/>
      <c r="H103" s="163"/>
      <c r="I103" s="212" t="str">
        <f t="shared" si="2"/>
        <v xml:space="preserve">  </v>
      </c>
      <c r="J103" s="290"/>
      <c r="K103" s="216" t="str">
        <f>+IFERROR(VLOOKUP($J103,'11 FORMULAS'!$B$51:$C$53,2,0),"")</f>
        <v/>
      </c>
      <c r="L103" s="216" t="str">
        <f>+IFERROR(VLOOKUP($J103,'11 FORMULAS'!$B$51:$D$53,3,0),"")</f>
        <v/>
      </c>
      <c r="M103" s="253"/>
      <c r="N103" s="216" t="str">
        <f>+IFERROR(VLOOKUP($M103,'11 FORMULAS'!$B$54:$C$55,2,0),"")</f>
        <v/>
      </c>
      <c r="O103" s="255"/>
      <c r="P103" s="255"/>
      <c r="Q103" s="255"/>
      <c r="R103" s="255"/>
      <c r="S103" s="216" t="str">
        <f t="shared" si="3"/>
        <v/>
      </c>
      <c r="T103" s="216">
        <f>IF($L103='11 FORMULAS'!$D$51,$C$10-($C$10*$S$10),$C$10)</f>
        <v>0.6</v>
      </c>
      <c r="U103" s="216">
        <f>IF($L103='11 FORMULAS'!$D$53,$D$100-($D$100*$S$100),$D$100)</f>
        <v>1</v>
      </c>
      <c r="V103" s="487"/>
      <c r="W103" s="491"/>
      <c r="X103" s="28"/>
      <c r="Y103" s="214"/>
      <c r="Z103" s="215"/>
      <c r="AA103" s="215"/>
    </row>
    <row r="104" spans="1:27" ht="29.45" customHeight="1" x14ac:dyDescent="0.25">
      <c r="A104" s="502"/>
      <c r="B104" s="506"/>
      <c r="C104" s="494"/>
      <c r="D104" s="498"/>
      <c r="E104" s="252">
        <v>5</v>
      </c>
      <c r="F104" s="240"/>
      <c r="G104" s="163"/>
      <c r="H104" s="163"/>
      <c r="I104" s="212" t="str">
        <f t="shared" si="2"/>
        <v xml:space="preserve">  </v>
      </c>
      <c r="J104" s="290"/>
      <c r="K104" s="216" t="str">
        <f>+IFERROR(VLOOKUP($J104,'11 FORMULAS'!$B$51:$C$53,2,0),"")</f>
        <v/>
      </c>
      <c r="L104" s="216" t="str">
        <f>+IFERROR(VLOOKUP($J104,'11 FORMULAS'!$B$51:$D$53,3,0),"")</f>
        <v/>
      </c>
      <c r="M104" s="253"/>
      <c r="N104" s="216" t="str">
        <f>+IFERROR(VLOOKUP($M104,'11 FORMULAS'!$B$54:$C$55,2,0),"")</f>
        <v/>
      </c>
      <c r="O104" s="255"/>
      <c r="P104" s="255"/>
      <c r="Q104" s="255"/>
      <c r="R104" s="255"/>
      <c r="S104" s="216" t="str">
        <f t="shared" si="3"/>
        <v/>
      </c>
      <c r="T104" s="216">
        <f>IF($L104='11 FORMULAS'!$D$51,$C$10-($C$10*$S$10),$C$10)</f>
        <v>0.6</v>
      </c>
      <c r="U104" s="216">
        <f>IF($L104='11 FORMULAS'!$D$53,$D$100-($D$100*$S$100),$D$100)</f>
        <v>1</v>
      </c>
      <c r="V104" s="487"/>
      <c r="W104" s="491"/>
      <c r="X104" s="28"/>
      <c r="Y104" s="214"/>
      <c r="Z104" s="215"/>
      <c r="AA104" s="215"/>
    </row>
    <row r="105" spans="1:27" ht="29.45" customHeight="1" thickBot="1" x14ac:dyDescent="0.3">
      <c r="A105" s="503"/>
      <c r="B105" s="507"/>
      <c r="C105" s="495"/>
      <c r="D105" s="499"/>
      <c r="E105" s="256">
        <v>6</v>
      </c>
      <c r="F105" s="243"/>
      <c r="G105" s="164"/>
      <c r="H105" s="164"/>
      <c r="I105" s="212" t="str">
        <f t="shared" si="2"/>
        <v xml:space="preserve">  </v>
      </c>
      <c r="J105" s="290"/>
      <c r="K105" s="216" t="str">
        <f>+IFERROR(VLOOKUP($J105,'11 FORMULAS'!$B$51:$C$53,2,0),"")</f>
        <v/>
      </c>
      <c r="L105" s="216" t="str">
        <f>+IFERROR(VLOOKUP($J105,'11 FORMULAS'!$B$51:$D$53,3,0),"")</f>
        <v/>
      </c>
      <c r="M105" s="253"/>
      <c r="N105" s="216" t="str">
        <f>+IFERROR(VLOOKUP($M105,'11 FORMULAS'!$B$54:$C$55,2,0),"")</f>
        <v/>
      </c>
      <c r="O105" s="255"/>
      <c r="P105" s="255"/>
      <c r="Q105" s="255"/>
      <c r="R105" s="255"/>
      <c r="S105" s="216" t="str">
        <f t="shared" si="3"/>
        <v/>
      </c>
      <c r="T105" s="216">
        <f>IF($L105='11 FORMULAS'!$D$51,$C$10-($C$10*$S$10),$C$10)</f>
        <v>0.6</v>
      </c>
      <c r="U105" s="216">
        <f>IF($L105='11 FORMULAS'!$D$53,$D$100-($D$100*$S$100),$D$100)</f>
        <v>1</v>
      </c>
      <c r="V105" s="488"/>
      <c r="W105" s="492"/>
      <c r="X105" s="28"/>
    </row>
    <row r="106" spans="1:27" ht="63.75" customHeight="1" x14ac:dyDescent="0.25">
      <c r="A106" s="500" t="str">
        <f>'2 IDENTIFICACIÓN'!A26</f>
        <v>R17</v>
      </c>
      <c r="B106" s="504" t="str">
        <f>+'2 IDENTIFICACIÓN'!J26</f>
        <v xml:space="preserve">Posibilidad  de efecto dañoso sobre el recurso público por la no disponibilidad de recursos del FONPET para la atención de obligaciones pensionales, debido a deficiencias en la gestión y presentación de la documentación habilitante dentro de los términos establecidos. </v>
      </c>
      <c r="C106" s="493">
        <f>+'3 PROBABIL E IMPACTO INHERENTE'!E26</f>
        <v>0.6</v>
      </c>
      <c r="D106" s="496">
        <f>+'3 PROBABIL E IMPACTO INHERENTE'!M26</f>
        <v>0.8</v>
      </c>
      <c r="E106" s="257">
        <v>1</v>
      </c>
      <c r="F106" s="333" t="s">
        <v>532</v>
      </c>
      <c r="G106" s="334" t="s">
        <v>533</v>
      </c>
      <c r="H106" s="334" t="s">
        <v>534</v>
      </c>
      <c r="I106" s="335" t="str">
        <f t="shared" si="2"/>
        <v>El profesional encargado  de diligenciar los formatos de requisitos habilitantes para acceder a los recursos del FONPET  deberá formular y ejecutar un cronograma con el cumplimiento de los tiempos definidos por el Ministerio de Hacienda y Crédito Público.</v>
      </c>
      <c r="J106" s="290" t="s">
        <v>133</v>
      </c>
      <c r="K106" s="216">
        <f>+IFERROR(VLOOKUP($J106,'11 FORMULAS'!$B$51:$C$53,2,0),"")</f>
        <v>0.25</v>
      </c>
      <c r="L106" s="216" t="str">
        <f>+IFERROR(VLOOKUP($J106,'11 FORMULAS'!$B$51:$D$53,3,0),"")</f>
        <v>Probabilidad</v>
      </c>
      <c r="M106" s="253" t="s">
        <v>145</v>
      </c>
      <c r="N106" s="216">
        <f>+IFERROR(VLOOKUP($M106,'11 FORMULAS'!$B$54:$C$55,2,0),"")</f>
        <v>0.15</v>
      </c>
      <c r="O106" s="255" t="s">
        <v>146</v>
      </c>
      <c r="P106" s="255" t="s">
        <v>237</v>
      </c>
      <c r="Q106" s="255" t="s">
        <v>137</v>
      </c>
      <c r="R106" s="255" t="s">
        <v>138</v>
      </c>
      <c r="S106" s="216">
        <f t="shared" si="3"/>
        <v>0.4</v>
      </c>
      <c r="T106" s="216">
        <f>IF($L106='11 FORMULAS'!$D$51,$C$10-($C$10*$S$10),$C$10)</f>
        <v>0.36</v>
      </c>
      <c r="U106" s="216">
        <f>IF($L106='11 FORMULAS'!$D$53,$D$106-($D$106*$S$106),$D$106)</f>
        <v>0.8</v>
      </c>
      <c r="V106" s="485">
        <f>+IF(T111="","",T111)</f>
        <v>0.6</v>
      </c>
      <c r="W106" s="489">
        <f>+IF(U111="","",U111)</f>
        <v>0.8</v>
      </c>
      <c r="X106" s="28"/>
      <c r="Y106" s="214"/>
      <c r="Z106" s="215"/>
      <c r="AA106" s="215"/>
    </row>
    <row r="107" spans="1:27" ht="29.45" customHeight="1" x14ac:dyDescent="0.25">
      <c r="A107" s="501"/>
      <c r="B107" s="505"/>
      <c r="C107" s="357"/>
      <c r="D107" s="497"/>
      <c r="E107" s="252">
        <v>2</v>
      </c>
      <c r="F107" s="239"/>
      <c r="G107" s="236"/>
      <c r="H107" s="236"/>
      <c r="I107" s="212" t="str">
        <f t="shared" si="2"/>
        <v xml:space="preserve">  </v>
      </c>
      <c r="J107" s="290"/>
      <c r="K107" s="216" t="str">
        <f>+IFERROR(VLOOKUP($J107,'11 FORMULAS'!$B$51:$C$53,2,0),"")</f>
        <v/>
      </c>
      <c r="L107" s="216" t="str">
        <f>+IFERROR(VLOOKUP($J107,'11 FORMULAS'!$B$51:$D$53,3,0),"")</f>
        <v/>
      </c>
      <c r="M107" s="253"/>
      <c r="N107" s="216" t="str">
        <f>+IFERROR(VLOOKUP($M107,'11 FORMULAS'!$B$54:$C$55,2,0),"")</f>
        <v/>
      </c>
      <c r="O107" s="255"/>
      <c r="P107" s="255"/>
      <c r="Q107" s="255"/>
      <c r="R107" s="255"/>
      <c r="S107" s="216" t="str">
        <f t="shared" si="3"/>
        <v/>
      </c>
      <c r="T107" s="216">
        <f>IF($L107='11 FORMULAS'!$D$51,$C$10-($C$10*$S$10),$C$10)</f>
        <v>0.6</v>
      </c>
      <c r="U107" s="216">
        <f>IF($L107='11 FORMULAS'!$D$53,$D$106-($D$106*$S$106),$D$106)</f>
        <v>0.8</v>
      </c>
      <c r="V107" s="486"/>
      <c r="W107" s="490"/>
      <c r="X107" s="28"/>
      <c r="Y107" s="214"/>
      <c r="Z107" s="215"/>
      <c r="AA107" s="215"/>
    </row>
    <row r="108" spans="1:27" ht="29.45" customHeight="1" x14ac:dyDescent="0.25">
      <c r="A108" s="501"/>
      <c r="B108" s="505"/>
      <c r="C108" s="357"/>
      <c r="D108" s="497"/>
      <c r="E108" s="252">
        <v>3</v>
      </c>
      <c r="F108" s="239"/>
      <c r="G108" s="236"/>
      <c r="H108" s="236"/>
      <c r="I108" s="212" t="str">
        <f t="shared" si="2"/>
        <v xml:space="preserve">  </v>
      </c>
      <c r="J108" s="290"/>
      <c r="K108" s="216" t="str">
        <f>+IFERROR(VLOOKUP($J108,'11 FORMULAS'!$B$51:$C$53,2,0),"")</f>
        <v/>
      </c>
      <c r="L108" s="216" t="str">
        <f>+IFERROR(VLOOKUP($J108,'11 FORMULAS'!$B$51:$D$53,3,0),"")</f>
        <v/>
      </c>
      <c r="M108" s="253"/>
      <c r="N108" s="216" t="str">
        <f>+IFERROR(VLOOKUP($M108,'11 FORMULAS'!$B$54:$C$55,2,0),"")</f>
        <v/>
      </c>
      <c r="O108" s="255"/>
      <c r="P108" s="255"/>
      <c r="Q108" s="255"/>
      <c r="R108" s="255"/>
      <c r="S108" s="216" t="str">
        <f t="shared" si="3"/>
        <v/>
      </c>
      <c r="T108" s="216">
        <f>IF($L108='11 FORMULAS'!$D$51,$C$10-($C$10*$S$10),$C$10)</f>
        <v>0.6</v>
      </c>
      <c r="U108" s="216">
        <f>IF($L108='11 FORMULAS'!$D$53,$D$106-($D$106*$S$106),$D$106)</f>
        <v>0.8</v>
      </c>
      <c r="V108" s="486"/>
      <c r="W108" s="490"/>
      <c r="X108" s="28"/>
      <c r="Y108" s="214"/>
      <c r="Z108" s="215"/>
      <c r="AA108" s="215"/>
    </row>
    <row r="109" spans="1:27" ht="29.45" customHeight="1" x14ac:dyDescent="0.25">
      <c r="A109" s="502"/>
      <c r="B109" s="506"/>
      <c r="C109" s="494"/>
      <c r="D109" s="498"/>
      <c r="E109" s="252">
        <v>4</v>
      </c>
      <c r="F109" s="240"/>
      <c r="G109" s="163"/>
      <c r="H109" s="163"/>
      <c r="I109" s="212" t="str">
        <f t="shared" si="2"/>
        <v xml:space="preserve">  </v>
      </c>
      <c r="J109" s="290"/>
      <c r="K109" s="216" t="str">
        <f>+IFERROR(VLOOKUP($J109,'11 FORMULAS'!$B$51:$C$53,2,0),"")</f>
        <v/>
      </c>
      <c r="L109" s="216" t="str">
        <f>+IFERROR(VLOOKUP($J109,'11 FORMULAS'!$B$51:$D$53,3,0),"")</f>
        <v/>
      </c>
      <c r="M109" s="253"/>
      <c r="N109" s="216" t="str">
        <f>+IFERROR(VLOOKUP($M109,'11 FORMULAS'!$B$54:$C$55,2,0),"")</f>
        <v/>
      </c>
      <c r="O109" s="255"/>
      <c r="P109" s="255"/>
      <c r="Q109" s="255"/>
      <c r="R109" s="255"/>
      <c r="S109" s="216" t="str">
        <f t="shared" si="3"/>
        <v/>
      </c>
      <c r="T109" s="216">
        <f>IF($L109='11 FORMULAS'!$D$51,$C$10-($C$10*$S$10),$C$10)</f>
        <v>0.6</v>
      </c>
      <c r="U109" s="216">
        <f>IF($L109='11 FORMULAS'!$D$53,$D$106-($D$106*$S$106),$D$106)</f>
        <v>0.8</v>
      </c>
      <c r="V109" s="487"/>
      <c r="W109" s="491"/>
      <c r="X109" s="28"/>
      <c r="Y109" s="214"/>
      <c r="Z109" s="215"/>
      <c r="AA109" s="215"/>
    </row>
    <row r="110" spans="1:27" ht="29.45" customHeight="1" x14ac:dyDescent="0.25">
      <c r="A110" s="502"/>
      <c r="B110" s="506"/>
      <c r="C110" s="494"/>
      <c r="D110" s="498"/>
      <c r="E110" s="252">
        <v>5</v>
      </c>
      <c r="F110" s="240"/>
      <c r="G110" s="163"/>
      <c r="H110" s="163"/>
      <c r="I110" s="212" t="str">
        <f t="shared" si="2"/>
        <v xml:space="preserve">  </v>
      </c>
      <c r="J110" s="290"/>
      <c r="K110" s="216" t="str">
        <f>+IFERROR(VLOOKUP($J110,'11 FORMULAS'!$B$51:$C$53,2,0),"")</f>
        <v/>
      </c>
      <c r="L110" s="216" t="str">
        <f>+IFERROR(VLOOKUP($J110,'11 FORMULAS'!$B$51:$D$53,3,0),"")</f>
        <v/>
      </c>
      <c r="M110" s="253"/>
      <c r="N110" s="216" t="str">
        <f>+IFERROR(VLOOKUP($M110,'11 FORMULAS'!$B$54:$C$55,2,0),"")</f>
        <v/>
      </c>
      <c r="O110" s="255"/>
      <c r="P110" s="255"/>
      <c r="Q110" s="255"/>
      <c r="R110" s="255"/>
      <c r="S110" s="216" t="str">
        <f t="shared" si="3"/>
        <v/>
      </c>
      <c r="T110" s="216">
        <f>IF($L110='11 FORMULAS'!$D$51,$C$10-($C$10*$S$10),$C$10)</f>
        <v>0.6</v>
      </c>
      <c r="U110" s="216">
        <f>IF($L110='11 FORMULAS'!$D$53,$D$106-($D$106*$S$106),$D$106)</f>
        <v>0.8</v>
      </c>
      <c r="V110" s="487"/>
      <c r="W110" s="491"/>
      <c r="X110" s="28"/>
      <c r="Y110" s="214"/>
      <c r="Z110" s="215"/>
      <c r="AA110" s="215"/>
    </row>
    <row r="111" spans="1:27" ht="29.45" customHeight="1" thickBot="1" x14ac:dyDescent="0.3">
      <c r="A111" s="503"/>
      <c r="B111" s="507"/>
      <c r="C111" s="495"/>
      <c r="D111" s="499"/>
      <c r="E111" s="256">
        <v>6</v>
      </c>
      <c r="F111" s="243"/>
      <c r="G111" s="164"/>
      <c r="H111" s="164"/>
      <c r="I111" s="212" t="str">
        <f t="shared" si="2"/>
        <v xml:space="preserve">  </v>
      </c>
      <c r="J111" s="290"/>
      <c r="K111" s="216" t="str">
        <f>+IFERROR(VLOOKUP($J111,'11 FORMULAS'!$B$51:$C$53,2,0),"")</f>
        <v/>
      </c>
      <c r="L111" s="216" t="str">
        <f>+IFERROR(VLOOKUP($J111,'11 FORMULAS'!$B$51:$D$53,3,0),"")</f>
        <v/>
      </c>
      <c r="M111" s="253"/>
      <c r="N111" s="216" t="str">
        <f>+IFERROR(VLOOKUP($M111,'11 FORMULAS'!$B$54:$C$55,2,0),"")</f>
        <v/>
      </c>
      <c r="O111" s="255"/>
      <c r="P111" s="255"/>
      <c r="Q111" s="255"/>
      <c r="R111" s="255"/>
      <c r="S111" s="216" t="str">
        <f t="shared" si="3"/>
        <v/>
      </c>
      <c r="T111" s="216">
        <f>IF($L111='11 FORMULAS'!$D$51,$C$10-($C$10*$S$10),$C$10)</f>
        <v>0.6</v>
      </c>
      <c r="U111" s="216">
        <f>IF($L111='11 FORMULAS'!$D$53,$D$106-($D$106*$S$106),$D$106)</f>
        <v>0.8</v>
      </c>
      <c r="V111" s="488"/>
      <c r="W111" s="492"/>
      <c r="X111" s="28"/>
    </row>
    <row r="112" spans="1:27" ht="111.75" customHeight="1" x14ac:dyDescent="0.25">
      <c r="A112" s="500" t="str">
        <f>'2 IDENTIFICACIÓN'!A27</f>
        <v>R18</v>
      </c>
      <c r="B112" s="504" t="str">
        <f>+'2 IDENTIFICACIÓN'!J27</f>
        <v>Posibilidad  de efecto dañoso sobre el recurso público por configuración del silencio administrativo positivo en recursos de reconsideración y solicitudes de revocatoria directa presentadas por los contribuyentes,  debido a incumplimiento de los términos legales para su trámite y respuesta</v>
      </c>
      <c r="C112" s="493">
        <f>+'3 PROBABIL E IMPACTO INHERENTE'!E27</f>
        <v>0.6</v>
      </c>
      <c r="D112" s="496">
        <f>+'3 PROBABIL E IMPACTO INHERENTE'!M27</f>
        <v>0.4</v>
      </c>
      <c r="E112" s="257">
        <v>1</v>
      </c>
      <c r="F112" s="333" t="s">
        <v>540</v>
      </c>
      <c r="G112" s="334" t="s">
        <v>541</v>
      </c>
      <c r="H112" s="334" t="s">
        <v>542</v>
      </c>
      <c r="I112" s="335" t="str">
        <f t="shared" si="2"/>
        <v>Los profesionales asignados al área de impuestos (grupo de abogados)  verifican los términos legales de los recursos de reconsideración y solicitudes de revocatoria directa asignados a la Secretaría de Hacienda, mediante un sistema de automatización que genera alertas sobre el vencimiento de los términos y notificaciones al correo electrónico del abogado responsable, con el fin de evitar la configuración del silencio administrativo positivo.</v>
      </c>
      <c r="J112" s="290"/>
      <c r="K112" s="216" t="str">
        <f>+IFERROR(VLOOKUP($J112,'11 FORMULAS'!$B$51:$C$53,2,0),"")</f>
        <v/>
      </c>
      <c r="L112" s="216" t="str">
        <f>+IFERROR(VLOOKUP($J112,'11 FORMULAS'!$B$51:$D$53,3,0),"")</f>
        <v/>
      </c>
      <c r="M112" s="253" t="s">
        <v>134</v>
      </c>
      <c r="N112" s="216">
        <f>+IFERROR(VLOOKUP($M112,'11 FORMULAS'!$B$54:$C$55,2,0),"")</f>
        <v>0.25</v>
      </c>
      <c r="O112" s="255" t="s">
        <v>146</v>
      </c>
      <c r="P112" s="255" t="s">
        <v>239</v>
      </c>
      <c r="Q112" s="255" t="s">
        <v>137</v>
      </c>
      <c r="R112" s="255" t="s">
        <v>247</v>
      </c>
      <c r="S112" s="216" t="str">
        <f t="shared" si="3"/>
        <v/>
      </c>
      <c r="T112" s="216">
        <f>IF($L112='11 FORMULAS'!$D$51,$C$10-($C$10*$S$10),$C$10)</f>
        <v>0.6</v>
      </c>
      <c r="U112" s="216">
        <f>IF($L112='11 FORMULAS'!$D$53,$D$112-($D$112*$S$112),$D$112)</f>
        <v>0.4</v>
      </c>
      <c r="V112" s="485">
        <f>+IF(T117="","",T117)</f>
        <v>0.6</v>
      </c>
      <c r="W112" s="489">
        <f>+IF(U117="","",U117)</f>
        <v>0.4</v>
      </c>
      <c r="X112" s="28"/>
      <c r="Y112" s="214"/>
      <c r="Z112" s="215"/>
      <c r="AA112" s="215"/>
    </row>
    <row r="113" spans="1:27" ht="29.45" customHeight="1" x14ac:dyDescent="0.25">
      <c r="A113" s="501"/>
      <c r="B113" s="505"/>
      <c r="C113" s="357"/>
      <c r="D113" s="497"/>
      <c r="E113" s="252">
        <v>2</v>
      </c>
      <c r="F113" s="239"/>
      <c r="G113" s="236"/>
      <c r="H113" s="236"/>
      <c r="I113" s="212" t="str">
        <f t="shared" si="2"/>
        <v xml:space="preserve">  </v>
      </c>
      <c r="J113" s="290"/>
      <c r="K113" s="216" t="str">
        <f>+IFERROR(VLOOKUP($J113,'11 FORMULAS'!$B$51:$C$53,2,0),"")</f>
        <v/>
      </c>
      <c r="L113" s="216" t="str">
        <f>+IFERROR(VLOOKUP($J113,'11 FORMULAS'!$B$51:$D$53,3,0),"")</f>
        <v/>
      </c>
      <c r="M113" s="253"/>
      <c r="N113" s="216" t="str">
        <f>+IFERROR(VLOOKUP($M113,'11 FORMULAS'!$B$54:$C$55,2,0),"")</f>
        <v/>
      </c>
      <c r="O113" s="255"/>
      <c r="P113" s="255"/>
      <c r="Q113" s="255"/>
      <c r="R113" s="255"/>
      <c r="S113" s="216" t="str">
        <f t="shared" si="3"/>
        <v/>
      </c>
      <c r="T113" s="216">
        <f>IF($L113='11 FORMULAS'!$D$51,$C$10-($C$10*$S$10),$C$10)</f>
        <v>0.6</v>
      </c>
      <c r="U113" s="216">
        <f>IF($L113='11 FORMULAS'!$D$53,$D$112-($D$112*$S$112),$D$112)</f>
        <v>0.4</v>
      </c>
      <c r="V113" s="486"/>
      <c r="W113" s="490"/>
      <c r="X113" s="28"/>
      <c r="Y113" s="214"/>
      <c r="Z113" s="215"/>
      <c r="AA113" s="215"/>
    </row>
    <row r="114" spans="1:27" ht="29.45" customHeight="1" x14ac:dyDescent="0.25">
      <c r="A114" s="501"/>
      <c r="B114" s="505"/>
      <c r="C114" s="357"/>
      <c r="D114" s="497"/>
      <c r="E114" s="252">
        <v>3</v>
      </c>
      <c r="F114" s="239"/>
      <c r="G114" s="236"/>
      <c r="H114" s="236"/>
      <c r="I114" s="212" t="str">
        <f t="shared" si="2"/>
        <v xml:space="preserve">  </v>
      </c>
      <c r="J114" s="290"/>
      <c r="K114" s="216" t="str">
        <f>+IFERROR(VLOOKUP($J114,'11 FORMULAS'!$B$51:$C$53,2,0),"")</f>
        <v/>
      </c>
      <c r="L114" s="216" t="str">
        <f>+IFERROR(VLOOKUP($J114,'11 FORMULAS'!$B$51:$D$53,3,0),"")</f>
        <v/>
      </c>
      <c r="M114" s="253"/>
      <c r="N114" s="216" t="str">
        <f>+IFERROR(VLOOKUP($M114,'11 FORMULAS'!$B$54:$C$55,2,0),"")</f>
        <v/>
      </c>
      <c r="O114" s="255"/>
      <c r="P114" s="255"/>
      <c r="Q114" s="255"/>
      <c r="R114" s="255"/>
      <c r="S114" s="216" t="str">
        <f t="shared" si="3"/>
        <v/>
      </c>
      <c r="T114" s="216">
        <f>IF($L114='11 FORMULAS'!$D$51,$C$10-($C$10*$S$10),$C$10)</f>
        <v>0.6</v>
      </c>
      <c r="U114" s="216">
        <f>IF($L114='11 FORMULAS'!$D$53,$D$112-($D$112*$S$112),$D$112)</f>
        <v>0.4</v>
      </c>
      <c r="V114" s="486"/>
      <c r="W114" s="490"/>
      <c r="X114" s="28"/>
      <c r="Y114" s="214"/>
      <c r="Z114" s="215"/>
      <c r="AA114" s="215"/>
    </row>
    <row r="115" spans="1:27" ht="29.45" customHeight="1" x14ac:dyDescent="0.25">
      <c r="A115" s="502"/>
      <c r="B115" s="506"/>
      <c r="C115" s="494"/>
      <c r="D115" s="498"/>
      <c r="E115" s="252">
        <v>4</v>
      </c>
      <c r="F115" s="240"/>
      <c r="G115" s="163"/>
      <c r="H115" s="163"/>
      <c r="I115" s="212" t="str">
        <f t="shared" si="2"/>
        <v xml:space="preserve">  </v>
      </c>
      <c r="J115" s="290"/>
      <c r="K115" s="216" t="str">
        <f>+IFERROR(VLOOKUP($J115,'11 FORMULAS'!$B$51:$C$53,2,0),"")</f>
        <v/>
      </c>
      <c r="L115" s="216" t="str">
        <f>+IFERROR(VLOOKUP($J115,'11 FORMULAS'!$B$51:$D$53,3,0),"")</f>
        <v/>
      </c>
      <c r="M115" s="253"/>
      <c r="N115" s="216" t="str">
        <f>+IFERROR(VLOOKUP($M115,'11 FORMULAS'!$B$54:$C$55,2,0),"")</f>
        <v/>
      </c>
      <c r="O115" s="255"/>
      <c r="P115" s="255"/>
      <c r="Q115" s="255"/>
      <c r="R115" s="255"/>
      <c r="S115" s="216" t="str">
        <f t="shared" si="3"/>
        <v/>
      </c>
      <c r="T115" s="216">
        <f>IF($L115='11 FORMULAS'!$D$51,$C$10-($C$10*$S$10),$C$10)</f>
        <v>0.6</v>
      </c>
      <c r="U115" s="216">
        <f>IF($L115='11 FORMULAS'!$D$53,$D$112-($D$112*$S$112),$D$112)</f>
        <v>0.4</v>
      </c>
      <c r="V115" s="487"/>
      <c r="W115" s="491"/>
      <c r="X115" s="28"/>
      <c r="Y115" s="214"/>
      <c r="Z115" s="215"/>
      <c r="AA115" s="215"/>
    </row>
    <row r="116" spans="1:27" ht="29.45" customHeight="1" x14ac:dyDescent="0.25">
      <c r="A116" s="502"/>
      <c r="B116" s="506"/>
      <c r="C116" s="494"/>
      <c r="D116" s="498"/>
      <c r="E116" s="252">
        <v>5</v>
      </c>
      <c r="F116" s="240"/>
      <c r="G116" s="163"/>
      <c r="H116" s="163"/>
      <c r="I116" s="212" t="str">
        <f t="shared" si="2"/>
        <v xml:space="preserve">  </v>
      </c>
      <c r="J116" s="290"/>
      <c r="K116" s="216" t="str">
        <f>+IFERROR(VLOOKUP($J116,'11 FORMULAS'!$B$51:$C$53,2,0),"")</f>
        <v/>
      </c>
      <c r="L116" s="216" t="str">
        <f>+IFERROR(VLOOKUP($J116,'11 FORMULAS'!$B$51:$D$53,3,0),"")</f>
        <v/>
      </c>
      <c r="M116" s="253"/>
      <c r="N116" s="216" t="str">
        <f>+IFERROR(VLOOKUP($M116,'11 FORMULAS'!$B$54:$C$55,2,0),"")</f>
        <v/>
      </c>
      <c r="O116" s="255"/>
      <c r="P116" s="255"/>
      <c r="Q116" s="255"/>
      <c r="R116" s="255"/>
      <c r="S116" s="216" t="str">
        <f t="shared" si="3"/>
        <v/>
      </c>
      <c r="T116" s="216">
        <f>IF($L116='11 FORMULAS'!$D$51,$C$10-($C$10*$S$10),$C$10)</f>
        <v>0.6</v>
      </c>
      <c r="U116" s="216">
        <f>IF($L116='11 FORMULAS'!$D$53,$D$112-($D$112*$S$112),$D$112)</f>
        <v>0.4</v>
      </c>
      <c r="V116" s="487"/>
      <c r="W116" s="491"/>
      <c r="X116" s="28"/>
      <c r="Y116" s="214"/>
      <c r="Z116" s="215"/>
      <c r="AA116" s="215"/>
    </row>
    <row r="117" spans="1:27" ht="29.45" customHeight="1" thickBot="1" x14ac:dyDescent="0.3">
      <c r="A117" s="503"/>
      <c r="B117" s="507"/>
      <c r="C117" s="495"/>
      <c r="D117" s="499"/>
      <c r="E117" s="256">
        <v>6</v>
      </c>
      <c r="F117" s="243"/>
      <c r="G117" s="164"/>
      <c r="H117" s="164"/>
      <c r="I117" s="212" t="str">
        <f t="shared" si="2"/>
        <v xml:space="preserve">  </v>
      </c>
      <c r="J117" s="290"/>
      <c r="K117" s="216" t="str">
        <f>+IFERROR(VLOOKUP($J117,'11 FORMULAS'!$B$51:$C$53,2,0),"")</f>
        <v/>
      </c>
      <c r="L117" s="216" t="str">
        <f>+IFERROR(VLOOKUP($J117,'11 FORMULAS'!$B$51:$D$53,3,0),"")</f>
        <v/>
      </c>
      <c r="M117" s="253"/>
      <c r="N117" s="216" t="str">
        <f>+IFERROR(VLOOKUP($M117,'11 FORMULAS'!$B$54:$C$55,2,0),"")</f>
        <v/>
      </c>
      <c r="O117" s="255"/>
      <c r="P117" s="255"/>
      <c r="Q117" s="255"/>
      <c r="R117" s="255"/>
      <c r="S117" s="216" t="str">
        <f t="shared" si="3"/>
        <v/>
      </c>
      <c r="T117" s="216">
        <f>IF($L117='11 FORMULAS'!$D$51,$C$10-($C$10*$S$10),$C$10)</f>
        <v>0.6</v>
      </c>
      <c r="U117" s="216">
        <f>IF($L117='11 FORMULAS'!$D$53,$D$112-($D$112*$S$112),$D$112)</f>
        <v>0.4</v>
      </c>
      <c r="V117" s="488"/>
      <c r="W117" s="492"/>
      <c r="X117" s="28"/>
    </row>
    <row r="118" spans="1:27" ht="84" customHeight="1" x14ac:dyDescent="0.25">
      <c r="A118" s="500" t="str">
        <f>'2 IDENTIFICACIÓN'!A28</f>
        <v>R19</v>
      </c>
      <c r="B118" s="504" t="str">
        <f>+'2 IDENTIFICACIÓN'!J28</f>
        <v xml:space="preserve">Posibilidad  de efecto dañoso sobre el recurso público por inconsistencias en la liquidación, gestión y control del Impuesto Predial Unificado (IPU),  debido a la falta de interoperabilidad entre el Sistema de Información de Impuestos Municipales (SIIM) y la plataforma BCGS del Área Metropolitana de Bucaramanga (AMB). </v>
      </c>
      <c r="C118" s="493">
        <f>+'3 PROBABIL E IMPACTO INHERENTE'!E28</f>
        <v>0.2</v>
      </c>
      <c r="D118" s="496">
        <f>+'3 PROBABIL E IMPACTO INHERENTE'!M28</f>
        <v>0.8</v>
      </c>
      <c r="E118" s="257">
        <v>1</v>
      </c>
      <c r="F118" s="333" t="s">
        <v>548</v>
      </c>
      <c r="G118" s="334" t="s">
        <v>549</v>
      </c>
      <c r="H118" s="334" t="s">
        <v>550</v>
      </c>
      <c r="I118" s="335" t="str">
        <f t="shared" si="2"/>
        <v>La Subsecretaría de Hacienda y/o el personal asignado del área de Impuestos Municipales,  verifican la interoperabilidad  en la liquidación del Impuesto Predial Unificado (IPU) entre el Sistema de Información de Impuestos Municipales (SIIM) y la plataforma BCGS del Área Metropolitana de Bucaramanga (AMB).</v>
      </c>
      <c r="J118" s="290"/>
      <c r="K118" s="216" t="str">
        <f>+IFERROR(VLOOKUP($J118,'11 FORMULAS'!$B$51:$C$53,2,0),"")</f>
        <v/>
      </c>
      <c r="L118" s="216" t="str">
        <f>+IFERROR(VLOOKUP($J118,'11 FORMULAS'!$B$51:$D$53,3,0),"")</f>
        <v/>
      </c>
      <c r="M118" s="253" t="s">
        <v>134</v>
      </c>
      <c r="N118" s="216">
        <f>+IFERROR(VLOOKUP($M118,'11 FORMULAS'!$B$54:$C$55,2,0),"")</f>
        <v>0.25</v>
      </c>
      <c r="O118" s="255" t="s">
        <v>146</v>
      </c>
      <c r="P118" s="255" t="s">
        <v>239</v>
      </c>
      <c r="Q118" s="255" t="s">
        <v>137</v>
      </c>
      <c r="R118" s="255" t="s">
        <v>247</v>
      </c>
      <c r="S118" s="216" t="str">
        <f t="shared" si="3"/>
        <v/>
      </c>
      <c r="T118" s="216">
        <f>IF($L118='11 FORMULAS'!$D$51,$C$10-($C$10*$S$10),$C$10)</f>
        <v>0.6</v>
      </c>
      <c r="U118" s="216">
        <f>IF($L118='11 FORMULAS'!$D$53,$D$118-($D$118*$S$118),$D$118)</f>
        <v>0.8</v>
      </c>
      <c r="V118" s="485">
        <f>+IF(T123="","",T123)</f>
        <v>0.6</v>
      </c>
      <c r="W118" s="489">
        <f>+IF(U123="","",U123)</f>
        <v>0.8</v>
      </c>
      <c r="X118" s="28"/>
      <c r="Y118" s="214"/>
      <c r="Z118" s="215"/>
      <c r="AA118" s="215"/>
    </row>
    <row r="119" spans="1:27" ht="29.45" customHeight="1" x14ac:dyDescent="0.25">
      <c r="A119" s="501"/>
      <c r="B119" s="505"/>
      <c r="C119" s="357"/>
      <c r="D119" s="497"/>
      <c r="E119" s="252">
        <v>2</v>
      </c>
      <c r="F119" s="239"/>
      <c r="G119" s="236"/>
      <c r="H119" s="236"/>
      <c r="I119" s="212" t="str">
        <f t="shared" si="2"/>
        <v xml:space="preserve">  </v>
      </c>
      <c r="J119" s="290"/>
      <c r="K119" s="216" t="str">
        <f>+IFERROR(VLOOKUP($J119,'11 FORMULAS'!$B$51:$C$53,2,0),"")</f>
        <v/>
      </c>
      <c r="L119" s="216" t="str">
        <f>+IFERROR(VLOOKUP($J119,'11 FORMULAS'!$B$51:$D$53,3,0),"")</f>
        <v/>
      </c>
      <c r="M119" s="253"/>
      <c r="N119" s="216" t="str">
        <f>+IFERROR(VLOOKUP($M119,'11 FORMULAS'!$B$54:$C$55,2,0),"")</f>
        <v/>
      </c>
      <c r="O119" s="255"/>
      <c r="P119" s="255"/>
      <c r="Q119" s="255"/>
      <c r="R119" s="255"/>
      <c r="S119" s="216" t="str">
        <f t="shared" si="3"/>
        <v/>
      </c>
      <c r="T119" s="216">
        <f>IF($L119='11 FORMULAS'!$D$51,$C$10-($C$10*$S$10),$C$10)</f>
        <v>0.6</v>
      </c>
      <c r="U119" s="216">
        <f>IF($L119='11 FORMULAS'!$D$53,$D$118-($D$118*$S$118),$D$118)</f>
        <v>0.8</v>
      </c>
      <c r="V119" s="486"/>
      <c r="W119" s="490"/>
      <c r="X119" s="28"/>
      <c r="Y119" s="214"/>
      <c r="Z119" s="215"/>
      <c r="AA119" s="215"/>
    </row>
    <row r="120" spans="1:27" ht="29.45" customHeight="1" x14ac:dyDescent="0.25">
      <c r="A120" s="501"/>
      <c r="B120" s="505"/>
      <c r="C120" s="357"/>
      <c r="D120" s="497"/>
      <c r="E120" s="252">
        <v>3</v>
      </c>
      <c r="F120" s="239"/>
      <c r="G120" s="236"/>
      <c r="H120" s="236"/>
      <c r="I120" s="212" t="str">
        <f t="shared" si="2"/>
        <v xml:space="preserve">  </v>
      </c>
      <c r="J120" s="290"/>
      <c r="K120" s="216" t="str">
        <f>+IFERROR(VLOOKUP($J120,'11 FORMULAS'!$B$51:$C$53,2,0),"")</f>
        <v/>
      </c>
      <c r="L120" s="216" t="str">
        <f>+IFERROR(VLOOKUP($J120,'11 FORMULAS'!$B$51:$D$53,3,0),"")</f>
        <v/>
      </c>
      <c r="M120" s="253"/>
      <c r="N120" s="216" t="str">
        <f>+IFERROR(VLOOKUP($M120,'11 FORMULAS'!$B$54:$C$55,2,0),"")</f>
        <v/>
      </c>
      <c r="O120" s="255"/>
      <c r="P120" s="255"/>
      <c r="Q120" s="255"/>
      <c r="R120" s="255"/>
      <c r="S120" s="216" t="str">
        <f t="shared" si="3"/>
        <v/>
      </c>
      <c r="T120" s="216">
        <f>IF($L120='11 FORMULAS'!$D$51,$C$10-($C$10*$S$10),$C$10)</f>
        <v>0.6</v>
      </c>
      <c r="U120" s="216">
        <f>IF($L120='11 FORMULAS'!$D$53,$D$118-($D$118*$S$118),$D$118)</f>
        <v>0.8</v>
      </c>
      <c r="V120" s="486"/>
      <c r="W120" s="490"/>
      <c r="X120" s="28"/>
      <c r="Y120" s="214"/>
      <c r="Z120" s="215"/>
      <c r="AA120" s="215"/>
    </row>
    <row r="121" spans="1:27" ht="29.45" customHeight="1" x14ac:dyDescent="0.25">
      <c r="A121" s="502"/>
      <c r="B121" s="506"/>
      <c r="C121" s="494"/>
      <c r="D121" s="498"/>
      <c r="E121" s="252">
        <v>4</v>
      </c>
      <c r="F121" s="240"/>
      <c r="G121" s="163"/>
      <c r="H121" s="163"/>
      <c r="I121" s="212" t="str">
        <f t="shared" si="2"/>
        <v xml:space="preserve">  </v>
      </c>
      <c r="J121" s="290"/>
      <c r="K121" s="216" t="str">
        <f>+IFERROR(VLOOKUP($J121,'11 FORMULAS'!$B$51:$C$53,2,0),"")</f>
        <v/>
      </c>
      <c r="L121" s="216" t="str">
        <f>+IFERROR(VLOOKUP($J121,'11 FORMULAS'!$B$51:$D$53,3,0),"")</f>
        <v/>
      </c>
      <c r="M121" s="253"/>
      <c r="N121" s="216" t="str">
        <f>+IFERROR(VLOOKUP($M121,'11 FORMULAS'!$B$54:$C$55,2,0),"")</f>
        <v/>
      </c>
      <c r="O121" s="255"/>
      <c r="P121" s="255"/>
      <c r="Q121" s="255"/>
      <c r="R121" s="255"/>
      <c r="S121" s="216" t="str">
        <f t="shared" si="3"/>
        <v/>
      </c>
      <c r="T121" s="216">
        <f>IF($L121='11 FORMULAS'!$D$51,$C$10-($C$10*$S$10),$C$10)</f>
        <v>0.6</v>
      </c>
      <c r="U121" s="216">
        <f>IF($L121='11 FORMULAS'!$D$53,$D$118-($D$118*$S$118),$D$118)</f>
        <v>0.8</v>
      </c>
      <c r="V121" s="487"/>
      <c r="W121" s="491"/>
      <c r="X121" s="28"/>
      <c r="Y121" s="214"/>
      <c r="Z121" s="215"/>
      <c r="AA121" s="215"/>
    </row>
    <row r="122" spans="1:27" ht="29.45" customHeight="1" x14ac:dyDescent="0.25">
      <c r="A122" s="502"/>
      <c r="B122" s="506"/>
      <c r="C122" s="494"/>
      <c r="D122" s="498"/>
      <c r="E122" s="252">
        <v>5</v>
      </c>
      <c r="F122" s="240"/>
      <c r="G122" s="163"/>
      <c r="H122" s="163"/>
      <c r="I122" s="212" t="str">
        <f t="shared" si="2"/>
        <v xml:space="preserve">  </v>
      </c>
      <c r="J122" s="290"/>
      <c r="K122" s="216" t="str">
        <f>+IFERROR(VLOOKUP($J122,'11 FORMULAS'!$B$51:$C$53,2,0),"")</f>
        <v/>
      </c>
      <c r="L122" s="216" t="str">
        <f>+IFERROR(VLOOKUP($J122,'11 FORMULAS'!$B$51:$D$53,3,0),"")</f>
        <v/>
      </c>
      <c r="M122" s="253"/>
      <c r="N122" s="216" t="str">
        <f>+IFERROR(VLOOKUP($M122,'11 FORMULAS'!$B$54:$C$55,2,0),"")</f>
        <v/>
      </c>
      <c r="O122" s="255"/>
      <c r="P122" s="255"/>
      <c r="Q122" s="255"/>
      <c r="R122" s="255"/>
      <c r="S122" s="216" t="str">
        <f t="shared" si="3"/>
        <v/>
      </c>
      <c r="T122" s="216">
        <f>IF($L122='11 FORMULAS'!$D$51,$C$10-($C$10*$S$10),$C$10)</f>
        <v>0.6</v>
      </c>
      <c r="U122" s="216">
        <f>IF($L122='11 FORMULAS'!$D$53,$D$118-($D$118*$S$118),$D$118)</f>
        <v>0.8</v>
      </c>
      <c r="V122" s="487"/>
      <c r="W122" s="491"/>
      <c r="X122" s="28"/>
      <c r="Y122" s="214"/>
      <c r="Z122" s="215"/>
      <c r="AA122" s="215"/>
    </row>
    <row r="123" spans="1:27" ht="29.45" customHeight="1" thickBot="1" x14ac:dyDescent="0.3">
      <c r="A123" s="503"/>
      <c r="B123" s="507"/>
      <c r="C123" s="495"/>
      <c r="D123" s="499"/>
      <c r="E123" s="256">
        <v>6</v>
      </c>
      <c r="F123" s="243"/>
      <c r="G123" s="164"/>
      <c r="H123" s="164"/>
      <c r="I123" s="212" t="str">
        <f t="shared" si="2"/>
        <v xml:space="preserve">  </v>
      </c>
      <c r="J123" s="290"/>
      <c r="K123" s="216" t="str">
        <f>+IFERROR(VLOOKUP($J123,'11 FORMULAS'!$B$51:$C$53,2,0),"")</f>
        <v/>
      </c>
      <c r="L123" s="216" t="str">
        <f>+IFERROR(VLOOKUP($J123,'11 FORMULAS'!$B$51:$D$53,3,0),"")</f>
        <v/>
      </c>
      <c r="M123" s="253"/>
      <c r="N123" s="216" t="str">
        <f>+IFERROR(VLOOKUP($M123,'11 FORMULAS'!$B$54:$C$55,2,0),"")</f>
        <v/>
      </c>
      <c r="O123" s="255"/>
      <c r="P123" s="255"/>
      <c r="Q123" s="255"/>
      <c r="R123" s="255"/>
      <c r="S123" s="216" t="str">
        <f t="shared" si="3"/>
        <v/>
      </c>
      <c r="T123" s="216">
        <f>IF($L123='11 FORMULAS'!$D$51,$C$10-($C$10*$S$10),$C$10)</f>
        <v>0.6</v>
      </c>
      <c r="U123" s="216">
        <f>IF($L123='11 FORMULAS'!$D$53,$D$118-($D$118*$S$118),$D$118)</f>
        <v>0.8</v>
      </c>
      <c r="V123" s="488"/>
      <c r="W123" s="492"/>
      <c r="X123" s="28"/>
    </row>
    <row r="124" spans="1:27" ht="84.75" customHeight="1" x14ac:dyDescent="0.25">
      <c r="A124" s="500" t="str">
        <f>'2 IDENTIFICACIÓN'!A29</f>
        <v>R20</v>
      </c>
      <c r="B124" s="504" t="str">
        <f>+'2 IDENTIFICACIÓN'!J29</f>
        <v xml:space="preserve">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 </v>
      </c>
      <c r="C124" s="493">
        <f>+'3 PROBABIL E IMPACTO INHERENTE'!E29</f>
        <v>0.8</v>
      </c>
      <c r="D124" s="496">
        <f>+'3 PROBABIL E IMPACTO INHERENTE'!M29</f>
        <v>0.8</v>
      </c>
      <c r="E124" s="257">
        <v>1</v>
      </c>
      <c r="F124" s="333" t="s">
        <v>559</v>
      </c>
      <c r="G124" s="334" t="s">
        <v>560</v>
      </c>
      <c r="H124" s="334" t="s">
        <v>561</v>
      </c>
      <c r="I124" s="335" t="str">
        <f t="shared" ref="I124:I183" si="4">+CONCATENATE(F124," ",G124," ",H124)</f>
        <v>Los profesionales encargados de la contratación y/o supervisores designados revisaran el cumplimiento de las normas vigentes en las diferentes etapas de contratación (precontractual, contractual y postcontractual), de los procesos celebrados por la Secretaría de Hacienda.</v>
      </c>
      <c r="J124" s="290" t="s">
        <v>133</v>
      </c>
      <c r="K124" s="216">
        <f>+IFERROR(VLOOKUP($J124,'11 FORMULAS'!$B$51:$C$53,2,0),"")</f>
        <v>0.25</v>
      </c>
      <c r="L124" s="216" t="str">
        <f>+IFERROR(VLOOKUP($J124,'11 FORMULAS'!$B$51:$D$53,3,0),"")</f>
        <v>Probabilidad</v>
      </c>
      <c r="M124" s="253" t="s">
        <v>145</v>
      </c>
      <c r="N124" s="216">
        <f>+IFERROR(VLOOKUP($M124,'11 FORMULAS'!$B$54:$C$55,2,0),"")</f>
        <v>0.15</v>
      </c>
      <c r="O124" s="255" t="s">
        <v>135</v>
      </c>
      <c r="P124" s="255" t="s">
        <v>237</v>
      </c>
      <c r="Q124" s="255" t="s">
        <v>137</v>
      </c>
      <c r="R124" s="255" t="s">
        <v>138</v>
      </c>
      <c r="S124" s="216">
        <f t="shared" si="3"/>
        <v>0.4</v>
      </c>
      <c r="T124" s="216">
        <f>IF($L124='11 FORMULAS'!$D$51,$C$10-($C$10*$S$10),$C$10)</f>
        <v>0.36</v>
      </c>
      <c r="U124" s="216">
        <f>IF($L124='11 FORMULAS'!$D$53,$D$124-($D$124*$S$124),$D$124)</f>
        <v>0.8</v>
      </c>
      <c r="V124" s="485">
        <f>+IF(T129="","",T129)</f>
        <v>0.6</v>
      </c>
      <c r="W124" s="489">
        <f>+IF(U129="","",U129)</f>
        <v>0.8</v>
      </c>
      <c r="X124" s="28"/>
    </row>
    <row r="125" spans="1:27" ht="29.45" customHeight="1" x14ac:dyDescent="0.25">
      <c r="A125" s="501"/>
      <c r="B125" s="505"/>
      <c r="C125" s="357"/>
      <c r="D125" s="497"/>
      <c r="E125" s="252">
        <v>2</v>
      </c>
      <c r="F125" s="239"/>
      <c r="G125" s="236"/>
      <c r="H125" s="236"/>
      <c r="I125" s="212" t="str">
        <f t="shared" si="4"/>
        <v xml:space="preserve">  </v>
      </c>
      <c r="J125" s="290"/>
      <c r="K125" s="216" t="str">
        <f>+IFERROR(VLOOKUP($J125,'11 FORMULAS'!$B$51:$C$53,2,0),"")</f>
        <v/>
      </c>
      <c r="L125" s="216" t="str">
        <f>+IFERROR(VLOOKUP($J125,'11 FORMULAS'!$B$51:$D$53,3,0),"")</f>
        <v/>
      </c>
      <c r="M125" s="253"/>
      <c r="N125" s="216" t="str">
        <f>+IFERROR(VLOOKUP($M125,'11 FORMULAS'!$B$54:$C$55,2,0),"")</f>
        <v/>
      </c>
      <c r="O125" s="255"/>
      <c r="P125" s="255"/>
      <c r="Q125" s="255"/>
      <c r="R125" s="255"/>
      <c r="S125" s="216" t="str">
        <f t="shared" si="3"/>
        <v/>
      </c>
      <c r="T125" s="216">
        <f>IF($L125='11 FORMULAS'!$D$51,$C$10-($C$10*$S$10),$C$10)</f>
        <v>0.6</v>
      </c>
      <c r="U125" s="216">
        <f>IF($L125='11 FORMULAS'!$D$53,$D$124-($D$124*$S$124),$D$124)</f>
        <v>0.8</v>
      </c>
      <c r="V125" s="486"/>
      <c r="W125" s="490"/>
      <c r="X125" s="28"/>
    </row>
    <row r="126" spans="1:27" ht="29.45" customHeight="1" x14ac:dyDescent="0.25">
      <c r="A126" s="501"/>
      <c r="B126" s="505"/>
      <c r="C126" s="357"/>
      <c r="D126" s="497"/>
      <c r="E126" s="252">
        <v>3</v>
      </c>
      <c r="F126" s="239"/>
      <c r="G126" s="236"/>
      <c r="H126" s="236"/>
      <c r="I126" s="212" t="str">
        <f t="shared" si="4"/>
        <v xml:space="preserve">  </v>
      </c>
      <c r="J126" s="290"/>
      <c r="K126" s="216" t="str">
        <f>+IFERROR(VLOOKUP($J126,'11 FORMULAS'!$B$51:$C$53,2,0),"")</f>
        <v/>
      </c>
      <c r="L126" s="216" t="str">
        <f>+IFERROR(VLOOKUP($J126,'11 FORMULAS'!$B$51:$D$53,3,0),"")</f>
        <v/>
      </c>
      <c r="M126" s="253"/>
      <c r="N126" s="216" t="str">
        <f>+IFERROR(VLOOKUP($M126,'11 FORMULAS'!$B$54:$C$55,2,0),"")</f>
        <v/>
      </c>
      <c r="O126" s="255"/>
      <c r="P126" s="255"/>
      <c r="Q126" s="255"/>
      <c r="R126" s="255"/>
      <c r="S126" s="216" t="str">
        <f t="shared" si="3"/>
        <v/>
      </c>
      <c r="T126" s="216">
        <f>IF($L126='11 FORMULAS'!$D$51,$C$10-($C$10*$S$10),$C$10)</f>
        <v>0.6</v>
      </c>
      <c r="U126" s="216">
        <f>IF($L126='11 FORMULAS'!$D$53,$D$124-($D$124*$S$124),$D$124)</f>
        <v>0.8</v>
      </c>
      <c r="V126" s="486"/>
      <c r="W126" s="490"/>
      <c r="X126" s="28"/>
    </row>
    <row r="127" spans="1:27" ht="29.45" customHeight="1" x14ac:dyDescent="0.25">
      <c r="A127" s="502"/>
      <c r="B127" s="506"/>
      <c r="C127" s="494"/>
      <c r="D127" s="498"/>
      <c r="E127" s="252">
        <v>4</v>
      </c>
      <c r="F127" s="240"/>
      <c r="G127" s="163"/>
      <c r="H127" s="163"/>
      <c r="I127" s="212" t="str">
        <f t="shared" si="4"/>
        <v xml:space="preserve">  </v>
      </c>
      <c r="J127" s="290"/>
      <c r="K127" s="216" t="str">
        <f>+IFERROR(VLOOKUP($J127,'11 FORMULAS'!$B$51:$C$53,2,0),"")</f>
        <v/>
      </c>
      <c r="L127" s="216" t="str">
        <f>+IFERROR(VLOOKUP($J127,'11 FORMULAS'!$B$51:$D$53,3,0),"")</f>
        <v/>
      </c>
      <c r="M127" s="253"/>
      <c r="N127" s="216" t="str">
        <f>+IFERROR(VLOOKUP($M127,'11 FORMULAS'!$B$54:$C$55,2,0),"")</f>
        <v/>
      </c>
      <c r="O127" s="255"/>
      <c r="P127" s="255"/>
      <c r="Q127" s="255"/>
      <c r="R127" s="255"/>
      <c r="S127" s="216" t="str">
        <f t="shared" si="3"/>
        <v/>
      </c>
      <c r="T127" s="216">
        <f>IF($L127='11 FORMULAS'!$D$51,$C$10-($C$10*$S$10),$C$10)</f>
        <v>0.6</v>
      </c>
      <c r="U127" s="216">
        <f>IF($L127='11 FORMULAS'!$D$53,$D$124-($D$124*$S$124),$D$124)</f>
        <v>0.8</v>
      </c>
      <c r="V127" s="487"/>
      <c r="W127" s="491"/>
      <c r="X127" s="28"/>
    </row>
    <row r="128" spans="1:27" ht="29.45" customHeight="1" x14ac:dyDescent="0.25">
      <c r="A128" s="502"/>
      <c r="B128" s="506"/>
      <c r="C128" s="494"/>
      <c r="D128" s="498"/>
      <c r="E128" s="252">
        <v>5</v>
      </c>
      <c r="F128" s="240"/>
      <c r="G128" s="163"/>
      <c r="H128" s="163"/>
      <c r="I128" s="212" t="str">
        <f t="shared" si="4"/>
        <v xml:space="preserve">  </v>
      </c>
      <c r="J128" s="290"/>
      <c r="K128" s="216" t="str">
        <f>+IFERROR(VLOOKUP($J128,'11 FORMULAS'!$B$51:$C$53,2,0),"")</f>
        <v/>
      </c>
      <c r="L128" s="216" t="str">
        <f>+IFERROR(VLOOKUP($J128,'11 FORMULAS'!$B$51:$D$53,3,0),"")</f>
        <v/>
      </c>
      <c r="M128" s="253"/>
      <c r="N128" s="216" t="str">
        <f>+IFERROR(VLOOKUP($M128,'11 FORMULAS'!$B$54:$C$55,2,0),"")</f>
        <v/>
      </c>
      <c r="O128" s="255"/>
      <c r="P128" s="255"/>
      <c r="Q128" s="255"/>
      <c r="R128" s="255"/>
      <c r="S128" s="216" t="str">
        <f t="shared" si="3"/>
        <v/>
      </c>
      <c r="T128" s="216">
        <f>IF($L128='11 FORMULAS'!$D$51,$C$10-($C$10*$S$10),$C$10)</f>
        <v>0.6</v>
      </c>
      <c r="U128" s="216">
        <f>IF($L128='11 FORMULAS'!$D$53,$D$124-($D$124*$S$124),$D$124)</f>
        <v>0.8</v>
      </c>
      <c r="V128" s="487"/>
      <c r="W128" s="491"/>
      <c r="X128" s="28"/>
    </row>
    <row r="129" spans="1:24" ht="29.45" customHeight="1" thickBot="1" x14ac:dyDescent="0.3">
      <c r="A129" s="503"/>
      <c r="B129" s="507"/>
      <c r="C129" s="495"/>
      <c r="D129" s="499"/>
      <c r="E129" s="256">
        <v>6</v>
      </c>
      <c r="F129" s="243"/>
      <c r="G129" s="164"/>
      <c r="H129" s="164"/>
      <c r="I129" s="212" t="str">
        <f t="shared" si="4"/>
        <v xml:space="preserve">  </v>
      </c>
      <c r="J129" s="290"/>
      <c r="K129" s="216" t="str">
        <f>+IFERROR(VLOOKUP($J129,'11 FORMULAS'!$B$51:$C$53,2,0),"")</f>
        <v/>
      </c>
      <c r="L129" s="216" t="str">
        <f>+IFERROR(VLOOKUP($J129,'11 FORMULAS'!$B$51:$D$53,3,0),"")</f>
        <v/>
      </c>
      <c r="M129" s="253"/>
      <c r="N129" s="216" t="str">
        <f>+IFERROR(VLOOKUP($M129,'11 FORMULAS'!$B$54:$C$55,2,0),"")</f>
        <v/>
      </c>
      <c r="O129" s="255"/>
      <c r="P129" s="255"/>
      <c r="Q129" s="255"/>
      <c r="R129" s="255"/>
      <c r="S129" s="216" t="str">
        <f t="shared" si="3"/>
        <v/>
      </c>
      <c r="T129" s="216">
        <f>IF($L129='11 FORMULAS'!$D$51,$C$10-($C$10*$S$10),$C$10)</f>
        <v>0.6</v>
      </c>
      <c r="U129" s="216">
        <f>IF($L129='11 FORMULAS'!$D$53,$D$124-($D$124*$S$124),$D$124)</f>
        <v>0.8</v>
      </c>
      <c r="V129" s="488"/>
      <c r="W129" s="492"/>
      <c r="X129" s="28"/>
    </row>
    <row r="130" spans="1:24" ht="85.5" customHeight="1" x14ac:dyDescent="0.25">
      <c r="A130" s="500" t="str">
        <f>'2 IDENTIFICACIÓN'!A30</f>
        <v>R21</v>
      </c>
      <c r="B130" s="504" t="str">
        <f>+'2 IDENTIFICACIÓN'!J30</f>
        <v>Posibilidad de afectación económica y reputacional por inconsistencias en la aplicación de novedades del módulo de Industria y Comercio del Sistema de Impuestos Municipales, debido a deficiencias en la validación, revisión y soporte de la información registrada.</v>
      </c>
      <c r="C130" s="493">
        <f>+'3 PROBABIL E IMPACTO INHERENTE'!E30</f>
        <v>0.6</v>
      </c>
      <c r="D130" s="496">
        <f>+'3 PROBABIL E IMPACTO INHERENTE'!M30</f>
        <v>1</v>
      </c>
      <c r="E130" s="257">
        <v>1</v>
      </c>
      <c r="F130" s="333" t="s">
        <v>566</v>
      </c>
      <c r="G130" s="334" t="s">
        <v>567</v>
      </c>
      <c r="H130" s="334" t="s">
        <v>568</v>
      </c>
      <c r="I130" s="335" t="str">
        <f t="shared" si="4"/>
        <v>El profesional responsable  verifica la aplicación de novedades en el Sistema de Impuestos Municipales,  a través de la revisión y validación de los documentos o actos administrativos que soportan las modificaciones registradas, con el fin de garantizar la consistencia y trazabilidad de la información.</v>
      </c>
      <c r="J130" s="290" t="s">
        <v>133</v>
      </c>
      <c r="K130" s="216">
        <f>+IFERROR(VLOOKUP($J130,'11 FORMULAS'!$B$51:$C$53,2,0),"")</f>
        <v>0.25</v>
      </c>
      <c r="L130" s="216" t="str">
        <f>+IFERROR(VLOOKUP($J130,'11 FORMULAS'!$B$51:$D$53,3,0),"")</f>
        <v>Probabilidad</v>
      </c>
      <c r="M130" s="253" t="s">
        <v>145</v>
      </c>
      <c r="N130" s="216">
        <f>+IFERROR(VLOOKUP($M130,'11 FORMULAS'!$B$54:$C$55,2,0),"")</f>
        <v>0.15</v>
      </c>
      <c r="O130" s="255" t="s">
        <v>146</v>
      </c>
      <c r="P130" s="255" t="s">
        <v>237</v>
      </c>
      <c r="Q130" s="255" t="s">
        <v>137</v>
      </c>
      <c r="R130" s="255" t="s">
        <v>138</v>
      </c>
      <c r="S130" s="216">
        <f t="shared" si="3"/>
        <v>0.4</v>
      </c>
      <c r="T130" s="216">
        <f>IF($L130='11 FORMULAS'!$D$51,$C$10-($C$10*$S$10),$C$10)</f>
        <v>0.36</v>
      </c>
      <c r="U130" s="216">
        <f>IF($L130='11 FORMULAS'!$D$53,$D$130-($D$130*$S$130),$D$130)</f>
        <v>1</v>
      </c>
      <c r="V130" s="485">
        <f>+IF(T135="","",T135)</f>
        <v>0.6</v>
      </c>
      <c r="W130" s="489">
        <f>+IF(U135="","",U135)</f>
        <v>1</v>
      </c>
      <c r="X130" s="28"/>
    </row>
    <row r="131" spans="1:24" ht="29.45" customHeight="1" x14ac:dyDescent="0.25">
      <c r="A131" s="501"/>
      <c r="B131" s="505"/>
      <c r="C131" s="357"/>
      <c r="D131" s="497"/>
      <c r="E131" s="252">
        <v>2</v>
      </c>
      <c r="F131" s="239"/>
      <c r="G131" s="236"/>
      <c r="H131" s="236"/>
      <c r="I131" s="212" t="str">
        <f t="shared" si="4"/>
        <v xml:space="preserve">  </v>
      </c>
      <c r="J131" s="290"/>
      <c r="K131" s="216" t="str">
        <f>+IFERROR(VLOOKUP($J131,'11 FORMULAS'!$B$51:$C$53,2,0),"")</f>
        <v/>
      </c>
      <c r="L131" s="216" t="str">
        <f>+IFERROR(VLOOKUP($J131,'11 FORMULAS'!$B$51:$D$53,3,0),"")</f>
        <v/>
      </c>
      <c r="M131" s="253"/>
      <c r="N131" s="216" t="str">
        <f>+IFERROR(VLOOKUP($M131,'11 FORMULAS'!$B$54:$C$55,2,0),"")</f>
        <v/>
      </c>
      <c r="O131" s="255"/>
      <c r="P131" s="255"/>
      <c r="Q131" s="255"/>
      <c r="R131" s="255"/>
      <c r="S131" s="216" t="str">
        <f t="shared" si="3"/>
        <v/>
      </c>
      <c r="T131" s="216">
        <f>IF($L131='11 FORMULAS'!$D$51,$C$10-($C$10*$S$10),$C$10)</f>
        <v>0.6</v>
      </c>
      <c r="U131" s="216">
        <f>IF($L131='11 FORMULAS'!$D$53,$D$130-($D$130*$S$130),$D$130)</f>
        <v>1</v>
      </c>
      <c r="V131" s="486"/>
      <c r="W131" s="490"/>
      <c r="X131" s="28"/>
    </row>
    <row r="132" spans="1:24" ht="29.45" customHeight="1" x14ac:dyDescent="0.25">
      <c r="A132" s="501"/>
      <c r="B132" s="505"/>
      <c r="C132" s="357"/>
      <c r="D132" s="497"/>
      <c r="E132" s="252">
        <v>3</v>
      </c>
      <c r="F132" s="239"/>
      <c r="G132" s="236"/>
      <c r="H132" s="236"/>
      <c r="I132" s="212" t="str">
        <f t="shared" si="4"/>
        <v xml:space="preserve">  </v>
      </c>
      <c r="J132" s="290"/>
      <c r="K132" s="216" t="str">
        <f>+IFERROR(VLOOKUP($J132,'11 FORMULAS'!$B$51:$C$53,2,0),"")</f>
        <v/>
      </c>
      <c r="L132" s="216" t="str">
        <f>+IFERROR(VLOOKUP($J132,'11 FORMULAS'!$B$51:$D$53,3,0),"")</f>
        <v/>
      </c>
      <c r="M132" s="253"/>
      <c r="N132" s="216" t="str">
        <f>+IFERROR(VLOOKUP($M132,'11 FORMULAS'!$B$54:$C$55,2,0),"")</f>
        <v/>
      </c>
      <c r="O132" s="255"/>
      <c r="P132" s="255"/>
      <c r="Q132" s="255"/>
      <c r="R132" s="255"/>
      <c r="S132" s="216" t="str">
        <f t="shared" si="3"/>
        <v/>
      </c>
      <c r="T132" s="216">
        <f>IF($L132='11 FORMULAS'!$D$51,$C$10-($C$10*$S$10),$C$10)</f>
        <v>0.6</v>
      </c>
      <c r="U132" s="216">
        <f>IF($L132='11 FORMULAS'!$D$53,$D$130-($D$130*$S$130),$D$130)</f>
        <v>1</v>
      </c>
      <c r="V132" s="486"/>
      <c r="W132" s="490"/>
      <c r="X132" s="28"/>
    </row>
    <row r="133" spans="1:24" ht="29.45" customHeight="1" x14ac:dyDescent="0.25">
      <c r="A133" s="502"/>
      <c r="B133" s="506"/>
      <c r="C133" s="494"/>
      <c r="D133" s="498"/>
      <c r="E133" s="252">
        <v>4</v>
      </c>
      <c r="F133" s="240"/>
      <c r="G133" s="163"/>
      <c r="H133" s="163"/>
      <c r="I133" s="212" t="str">
        <f t="shared" si="4"/>
        <v xml:space="preserve">  </v>
      </c>
      <c r="J133" s="290"/>
      <c r="K133" s="216" t="str">
        <f>+IFERROR(VLOOKUP($J133,'11 FORMULAS'!$B$51:$C$53,2,0),"")</f>
        <v/>
      </c>
      <c r="L133" s="216" t="str">
        <f>+IFERROR(VLOOKUP($J133,'11 FORMULAS'!$B$51:$D$53,3,0),"")</f>
        <v/>
      </c>
      <c r="M133" s="253"/>
      <c r="N133" s="216" t="str">
        <f>+IFERROR(VLOOKUP($M133,'11 FORMULAS'!$B$54:$C$55,2,0),"")</f>
        <v/>
      </c>
      <c r="O133" s="255"/>
      <c r="P133" s="255"/>
      <c r="Q133" s="255"/>
      <c r="R133" s="255"/>
      <c r="S133" s="216" t="str">
        <f t="shared" si="3"/>
        <v/>
      </c>
      <c r="T133" s="216">
        <f>IF($L133='11 FORMULAS'!$D$51,$C$10-($C$10*$S$10),$C$10)</f>
        <v>0.6</v>
      </c>
      <c r="U133" s="216">
        <f>IF($L133='11 FORMULAS'!$D$53,$D$130-($D$130*$S$130),$D$130)</f>
        <v>1</v>
      </c>
      <c r="V133" s="487"/>
      <c r="W133" s="491"/>
      <c r="X133" s="28"/>
    </row>
    <row r="134" spans="1:24" ht="29.45" customHeight="1" x14ac:dyDescent="0.25">
      <c r="A134" s="502"/>
      <c r="B134" s="506"/>
      <c r="C134" s="494"/>
      <c r="D134" s="498"/>
      <c r="E134" s="252">
        <v>5</v>
      </c>
      <c r="F134" s="240"/>
      <c r="G134" s="163"/>
      <c r="H134" s="163"/>
      <c r="I134" s="212" t="str">
        <f t="shared" si="4"/>
        <v xml:space="preserve">  </v>
      </c>
      <c r="J134" s="290"/>
      <c r="K134" s="216" t="str">
        <f>+IFERROR(VLOOKUP($J134,'11 FORMULAS'!$B$51:$C$53,2,0),"")</f>
        <v/>
      </c>
      <c r="L134" s="216" t="str">
        <f>+IFERROR(VLOOKUP($J134,'11 FORMULAS'!$B$51:$D$53,3,0),"")</f>
        <v/>
      </c>
      <c r="M134" s="253"/>
      <c r="N134" s="216" t="str">
        <f>+IFERROR(VLOOKUP($M134,'11 FORMULAS'!$B$54:$C$55,2,0),"")</f>
        <v/>
      </c>
      <c r="O134" s="255"/>
      <c r="P134" s="255"/>
      <c r="Q134" s="255"/>
      <c r="R134" s="255"/>
      <c r="S134" s="216" t="str">
        <f t="shared" si="3"/>
        <v/>
      </c>
      <c r="T134" s="216">
        <f>IF($L134='11 FORMULAS'!$D$51,$C$10-($C$10*$S$10),$C$10)</f>
        <v>0.6</v>
      </c>
      <c r="U134" s="216">
        <f>IF($L134='11 FORMULAS'!$D$53,$D$130-($D$130*$S$130),$D$130)</f>
        <v>1</v>
      </c>
      <c r="V134" s="487"/>
      <c r="W134" s="491"/>
      <c r="X134" s="28"/>
    </row>
    <row r="135" spans="1:24" ht="29.45" customHeight="1" thickBot="1" x14ac:dyDescent="0.3">
      <c r="A135" s="503"/>
      <c r="B135" s="507"/>
      <c r="C135" s="495"/>
      <c r="D135" s="499"/>
      <c r="E135" s="256">
        <v>6</v>
      </c>
      <c r="F135" s="243"/>
      <c r="G135" s="164"/>
      <c r="H135" s="164"/>
      <c r="I135" s="212" t="str">
        <f t="shared" si="4"/>
        <v xml:space="preserve">  </v>
      </c>
      <c r="J135" s="290"/>
      <c r="K135" s="216" t="str">
        <f>+IFERROR(VLOOKUP($J135,'11 FORMULAS'!$B$51:$C$53,2,0),"")</f>
        <v/>
      </c>
      <c r="L135" s="216" t="str">
        <f>+IFERROR(VLOOKUP($J135,'11 FORMULAS'!$B$51:$D$53,3,0),"")</f>
        <v/>
      </c>
      <c r="M135" s="253"/>
      <c r="N135" s="216" t="str">
        <f>+IFERROR(VLOOKUP($M135,'11 FORMULAS'!$B$54:$C$55,2,0),"")</f>
        <v/>
      </c>
      <c r="O135" s="255"/>
      <c r="P135" s="255"/>
      <c r="Q135" s="255"/>
      <c r="R135" s="255"/>
      <c r="S135" s="216" t="str">
        <f t="shared" si="3"/>
        <v/>
      </c>
      <c r="T135" s="216">
        <f>IF($L135='11 FORMULAS'!$D$51,$C$10-($C$10*$S$10),$C$10)</f>
        <v>0.6</v>
      </c>
      <c r="U135" s="216">
        <f>IF($L135='11 FORMULAS'!$D$53,$D$130-($D$130*$S$130),$D$130)</f>
        <v>1</v>
      </c>
      <c r="V135" s="488"/>
      <c r="W135" s="492"/>
      <c r="X135" s="28"/>
    </row>
    <row r="136" spans="1:24" ht="89.25" customHeight="1" x14ac:dyDescent="0.25">
      <c r="A136" s="500" t="str">
        <f>'2 IDENTIFICACIÓN'!A31</f>
        <v>R22</v>
      </c>
      <c r="B136" s="504" t="str">
        <f>+'2 IDENTIFICACIÓN'!J31</f>
        <v>Posibilidad de pérdida reputacional por soborno entrante en la administración de recursos públicos de la Secretaría de Hacienda,  debido a al recibir o solicitar ventajas indebidas para manipular y/o favorecer la constitución de inversiones, debido a debilidades en los controles y seguimiento de las operaciones financieras.</v>
      </c>
      <c r="C136" s="493">
        <f>+'3 PROBABIL E IMPACTO INHERENTE'!E31</f>
        <v>0.4</v>
      </c>
      <c r="D136" s="496">
        <f>+'3 PROBABIL E IMPACTO INHERENTE'!M31</f>
        <v>0.6</v>
      </c>
      <c r="E136" s="257">
        <v>1</v>
      </c>
      <c r="F136" s="333" t="s">
        <v>573</v>
      </c>
      <c r="G136" s="334" t="s">
        <v>574</v>
      </c>
      <c r="H136" s="334" t="s">
        <v>575</v>
      </c>
      <c r="I136" s="335" t="str">
        <f t="shared" si="4"/>
        <v>El líder del proceso  revisa y valida la constitución de inversiones realizadas por la Secretaría de Hacienda, verificando el cumplimiento de los lineamientos financieros  y dejando evidencia de la revisión mediante las actas y aprobaciones del Comité de Inversiones Financieras</v>
      </c>
      <c r="J136" s="290" t="s">
        <v>133</v>
      </c>
      <c r="K136" s="216">
        <f>+IFERROR(VLOOKUP($J136,'11 FORMULAS'!$B$51:$C$53,2,0),"")</f>
        <v>0.25</v>
      </c>
      <c r="L136" s="216" t="str">
        <f>+IFERROR(VLOOKUP($J136,'11 FORMULAS'!$B$51:$D$53,3,0),"")</f>
        <v>Probabilidad</v>
      </c>
      <c r="M136" s="253" t="s">
        <v>145</v>
      </c>
      <c r="N136" s="216">
        <f>+IFERROR(VLOOKUP($M136,'11 FORMULAS'!$B$54:$C$55,2,0),"")</f>
        <v>0.15</v>
      </c>
      <c r="O136" s="255" t="s">
        <v>146</v>
      </c>
      <c r="P136" s="255" t="s">
        <v>237</v>
      </c>
      <c r="Q136" s="255" t="s">
        <v>137</v>
      </c>
      <c r="R136" s="255" t="s">
        <v>138</v>
      </c>
      <c r="S136" s="216">
        <f t="shared" si="3"/>
        <v>0.4</v>
      </c>
      <c r="T136" s="216">
        <f>IF($L136='11 FORMULAS'!$D$51,$C$10-($C$10*$S$10),$C$10)</f>
        <v>0.36</v>
      </c>
      <c r="U136" s="216">
        <f>IF($L136='11 FORMULAS'!$D$53,$D$136-($D$136*$S$136),$D$136)</f>
        <v>0.6</v>
      </c>
      <c r="V136" s="485">
        <f>+IF(T141="","",T141)</f>
        <v>0.6</v>
      </c>
      <c r="W136" s="489">
        <f>+IF(U141="","",U141)</f>
        <v>0.6</v>
      </c>
      <c r="X136" s="28"/>
    </row>
    <row r="137" spans="1:24" ht="29.45" customHeight="1" x14ac:dyDescent="0.25">
      <c r="A137" s="501"/>
      <c r="B137" s="505"/>
      <c r="C137" s="357"/>
      <c r="D137" s="497"/>
      <c r="E137" s="252">
        <v>2</v>
      </c>
      <c r="F137" s="239"/>
      <c r="G137" s="236"/>
      <c r="H137" s="236"/>
      <c r="I137" s="212" t="str">
        <f t="shared" si="4"/>
        <v xml:space="preserve">  </v>
      </c>
      <c r="J137" s="290"/>
      <c r="K137" s="216" t="str">
        <f>+IFERROR(VLOOKUP($J137,'11 FORMULAS'!$B$51:$C$53,2,0),"")</f>
        <v/>
      </c>
      <c r="L137" s="216" t="str">
        <f>+IFERROR(VLOOKUP($J137,'11 FORMULAS'!$B$51:$D$53,3,0),"")</f>
        <v/>
      </c>
      <c r="M137" s="253"/>
      <c r="N137" s="216" t="str">
        <f>+IFERROR(VLOOKUP($M137,'11 FORMULAS'!$B$54:$C$55,2,0),"")</f>
        <v/>
      </c>
      <c r="O137" s="255"/>
      <c r="P137" s="255"/>
      <c r="Q137" s="255"/>
      <c r="R137" s="255"/>
      <c r="S137" s="216" t="str">
        <f t="shared" si="3"/>
        <v/>
      </c>
      <c r="T137" s="216">
        <f>IF($L137='11 FORMULAS'!$D$51,$C$10-($C$10*$S$10),$C$10)</f>
        <v>0.6</v>
      </c>
      <c r="U137" s="216">
        <f>IF($L137='11 FORMULAS'!$D$53,$D$136-($D$136*$S$136),$D$136)</f>
        <v>0.6</v>
      </c>
      <c r="V137" s="486"/>
      <c r="W137" s="490"/>
      <c r="X137" s="28"/>
    </row>
    <row r="138" spans="1:24" ht="29.45" customHeight="1" x14ac:dyDescent="0.25">
      <c r="A138" s="501"/>
      <c r="B138" s="505"/>
      <c r="C138" s="357"/>
      <c r="D138" s="497"/>
      <c r="E138" s="252">
        <v>3</v>
      </c>
      <c r="F138" s="239"/>
      <c r="G138" s="236"/>
      <c r="H138" s="236"/>
      <c r="I138" s="212" t="str">
        <f t="shared" si="4"/>
        <v xml:space="preserve">  </v>
      </c>
      <c r="J138" s="290"/>
      <c r="K138" s="216" t="str">
        <f>+IFERROR(VLOOKUP($J138,'11 FORMULAS'!$B$51:$C$53,2,0),"")</f>
        <v/>
      </c>
      <c r="L138" s="216" t="str">
        <f>+IFERROR(VLOOKUP($J138,'11 FORMULAS'!$B$51:$D$53,3,0),"")</f>
        <v/>
      </c>
      <c r="M138" s="253"/>
      <c r="N138" s="216" t="str">
        <f>+IFERROR(VLOOKUP($M138,'11 FORMULAS'!$B$54:$C$55,2,0),"")</f>
        <v/>
      </c>
      <c r="O138" s="255"/>
      <c r="P138" s="255"/>
      <c r="Q138" s="255"/>
      <c r="R138" s="255"/>
      <c r="S138" s="216" t="str">
        <f t="shared" si="3"/>
        <v/>
      </c>
      <c r="T138" s="216">
        <f>IF($L138='11 FORMULAS'!$D$51,$C$10-($C$10*$S$10),$C$10)</f>
        <v>0.6</v>
      </c>
      <c r="U138" s="216">
        <f>IF($L138='11 FORMULAS'!$D$53,$D$136-($D$136*$S$136),$D$136)</f>
        <v>0.6</v>
      </c>
      <c r="V138" s="486"/>
      <c r="W138" s="490"/>
      <c r="X138" s="28"/>
    </row>
    <row r="139" spans="1:24" ht="29.45" customHeight="1" x14ac:dyDescent="0.25">
      <c r="A139" s="502"/>
      <c r="B139" s="506"/>
      <c r="C139" s="494"/>
      <c r="D139" s="498"/>
      <c r="E139" s="252">
        <v>4</v>
      </c>
      <c r="F139" s="240"/>
      <c r="G139" s="163"/>
      <c r="H139" s="163"/>
      <c r="I139" s="212" t="str">
        <f t="shared" si="4"/>
        <v xml:space="preserve">  </v>
      </c>
      <c r="J139" s="290"/>
      <c r="K139" s="216" t="str">
        <f>+IFERROR(VLOOKUP($J139,'11 FORMULAS'!$B$51:$C$53,2,0),"")</f>
        <v/>
      </c>
      <c r="L139" s="216" t="str">
        <f>+IFERROR(VLOOKUP($J139,'11 FORMULAS'!$B$51:$D$53,3,0),"")</f>
        <v/>
      </c>
      <c r="M139" s="253"/>
      <c r="N139" s="216" t="str">
        <f>+IFERROR(VLOOKUP($M139,'11 FORMULAS'!$B$54:$C$55,2,0),"")</f>
        <v/>
      </c>
      <c r="O139" s="255"/>
      <c r="P139" s="255"/>
      <c r="Q139" s="255"/>
      <c r="R139" s="255"/>
      <c r="S139" s="216" t="str">
        <f t="shared" si="3"/>
        <v/>
      </c>
      <c r="T139" s="216">
        <f>IF($L139='11 FORMULAS'!$D$51,$C$10-($C$10*$S$10),$C$10)</f>
        <v>0.6</v>
      </c>
      <c r="U139" s="216">
        <f>IF($L139='11 FORMULAS'!$D$53,$D$136-($D$136*$S$136),$D$136)</f>
        <v>0.6</v>
      </c>
      <c r="V139" s="487"/>
      <c r="W139" s="491"/>
      <c r="X139" s="28"/>
    </row>
    <row r="140" spans="1:24" ht="29.45" customHeight="1" x14ac:dyDescent="0.25">
      <c r="A140" s="502"/>
      <c r="B140" s="506"/>
      <c r="C140" s="494"/>
      <c r="D140" s="498"/>
      <c r="E140" s="252">
        <v>5</v>
      </c>
      <c r="F140" s="240"/>
      <c r="G140" s="163"/>
      <c r="H140" s="163"/>
      <c r="I140" s="212" t="str">
        <f t="shared" si="4"/>
        <v xml:space="preserve">  </v>
      </c>
      <c r="J140" s="290"/>
      <c r="K140" s="216" t="str">
        <f>+IFERROR(VLOOKUP($J140,'11 FORMULAS'!$B$51:$C$53,2,0),"")</f>
        <v/>
      </c>
      <c r="L140" s="216" t="str">
        <f>+IFERROR(VLOOKUP($J140,'11 FORMULAS'!$B$51:$D$53,3,0),"")</f>
        <v/>
      </c>
      <c r="M140" s="253"/>
      <c r="N140" s="216" t="str">
        <f>+IFERROR(VLOOKUP($M140,'11 FORMULAS'!$B$54:$C$55,2,0),"")</f>
        <v/>
      </c>
      <c r="O140" s="255"/>
      <c r="P140" s="255"/>
      <c r="Q140" s="255"/>
      <c r="R140" s="255"/>
      <c r="S140" s="216" t="str">
        <f t="shared" si="3"/>
        <v/>
      </c>
      <c r="T140" s="216">
        <f>IF($L140='11 FORMULAS'!$D$51,$C$10-($C$10*$S$10),$C$10)</f>
        <v>0.6</v>
      </c>
      <c r="U140" s="216">
        <f>IF($L140='11 FORMULAS'!$D$53,$D$136-($D$136*$S$136),$D$136)</f>
        <v>0.6</v>
      </c>
      <c r="V140" s="487"/>
      <c r="W140" s="491"/>
      <c r="X140" s="28"/>
    </row>
    <row r="141" spans="1:24" ht="29.45" customHeight="1" thickBot="1" x14ac:dyDescent="0.3">
      <c r="A141" s="503"/>
      <c r="B141" s="507"/>
      <c r="C141" s="495"/>
      <c r="D141" s="499"/>
      <c r="E141" s="256">
        <v>6</v>
      </c>
      <c r="F141" s="243"/>
      <c r="G141" s="164"/>
      <c r="H141" s="164"/>
      <c r="I141" s="212" t="str">
        <f t="shared" si="4"/>
        <v xml:space="preserve">  </v>
      </c>
      <c r="J141" s="290"/>
      <c r="K141" s="216" t="str">
        <f>+IFERROR(VLOOKUP($J141,'11 FORMULAS'!$B$51:$C$53,2,0),"")</f>
        <v/>
      </c>
      <c r="L141" s="216" t="str">
        <f>+IFERROR(VLOOKUP($J141,'11 FORMULAS'!$B$51:$D$53,3,0),"")</f>
        <v/>
      </c>
      <c r="M141" s="253"/>
      <c r="N141" s="216" t="str">
        <f>+IFERROR(VLOOKUP($M141,'11 FORMULAS'!$B$54:$C$55,2,0),"")</f>
        <v/>
      </c>
      <c r="O141" s="255"/>
      <c r="P141" s="255"/>
      <c r="Q141" s="255"/>
      <c r="R141" s="255"/>
      <c r="S141" s="216" t="str">
        <f t="shared" si="3"/>
        <v/>
      </c>
      <c r="T141" s="216">
        <f>IF($L141='11 FORMULAS'!$D$51,$C$10-($C$10*$S$10),$C$10)</f>
        <v>0.6</v>
      </c>
      <c r="U141" s="216">
        <f>IF($L141='11 FORMULAS'!$D$53,$D$136-($D$136*$S$136),$D$136)</f>
        <v>0.6</v>
      </c>
      <c r="V141" s="488"/>
      <c r="W141" s="492"/>
      <c r="X141" s="28"/>
    </row>
    <row r="142" spans="1:24" ht="85.5" customHeight="1" x14ac:dyDescent="0.25">
      <c r="A142" s="500" t="str">
        <f>'2 IDENTIFICACIÓN'!A32</f>
        <v>R23</v>
      </c>
      <c r="B142" s="504" t="str">
        <f>+'2 IDENTIFICACIÓN'!J32</f>
        <v>Posibilidad de pérdida reputacional por por soborno entrante en el retiro de registros del Boletín de Deudores Morosos del Estado (BDME),  debido a al solicitar o recibir ventajas indebidas a nombre propio o de terceros para efectuar exclusiones sin el cumplimiento de los requisitos establecidos por la Contaduría General de la Nación.</v>
      </c>
      <c r="C142" s="493">
        <f>+'3 PROBABIL E IMPACTO INHERENTE'!E32</f>
        <v>0.6</v>
      </c>
      <c r="D142" s="496">
        <f>+'3 PROBABIL E IMPACTO INHERENTE'!M32</f>
        <v>0.6</v>
      </c>
      <c r="E142" s="257">
        <v>1</v>
      </c>
      <c r="F142" s="333" t="s">
        <v>566</v>
      </c>
      <c r="G142" s="334" t="s">
        <v>583</v>
      </c>
      <c r="H142" s="334" t="s">
        <v>584</v>
      </c>
      <c r="I142" s="335" t="str">
        <f t="shared" si="4"/>
        <v>El profesional responsable  verifica y valida que los retiros de registros del Boletín de Deudores Morosos del Estado (BDME) cumplan con los requisitos y soportes establecidos por la Contaduría General de la Nación, dejando evidencia de la revisión y aprobación previa al trámite de exclusión.</v>
      </c>
      <c r="J142" s="290" t="s">
        <v>133</v>
      </c>
      <c r="K142" s="216">
        <f>+IFERROR(VLOOKUP($J142,'11 FORMULAS'!$B$51:$C$53,2,0),"")</f>
        <v>0.25</v>
      </c>
      <c r="L142" s="216" t="str">
        <f>+IFERROR(VLOOKUP($J142,'11 FORMULAS'!$B$51:$D$53,3,0),"")</f>
        <v>Probabilidad</v>
      </c>
      <c r="M142" s="253" t="s">
        <v>145</v>
      </c>
      <c r="N142" s="216">
        <f>+IFERROR(VLOOKUP($M142,'11 FORMULAS'!$B$54:$C$55,2,0),"")</f>
        <v>0.15</v>
      </c>
      <c r="O142" s="255" t="s">
        <v>146</v>
      </c>
      <c r="P142" s="255" t="s">
        <v>237</v>
      </c>
      <c r="Q142" s="255" t="s">
        <v>137</v>
      </c>
      <c r="R142" s="255" t="s">
        <v>138</v>
      </c>
      <c r="S142" s="216">
        <f t="shared" si="3"/>
        <v>0.4</v>
      </c>
      <c r="T142" s="216">
        <f>IF($L142='11 FORMULAS'!$D$51,$C$10-($C$10*$S$10),$C$10)</f>
        <v>0.36</v>
      </c>
      <c r="U142" s="216">
        <f>IF($L142='11 FORMULAS'!$D$53,$D$142-($D$142*$S$142),$D$142)</f>
        <v>0.6</v>
      </c>
      <c r="V142" s="485">
        <f>+IF(T147="","",T147)</f>
        <v>0.6</v>
      </c>
      <c r="W142" s="489">
        <f>+IF(U147="","",U147)</f>
        <v>0.6</v>
      </c>
      <c r="X142" s="28"/>
    </row>
    <row r="143" spans="1:24" ht="29.45" customHeight="1" x14ac:dyDescent="0.25">
      <c r="A143" s="501"/>
      <c r="B143" s="505"/>
      <c r="C143" s="357"/>
      <c r="D143" s="497"/>
      <c r="E143" s="252">
        <v>2</v>
      </c>
      <c r="F143" s="239"/>
      <c r="G143" s="236"/>
      <c r="H143" s="236"/>
      <c r="I143" s="212" t="str">
        <f t="shared" si="4"/>
        <v xml:space="preserve">  </v>
      </c>
      <c r="J143" s="290"/>
      <c r="K143" s="216" t="str">
        <f>+IFERROR(VLOOKUP($J143,'11 FORMULAS'!$B$51:$C$53,2,0),"")</f>
        <v/>
      </c>
      <c r="L143" s="216" t="str">
        <f>+IFERROR(VLOOKUP($J143,'11 FORMULAS'!$B$51:$D$53,3,0),"")</f>
        <v/>
      </c>
      <c r="M143" s="253"/>
      <c r="N143" s="216" t="str">
        <f>+IFERROR(VLOOKUP($M143,'11 FORMULAS'!$B$54:$C$55,2,0),"")</f>
        <v/>
      </c>
      <c r="O143" s="255"/>
      <c r="P143" s="255"/>
      <c r="Q143" s="255"/>
      <c r="R143" s="255"/>
      <c r="S143" s="216" t="str">
        <f t="shared" si="3"/>
        <v/>
      </c>
      <c r="T143" s="216">
        <f>IF($L143='11 FORMULAS'!$D$51,$C$10-($C$10*$S$10),$C$10)</f>
        <v>0.6</v>
      </c>
      <c r="U143" s="216">
        <f>IF($L143='11 FORMULAS'!$D$53,$D$142-($D$142*$S$142),$D$142)</f>
        <v>0.6</v>
      </c>
      <c r="V143" s="486"/>
      <c r="W143" s="490"/>
      <c r="X143" s="28"/>
    </row>
    <row r="144" spans="1:24" ht="29.45" customHeight="1" x14ac:dyDescent="0.25">
      <c r="A144" s="501"/>
      <c r="B144" s="505"/>
      <c r="C144" s="357"/>
      <c r="D144" s="497"/>
      <c r="E144" s="252">
        <v>3</v>
      </c>
      <c r="F144" s="239"/>
      <c r="G144" s="236"/>
      <c r="H144" s="236"/>
      <c r="I144" s="212" t="str">
        <f t="shared" si="4"/>
        <v xml:space="preserve">  </v>
      </c>
      <c r="J144" s="290"/>
      <c r="K144" s="216" t="str">
        <f>+IFERROR(VLOOKUP($J144,'11 FORMULAS'!$B$51:$C$53,2,0),"")</f>
        <v/>
      </c>
      <c r="L144" s="216" t="str">
        <f>+IFERROR(VLOOKUP($J144,'11 FORMULAS'!$B$51:$D$53,3,0),"")</f>
        <v/>
      </c>
      <c r="M144" s="253"/>
      <c r="N144" s="216" t="str">
        <f>+IFERROR(VLOOKUP($M144,'11 FORMULAS'!$B$54:$C$55,2,0),"")</f>
        <v/>
      </c>
      <c r="O144" s="255"/>
      <c r="P144" s="255"/>
      <c r="Q144" s="255"/>
      <c r="R144" s="255"/>
      <c r="S144" s="216" t="str">
        <f t="shared" si="3"/>
        <v/>
      </c>
      <c r="T144" s="216">
        <f>IF($L144='11 FORMULAS'!$D$51,$C$10-($C$10*$S$10),$C$10)</f>
        <v>0.6</v>
      </c>
      <c r="U144" s="216">
        <f>IF($L144='11 FORMULAS'!$D$53,$D$142-($D$142*$S$142),$D$142)</f>
        <v>0.6</v>
      </c>
      <c r="V144" s="486"/>
      <c r="W144" s="490"/>
      <c r="X144" s="28"/>
    </row>
    <row r="145" spans="1:24" ht="29.45" customHeight="1" x14ac:dyDescent="0.25">
      <c r="A145" s="502"/>
      <c r="B145" s="506"/>
      <c r="C145" s="494"/>
      <c r="D145" s="498"/>
      <c r="E145" s="252">
        <v>4</v>
      </c>
      <c r="F145" s="240"/>
      <c r="G145" s="163"/>
      <c r="H145" s="163"/>
      <c r="I145" s="212" t="str">
        <f t="shared" si="4"/>
        <v xml:space="preserve">  </v>
      </c>
      <c r="J145" s="290"/>
      <c r="K145" s="216" t="str">
        <f>+IFERROR(VLOOKUP($J145,'11 FORMULAS'!$B$51:$C$53,2,0),"")</f>
        <v/>
      </c>
      <c r="L145" s="216" t="str">
        <f>+IFERROR(VLOOKUP($J145,'11 FORMULAS'!$B$51:$D$53,3,0),"")</f>
        <v/>
      </c>
      <c r="M145" s="253"/>
      <c r="N145" s="216" t="str">
        <f>+IFERROR(VLOOKUP($M145,'11 FORMULAS'!$B$54:$C$55,2,0),"")</f>
        <v/>
      </c>
      <c r="O145" s="255"/>
      <c r="P145" s="255"/>
      <c r="Q145" s="255"/>
      <c r="R145" s="255"/>
      <c r="S145" s="216" t="str">
        <f t="shared" si="3"/>
        <v/>
      </c>
      <c r="T145" s="216">
        <f>IF($L145='11 FORMULAS'!$D$51,$C$10-($C$10*$S$10),$C$10)</f>
        <v>0.6</v>
      </c>
      <c r="U145" s="216">
        <f>IF($L145='11 FORMULAS'!$D$53,$D$142-($D$142*$S$142),$D$142)</f>
        <v>0.6</v>
      </c>
      <c r="V145" s="487"/>
      <c r="W145" s="491"/>
      <c r="X145" s="28"/>
    </row>
    <row r="146" spans="1:24" ht="29.45" customHeight="1" x14ac:dyDescent="0.25">
      <c r="A146" s="502"/>
      <c r="B146" s="506"/>
      <c r="C146" s="494"/>
      <c r="D146" s="498"/>
      <c r="E146" s="252">
        <v>5</v>
      </c>
      <c r="F146" s="240"/>
      <c r="G146" s="163"/>
      <c r="H146" s="163"/>
      <c r="I146" s="212" t="str">
        <f t="shared" si="4"/>
        <v xml:space="preserve">  </v>
      </c>
      <c r="J146" s="290"/>
      <c r="K146" s="216" t="str">
        <f>+IFERROR(VLOOKUP($J146,'11 FORMULAS'!$B$51:$C$53,2,0),"")</f>
        <v/>
      </c>
      <c r="L146" s="216" t="str">
        <f>+IFERROR(VLOOKUP($J146,'11 FORMULAS'!$B$51:$D$53,3,0),"")</f>
        <v/>
      </c>
      <c r="M146" s="253"/>
      <c r="N146" s="216" t="str">
        <f>+IFERROR(VLOOKUP($M146,'11 FORMULAS'!$B$54:$C$55,2,0),"")</f>
        <v/>
      </c>
      <c r="O146" s="255"/>
      <c r="P146" s="255"/>
      <c r="Q146" s="255"/>
      <c r="R146" s="255"/>
      <c r="S146" s="216" t="str">
        <f t="shared" si="3"/>
        <v/>
      </c>
      <c r="T146" s="216">
        <f>IF($L146='11 FORMULAS'!$D$51,$C$10-($C$10*$S$10),$C$10)</f>
        <v>0.6</v>
      </c>
      <c r="U146" s="216">
        <f>IF($L146='11 FORMULAS'!$D$53,$D$142-($D$142*$S$142),$D$142)</f>
        <v>0.6</v>
      </c>
      <c r="V146" s="487"/>
      <c r="W146" s="491"/>
      <c r="X146" s="28"/>
    </row>
    <row r="147" spans="1:24" ht="29.45" customHeight="1" thickBot="1" x14ac:dyDescent="0.3">
      <c r="A147" s="503"/>
      <c r="B147" s="507"/>
      <c r="C147" s="495"/>
      <c r="D147" s="499"/>
      <c r="E147" s="256">
        <v>6</v>
      </c>
      <c r="F147" s="243"/>
      <c r="G147" s="164"/>
      <c r="H147" s="164"/>
      <c r="I147" s="212" t="str">
        <f t="shared" si="4"/>
        <v xml:space="preserve">  </v>
      </c>
      <c r="J147" s="290"/>
      <c r="K147" s="216" t="str">
        <f>+IFERROR(VLOOKUP($J147,'11 FORMULAS'!$B$51:$C$53,2,0),"")</f>
        <v/>
      </c>
      <c r="L147" s="216" t="str">
        <f>+IFERROR(VLOOKUP($J147,'11 FORMULAS'!$B$51:$D$53,3,0),"")</f>
        <v/>
      </c>
      <c r="M147" s="253"/>
      <c r="N147" s="216" t="str">
        <f>+IFERROR(VLOOKUP($M147,'11 FORMULAS'!$B$54:$C$55,2,0),"")</f>
        <v/>
      </c>
      <c r="O147" s="255"/>
      <c r="P147" s="255"/>
      <c r="Q147" s="255"/>
      <c r="R147" s="255"/>
      <c r="S147" s="216" t="str">
        <f t="shared" si="3"/>
        <v/>
      </c>
      <c r="T147" s="216">
        <f>IF($L147='11 FORMULAS'!$D$51,$C$10-($C$10*$S$10),$C$10)</f>
        <v>0.6</v>
      </c>
      <c r="U147" s="216">
        <f>IF($L147='11 FORMULAS'!$D$53,$D$142-($D$142*$S$142),$D$142)</f>
        <v>0.6</v>
      </c>
      <c r="V147" s="488"/>
      <c r="W147" s="492"/>
      <c r="X147" s="28"/>
    </row>
    <row r="148" spans="1:24" ht="103.5" customHeight="1" x14ac:dyDescent="0.25">
      <c r="A148" s="500" t="str">
        <f>'2 IDENTIFICACIÓN'!A33</f>
        <v>R24</v>
      </c>
      <c r="B148" s="504" t="str">
        <f>+'2 IDENTIFICACIÓN'!J33</f>
        <v>Posibilidad de afectación económica y reputacional por inconsistencias en la aplicación de novedades del Impuesto Predial Unificado en el Sistema de Impuestos Municipales,  debido a deficiencias en la revisión, validación y soporte de la información registrada.</v>
      </c>
      <c r="C148" s="493">
        <f>+'3 PROBABIL E IMPACTO INHERENTE'!E33</f>
        <v>0.6</v>
      </c>
      <c r="D148" s="496">
        <f>+'3 PROBABIL E IMPACTO INHERENTE'!M33</f>
        <v>1</v>
      </c>
      <c r="E148" s="257">
        <v>1</v>
      </c>
      <c r="F148" s="333" t="s">
        <v>566</v>
      </c>
      <c r="G148" s="334" t="s">
        <v>589</v>
      </c>
      <c r="H148" s="334" t="s">
        <v>590</v>
      </c>
      <c r="I148" s="335" t="str">
        <f t="shared" si="4"/>
        <v>El profesional responsable  verifica la aplicación de novedades del Impuesto Predial Unificado en el Sistema de Impuestos Municipales,  a través de la revisión y validación de los documentos o actos administrativos que soportan las modificaciones efectuadas, identificando posibles inconsistencias o registros sin justificación.</v>
      </c>
      <c r="J148" s="290" t="s">
        <v>133</v>
      </c>
      <c r="K148" s="216">
        <f>+IFERROR(VLOOKUP($J148,'11 FORMULAS'!$B$51:$C$53,2,0),"")</f>
        <v>0.25</v>
      </c>
      <c r="L148" s="216" t="str">
        <f>+IFERROR(VLOOKUP($J148,'11 FORMULAS'!$B$51:$D$53,3,0),"")</f>
        <v>Probabilidad</v>
      </c>
      <c r="M148" s="253" t="s">
        <v>145</v>
      </c>
      <c r="N148" s="216">
        <f>+IFERROR(VLOOKUP($M148,'11 FORMULAS'!$B$54:$C$55,2,0),"")</f>
        <v>0.15</v>
      </c>
      <c r="O148" s="255" t="s">
        <v>146</v>
      </c>
      <c r="P148" s="255" t="s">
        <v>237</v>
      </c>
      <c r="Q148" s="255" t="s">
        <v>137</v>
      </c>
      <c r="R148" s="255" t="s">
        <v>138</v>
      </c>
      <c r="S148" s="216">
        <f t="shared" si="3"/>
        <v>0.4</v>
      </c>
      <c r="T148" s="216">
        <f>IF($L148='11 FORMULAS'!$D$51,$C$10-($C$10*$S$10),$C$10)</f>
        <v>0.36</v>
      </c>
      <c r="U148" s="216">
        <f>IF($L148='11 FORMULAS'!$D$53,$D$148-($D$148*$S$148),$D$148)</f>
        <v>1</v>
      </c>
      <c r="V148" s="485">
        <f>+IF(T153="","",T153)</f>
        <v>0.6</v>
      </c>
      <c r="W148" s="489">
        <f>+IF(U153="","",U153)</f>
        <v>1</v>
      </c>
      <c r="X148" s="28"/>
    </row>
    <row r="149" spans="1:24" ht="29.45" customHeight="1" x14ac:dyDescent="0.25">
      <c r="A149" s="501"/>
      <c r="B149" s="505"/>
      <c r="C149" s="357"/>
      <c r="D149" s="497"/>
      <c r="E149" s="252">
        <v>2</v>
      </c>
      <c r="F149" s="239"/>
      <c r="G149" s="236"/>
      <c r="H149" s="236"/>
      <c r="I149" s="212" t="str">
        <f t="shared" si="4"/>
        <v xml:space="preserve">  </v>
      </c>
      <c r="J149" s="290"/>
      <c r="K149" s="216" t="str">
        <f>+IFERROR(VLOOKUP($J149,'11 FORMULAS'!$B$51:$C$53,2,0),"")</f>
        <v/>
      </c>
      <c r="L149" s="216" t="str">
        <f>+IFERROR(VLOOKUP($J149,'11 FORMULAS'!$B$51:$D$53,3,0),"")</f>
        <v/>
      </c>
      <c r="M149" s="253"/>
      <c r="N149" s="216" t="str">
        <f>+IFERROR(VLOOKUP($M149,'11 FORMULAS'!$B$54:$C$55,2,0),"")</f>
        <v/>
      </c>
      <c r="O149" s="255"/>
      <c r="P149" s="255"/>
      <c r="Q149" s="255"/>
      <c r="R149" s="255"/>
      <c r="S149" s="216" t="str">
        <f t="shared" si="3"/>
        <v/>
      </c>
      <c r="T149" s="216">
        <f>IF($L149='11 FORMULAS'!$D$51,$C$10-($C$10*$S$10),$C$10)</f>
        <v>0.6</v>
      </c>
      <c r="U149" s="216">
        <f>IF($L149='11 FORMULAS'!$D$53,$D$148-($D$148*$S$148),$D$148)</f>
        <v>1</v>
      </c>
      <c r="V149" s="486"/>
      <c r="W149" s="490"/>
      <c r="X149" s="28"/>
    </row>
    <row r="150" spans="1:24" ht="29.45" customHeight="1" x14ac:dyDescent="0.25">
      <c r="A150" s="501"/>
      <c r="B150" s="505"/>
      <c r="C150" s="357"/>
      <c r="D150" s="497"/>
      <c r="E150" s="252">
        <v>3</v>
      </c>
      <c r="F150" s="239"/>
      <c r="G150" s="236"/>
      <c r="H150" s="236"/>
      <c r="I150" s="212" t="str">
        <f t="shared" si="4"/>
        <v xml:space="preserve">  </v>
      </c>
      <c r="J150" s="290"/>
      <c r="K150" s="216" t="str">
        <f>+IFERROR(VLOOKUP($J150,'11 FORMULAS'!$B$51:$C$53,2,0),"")</f>
        <v/>
      </c>
      <c r="L150" s="216" t="str">
        <f>+IFERROR(VLOOKUP($J150,'11 FORMULAS'!$B$51:$D$53,3,0),"")</f>
        <v/>
      </c>
      <c r="M150" s="253"/>
      <c r="N150" s="216" t="str">
        <f>+IFERROR(VLOOKUP($M150,'11 FORMULAS'!$B$54:$C$55,2,0),"")</f>
        <v/>
      </c>
      <c r="O150" s="255"/>
      <c r="P150" s="255"/>
      <c r="Q150" s="255"/>
      <c r="R150" s="255"/>
      <c r="S150" s="216" t="str">
        <f t="shared" si="3"/>
        <v/>
      </c>
      <c r="T150" s="216">
        <f>IF($L150='11 FORMULAS'!$D$51,$C$10-($C$10*$S$10),$C$10)</f>
        <v>0.6</v>
      </c>
      <c r="U150" s="216">
        <f>IF($L150='11 FORMULAS'!$D$53,$D$148-($D$148*$S$148),$D$148)</f>
        <v>1</v>
      </c>
      <c r="V150" s="486"/>
      <c r="W150" s="490"/>
      <c r="X150" s="28"/>
    </row>
    <row r="151" spans="1:24" ht="29.45" customHeight="1" x14ac:dyDescent="0.25">
      <c r="A151" s="502"/>
      <c r="B151" s="506"/>
      <c r="C151" s="494"/>
      <c r="D151" s="498"/>
      <c r="E151" s="252">
        <v>4</v>
      </c>
      <c r="F151" s="240"/>
      <c r="G151" s="163"/>
      <c r="H151" s="163"/>
      <c r="I151" s="212" t="str">
        <f t="shared" si="4"/>
        <v xml:space="preserve">  </v>
      </c>
      <c r="J151" s="290"/>
      <c r="K151" s="216" t="str">
        <f>+IFERROR(VLOOKUP($J151,'11 FORMULAS'!$B$51:$C$53,2,0),"")</f>
        <v/>
      </c>
      <c r="L151" s="216" t="str">
        <f>+IFERROR(VLOOKUP($J151,'11 FORMULAS'!$B$51:$D$53,3,0),"")</f>
        <v/>
      </c>
      <c r="M151" s="253"/>
      <c r="N151" s="216" t="str">
        <f>+IFERROR(VLOOKUP($M151,'11 FORMULAS'!$B$54:$C$55,2,0),"")</f>
        <v/>
      </c>
      <c r="O151" s="255"/>
      <c r="P151" s="255"/>
      <c r="Q151" s="255"/>
      <c r="R151" s="255"/>
      <c r="S151" s="216" t="str">
        <f t="shared" si="3"/>
        <v/>
      </c>
      <c r="T151" s="216">
        <f>IF($L151='11 FORMULAS'!$D$51,$C$10-($C$10*$S$10),$C$10)</f>
        <v>0.6</v>
      </c>
      <c r="U151" s="216">
        <f>IF($L151='11 FORMULAS'!$D$53,$D$148-($D$148*$S$148),$D$148)</f>
        <v>1</v>
      </c>
      <c r="V151" s="487"/>
      <c r="W151" s="491"/>
      <c r="X151" s="28"/>
    </row>
    <row r="152" spans="1:24" ht="29.45" customHeight="1" x14ac:dyDescent="0.25">
      <c r="A152" s="502"/>
      <c r="B152" s="506"/>
      <c r="C152" s="494"/>
      <c r="D152" s="498"/>
      <c r="E152" s="252">
        <v>5</v>
      </c>
      <c r="F152" s="240"/>
      <c r="G152" s="163"/>
      <c r="H152" s="163"/>
      <c r="I152" s="212" t="str">
        <f t="shared" si="4"/>
        <v xml:space="preserve">  </v>
      </c>
      <c r="J152" s="290"/>
      <c r="K152" s="216" t="str">
        <f>+IFERROR(VLOOKUP($J152,'11 FORMULAS'!$B$51:$C$53,2,0),"")</f>
        <v/>
      </c>
      <c r="L152" s="216" t="str">
        <f>+IFERROR(VLOOKUP($J152,'11 FORMULAS'!$B$51:$D$53,3,0),"")</f>
        <v/>
      </c>
      <c r="M152" s="253"/>
      <c r="N152" s="216" t="str">
        <f>+IFERROR(VLOOKUP($M152,'11 FORMULAS'!$B$54:$C$55,2,0),"")</f>
        <v/>
      </c>
      <c r="O152" s="255"/>
      <c r="P152" s="255"/>
      <c r="Q152" s="255"/>
      <c r="R152" s="255"/>
      <c r="S152" s="216" t="str">
        <f t="shared" si="3"/>
        <v/>
      </c>
      <c r="T152" s="216">
        <f>IF($L152='11 FORMULAS'!$D$51,$C$10-($C$10*$S$10),$C$10)</f>
        <v>0.6</v>
      </c>
      <c r="U152" s="216">
        <f>IF($L152='11 FORMULAS'!$D$53,$D$148-($D$148*$S$148),$D$148)</f>
        <v>1</v>
      </c>
      <c r="V152" s="487"/>
      <c r="W152" s="491"/>
      <c r="X152" s="28"/>
    </row>
    <row r="153" spans="1:24" ht="29.45" customHeight="1" thickBot="1" x14ac:dyDescent="0.3">
      <c r="A153" s="503"/>
      <c r="B153" s="507"/>
      <c r="C153" s="495"/>
      <c r="D153" s="499"/>
      <c r="E153" s="256">
        <v>6</v>
      </c>
      <c r="F153" s="243"/>
      <c r="G153" s="164"/>
      <c r="H153" s="164"/>
      <c r="I153" s="212" t="str">
        <f t="shared" si="4"/>
        <v xml:space="preserve">  </v>
      </c>
      <c r="J153" s="290"/>
      <c r="K153" s="216" t="str">
        <f>+IFERROR(VLOOKUP($J153,'11 FORMULAS'!$B$51:$C$53,2,0),"")</f>
        <v/>
      </c>
      <c r="L153" s="216" t="str">
        <f>+IFERROR(VLOOKUP($J153,'11 FORMULAS'!$B$51:$D$53,3,0),"")</f>
        <v/>
      </c>
      <c r="M153" s="253"/>
      <c r="N153" s="216" t="str">
        <f>+IFERROR(VLOOKUP($M153,'11 FORMULAS'!$B$54:$C$55,2,0),"")</f>
        <v/>
      </c>
      <c r="O153" s="255"/>
      <c r="P153" s="255"/>
      <c r="Q153" s="255"/>
      <c r="R153" s="255"/>
      <c r="S153" s="216" t="str">
        <f t="shared" si="3"/>
        <v/>
      </c>
      <c r="T153" s="216">
        <f>IF($L153='11 FORMULAS'!$D$51,$C$10-($C$10*$S$10),$C$10)</f>
        <v>0.6</v>
      </c>
      <c r="U153" s="216">
        <f>IF($L153='11 FORMULAS'!$D$53,$D$148-($D$148*$S$148),$D$148)</f>
        <v>1</v>
      </c>
      <c r="V153" s="488"/>
      <c r="W153" s="492"/>
      <c r="X153" s="28"/>
    </row>
    <row r="154" spans="1:24" ht="29.45" hidden="1" customHeight="1" thickBot="1" x14ac:dyDescent="0.3">
      <c r="A154" s="500" t="str">
        <f>'2 IDENTIFICACIÓN'!A34</f>
        <v>R25</v>
      </c>
      <c r="B154" s="504" t="str">
        <f>+'2 IDENTIFICACIÓN'!J34</f>
        <v xml:space="preserve"> por  debido a </v>
      </c>
      <c r="C154" s="493" t="str">
        <f>+'3 PROBABIL E IMPACTO INHERENTE'!E34</f>
        <v/>
      </c>
      <c r="D154" s="496" t="str">
        <f>+'3 PROBABIL E IMPACTO INHERENTE'!M34</f>
        <v/>
      </c>
      <c r="E154" s="257">
        <v>1</v>
      </c>
      <c r="F154" s="241"/>
      <c r="G154" s="35"/>
      <c r="H154" s="35"/>
      <c r="I154" s="212" t="str">
        <f t="shared" si="4"/>
        <v xml:space="preserve">  </v>
      </c>
      <c r="J154" s="290"/>
      <c r="K154" s="216" t="str">
        <f>+IFERROR(VLOOKUP($J154,'11 FORMULAS'!$B$51:$C$53,2,0),"")</f>
        <v/>
      </c>
      <c r="L154" s="216" t="str">
        <f>+IFERROR(VLOOKUP($J154,'11 FORMULAS'!$B$51:$D$53,3,0),"")</f>
        <v/>
      </c>
      <c r="M154" s="253" t="s">
        <v>134</v>
      </c>
      <c r="N154" s="349">
        <f>+IFERROR(VLOOKUP($M154,'11 FORMULAS'!$B$54:$C$55,2,0),"")</f>
        <v>0.25</v>
      </c>
      <c r="O154" s="255" t="s">
        <v>146</v>
      </c>
      <c r="P154" s="255" t="s">
        <v>239</v>
      </c>
      <c r="Q154" s="255" t="s">
        <v>137</v>
      </c>
      <c r="R154" s="255" t="s">
        <v>247</v>
      </c>
      <c r="S154" s="216" t="str">
        <f t="shared" si="3"/>
        <v/>
      </c>
      <c r="T154" s="216">
        <f>IF($L154='11 FORMULAS'!$D$51,$C$10-($C$10*$S$10),$C$10)</f>
        <v>0.6</v>
      </c>
      <c r="U154" s="216" t="str">
        <f>IF($L154='11 FORMULAS'!$D$53,D154-(D154*S154),D154)</f>
        <v/>
      </c>
      <c r="V154" s="485">
        <f>+IF(T159="","",T159)</f>
        <v>0.6</v>
      </c>
      <c r="W154" s="489">
        <f>+IF(U159="","",U159)</f>
        <v>0</v>
      </c>
      <c r="X154" s="28"/>
    </row>
    <row r="155" spans="1:24" ht="29.45" hidden="1" customHeight="1" thickBot="1" x14ac:dyDescent="0.3">
      <c r="A155" s="501"/>
      <c r="B155" s="505"/>
      <c r="C155" s="357"/>
      <c r="D155" s="497"/>
      <c r="E155" s="252">
        <v>2</v>
      </c>
      <c r="F155" s="239"/>
      <c r="G155" s="236"/>
      <c r="H155" s="236"/>
      <c r="I155" s="212" t="str">
        <f t="shared" si="4"/>
        <v xml:space="preserve">  </v>
      </c>
      <c r="J155" s="290"/>
      <c r="K155" s="216" t="str">
        <f>+IFERROR(VLOOKUP($J155,'11 FORMULAS'!$B$51:$C$53,2,0),"")</f>
        <v/>
      </c>
      <c r="L155" s="216" t="str">
        <f>+IFERROR(VLOOKUP($J155,'11 FORMULAS'!$B$51:$D$53,3,0),"")</f>
        <v/>
      </c>
      <c r="M155" s="253" t="s">
        <v>134</v>
      </c>
      <c r="N155" s="254">
        <f>+IFERROR(VLOOKUP($M155,'11 FORMULAS'!$B$54:$C$55,2,0),"")</f>
        <v>0.25</v>
      </c>
      <c r="O155" s="255" t="s">
        <v>146</v>
      </c>
      <c r="P155" s="255" t="s">
        <v>239</v>
      </c>
      <c r="Q155" s="255" t="s">
        <v>137</v>
      </c>
      <c r="R155" s="255" t="s">
        <v>247</v>
      </c>
      <c r="S155" s="216" t="str">
        <f t="shared" si="3"/>
        <v/>
      </c>
      <c r="T155" s="216">
        <f>IF($L155='11 FORMULAS'!$D$51,$C$10-($C$10*$S$10),$C$10)</f>
        <v>0.6</v>
      </c>
      <c r="U155" s="216">
        <f>IF($L155='11 FORMULAS'!$D$53,D155-(D155*S155),D155)</f>
        <v>0</v>
      </c>
      <c r="V155" s="486"/>
      <c r="W155" s="490"/>
      <c r="X155" s="28"/>
    </row>
    <row r="156" spans="1:24" ht="29.45" hidden="1" customHeight="1" thickBot="1" x14ac:dyDescent="0.3">
      <c r="A156" s="501"/>
      <c r="B156" s="505"/>
      <c r="C156" s="357"/>
      <c r="D156" s="497"/>
      <c r="E156" s="252">
        <v>3</v>
      </c>
      <c r="F156" s="239"/>
      <c r="G156" s="236"/>
      <c r="H156" s="236"/>
      <c r="I156" s="212" t="str">
        <f t="shared" si="4"/>
        <v xml:space="preserve">  </v>
      </c>
      <c r="J156" s="290"/>
      <c r="K156" s="216" t="str">
        <f>+IFERROR(VLOOKUP($J156,'11 FORMULAS'!$B$51:$C$53,2,0),"")</f>
        <v/>
      </c>
      <c r="L156" s="216" t="str">
        <f>+IFERROR(VLOOKUP($J156,'11 FORMULAS'!$B$51:$D$53,3,0),"")</f>
        <v/>
      </c>
      <c r="M156" s="253" t="s">
        <v>134</v>
      </c>
      <c r="N156" s="254">
        <f>+IFERROR(VLOOKUP($M156,'11 FORMULAS'!$B$54:$C$55,2,0),"")</f>
        <v>0.25</v>
      </c>
      <c r="O156" s="255" t="s">
        <v>146</v>
      </c>
      <c r="P156" s="255" t="s">
        <v>239</v>
      </c>
      <c r="Q156" s="255" t="s">
        <v>137</v>
      </c>
      <c r="R156" s="255" t="s">
        <v>247</v>
      </c>
      <c r="S156" s="216" t="str">
        <f t="shared" si="3"/>
        <v/>
      </c>
      <c r="T156" s="216">
        <f>IF($L156='11 FORMULAS'!$D$51,$C$10-($C$10*$S$10),$C$10)</f>
        <v>0.6</v>
      </c>
      <c r="U156" s="216">
        <f>IF($L156='11 FORMULAS'!$D$53,D156-(D156*S156),D156)</f>
        <v>0</v>
      </c>
      <c r="V156" s="486"/>
      <c r="W156" s="490"/>
      <c r="X156" s="28"/>
    </row>
    <row r="157" spans="1:24" ht="29.45" hidden="1" customHeight="1" thickBot="1" x14ac:dyDescent="0.3">
      <c r="A157" s="502"/>
      <c r="B157" s="506"/>
      <c r="C157" s="494"/>
      <c r="D157" s="498"/>
      <c r="E157" s="252">
        <v>4</v>
      </c>
      <c r="F157" s="240"/>
      <c r="G157" s="163"/>
      <c r="H157" s="163"/>
      <c r="I157" s="212" t="str">
        <f t="shared" si="4"/>
        <v xml:space="preserve">  </v>
      </c>
      <c r="J157" s="290"/>
      <c r="K157" s="216" t="str">
        <f>+IFERROR(VLOOKUP($J157,'11 FORMULAS'!$B$51:$C$53,2,0),"")</f>
        <v/>
      </c>
      <c r="L157" s="216" t="str">
        <f>+IFERROR(VLOOKUP($J157,'11 FORMULAS'!$B$51:$D$53,3,0),"")</f>
        <v/>
      </c>
      <c r="M157" s="253" t="s">
        <v>134</v>
      </c>
      <c r="N157" s="254">
        <f>+IFERROR(VLOOKUP($M157,'11 FORMULAS'!$B$54:$C$55,2,0),"")</f>
        <v>0.25</v>
      </c>
      <c r="O157" s="255" t="s">
        <v>146</v>
      </c>
      <c r="P157" s="255" t="s">
        <v>239</v>
      </c>
      <c r="Q157" s="255" t="s">
        <v>137</v>
      </c>
      <c r="R157" s="255" t="s">
        <v>247</v>
      </c>
      <c r="S157" s="216" t="str">
        <f t="shared" si="3"/>
        <v/>
      </c>
      <c r="T157" s="216">
        <f>IF($L157='11 FORMULAS'!$D$51,$C$10-($C$10*$S$10),$C$10)</f>
        <v>0.6</v>
      </c>
      <c r="U157" s="216">
        <f>IF($L157='11 FORMULAS'!$D$53,D157-(D157*S157),D157)</f>
        <v>0</v>
      </c>
      <c r="V157" s="487"/>
      <c r="W157" s="491"/>
      <c r="X157" s="28"/>
    </row>
    <row r="158" spans="1:24" ht="29.45" hidden="1" customHeight="1" thickBot="1" x14ac:dyDescent="0.3">
      <c r="A158" s="502"/>
      <c r="B158" s="506"/>
      <c r="C158" s="494"/>
      <c r="D158" s="498"/>
      <c r="E158" s="252">
        <v>5</v>
      </c>
      <c r="F158" s="240"/>
      <c r="G158" s="163"/>
      <c r="H158" s="163"/>
      <c r="I158" s="212" t="str">
        <f t="shared" si="4"/>
        <v xml:space="preserve">  </v>
      </c>
      <c r="J158" s="290"/>
      <c r="K158" s="216" t="str">
        <f>+IFERROR(VLOOKUP($J158,'11 FORMULAS'!$B$51:$C$53,2,0),"")</f>
        <v/>
      </c>
      <c r="L158" s="216" t="str">
        <f>+IFERROR(VLOOKUP($J158,'11 FORMULAS'!$B$51:$D$53,3,0),"")</f>
        <v/>
      </c>
      <c r="M158" s="253" t="s">
        <v>134</v>
      </c>
      <c r="N158" s="254">
        <f>+IFERROR(VLOOKUP($M158,'11 FORMULAS'!$B$54:$C$55,2,0),"")</f>
        <v>0.25</v>
      </c>
      <c r="O158" s="255" t="s">
        <v>146</v>
      </c>
      <c r="P158" s="255" t="s">
        <v>239</v>
      </c>
      <c r="Q158" s="255" t="s">
        <v>137</v>
      </c>
      <c r="R158" s="255" t="s">
        <v>247</v>
      </c>
      <c r="S158" s="216" t="str">
        <f t="shared" si="3"/>
        <v/>
      </c>
      <c r="T158" s="216">
        <f>IF($L158='11 FORMULAS'!$D$51,$C$10-($C$10*$S$10),$C$10)</f>
        <v>0.6</v>
      </c>
      <c r="U158" s="216">
        <f>IF($L158='11 FORMULAS'!$D$53,D158-(D158*S158),D158)</f>
        <v>0</v>
      </c>
      <c r="V158" s="487"/>
      <c r="W158" s="491"/>
      <c r="X158" s="28"/>
    </row>
    <row r="159" spans="1:24" ht="29.45" hidden="1" customHeight="1" thickBot="1" x14ac:dyDescent="0.3">
      <c r="A159" s="503"/>
      <c r="B159" s="507"/>
      <c r="C159" s="495"/>
      <c r="D159" s="499"/>
      <c r="E159" s="256">
        <v>6</v>
      </c>
      <c r="F159" s="243"/>
      <c r="G159" s="164"/>
      <c r="H159" s="164"/>
      <c r="I159" s="212" t="str">
        <f t="shared" si="4"/>
        <v xml:space="preserve">  </v>
      </c>
      <c r="J159" s="290"/>
      <c r="K159" s="216" t="str">
        <f>+IFERROR(VLOOKUP($J159,'11 FORMULAS'!$B$51:$C$53,2,0),"")</f>
        <v/>
      </c>
      <c r="L159" s="216" t="str">
        <f>+IFERROR(VLOOKUP($J159,'11 FORMULAS'!$B$51:$D$53,3,0),"")</f>
        <v/>
      </c>
      <c r="M159" s="253" t="s">
        <v>134</v>
      </c>
      <c r="N159" s="254">
        <f>+IFERROR(VLOOKUP($M159,'11 FORMULAS'!$B$54:$C$55,2,0),"")</f>
        <v>0.25</v>
      </c>
      <c r="O159" s="255" t="s">
        <v>146</v>
      </c>
      <c r="P159" s="255" t="s">
        <v>239</v>
      </c>
      <c r="Q159" s="255" t="s">
        <v>137</v>
      </c>
      <c r="R159" s="255" t="s">
        <v>247</v>
      </c>
      <c r="S159" s="216" t="str">
        <f t="shared" si="3"/>
        <v/>
      </c>
      <c r="T159" s="216">
        <f>IF($L159='11 FORMULAS'!$D$51,$C$10-($C$10*$S$10),$C$10)</f>
        <v>0.6</v>
      </c>
      <c r="U159" s="216">
        <f>IF($L159='11 FORMULAS'!$D$53,D159-(D159*S159),D159)</f>
        <v>0</v>
      </c>
      <c r="V159" s="488"/>
      <c r="W159" s="492"/>
      <c r="X159" s="28"/>
    </row>
    <row r="160" spans="1:24" ht="29.45" hidden="1" customHeight="1" thickBot="1" x14ac:dyDescent="0.3">
      <c r="A160" s="500" t="str">
        <f>'2 IDENTIFICACIÓN'!A35</f>
        <v>R26</v>
      </c>
      <c r="B160" s="504" t="str">
        <f>+'2 IDENTIFICACIÓN'!J35</f>
        <v xml:space="preserve"> por  debido a </v>
      </c>
      <c r="C160" s="493" t="str">
        <f>+'3 PROBABIL E IMPACTO INHERENTE'!E35</f>
        <v/>
      </c>
      <c r="D160" s="496" t="str">
        <f>+'3 PROBABIL E IMPACTO INHERENTE'!M35</f>
        <v/>
      </c>
      <c r="E160" s="257">
        <v>1</v>
      </c>
      <c r="F160" s="241"/>
      <c r="G160" s="35"/>
      <c r="H160" s="35"/>
      <c r="I160" s="212" t="str">
        <f t="shared" si="4"/>
        <v xml:space="preserve">  </v>
      </c>
      <c r="J160" s="290"/>
      <c r="K160" s="216" t="str">
        <f>+IFERROR(VLOOKUP($J160,'11 FORMULAS'!$B$51:$C$53,2,0),"")</f>
        <v/>
      </c>
      <c r="L160" s="216" t="str">
        <f>+IFERROR(VLOOKUP($J160,'11 FORMULAS'!$B$51:$D$53,3,0),"")</f>
        <v/>
      </c>
      <c r="M160" s="253" t="s">
        <v>134</v>
      </c>
      <c r="N160" s="254">
        <f>+IFERROR(VLOOKUP($M160,'11 FORMULAS'!$B$54:$C$55,2,0),"")</f>
        <v>0.25</v>
      </c>
      <c r="O160" s="255" t="s">
        <v>146</v>
      </c>
      <c r="P160" s="255" t="s">
        <v>239</v>
      </c>
      <c r="Q160" s="255" t="s">
        <v>137</v>
      </c>
      <c r="R160" s="255" t="s">
        <v>247</v>
      </c>
      <c r="S160" s="216" t="str">
        <f t="shared" si="3"/>
        <v/>
      </c>
      <c r="T160" s="216">
        <f>IF($L160='11 FORMULAS'!$D$51,$C$10-($C$10*$S$10),$C$10)</f>
        <v>0.6</v>
      </c>
      <c r="U160" s="216" t="str">
        <f>IF($L160='11 FORMULAS'!$D$53,D160-(D160*S160),D160)</f>
        <v/>
      </c>
      <c r="V160" s="485">
        <f>+IF(T165="","",T165)</f>
        <v>0.6</v>
      </c>
      <c r="W160" s="489">
        <f>+IF(U165="","",U165)</f>
        <v>0</v>
      </c>
      <c r="X160" s="28"/>
    </row>
    <row r="161" spans="1:24" ht="29.45" hidden="1" customHeight="1" thickBot="1" x14ac:dyDescent="0.3">
      <c r="A161" s="501"/>
      <c r="B161" s="505"/>
      <c r="C161" s="357"/>
      <c r="D161" s="497"/>
      <c r="E161" s="252">
        <v>2</v>
      </c>
      <c r="F161" s="239"/>
      <c r="G161" s="236"/>
      <c r="H161" s="236"/>
      <c r="I161" s="212" t="str">
        <f t="shared" si="4"/>
        <v xml:space="preserve">  </v>
      </c>
      <c r="J161" s="290"/>
      <c r="K161" s="216" t="str">
        <f>+IFERROR(VLOOKUP($J161,'11 FORMULAS'!$B$51:$C$53,2,0),"")</f>
        <v/>
      </c>
      <c r="L161" s="216" t="str">
        <f>+IFERROR(VLOOKUP($J161,'11 FORMULAS'!$B$51:$D$53,3,0),"")</f>
        <v/>
      </c>
      <c r="M161" s="253" t="s">
        <v>134</v>
      </c>
      <c r="N161" s="254">
        <f>+IFERROR(VLOOKUP($M161,'11 FORMULAS'!$B$54:$C$55,2,0),"")</f>
        <v>0.25</v>
      </c>
      <c r="O161" s="255" t="s">
        <v>146</v>
      </c>
      <c r="P161" s="255" t="s">
        <v>239</v>
      </c>
      <c r="Q161" s="255" t="s">
        <v>137</v>
      </c>
      <c r="R161" s="255" t="s">
        <v>247</v>
      </c>
      <c r="S161" s="216" t="str">
        <f t="shared" si="3"/>
        <v/>
      </c>
      <c r="T161" s="216">
        <f>IF($L161='11 FORMULAS'!$D$51,$C$10-($C$10*$S$10),$C$10)</f>
        <v>0.6</v>
      </c>
      <c r="U161" s="216">
        <f>IF($L161='11 FORMULAS'!$D$53,D161-(D161*S161),D161)</f>
        <v>0</v>
      </c>
      <c r="V161" s="486"/>
      <c r="W161" s="490"/>
      <c r="X161" s="28"/>
    </row>
    <row r="162" spans="1:24" ht="29.45" hidden="1" customHeight="1" thickBot="1" x14ac:dyDescent="0.3">
      <c r="A162" s="501"/>
      <c r="B162" s="505"/>
      <c r="C162" s="357"/>
      <c r="D162" s="497"/>
      <c r="E162" s="252">
        <v>3</v>
      </c>
      <c r="F162" s="239"/>
      <c r="G162" s="236"/>
      <c r="H162" s="236"/>
      <c r="I162" s="212" t="str">
        <f t="shared" si="4"/>
        <v xml:space="preserve">  </v>
      </c>
      <c r="J162" s="290"/>
      <c r="K162" s="216" t="str">
        <f>+IFERROR(VLOOKUP($J162,'11 FORMULAS'!$B$51:$C$53,2,0),"")</f>
        <v/>
      </c>
      <c r="L162" s="216" t="str">
        <f>+IFERROR(VLOOKUP($J162,'11 FORMULAS'!$B$51:$D$53,3,0),"")</f>
        <v/>
      </c>
      <c r="M162" s="253" t="s">
        <v>134</v>
      </c>
      <c r="N162" s="254">
        <f>+IFERROR(VLOOKUP($M162,'11 FORMULAS'!$B$54:$C$55,2,0),"")</f>
        <v>0.25</v>
      </c>
      <c r="O162" s="255" t="s">
        <v>146</v>
      </c>
      <c r="P162" s="255" t="s">
        <v>239</v>
      </c>
      <c r="Q162" s="255" t="s">
        <v>137</v>
      </c>
      <c r="R162" s="255" t="s">
        <v>247</v>
      </c>
      <c r="S162" s="216" t="str">
        <f t="shared" si="3"/>
        <v/>
      </c>
      <c r="T162" s="216">
        <f>IF($L162='11 FORMULAS'!$D$51,$C$10-($C$10*$S$10),$C$10)</f>
        <v>0.6</v>
      </c>
      <c r="U162" s="216">
        <f>IF($L162='11 FORMULAS'!$D$53,D162-(D162*S162),D162)</f>
        <v>0</v>
      </c>
      <c r="V162" s="486"/>
      <c r="W162" s="490"/>
      <c r="X162" s="28"/>
    </row>
    <row r="163" spans="1:24" ht="29.45" hidden="1" customHeight="1" thickBot="1" x14ac:dyDescent="0.3">
      <c r="A163" s="502"/>
      <c r="B163" s="506"/>
      <c r="C163" s="494"/>
      <c r="D163" s="498"/>
      <c r="E163" s="252">
        <v>4</v>
      </c>
      <c r="F163" s="240"/>
      <c r="G163" s="163"/>
      <c r="H163" s="163"/>
      <c r="I163" s="212" t="str">
        <f t="shared" si="4"/>
        <v xml:space="preserve">  </v>
      </c>
      <c r="J163" s="290"/>
      <c r="K163" s="216" t="str">
        <f>+IFERROR(VLOOKUP($J163,'11 FORMULAS'!$B$51:$C$53,2,0),"")</f>
        <v/>
      </c>
      <c r="L163" s="216" t="str">
        <f>+IFERROR(VLOOKUP($J163,'11 FORMULAS'!$B$51:$D$53,3,0),"")</f>
        <v/>
      </c>
      <c r="M163" s="253" t="s">
        <v>134</v>
      </c>
      <c r="N163" s="254">
        <f>+IFERROR(VLOOKUP($M163,'11 FORMULAS'!$B$54:$C$55,2,0),"")</f>
        <v>0.25</v>
      </c>
      <c r="O163" s="255" t="s">
        <v>146</v>
      </c>
      <c r="P163" s="255" t="s">
        <v>239</v>
      </c>
      <c r="Q163" s="255" t="s">
        <v>137</v>
      </c>
      <c r="R163" s="255" t="s">
        <v>247</v>
      </c>
      <c r="S163" s="216" t="str">
        <f t="shared" si="3"/>
        <v/>
      </c>
      <c r="T163" s="216">
        <f>IF($L163='11 FORMULAS'!$D$51,$C$10-($C$10*$S$10),$C$10)</f>
        <v>0.6</v>
      </c>
      <c r="U163" s="216">
        <f>IF($L163='11 FORMULAS'!$D$53,D163-(D163*S163),D163)</f>
        <v>0</v>
      </c>
      <c r="V163" s="487"/>
      <c r="W163" s="491"/>
      <c r="X163" s="28"/>
    </row>
    <row r="164" spans="1:24" ht="29.45" hidden="1" customHeight="1" thickBot="1" x14ac:dyDescent="0.3">
      <c r="A164" s="502"/>
      <c r="B164" s="506"/>
      <c r="C164" s="494"/>
      <c r="D164" s="498"/>
      <c r="E164" s="252">
        <v>5</v>
      </c>
      <c r="F164" s="240"/>
      <c r="G164" s="163"/>
      <c r="H164" s="163"/>
      <c r="I164" s="212" t="str">
        <f t="shared" si="4"/>
        <v xml:space="preserve">  </v>
      </c>
      <c r="J164" s="290"/>
      <c r="K164" s="216" t="str">
        <f>+IFERROR(VLOOKUP($J164,'11 FORMULAS'!$B$51:$C$53,2,0),"")</f>
        <v/>
      </c>
      <c r="L164" s="216" t="str">
        <f>+IFERROR(VLOOKUP($J164,'11 FORMULAS'!$B$51:$D$53,3,0),"")</f>
        <v/>
      </c>
      <c r="M164" s="253" t="s">
        <v>134</v>
      </c>
      <c r="N164" s="254">
        <f>+IFERROR(VLOOKUP($M164,'11 FORMULAS'!$B$54:$C$55,2,0),"")</f>
        <v>0.25</v>
      </c>
      <c r="O164" s="255" t="s">
        <v>146</v>
      </c>
      <c r="P164" s="255" t="s">
        <v>239</v>
      </c>
      <c r="Q164" s="255" t="s">
        <v>137</v>
      </c>
      <c r="R164" s="255" t="s">
        <v>247</v>
      </c>
      <c r="S164" s="216" t="str">
        <f t="shared" si="3"/>
        <v/>
      </c>
      <c r="T164" s="216">
        <f>IF($L164='11 FORMULAS'!$D$51,$C$10-($C$10*$S$10),$C$10)</f>
        <v>0.6</v>
      </c>
      <c r="U164" s="216">
        <f>IF($L164='11 FORMULAS'!$D$53,D164-(D164*S164),D164)</f>
        <v>0</v>
      </c>
      <c r="V164" s="487"/>
      <c r="W164" s="491"/>
      <c r="X164" s="28"/>
    </row>
    <row r="165" spans="1:24" ht="29.45" hidden="1" customHeight="1" thickBot="1" x14ac:dyDescent="0.3">
      <c r="A165" s="503"/>
      <c r="B165" s="507"/>
      <c r="C165" s="495"/>
      <c r="D165" s="499"/>
      <c r="E165" s="256">
        <v>6</v>
      </c>
      <c r="F165" s="243"/>
      <c r="G165" s="164"/>
      <c r="H165" s="164"/>
      <c r="I165" s="212" t="str">
        <f t="shared" si="4"/>
        <v xml:space="preserve">  </v>
      </c>
      <c r="J165" s="290"/>
      <c r="K165" s="216" t="str">
        <f>+IFERROR(VLOOKUP($J165,'11 FORMULAS'!$B$51:$C$53,2,0),"")</f>
        <v/>
      </c>
      <c r="L165" s="216" t="str">
        <f>+IFERROR(VLOOKUP($J165,'11 FORMULAS'!$B$51:$D$53,3,0),"")</f>
        <v/>
      </c>
      <c r="M165" s="253" t="s">
        <v>134</v>
      </c>
      <c r="N165" s="254">
        <f>+IFERROR(VLOOKUP($M165,'11 FORMULAS'!$B$54:$C$55,2,0),"")</f>
        <v>0.25</v>
      </c>
      <c r="O165" s="255" t="s">
        <v>146</v>
      </c>
      <c r="P165" s="255" t="s">
        <v>239</v>
      </c>
      <c r="Q165" s="255" t="s">
        <v>137</v>
      </c>
      <c r="R165" s="255" t="s">
        <v>247</v>
      </c>
      <c r="S165" s="216" t="str">
        <f t="shared" si="3"/>
        <v/>
      </c>
      <c r="T165" s="216">
        <f>IF($L165='11 FORMULAS'!$D$51,$C$10-($C$10*$S$10),$C$10)</f>
        <v>0.6</v>
      </c>
      <c r="U165" s="216">
        <f>IF($L165='11 FORMULAS'!$D$53,D165-(D165*S165),D165)</f>
        <v>0</v>
      </c>
      <c r="V165" s="488"/>
      <c r="W165" s="492"/>
      <c r="X165" s="28"/>
    </row>
    <row r="166" spans="1:24" ht="29.45" hidden="1" customHeight="1" thickBot="1" x14ac:dyDescent="0.3">
      <c r="A166" s="500" t="str">
        <f>'2 IDENTIFICACIÓN'!A36</f>
        <v>R27</v>
      </c>
      <c r="B166" s="504" t="str">
        <f>+'2 IDENTIFICACIÓN'!J36</f>
        <v xml:space="preserve"> por  debido a </v>
      </c>
      <c r="C166" s="493" t="str">
        <f>+'3 PROBABIL E IMPACTO INHERENTE'!E36</f>
        <v/>
      </c>
      <c r="D166" s="496" t="str">
        <f>+'3 PROBABIL E IMPACTO INHERENTE'!M36</f>
        <v/>
      </c>
      <c r="E166" s="257">
        <v>1</v>
      </c>
      <c r="F166" s="241"/>
      <c r="G166" s="35"/>
      <c r="H166" s="35"/>
      <c r="I166" s="212" t="str">
        <f t="shared" si="4"/>
        <v xml:space="preserve">  </v>
      </c>
      <c r="J166" s="290"/>
      <c r="K166" s="216" t="str">
        <f>+IFERROR(VLOOKUP($J166,'11 FORMULAS'!$B$51:$C$53,2,0),"")</f>
        <v/>
      </c>
      <c r="L166" s="216" t="str">
        <f>+IFERROR(VLOOKUP($J166,'11 FORMULAS'!$B$51:$D$53,3,0),"")</f>
        <v/>
      </c>
      <c r="M166" s="253" t="s">
        <v>134</v>
      </c>
      <c r="N166" s="254">
        <f>+IFERROR(VLOOKUP($M166,'11 FORMULAS'!$B$54:$C$55,2,0),"")</f>
        <v>0.25</v>
      </c>
      <c r="O166" s="255" t="s">
        <v>146</v>
      </c>
      <c r="P166" s="255" t="s">
        <v>239</v>
      </c>
      <c r="Q166" s="255" t="s">
        <v>137</v>
      </c>
      <c r="R166" s="255" t="s">
        <v>247</v>
      </c>
      <c r="S166" s="216" t="str">
        <f t="shared" si="3"/>
        <v/>
      </c>
      <c r="T166" s="216">
        <f>IF($L166='11 FORMULAS'!$D$51,$C$10-($C$10*$S$10),$C$10)</f>
        <v>0.6</v>
      </c>
      <c r="U166" s="216" t="str">
        <f>IF($L166='11 FORMULAS'!$D$53,D166-(D166*S166),D166)</f>
        <v/>
      </c>
      <c r="V166" s="485">
        <f>+IF(T171="","",T171)</f>
        <v>0.6</v>
      </c>
      <c r="W166" s="489">
        <f>+IF(U171="","",U171)</f>
        <v>0</v>
      </c>
      <c r="X166" s="28"/>
    </row>
    <row r="167" spans="1:24" ht="29.45" hidden="1" customHeight="1" thickBot="1" x14ac:dyDescent="0.3">
      <c r="A167" s="501"/>
      <c r="B167" s="505"/>
      <c r="C167" s="357"/>
      <c r="D167" s="497"/>
      <c r="E167" s="252">
        <v>2</v>
      </c>
      <c r="F167" s="239"/>
      <c r="G167" s="236"/>
      <c r="H167" s="236"/>
      <c r="I167" s="212" t="str">
        <f t="shared" si="4"/>
        <v xml:space="preserve">  </v>
      </c>
      <c r="J167" s="290"/>
      <c r="K167" s="216" t="str">
        <f>+IFERROR(VLOOKUP($J167,'11 FORMULAS'!$B$51:$C$53,2,0),"")</f>
        <v/>
      </c>
      <c r="L167" s="216" t="str">
        <f>+IFERROR(VLOOKUP($J167,'11 FORMULAS'!$B$51:$D$53,3,0),"")</f>
        <v/>
      </c>
      <c r="M167" s="253" t="s">
        <v>134</v>
      </c>
      <c r="N167" s="254">
        <f>+IFERROR(VLOOKUP($M167,'11 FORMULAS'!$B$54:$C$55,2,0),"")</f>
        <v>0.25</v>
      </c>
      <c r="O167" s="255" t="s">
        <v>146</v>
      </c>
      <c r="P167" s="255" t="s">
        <v>239</v>
      </c>
      <c r="Q167" s="255" t="s">
        <v>137</v>
      </c>
      <c r="R167" s="255" t="s">
        <v>247</v>
      </c>
      <c r="S167" s="216" t="str">
        <f t="shared" si="3"/>
        <v/>
      </c>
      <c r="T167" s="216">
        <f>IF($L167='11 FORMULAS'!$D$51,$C$10-($C$10*$S$10),$C$10)</f>
        <v>0.6</v>
      </c>
      <c r="U167" s="216">
        <f>IF($L167='11 FORMULAS'!$D$53,D167-(D167*S167),D167)</f>
        <v>0</v>
      </c>
      <c r="V167" s="486"/>
      <c r="W167" s="490"/>
      <c r="X167" s="28"/>
    </row>
    <row r="168" spans="1:24" ht="29.45" hidden="1" customHeight="1" thickBot="1" x14ac:dyDescent="0.3">
      <c r="A168" s="501"/>
      <c r="B168" s="505"/>
      <c r="C168" s="357"/>
      <c r="D168" s="497"/>
      <c r="E168" s="252">
        <v>3</v>
      </c>
      <c r="F168" s="239"/>
      <c r="G168" s="236"/>
      <c r="H168" s="236"/>
      <c r="I168" s="212" t="str">
        <f t="shared" si="4"/>
        <v xml:space="preserve">  </v>
      </c>
      <c r="J168" s="290"/>
      <c r="K168" s="216" t="str">
        <f>+IFERROR(VLOOKUP($J168,'11 FORMULAS'!$B$51:$C$53,2,0),"")</f>
        <v/>
      </c>
      <c r="L168" s="216" t="str">
        <f>+IFERROR(VLOOKUP($J168,'11 FORMULAS'!$B$51:$D$53,3,0),"")</f>
        <v/>
      </c>
      <c r="M168" s="253" t="s">
        <v>134</v>
      </c>
      <c r="N168" s="254">
        <f>+IFERROR(VLOOKUP($M168,'11 FORMULAS'!$B$54:$C$55,2,0),"")</f>
        <v>0.25</v>
      </c>
      <c r="O168" s="255" t="s">
        <v>146</v>
      </c>
      <c r="P168" s="255" t="s">
        <v>239</v>
      </c>
      <c r="Q168" s="255" t="s">
        <v>137</v>
      </c>
      <c r="R168" s="255" t="s">
        <v>247</v>
      </c>
      <c r="S168" s="216" t="str">
        <f t="shared" si="3"/>
        <v/>
      </c>
      <c r="T168" s="216">
        <f>IF($L168='11 FORMULAS'!$D$51,$C$10-($C$10*$S$10),$C$10)</f>
        <v>0.6</v>
      </c>
      <c r="U168" s="216">
        <f>IF($L168='11 FORMULAS'!$D$53,D168-(D168*S168),D168)</f>
        <v>0</v>
      </c>
      <c r="V168" s="486"/>
      <c r="W168" s="490"/>
      <c r="X168" s="28"/>
    </row>
    <row r="169" spans="1:24" ht="29.45" hidden="1" customHeight="1" thickBot="1" x14ac:dyDescent="0.3">
      <c r="A169" s="502"/>
      <c r="B169" s="506"/>
      <c r="C169" s="494"/>
      <c r="D169" s="498"/>
      <c r="E169" s="252">
        <v>4</v>
      </c>
      <c r="F169" s="240"/>
      <c r="G169" s="163"/>
      <c r="H169" s="163"/>
      <c r="I169" s="212" t="str">
        <f t="shared" si="4"/>
        <v xml:space="preserve">  </v>
      </c>
      <c r="J169" s="290"/>
      <c r="K169" s="216" t="str">
        <f>+IFERROR(VLOOKUP($J169,'11 FORMULAS'!$B$51:$C$53,2,0),"")</f>
        <v/>
      </c>
      <c r="L169" s="216" t="str">
        <f>+IFERROR(VLOOKUP($J169,'11 FORMULAS'!$B$51:$D$53,3,0),"")</f>
        <v/>
      </c>
      <c r="M169" s="253" t="s">
        <v>134</v>
      </c>
      <c r="N169" s="254">
        <f>+IFERROR(VLOOKUP($M169,'11 FORMULAS'!$B$54:$C$55,2,0),"")</f>
        <v>0.25</v>
      </c>
      <c r="O169" s="255" t="s">
        <v>146</v>
      </c>
      <c r="P169" s="255" t="s">
        <v>239</v>
      </c>
      <c r="Q169" s="255" t="s">
        <v>137</v>
      </c>
      <c r="R169" s="255" t="s">
        <v>247</v>
      </c>
      <c r="S169" s="216" t="str">
        <f t="shared" si="3"/>
        <v/>
      </c>
      <c r="T169" s="216">
        <f>IF($L169='11 FORMULAS'!$D$51,$C$10-($C$10*$S$10),$C$10)</f>
        <v>0.6</v>
      </c>
      <c r="U169" s="216">
        <f>IF($L169='11 FORMULAS'!$D$53,D169-(D169*S169),D169)</f>
        <v>0</v>
      </c>
      <c r="V169" s="487"/>
      <c r="W169" s="491"/>
      <c r="X169" s="28"/>
    </row>
    <row r="170" spans="1:24" ht="29.45" hidden="1" customHeight="1" thickBot="1" x14ac:dyDescent="0.3">
      <c r="A170" s="502"/>
      <c r="B170" s="506"/>
      <c r="C170" s="494"/>
      <c r="D170" s="498"/>
      <c r="E170" s="252">
        <v>5</v>
      </c>
      <c r="F170" s="240"/>
      <c r="G170" s="163"/>
      <c r="H170" s="163"/>
      <c r="I170" s="212" t="str">
        <f t="shared" si="4"/>
        <v xml:space="preserve">  </v>
      </c>
      <c r="J170" s="290"/>
      <c r="K170" s="216" t="str">
        <f>+IFERROR(VLOOKUP($J170,'11 FORMULAS'!$B$51:$C$53,2,0),"")</f>
        <v/>
      </c>
      <c r="L170" s="216" t="str">
        <f>+IFERROR(VLOOKUP($J170,'11 FORMULAS'!$B$51:$D$53,3,0),"")</f>
        <v/>
      </c>
      <c r="M170" s="253" t="s">
        <v>134</v>
      </c>
      <c r="N170" s="254">
        <f>+IFERROR(VLOOKUP($M170,'11 FORMULAS'!$B$54:$C$55,2,0),"")</f>
        <v>0.25</v>
      </c>
      <c r="O170" s="255" t="s">
        <v>146</v>
      </c>
      <c r="P170" s="255" t="s">
        <v>239</v>
      </c>
      <c r="Q170" s="255" t="s">
        <v>137</v>
      </c>
      <c r="R170" s="255" t="s">
        <v>247</v>
      </c>
      <c r="S170" s="216" t="str">
        <f t="shared" si="3"/>
        <v/>
      </c>
      <c r="T170" s="216">
        <f>IF($L170='11 FORMULAS'!$D$51,$C$10-($C$10*$S$10),$C$10)</f>
        <v>0.6</v>
      </c>
      <c r="U170" s="216">
        <f>IF($L170='11 FORMULAS'!$D$53,D170-(D170*S170),D170)</f>
        <v>0</v>
      </c>
      <c r="V170" s="487"/>
      <c r="W170" s="491"/>
      <c r="X170" s="28"/>
    </row>
    <row r="171" spans="1:24" ht="29.45" hidden="1" customHeight="1" thickBot="1" x14ac:dyDescent="0.3">
      <c r="A171" s="503"/>
      <c r="B171" s="507"/>
      <c r="C171" s="495"/>
      <c r="D171" s="499"/>
      <c r="E171" s="256">
        <v>6</v>
      </c>
      <c r="F171" s="243"/>
      <c r="G171" s="164"/>
      <c r="H171" s="164"/>
      <c r="I171" s="212" t="str">
        <f t="shared" si="4"/>
        <v xml:space="preserve">  </v>
      </c>
      <c r="J171" s="290"/>
      <c r="K171" s="216" t="str">
        <f>+IFERROR(VLOOKUP($J171,'11 FORMULAS'!$B$51:$C$53,2,0),"")</f>
        <v/>
      </c>
      <c r="L171" s="216" t="str">
        <f>+IFERROR(VLOOKUP($J171,'11 FORMULAS'!$B$51:$D$53,3,0),"")</f>
        <v/>
      </c>
      <c r="M171" s="253" t="s">
        <v>134</v>
      </c>
      <c r="N171" s="254">
        <f>+IFERROR(VLOOKUP($M171,'11 FORMULAS'!$B$54:$C$55,2,0),"")</f>
        <v>0.25</v>
      </c>
      <c r="O171" s="255" t="s">
        <v>146</v>
      </c>
      <c r="P171" s="255" t="s">
        <v>239</v>
      </c>
      <c r="Q171" s="255" t="s">
        <v>137</v>
      </c>
      <c r="R171" s="255" t="s">
        <v>247</v>
      </c>
      <c r="S171" s="216" t="str">
        <f t="shared" si="3"/>
        <v/>
      </c>
      <c r="T171" s="216">
        <f>IF($L171='11 FORMULAS'!$D$51,$C$10-($C$10*$S$10),$C$10)</f>
        <v>0.6</v>
      </c>
      <c r="U171" s="216">
        <f>IF($L171='11 FORMULAS'!$D$53,D171-(D171*S171),D171)</f>
        <v>0</v>
      </c>
      <c r="V171" s="488"/>
      <c r="W171" s="492"/>
      <c r="X171" s="28"/>
    </row>
    <row r="172" spans="1:24" ht="29.45" hidden="1" customHeight="1" thickBot="1" x14ac:dyDescent="0.3">
      <c r="A172" s="500" t="str">
        <f>'2 IDENTIFICACIÓN'!A37</f>
        <v>R28</v>
      </c>
      <c r="B172" s="504" t="str">
        <f>+'2 IDENTIFICACIÓN'!J37</f>
        <v xml:space="preserve"> por  debido a </v>
      </c>
      <c r="C172" s="493" t="str">
        <f>+'3 PROBABIL E IMPACTO INHERENTE'!E37</f>
        <v/>
      </c>
      <c r="D172" s="496" t="str">
        <f>+'3 PROBABIL E IMPACTO INHERENTE'!M37</f>
        <v/>
      </c>
      <c r="E172" s="257">
        <v>1</v>
      </c>
      <c r="F172" s="241"/>
      <c r="G172" s="35"/>
      <c r="H172" s="35"/>
      <c r="I172" s="212" t="str">
        <f t="shared" si="4"/>
        <v xml:space="preserve">  </v>
      </c>
      <c r="J172" s="290"/>
      <c r="K172" s="216" t="str">
        <f>+IFERROR(VLOOKUP($J172,'11 FORMULAS'!$B$51:$C$53,2,0),"")</f>
        <v/>
      </c>
      <c r="L172" s="216" t="str">
        <f>+IFERROR(VLOOKUP($J172,'11 FORMULAS'!$B$51:$D$53,3,0),"")</f>
        <v/>
      </c>
      <c r="M172" s="253" t="s">
        <v>134</v>
      </c>
      <c r="N172" s="254">
        <f>+IFERROR(VLOOKUP($M172,'11 FORMULAS'!$B$54:$C$55,2,0),"")</f>
        <v>0.25</v>
      </c>
      <c r="O172" s="255" t="s">
        <v>146</v>
      </c>
      <c r="P172" s="255" t="s">
        <v>239</v>
      </c>
      <c r="Q172" s="255" t="s">
        <v>137</v>
      </c>
      <c r="R172" s="255" t="s">
        <v>247</v>
      </c>
      <c r="S172" s="216" t="str">
        <f t="shared" si="3"/>
        <v/>
      </c>
      <c r="T172" s="216">
        <f>IF($L172='11 FORMULAS'!$D$51,$C$10-($C$10*$S$10),$C$10)</f>
        <v>0.6</v>
      </c>
      <c r="U172" s="216" t="str">
        <f>IF($L172='11 FORMULAS'!$D$53,D172-(D172*S172),D172)</f>
        <v/>
      </c>
      <c r="V172" s="485">
        <f>+IF(T177="","",T177)</f>
        <v>0.6</v>
      </c>
      <c r="W172" s="489">
        <f>+IF(U177="","",U177)</f>
        <v>0</v>
      </c>
      <c r="X172" s="28"/>
    </row>
    <row r="173" spans="1:24" ht="29.45" hidden="1" customHeight="1" thickBot="1" x14ac:dyDescent="0.3">
      <c r="A173" s="501"/>
      <c r="B173" s="505"/>
      <c r="C173" s="357"/>
      <c r="D173" s="497"/>
      <c r="E173" s="252">
        <v>2</v>
      </c>
      <c r="F173" s="239"/>
      <c r="G173" s="236"/>
      <c r="H173" s="236"/>
      <c r="I173" s="212" t="str">
        <f t="shared" si="4"/>
        <v xml:space="preserve">  </v>
      </c>
      <c r="J173" s="290"/>
      <c r="K173" s="216" t="str">
        <f>+IFERROR(VLOOKUP($J173,'11 FORMULAS'!$B$51:$C$53,2,0),"")</f>
        <v/>
      </c>
      <c r="L173" s="216" t="str">
        <f>+IFERROR(VLOOKUP($J173,'11 FORMULAS'!$B$51:$D$53,3,0),"")</f>
        <v/>
      </c>
      <c r="M173" s="253" t="s">
        <v>134</v>
      </c>
      <c r="N173" s="254">
        <f>+IFERROR(VLOOKUP($M173,'11 FORMULAS'!$B$54:$C$55,2,0),"")</f>
        <v>0.25</v>
      </c>
      <c r="O173" s="255" t="s">
        <v>146</v>
      </c>
      <c r="P173" s="255" t="s">
        <v>239</v>
      </c>
      <c r="Q173" s="255" t="s">
        <v>137</v>
      </c>
      <c r="R173" s="255" t="s">
        <v>247</v>
      </c>
      <c r="S173" s="216" t="str">
        <f t="shared" si="3"/>
        <v/>
      </c>
      <c r="T173" s="216">
        <f>IF($L173='11 FORMULAS'!$D$51,$C$10-($C$10*$S$10),$C$10)</f>
        <v>0.6</v>
      </c>
      <c r="U173" s="216">
        <f>IF($L173='11 FORMULAS'!$D$53,D173-(D173*S173),D173)</f>
        <v>0</v>
      </c>
      <c r="V173" s="486"/>
      <c r="W173" s="490"/>
      <c r="X173" s="28"/>
    </row>
    <row r="174" spans="1:24" ht="29.45" hidden="1" customHeight="1" thickBot="1" x14ac:dyDescent="0.3">
      <c r="A174" s="501"/>
      <c r="B174" s="505"/>
      <c r="C174" s="357"/>
      <c r="D174" s="497"/>
      <c r="E174" s="252">
        <v>3</v>
      </c>
      <c r="F174" s="239"/>
      <c r="G174" s="236"/>
      <c r="H174" s="236"/>
      <c r="I174" s="212" t="str">
        <f t="shared" si="4"/>
        <v xml:space="preserve">  </v>
      </c>
      <c r="J174" s="290"/>
      <c r="K174" s="216" t="str">
        <f>+IFERROR(VLOOKUP($J174,'11 FORMULAS'!$B$51:$C$53,2,0),"")</f>
        <v/>
      </c>
      <c r="L174" s="216" t="str">
        <f>+IFERROR(VLOOKUP($J174,'11 FORMULAS'!$B$51:$D$53,3,0),"")</f>
        <v/>
      </c>
      <c r="M174" s="253" t="s">
        <v>134</v>
      </c>
      <c r="N174" s="254">
        <f>+IFERROR(VLOOKUP($M174,'11 FORMULAS'!$B$54:$C$55,2,0),"")</f>
        <v>0.25</v>
      </c>
      <c r="O174" s="255" t="s">
        <v>146</v>
      </c>
      <c r="P174" s="255" t="s">
        <v>239</v>
      </c>
      <c r="Q174" s="255" t="s">
        <v>137</v>
      </c>
      <c r="R174" s="255" t="s">
        <v>247</v>
      </c>
      <c r="S174" s="216" t="str">
        <f t="shared" si="3"/>
        <v/>
      </c>
      <c r="T174" s="216">
        <f>IF($L174='11 FORMULAS'!$D$51,$C$10-($C$10*$S$10),$C$10)</f>
        <v>0.6</v>
      </c>
      <c r="U174" s="216">
        <f>IF($L174='11 FORMULAS'!$D$53,D174-(D174*S174),D174)</f>
        <v>0</v>
      </c>
      <c r="V174" s="486"/>
      <c r="W174" s="490"/>
      <c r="X174" s="28"/>
    </row>
    <row r="175" spans="1:24" ht="29.45" hidden="1" customHeight="1" thickBot="1" x14ac:dyDescent="0.3">
      <c r="A175" s="502"/>
      <c r="B175" s="506"/>
      <c r="C175" s="494"/>
      <c r="D175" s="498"/>
      <c r="E175" s="252">
        <v>4</v>
      </c>
      <c r="F175" s="240"/>
      <c r="G175" s="163"/>
      <c r="H175" s="163"/>
      <c r="I175" s="212" t="str">
        <f t="shared" si="4"/>
        <v xml:space="preserve">  </v>
      </c>
      <c r="J175" s="290"/>
      <c r="K175" s="216" t="str">
        <f>+IFERROR(VLOOKUP($J175,'11 FORMULAS'!$B$51:$C$53,2,0),"")</f>
        <v/>
      </c>
      <c r="L175" s="216" t="str">
        <f>+IFERROR(VLOOKUP($J175,'11 FORMULAS'!$B$51:$D$53,3,0),"")</f>
        <v/>
      </c>
      <c r="M175" s="253" t="s">
        <v>134</v>
      </c>
      <c r="N175" s="254">
        <f>+IFERROR(VLOOKUP($M175,'11 FORMULAS'!$B$54:$C$55,2,0),"")</f>
        <v>0.25</v>
      </c>
      <c r="O175" s="255" t="s">
        <v>146</v>
      </c>
      <c r="P175" s="255" t="s">
        <v>239</v>
      </c>
      <c r="Q175" s="255" t="s">
        <v>137</v>
      </c>
      <c r="R175" s="255" t="s">
        <v>247</v>
      </c>
      <c r="S175" s="216" t="str">
        <f t="shared" si="3"/>
        <v/>
      </c>
      <c r="T175" s="216">
        <f>IF($L175='11 FORMULAS'!$D$51,$C$10-($C$10*$S$10),$C$10)</f>
        <v>0.6</v>
      </c>
      <c r="U175" s="216">
        <f>IF($L175='11 FORMULAS'!$D$53,D175-(D175*S175),D175)</f>
        <v>0</v>
      </c>
      <c r="V175" s="487"/>
      <c r="W175" s="491"/>
      <c r="X175" s="28"/>
    </row>
    <row r="176" spans="1:24" ht="29.45" hidden="1" customHeight="1" thickBot="1" x14ac:dyDescent="0.3">
      <c r="A176" s="502"/>
      <c r="B176" s="506"/>
      <c r="C176" s="494"/>
      <c r="D176" s="498"/>
      <c r="E176" s="252">
        <v>5</v>
      </c>
      <c r="F176" s="240"/>
      <c r="G176" s="163"/>
      <c r="H176" s="163"/>
      <c r="I176" s="212" t="str">
        <f t="shared" si="4"/>
        <v xml:space="preserve">  </v>
      </c>
      <c r="J176" s="290"/>
      <c r="K176" s="216" t="str">
        <f>+IFERROR(VLOOKUP($J176,'11 FORMULAS'!$B$51:$C$53,2,0),"")</f>
        <v/>
      </c>
      <c r="L176" s="216" t="str">
        <f>+IFERROR(VLOOKUP($J176,'11 FORMULAS'!$B$51:$D$53,3,0),"")</f>
        <v/>
      </c>
      <c r="M176" s="253" t="s">
        <v>134</v>
      </c>
      <c r="N176" s="254">
        <f>+IFERROR(VLOOKUP($M176,'11 FORMULAS'!$B$54:$C$55,2,0),"")</f>
        <v>0.25</v>
      </c>
      <c r="O176" s="255" t="s">
        <v>146</v>
      </c>
      <c r="P176" s="255" t="s">
        <v>239</v>
      </c>
      <c r="Q176" s="255" t="s">
        <v>137</v>
      </c>
      <c r="R176" s="255" t="s">
        <v>247</v>
      </c>
      <c r="S176" s="216" t="str">
        <f t="shared" si="3"/>
        <v/>
      </c>
      <c r="T176" s="216">
        <f>IF($L176='11 FORMULAS'!$D$51,$C$10-($C$10*$S$10),$C$10)</f>
        <v>0.6</v>
      </c>
      <c r="U176" s="216">
        <f>IF($L176='11 FORMULAS'!$D$53,D176-(D176*S176),D176)</f>
        <v>0</v>
      </c>
      <c r="V176" s="487"/>
      <c r="W176" s="491"/>
      <c r="X176" s="28"/>
    </row>
    <row r="177" spans="1:27" ht="29.45" hidden="1" customHeight="1" thickBot="1" x14ac:dyDescent="0.3">
      <c r="A177" s="503"/>
      <c r="B177" s="507"/>
      <c r="C177" s="495"/>
      <c r="D177" s="499"/>
      <c r="E177" s="256">
        <v>6</v>
      </c>
      <c r="F177" s="243"/>
      <c r="G177" s="164"/>
      <c r="H177" s="164"/>
      <c r="I177" s="212" t="str">
        <f t="shared" si="4"/>
        <v xml:space="preserve">  </v>
      </c>
      <c r="J177" s="290"/>
      <c r="K177" s="216" t="str">
        <f>+IFERROR(VLOOKUP($J177,'11 FORMULAS'!$B$51:$C$53,2,0),"")</f>
        <v/>
      </c>
      <c r="L177" s="216" t="str">
        <f>+IFERROR(VLOOKUP($J177,'11 FORMULAS'!$B$51:$D$53,3,0),"")</f>
        <v/>
      </c>
      <c r="M177" s="253" t="s">
        <v>134</v>
      </c>
      <c r="N177" s="254">
        <f>+IFERROR(VLOOKUP($M177,'11 FORMULAS'!$B$54:$C$55,2,0),"")</f>
        <v>0.25</v>
      </c>
      <c r="O177" s="255" t="s">
        <v>146</v>
      </c>
      <c r="P177" s="255" t="s">
        <v>239</v>
      </c>
      <c r="Q177" s="255" t="s">
        <v>137</v>
      </c>
      <c r="R177" s="255" t="s">
        <v>247</v>
      </c>
      <c r="S177" s="216" t="str">
        <f t="shared" si="3"/>
        <v/>
      </c>
      <c r="T177" s="216">
        <f>IF($L177='11 FORMULAS'!$D$51,$C$10-($C$10*$S$10),$C$10)</f>
        <v>0.6</v>
      </c>
      <c r="U177" s="216">
        <f>IF($L177='11 FORMULAS'!$D$53,D177-(D177*S177),D177)</f>
        <v>0</v>
      </c>
      <c r="V177" s="488"/>
      <c r="W177" s="492"/>
      <c r="X177" s="28"/>
    </row>
    <row r="178" spans="1:27" ht="29.45" hidden="1" customHeight="1" thickBot="1" x14ac:dyDescent="0.3">
      <c r="A178" s="500" t="str">
        <f>'2 IDENTIFICACIÓN'!A38</f>
        <v>R29</v>
      </c>
      <c r="B178" s="504" t="str">
        <f>+'2 IDENTIFICACIÓN'!J38</f>
        <v xml:space="preserve"> por  debido a </v>
      </c>
      <c r="C178" s="493" t="str">
        <f>+'3 PROBABIL E IMPACTO INHERENTE'!E38</f>
        <v/>
      </c>
      <c r="D178" s="496" t="str">
        <f>+'3 PROBABIL E IMPACTO INHERENTE'!M38</f>
        <v/>
      </c>
      <c r="E178" s="257">
        <v>1</v>
      </c>
      <c r="F178" s="241"/>
      <c r="G178" s="35"/>
      <c r="H178" s="35"/>
      <c r="I178" s="212" t="str">
        <f t="shared" si="4"/>
        <v xml:space="preserve">  </v>
      </c>
      <c r="J178" s="290"/>
      <c r="K178" s="216" t="str">
        <f>+IFERROR(VLOOKUP($J178,'11 FORMULAS'!$B$51:$C$53,2,0),"")</f>
        <v/>
      </c>
      <c r="L178" s="216" t="str">
        <f>+IFERROR(VLOOKUP($J178,'11 FORMULAS'!$B$51:$D$53,3,0),"")</f>
        <v/>
      </c>
      <c r="M178" s="253" t="s">
        <v>134</v>
      </c>
      <c r="N178" s="254">
        <f>+IFERROR(VLOOKUP($M178,'11 FORMULAS'!$B$54:$C$55,2,0),"")</f>
        <v>0.25</v>
      </c>
      <c r="O178" s="255" t="s">
        <v>146</v>
      </c>
      <c r="P178" s="255" t="s">
        <v>239</v>
      </c>
      <c r="Q178" s="255" t="s">
        <v>137</v>
      </c>
      <c r="R178" s="255" t="s">
        <v>247</v>
      </c>
      <c r="S178" s="216" t="str">
        <f t="shared" si="3"/>
        <v/>
      </c>
      <c r="T178" s="216">
        <f>IF($L178='11 FORMULAS'!$D$51,$C$10-($C$10*$S$10),$C$10)</f>
        <v>0.6</v>
      </c>
      <c r="U178" s="216" t="str">
        <f>IF($L178='11 FORMULAS'!$D$53,D178-(D178*S178),D178)</f>
        <v/>
      </c>
      <c r="V178" s="485">
        <f>+IF(T183="","",T183)</f>
        <v>0.6</v>
      </c>
      <c r="W178" s="489">
        <f>+IF(U183="","",U183)</f>
        <v>0</v>
      </c>
      <c r="X178" s="28"/>
    </row>
    <row r="179" spans="1:27" ht="29.45" hidden="1" customHeight="1" thickBot="1" x14ac:dyDescent="0.3">
      <c r="A179" s="501"/>
      <c r="B179" s="505"/>
      <c r="C179" s="357"/>
      <c r="D179" s="497"/>
      <c r="E179" s="252">
        <v>2</v>
      </c>
      <c r="F179" s="239"/>
      <c r="G179" s="236"/>
      <c r="H179" s="236"/>
      <c r="I179" s="212" t="str">
        <f t="shared" si="4"/>
        <v xml:space="preserve">  </v>
      </c>
      <c r="J179" s="290"/>
      <c r="K179" s="216" t="str">
        <f>+IFERROR(VLOOKUP($J179,'11 FORMULAS'!$B$51:$C$53,2,0),"")</f>
        <v/>
      </c>
      <c r="L179" s="216" t="str">
        <f>+IFERROR(VLOOKUP($J179,'11 FORMULAS'!$B$51:$D$53,3,0),"")</f>
        <v/>
      </c>
      <c r="M179" s="253" t="s">
        <v>134</v>
      </c>
      <c r="N179" s="254">
        <f>+IFERROR(VLOOKUP($M179,'11 FORMULAS'!$B$54:$C$55,2,0),"")</f>
        <v>0.25</v>
      </c>
      <c r="O179" s="255" t="s">
        <v>146</v>
      </c>
      <c r="P179" s="255" t="s">
        <v>239</v>
      </c>
      <c r="Q179" s="255" t="s">
        <v>137</v>
      </c>
      <c r="R179" s="255" t="s">
        <v>247</v>
      </c>
      <c r="S179" s="216" t="str">
        <f t="shared" si="3"/>
        <v/>
      </c>
      <c r="T179" s="216">
        <f>IF($L179='11 FORMULAS'!$D$51,$C$10-($C$10*$S$10),$C$10)</f>
        <v>0.6</v>
      </c>
      <c r="U179" s="216">
        <f>IF($L179='11 FORMULAS'!$D$53,D179-(D179*S179),D179)</f>
        <v>0</v>
      </c>
      <c r="V179" s="486"/>
      <c r="W179" s="490"/>
      <c r="X179" s="28"/>
    </row>
    <row r="180" spans="1:27" ht="29.45" hidden="1" customHeight="1" thickBot="1" x14ac:dyDescent="0.3">
      <c r="A180" s="501"/>
      <c r="B180" s="505"/>
      <c r="C180" s="357"/>
      <c r="D180" s="497"/>
      <c r="E180" s="252">
        <v>3</v>
      </c>
      <c r="F180" s="239"/>
      <c r="G180" s="236"/>
      <c r="H180" s="236"/>
      <c r="I180" s="212" t="str">
        <f t="shared" si="4"/>
        <v xml:space="preserve">  </v>
      </c>
      <c r="J180" s="290"/>
      <c r="K180" s="216" t="str">
        <f>+IFERROR(VLOOKUP($J180,'11 FORMULAS'!$B$51:$C$53,2,0),"")</f>
        <v/>
      </c>
      <c r="L180" s="216" t="str">
        <f>+IFERROR(VLOOKUP($J180,'11 FORMULAS'!$B$51:$D$53,3,0),"")</f>
        <v/>
      </c>
      <c r="M180" s="253" t="s">
        <v>134</v>
      </c>
      <c r="N180" s="254">
        <f>+IFERROR(VLOOKUP($M180,'11 FORMULAS'!$B$54:$C$55,2,0),"")</f>
        <v>0.25</v>
      </c>
      <c r="O180" s="255" t="s">
        <v>146</v>
      </c>
      <c r="P180" s="255" t="s">
        <v>239</v>
      </c>
      <c r="Q180" s="255" t="s">
        <v>137</v>
      </c>
      <c r="R180" s="255" t="s">
        <v>247</v>
      </c>
      <c r="S180" s="216" t="str">
        <f t="shared" si="3"/>
        <v/>
      </c>
      <c r="T180" s="216">
        <f>IF($L180='11 FORMULAS'!$D$51,$C$10-($C$10*$S$10),$C$10)</f>
        <v>0.6</v>
      </c>
      <c r="U180" s="216">
        <f>IF($L180='11 FORMULAS'!$D$53,D180-(D180*S180),D180)</f>
        <v>0</v>
      </c>
      <c r="V180" s="486"/>
      <c r="W180" s="490"/>
      <c r="X180" s="28"/>
    </row>
    <row r="181" spans="1:27" ht="29.45" hidden="1" customHeight="1" thickBot="1" x14ac:dyDescent="0.3">
      <c r="A181" s="502"/>
      <c r="B181" s="506"/>
      <c r="C181" s="494"/>
      <c r="D181" s="498"/>
      <c r="E181" s="252">
        <v>4</v>
      </c>
      <c r="F181" s="240"/>
      <c r="G181" s="163"/>
      <c r="H181" s="163"/>
      <c r="I181" s="212" t="str">
        <f t="shared" si="4"/>
        <v xml:space="preserve">  </v>
      </c>
      <c r="J181" s="290"/>
      <c r="K181" s="216" t="str">
        <f>+IFERROR(VLOOKUP($J181,'11 FORMULAS'!$B$51:$C$53,2,0),"")</f>
        <v/>
      </c>
      <c r="L181" s="216" t="str">
        <f>+IFERROR(VLOOKUP($J181,'11 FORMULAS'!$B$51:$D$53,3,0),"")</f>
        <v/>
      </c>
      <c r="M181" s="253" t="s">
        <v>134</v>
      </c>
      <c r="N181" s="254">
        <f>+IFERROR(VLOOKUP($M181,'11 FORMULAS'!$B$54:$C$55,2,0),"")</f>
        <v>0.25</v>
      </c>
      <c r="O181" s="255" t="s">
        <v>146</v>
      </c>
      <c r="P181" s="255" t="s">
        <v>239</v>
      </c>
      <c r="Q181" s="255" t="s">
        <v>137</v>
      </c>
      <c r="R181" s="255" t="s">
        <v>247</v>
      </c>
      <c r="S181" s="216" t="str">
        <f t="shared" si="3"/>
        <v/>
      </c>
      <c r="T181" s="216">
        <f>IF($L181='11 FORMULAS'!$D$51,$C$10-($C$10*$S$10),$C$10)</f>
        <v>0.6</v>
      </c>
      <c r="U181" s="216">
        <f>IF($L181='11 FORMULAS'!$D$53,D181-(D181*S181),D181)</f>
        <v>0</v>
      </c>
      <c r="V181" s="487"/>
      <c r="W181" s="491"/>
      <c r="X181" s="28"/>
    </row>
    <row r="182" spans="1:27" ht="29.45" hidden="1" customHeight="1" thickBot="1" x14ac:dyDescent="0.3">
      <c r="A182" s="502"/>
      <c r="B182" s="506"/>
      <c r="C182" s="494"/>
      <c r="D182" s="498"/>
      <c r="E182" s="252">
        <v>5</v>
      </c>
      <c r="F182" s="240"/>
      <c r="G182" s="163"/>
      <c r="H182" s="163"/>
      <c r="I182" s="212" t="str">
        <f t="shared" si="4"/>
        <v xml:space="preserve">  </v>
      </c>
      <c r="J182" s="290"/>
      <c r="K182" s="216" t="str">
        <f>+IFERROR(VLOOKUP($J182,'11 FORMULAS'!$B$51:$C$53,2,0),"")</f>
        <v/>
      </c>
      <c r="L182" s="216" t="str">
        <f>+IFERROR(VLOOKUP($J182,'11 FORMULAS'!$B$51:$D$53,3,0),"")</f>
        <v/>
      </c>
      <c r="M182" s="253" t="s">
        <v>134</v>
      </c>
      <c r="N182" s="254">
        <f>+IFERROR(VLOOKUP($M182,'11 FORMULAS'!$B$54:$C$55,2,0),"")</f>
        <v>0.25</v>
      </c>
      <c r="O182" s="255" t="s">
        <v>146</v>
      </c>
      <c r="P182" s="255" t="s">
        <v>239</v>
      </c>
      <c r="Q182" s="255" t="s">
        <v>137</v>
      </c>
      <c r="R182" s="255" t="s">
        <v>247</v>
      </c>
      <c r="S182" s="216" t="str">
        <f t="shared" si="3"/>
        <v/>
      </c>
      <c r="T182" s="216">
        <f>IF($L182='11 FORMULAS'!$D$51,$C$10-($C$10*$S$10),$C$10)</f>
        <v>0.6</v>
      </c>
      <c r="U182" s="216">
        <f>IF($L182='11 FORMULAS'!$D$53,D182-(D182*S182),D182)</f>
        <v>0</v>
      </c>
      <c r="V182" s="487"/>
      <c r="W182" s="491"/>
      <c r="X182" s="28"/>
    </row>
    <row r="183" spans="1:27" ht="29.45" hidden="1" customHeight="1" thickBot="1" x14ac:dyDescent="0.3">
      <c r="A183" s="503"/>
      <c r="B183" s="507"/>
      <c r="C183" s="495"/>
      <c r="D183" s="499"/>
      <c r="E183" s="256">
        <v>6</v>
      </c>
      <c r="F183" s="243"/>
      <c r="G183" s="164"/>
      <c r="H183" s="164"/>
      <c r="I183" s="212" t="str">
        <f t="shared" si="4"/>
        <v xml:space="preserve">  </v>
      </c>
      <c r="J183" s="290"/>
      <c r="K183" s="216" t="str">
        <f>+IFERROR(VLOOKUP($J183,'11 FORMULAS'!$B$51:$C$53,2,0),"")</f>
        <v/>
      </c>
      <c r="L183" s="216" t="str">
        <f>+IFERROR(VLOOKUP($J183,'11 FORMULAS'!$B$51:$D$53,3,0),"")</f>
        <v/>
      </c>
      <c r="M183" s="253" t="s">
        <v>134</v>
      </c>
      <c r="N183" s="254">
        <f>+IFERROR(VLOOKUP($M183,'11 FORMULAS'!$B$54:$C$55,2,0),"")</f>
        <v>0.25</v>
      </c>
      <c r="O183" s="255" t="s">
        <v>146</v>
      </c>
      <c r="P183" s="255" t="s">
        <v>239</v>
      </c>
      <c r="Q183" s="255" t="s">
        <v>137</v>
      </c>
      <c r="R183" s="255" t="s">
        <v>247</v>
      </c>
      <c r="S183" s="216" t="str">
        <f t="shared" si="3"/>
        <v/>
      </c>
      <c r="T183" s="216">
        <f>IF($L183='11 FORMULAS'!$D$51,$C$10-($C$10*$S$10),$C$10)</f>
        <v>0.6</v>
      </c>
      <c r="U183" s="216">
        <f>IF($L183='11 FORMULAS'!$D$53,D183-(D183*S183),D183)</f>
        <v>0</v>
      </c>
      <c r="V183" s="488"/>
      <c r="W183" s="492"/>
      <c r="X183" s="28"/>
    </row>
    <row r="184" spans="1:27" ht="29.45" hidden="1" customHeight="1" thickBot="1" x14ac:dyDescent="0.3">
      <c r="A184" s="500" t="str">
        <f>'2 IDENTIFICACIÓN'!A39</f>
        <v>R30</v>
      </c>
      <c r="B184" s="504" t="str">
        <f>+'2 IDENTIFICACIÓN'!J39</f>
        <v xml:space="preserve"> por  debido a </v>
      </c>
      <c r="C184" s="493" t="str">
        <f>+'3 PROBABIL E IMPACTO INHERENTE'!E39</f>
        <v/>
      </c>
      <c r="D184" s="496" t="str">
        <f>+'3 PROBABIL E IMPACTO INHERENTE'!M39</f>
        <v/>
      </c>
      <c r="E184" s="257">
        <v>1</v>
      </c>
      <c r="F184" s="241"/>
      <c r="G184" s="35"/>
      <c r="H184" s="35"/>
      <c r="I184" s="212" t="str">
        <f t="shared" si="2"/>
        <v xml:space="preserve">  </v>
      </c>
      <c r="J184" s="290"/>
      <c r="K184" s="216" t="str">
        <f>+IFERROR(VLOOKUP($J184,'11 FORMULAS'!$B$51:$C$53,2,0),"")</f>
        <v/>
      </c>
      <c r="L184" s="216" t="str">
        <f>+IFERROR(VLOOKUP($J184,'11 FORMULAS'!$B$51:$D$53,3,0),"")</f>
        <v/>
      </c>
      <c r="M184" s="253" t="s">
        <v>134</v>
      </c>
      <c r="N184" s="254">
        <f>+IFERROR(VLOOKUP($M184,'11 FORMULAS'!$B$54:$C$55,2,0),"")</f>
        <v>0.25</v>
      </c>
      <c r="O184" s="255" t="s">
        <v>146</v>
      </c>
      <c r="P184" s="255" t="s">
        <v>239</v>
      </c>
      <c r="Q184" s="255" t="s">
        <v>137</v>
      </c>
      <c r="R184" s="255" t="s">
        <v>247</v>
      </c>
      <c r="S184" s="216" t="str">
        <f t="shared" si="3"/>
        <v/>
      </c>
      <c r="T184" s="216">
        <f>IF($L184='11 FORMULAS'!$D$51,$C$10-($C$10*$S$10),$C$10)</f>
        <v>0.6</v>
      </c>
      <c r="U184" s="216" t="str">
        <f>IF($L184='11 FORMULAS'!$D$53,D184-(D184*S184),D184)</f>
        <v/>
      </c>
      <c r="V184" s="485">
        <f>+IF(T189="","",T189)</f>
        <v>0.6</v>
      </c>
      <c r="W184" s="489">
        <f>+IF(U189="","",U189)</f>
        <v>0</v>
      </c>
      <c r="X184" s="28"/>
      <c r="Y184" s="214"/>
      <c r="Z184" s="215"/>
      <c r="AA184" s="215"/>
    </row>
    <row r="185" spans="1:27" ht="29.45" hidden="1" customHeight="1" thickBot="1" x14ac:dyDescent="0.3">
      <c r="A185" s="501"/>
      <c r="B185" s="505"/>
      <c r="C185" s="357"/>
      <c r="D185" s="497"/>
      <c r="E185" s="252">
        <v>2</v>
      </c>
      <c r="F185" s="239"/>
      <c r="G185" s="236"/>
      <c r="H185" s="236"/>
      <c r="I185" s="212" t="str">
        <f t="shared" si="2"/>
        <v xml:space="preserve">  </v>
      </c>
      <c r="J185" s="290"/>
      <c r="K185" s="216" t="str">
        <f>+IFERROR(VLOOKUP($J185,'11 FORMULAS'!$B$51:$C$53,2,0),"")</f>
        <v/>
      </c>
      <c r="L185" s="216" t="str">
        <f>+IFERROR(VLOOKUP($J185,'11 FORMULAS'!$B$51:$D$53,3,0),"")</f>
        <v/>
      </c>
      <c r="M185" s="253" t="s">
        <v>134</v>
      </c>
      <c r="N185" s="254">
        <f>+IFERROR(VLOOKUP($M185,'11 FORMULAS'!$B$54:$C$55,2,0),"")</f>
        <v>0.25</v>
      </c>
      <c r="O185" s="255" t="s">
        <v>146</v>
      </c>
      <c r="P185" s="255" t="s">
        <v>239</v>
      </c>
      <c r="Q185" s="255" t="s">
        <v>137</v>
      </c>
      <c r="R185" s="255" t="s">
        <v>247</v>
      </c>
      <c r="S185" s="216" t="str">
        <f t="shared" si="3"/>
        <v/>
      </c>
      <c r="T185" s="216">
        <f>IF($L185='11 FORMULAS'!$D$51,$C$10-($C$10*$S$10),$C$10)</f>
        <v>0.6</v>
      </c>
      <c r="U185" s="216">
        <f>IF($L185='11 FORMULAS'!$D$53,D185-(D185*S185),D185)</f>
        <v>0</v>
      </c>
      <c r="V185" s="486"/>
      <c r="W185" s="490"/>
      <c r="X185" s="28"/>
      <c r="Y185" s="214"/>
      <c r="Z185" s="215"/>
      <c r="AA185" s="215"/>
    </row>
    <row r="186" spans="1:27" ht="29.45" hidden="1" customHeight="1" thickBot="1" x14ac:dyDescent="0.3">
      <c r="A186" s="501"/>
      <c r="B186" s="505"/>
      <c r="C186" s="357"/>
      <c r="D186" s="497"/>
      <c r="E186" s="252">
        <v>3</v>
      </c>
      <c r="F186" s="239"/>
      <c r="G186" s="236"/>
      <c r="H186" s="236"/>
      <c r="I186" s="212" t="str">
        <f t="shared" si="2"/>
        <v xml:space="preserve">  </v>
      </c>
      <c r="J186" s="290"/>
      <c r="K186" s="216" t="str">
        <f>+IFERROR(VLOOKUP($J186,'11 FORMULAS'!$B$51:$C$53,2,0),"")</f>
        <v/>
      </c>
      <c r="L186" s="216" t="str">
        <f>+IFERROR(VLOOKUP($J186,'11 FORMULAS'!$B$51:$D$53,3,0),"")</f>
        <v/>
      </c>
      <c r="M186" s="253" t="s">
        <v>145</v>
      </c>
      <c r="N186" s="254">
        <f>+IFERROR(VLOOKUP($M186,'11 FORMULAS'!$B$54:$C$55,2,0),"")</f>
        <v>0.15</v>
      </c>
      <c r="O186" s="255" t="s">
        <v>146</v>
      </c>
      <c r="P186" s="255" t="s">
        <v>239</v>
      </c>
      <c r="Q186" s="255" t="s">
        <v>137</v>
      </c>
      <c r="R186" s="255" t="s">
        <v>247</v>
      </c>
      <c r="S186" s="216" t="str">
        <f t="shared" si="3"/>
        <v/>
      </c>
      <c r="T186" s="216">
        <f>IF($L186='11 FORMULAS'!$D$51,$C$10-($C$10*$S$10),$C$10)</f>
        <v>0.6</v>
      </c>
      <c r="U186" s="216">
        <f>IF($L186='11 FORMULAS'!$D$53,D186-(D186*S186),D186)</f>
        <v>0</v>
      </c>
      <c r="V186" s="486"/>
      <c r="W186" s="490"/>
      <c r="X186" s="28"/>
      <c r="Y186" s="214"/>
      <c r="Z186" s="215"/>
      <c r="AA186" s="215"/>
    </row>
    <row r="187" spans="1:27" ht="29.45" hidden="1" customHeight="1" thickBot="1" x14ac:dyDescent="0.3">
      <c r="A187" s="502"/>
      <c r="B187" s="506"/>
      <c r="C187" s="494"/>
      <c r="D187" s="498"/>
      <c r="E187" s="252">
        <v>4</v>
      </c>
      <c r="F187" s="240"/>
      <c r="G187" s="163"/>
      <c r="H187" s="163"/>
      <c r="I187" s="212" t="str">
        <f t="shared" si="2"/>
        <v xml:space="preserve">  </v>
      </c>
      <c r="J187" s="290"/>
      <c r="K187" s="216" t="str">
        <f>+IFERROR(VLOOKUP($J187,'11 FORMULAS'!$B$51:$C$53,2,0),"")</f>
        <v/>
      </c>
      <c r="L187" s="216" t="str">
        <f>+IFERROR(VLOOKUP($J187,'11 FORMULAS'!$B$51:$D$53,3,0),"")</f>
        <v/>
      </c>
      <c r="M187" s="253" t="s">
        <v>134</v>
      </c>
      <c r="N187" s="254">
        <f>+IFERROR(VLOOKUP($M187,'11 FORMULAS'!$B$54:$C$55,2,0),"")</f>
        <v>0.25</v>
      </c>
      <c r="O187" s="255" t="s">
        <v>146</v>
      </c>
      <c r="P187" s="255" t="s">
        <v>239</v>
      </c>
      <c r="Q187" s="255" t="s">
        <v>137</v>
      </c>
      <c r="R187" s="255" t="s">
        <v>247</v>
      </c>
      <c r="S187" s="216" t="str">
        <f t="shared" si="3"/>
        <v/>
      </c>
      <c r="T187" s="216">
        <f>IF($L187='11 FORMULAS'!$D$51,$C$10-($C$10*$S$10),$C$10)</f>
        <v>0.6</v>
      </c>
      <c r="U187" s="216">
        <f>IF($L187='11 FORMULAS'!$D$53,D187-(D187*S187),D187)</f>
        <v>0</v>
      </c>
      <c r="V187" s="487"/>
      <c r="W187" s="491"/>
      <c r="X187" s="28"/>
      <c r="Y187" s="214"/>
      <c r="Z187" s="215"/>
      <c r="AA187" s="215"/>
    </row>
    <row r="188" spans="1:27" ht="29.45" hidden="1" customHeight="1" thickBot="1" x14ac:dyDescent="0.3">
      <c r="A188" s="502"/>
      <c r="B188" s="506"/>
      <c r="C188" s="494"/>
      <c r="D188" s="498"/>
      <c r="E188" s="252">
        <v>5</v>
      </c>
      <c r="F188" s="240"/>
      <c r="G188" s="163"/>
      <c r="H188" s="163"/>
      <c r="I188" s="212" t="str">
        <f t="shared" si="2"/>
        <v xml:space="preserve">  </v>
      </c>
      <c r="J188" s="290"/>
      <c r="K188" s="216" t="str">
        <f>+IFERROR(VLOOKUP($J188,'11 FORMULAS'!$B$51:$C$53,2,0),"")</f>
        <v/>
      </c>
      <c r="L188" s="216" t="str">
        <f>+IFERROR(VLOOKUP($J188,'11 FORMULAS'!$B$51:$D$53,3,0),"")</f>
        <v/>
      </c>
      <c r="M188" s="253" t="s">
        <v>134</v>
      </c>
      <c r="N188" s="254">
        <f>+IFERROR(VLOOKUP($M188,'11 FORMULAS'!$B$54:$C$55,2,0),"")</f>
        <v>0.25</v>
      </c>
      <c r="O188" s="255" t="s">
        <v>146</v>
      </c>
      <c r="P188" s="255" t="s">
        <v>239</v>
      </c>
      <c r="Q188" s="255" t="s">
        <v>137</v>
      </c>
      <c r="R188" s="255" t="s">
        <v>247</v>
      </c>
      <c r="S188" s="216" t="str">
        <f t="shared" si="3"/>
        <v/>
      </c>
      <c r="T188" s="216">
        <f>IF($L188='11 FORMULAS'!$D$51,$C$10-($C$10*$S$10),$C$10)</f>
        <v>0.6</v>
      </c>
      <c r="U188" s="216">
        <f>IF($L188='11 FORMULAS'!$D$53,D188-(D188*S188),D188)</f>
        <v>0</v>
      </c>
      <c r="V188" s="487"/>
      <c r="W188" s="491"/>
      <c r="X188" s="28"/>
      <c r="Y188" s="214"/>
      <c r="Z188" s="215"/>
      <c r="AA188" s="215"/>
    </row>
    <row r="189" spans="1:27" ht="29.45" hidden="1" customHeight="1" thickBot="1" x14ac:dyDescent="0.3">
      <c r="A189" s="503"/>
      <c r="B189" s="507"/>
      <c r="C189" s="495"/>
      <c r="D189" s="499"/>
      <c r="E189" s="256">
        <v>6</v>
      </c>
      <c r="F189" s="243"/>
      <c r="G189" s="164"/>
      <c r="H189" s="164"/>
      <c r="I189" s="212" t="str">
        <f t="shared" si="2"/>
        <v xml:space="preserve">  </v>
      </c>
      <c r="J189" s="290"/>
      <c r="K189" s="216" t="str">
        <f>+IFERROR(VLOOKUP($J189,'11 FORMULAS'!$B$51:$C$53,2,0),"")</f>
        <v/>
      </c>
      <c r="L189" s="216" t="str">
        <f>+IFERROR(VLOOKUP($J189,'11 FORMULAS'!$B$51:$D$53,3,0),"")</f>
        <v/>
      </c>
      <c r="M189" s="253" t="s">
        <v>134</v>
      </c>
      <c r="N189" s="254">
        <f>+IFERROR(VLOOKUP($M189,'11 FORMULAS'!$B$54:$C$55,2,0),"")</f>
        <v>0.25</v>
      </c>
      <c r="O189" s="255" t="s">
        <v>146</v>
      </c>
      <c r="P189" s="255" t="s">
        <v>239</v>
      </c>
      <c r="Q189" s="255" t="s">
        <v>137</v>
      </c>
      <c r="R189" s="255" t="s">
        <v>247</v>
      </c>
      <c r="S189" s="216" t="str">
        <f t="shared" si="3"/>
        <v/>
      </c>
      <c r="T189" s="216">
        <f>IF($L189='11 FORMULAS'!$D$51,$C$10-($C$10*$S$10),$C$10)</f>
        <v>0.6</v>
      </c>
      <c r="U189" s="216">
        <f>IF($L189='11 FORMULAS'!$D$53,D189-(D189*S189),D189)</f>
        <v>0</v>
      </c>
      <c r="V189" s="488"/>
      <c r="W189" s="492"/>
      <c r="X189" s="28"/>
    </row>
    <row r="190" spans="1:27" ht="15" thickBot="1" x14ac:dyDescent="0.3"/>
    <row r="191" spans="1:27" ht="15.75" thickTop="1" thickBot="1" x14ac:dyDescent="0.3">
      <c r="A191" s="387" t="s">
        <v>377</v>
      </c>
      <c r="B191" s="387"/>
      <c r="C191" s="387"/>
      <c r="D191" s="387"/>
      <c r="E191" s="387"/>
      <c r="F191" s="387"/>
      <c r="G191" s="387"/>
    </row>
    <row r="192" spans="1:27" ht="15.75" thickTop="1" thickBot="1" x14ac:dyDescent="0.3">
      <c r="A192" s="321" t="s">
        <v>378</v>
      </c>
      <c r="B192" s="387" t="s">
        <v>379</v>
      </c>
      <c r="C192" s="387"/>
      <c r="D192" s="387" t="s">
        <v>380</v>
      </c>
      <c r="E192" s="387"/>
      <c r="F192" s="387" t="s">
        <v>381</v>
      </c>
      <c r="G192" s="387"/>
    </row>
    <row r="193" spans="1:7" ht="114.95" customHeight="1" thickTop="1" thickBot="1" x14ac:dyDescent="0.3">
      <c r="A193" s="322" t="s">
        <v>382</v>
      </c>
      <c r="B193" s="388">
        <v>46163</v>
      </c>
      <c r="C193" s="388"/>
      <c r="D193" s="389" t="s">
        <v>383</v>
      </c>
      <c r="E193" s="389"/>
      <c r="F193" s="390" t="s">
        <v>384</v>
      </c>
      <c r="G193" s="390"/>
    </row>
    <row r="194" spans="1:7" ht="15" thickTop="1" x14ac:dyDescent="0.25"/>
  </sheetData>
  <sheetProtection formatCells="0" formatColumns="0" formatRows="0" sort="0" autoFilter="0" pivotTables="0"/>
  <autoFilter ref="A9:X189" xr:uid="{00000000-0009-0000-0000-000005000000}"/>
  <dataConsolidate/>
  <mergeCells count="203">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 ref="S6:S8"/>
    <mergeCell ref="T6:T8"/>
    <mergeCell ref="U6:U8"/>
    <mergeCell ref="A8:A9"/>
    <mergeCell ref="B8:B9"/>
    <mergeCell ref="E8:E9"/>
    <mergeCell ref="J8:N8"/>
    <mergeCell ref="F8:H8"/>
    <mergeCell ref="O8:R8"/>
    <mergeCell ref="J7:R7"/>
    <mergeCell ref="B10:B15"/>
    <mergeCell ref="A28:A33"/>
    <mergeCell ref="B28:B33"/>
    <mergeCell ref="C28:C33"/>
    <mergeCell ref="D28:D33"/>
    <mergeCell ref="A16:A21"/>
    <mergeCell ref="B16:B21"/>
    <mergeCell ref="C16:C21"/>
    <mergeCell ref="D16:D21"/>
    <mergeCell ref="A22:A27"/>
    <mergeCell ref="B22:B27"/>
    <mergeCell ref="C22:C27"/>
    <mergeCell ref="D22:D27"/>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V22:V27"/>
    <mergeCell ref="W22:W27"/>
    <mergeCell ref="V28:V33"/>
    <mergeCell ref="W28:W33"/>
    <mergeCell ref="V10:V15"/>
    <mergeCell ref="W10:W15"/>
    <mergeCell ref="V16:V21"/>
    <mergeCell ref="W16:W21"/>
    <mergeCell ref="V58:V63"/>
    <mergeCell ref="W58:W63"/>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A124:A129"/>
    <mergeCell ref="B124:B129"/>
    <mergeCell ref="A130:A135"/>
    <mergeCell ref="A136:A141"/>
    <mergeCell ref="A142:A147"/>
    <mergeCell ref="A148:A153"/>
    <mergeCell ref="A154:A159"/>
    <mergeCell ref="A160:A165"/>
    <mergeCell ref="A166:A171"/>
    <mergeCell ref="A172:A177"/>
    <mergeCell ref="A178:A183"/>
    <mergeCell ref="B130:B135"/>
    <mergeCell ref="B136:B141"/>
    <mergeCell ref="B142:B147"/>
    <mergeCell ref="B148:B153"/>
    <mergeCell ref="B154:B159"/>
    <mergeCell ref="B160:B165"/>
    <mergeCell ref="B166:B171"/>
    <mergeCell ref="B172:B177"/>
    <mergeCell ref="B178:B183"/>
    <mergeCell ref="C124:C129"/>
    <mergeCell ref="D124:D129"/>
    <mergeCell ref="C130:C135"/>
    <mergeCell ref="D130:D135"/>
    <mergeCell ref="C136:C141"/>
    <mergeCell ref="D136:D141"/>
    <mergeCell ref="C142:C147"/>
    <mergeCell ref="D142:D147"/>
    <mergeCell ref="C148:C153"/>
    <mergeCell ref="D148:D153"/>
    <mergeCell ref="C154:C159"/>
    <mergeCell ref="D154:D159"/>
    <mergeCell ref="C160:C165"/>
    <mergeCell ref="D160:D165"/>
    <mergeCell ref="C166:C171"/>
    <mergeCell ref="D166:D171"/>
    <mergeCell ref="C172:C177"/>
    <mergeCell ref="D172:D177"/>
    <mergeCell ref="C178:C183"/>
    <mergeCell ref="D178:D183"/>
    <mergeCell ref="V154:V159"/>
    <mergeCell ref="W154:W159"/>
    <mergeCell ref="V160:V165"/>
    <mergeCell ref="W160:W165"/>
    <mergeCell ref="V166:V171"/>
    <mergeCell ref="W166:W171"/>
    <mergeCell ref="V172:V177"/>
    <mergeCell ref="W172:W177"/>
    <mergeCell ref="V178:V183"/>
    <mergeCell ref="W178:W183"/>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50" priority="372" operator="between">
      <formula>$Z$11</formula>
      <formula>$AA$11</formula>
    </cfRule>
    <cfRule type="cellIs" dxfId="149" priority="371" operator="between">
      <formula>$Z$10</formula>
      <formula>$AA$10</formula>
    </cfRule>
    <cfRule type="cellIs" dxfId="148" priority="370" operator="between">
      <formula>$Z$9</formula>
      <formula>$AA$9</formula>
    </cfRule>
    <cfRule type="cellIs" dxfId="147" priority="369" operator="between">
      <formula>$Z$8</formula>
      <formula>$AA$8</formula>
    </cfRule>
    <cfRule type="cellIs" dxfId="146" priority="373" operator="between">
      <formula>$Z$12</formula>
      <formula>$AA$12</formula>
    </cfRule>
  </conditionalFormatting>
  <conditionalFormatting sqref="C124:D126">
    <cfRule type="cellIs" dxfId="145" priority="99" operator="between">
      <formula>$Z$11</formula>
      <formula>$AA$11</formula>
    </cfRule>
    <cfRule type="cellIs" dxfId="144" priority="100" operator="between">
      <formula>$Z$12</formula>
      <formula>$AA$12</formula>
    </cfRule>
    <cfRule type="cellIs" dxfId="143" priority="98" operator="between">
      <formula>$Z$10</formula>
      <formula>$AA$10</formula>
    </cfRule>
    <cfRule type="cellIs" dxfId="142" priority="97" operator="between">
      <formula>$Z$9</formula>
      <formula>$AA$9</formula>
    </cfRule>
    <cfRule type="cellIs" dxfId="141" priority="96" operator="between">
      <formula>$Z$8</formula>
      <formula>$AA$8</formula>
    </cfRule>
  </conditionalFormatting>
  <conditionalFormatting sqref="C130:D132">
    <cfRule type="cellIs" dxfId="140" priority="93" operator="between">
      <formula>$Z$10</formula>
      <formula>$AA$10</formula>
    </cfRule>
    <cfRule type="cellIs" dxfId="139" priority="95" operator="between">
      <formula>$Z$12</formula>
      <formula>$AA$12</formula>
    </cfRule>
    <cfRule type="cellIs" dxfId="138" priority="94" operator="between">
      <formula>$Z$11</formula>
      <formula>$AA$11</formula>
    </cfRule>
    <cfRule type="cellIs" dxfId="137" priority="92" operator="between">
      <formula>$Z$9</formula>
      <formula>$AA$9</formula>
    </cfRule>
    <cfRule type="cellIs" dxfId="136" priority="91" operator="between">
      <formula>$Z$8</formula>
      <formula>$AA$8</formula>
    </cfRule>
  </conditionalFormatting>
  <conditionalFormatting sqref="C136:D138">
    <cfRule type="cellIs" dxfId="135" priority="90" operator="between">
      <formula>$Z$12</formula>
      <formula>$AA$12</formula>
    </cfRule>
    <cfRule type="cellIs" dxfId="134" priority="89" operator="between">
      <formula>$Z$11</formula>
      <formula>$AA$11</formula>
    </cfRule>
    <cfRule type="cellIs" dxfId="133" priority="88" operator="between">
      <formula>$Z$10</formula>
      <formula>$AA$10</formula>
    </cfRule>
    <cfRule type="cellIs" dxfId="132" priority="87" operator="between">
      <formula>$Z$9</formula>
      <formula>$AA$9</formula>
    </cfRule>
    <cfRule type="cellIs" dxfId="131" priority="86" operator="between">
      <formula>$Z$8</formula>
      <formula>$AA$8</formula>
    </cfRule>
  </conditionalFormatting>
  <conditionalFormatting sqref="C142:D144">
    <cfRule type="cellIs" dxfId="130" priority="81" operator="between">
      <formula>$Z$8</formula>
      <formula>$AA$8</formula>
    </cfRule>
    <cfRule type="cellIs" dxfId="129" priority="85" operator="between">
      <formula>$Z$12</formula>
      <formula>$AA$12</formula>
    </cfRule>
    <cfRule type="cellIs" dxfId="128" priority="84" operator="between">
      <formula>$Z$11</formula>
      <formula>$AA$11</formula>
    </cfRule>
    <cfRule type="cellIs" dxfId="127" priority="83" operator="between">
      <formula>$Z$10</formula>
      <formula>$AA$10</formula>
    </cfRule>
    <cfRule type="cellIs" dxfId="126" priority="82" operator="between">
      <formula>$Z$9</formula>
      <formula>$AA$9</formula>
    </cfRule>
  </conditionalFormatting>
  <conditionalFormatting sqref="C148:D150">
    <cfRule type="cellIs" dxfId="125" priority="80" operator="between">
      <formula>$Z$12</formula>
      <formula>$AA$12</formula>
    </cfRule>
    <cfRule type="cellIs" dxfId="124" priority="79" operator="between">
      <formula>$Z$11</formula>
      <formula>$AA$11</formula>
    </cfRule>
    <cfRule type="cellIs" dxfId="123" priority="78" operator="between">
      <formula>$Z$10</formula>
      <formula>$AA$10</formula>
    </cfRule>
    <cfRule type="cellIs" dxfId="122" priority="77" operator="between">
      <formula>$Z$9</formula>
      <formula>$AA$9</formula>
    </cfRule>
    <cfRule type="cellIs" dxfId="121" priority="76" operator="between">
      <formula>$Z$8</formula>
      <formula>$AA$8</formula>
    </cfRule>
  </conditionalFormatting>
  <conditionalFormatting sqref="C154:D156">
    <cfRule type="cellIs" dxfId="120" priority="75" operator="between">
      <formula>$Z$12</formula>
      <formula>$AA$12</formula>
    </cfRule>
    <cfRule type="cellIs" dxfId="119" priority="74" operator="between">
      <formula>$Z$11</formula>
      <formula>$AA$11</formula>
    </cfRule>
    <cfRule type="cellIs" dxfId="118" priority="73" operator="between">
      <formula>$Z$10</formula>
      <formula>$AA$10</formula>
    </cfRule>
    <cfRule type="cellIs" dxfId="117" priority="72" operator="between">
      <formula>$Z$9</formula>
      <formula>$AA$9</formula>
    </cfRule>
    <cfRule type="cellIs" dxfId="116" priority="71" operator="between">
      <formula>$Z$8</formula>
      <formula>$AA$8</formula>
    </cfRule>
  </conditionalFormatting>
  <conditionalFormatting sqref="C160:D162">
    <cfRule type="cellIs" dxfId="115" priority="70" operator="between">
      <formula>$Z$12</formula>
      <formula>$AA$12</formula>
    </cfRule>
    <cfRule type="cellIs" dxfId="114" priority="69" operator="between">
      <formula>$Z$11</formula>
      <formula>$AA$11</formula>
    </cfRule>
    <cfRule type="cellIs" dxfId="113" priority="68" operator="between">
      <formula>$Z$10</formula>
      <formula>$AA$10</formula>
    </cfRule>
    <cfRule type="cellIs" dxfId="112" priority="67" operator="between">
      <formula>$Z$9</formula>
      <formula>$AA$9</formula>
    </cfRule>
    <cfRule type="cellIs" dxfId="111" priority="66" operator="between">
      <formula>$Z$8</formula>
      <formula>$AA$8</formula>
    </cfRule>
  </conditionalFormatting>
  <conditionalFormatting sqref="C166:D168">
    <cfRule type="cellIs" dxfId="110" priority="65" operator="between">
      <formula>$Z$12</formula>
      <formula>$AA$12</formula>
    </cfRule>
    <cfRule type="cellIs" dxfId="109" priority="64" operator="between">
      <formula>$Z$11</formula>
      <formula>$AA$11</formula>
    </cfRule>
    <cfRule type="cellIs" dxfId="108" priority="63" operator="between">
      <formula>$Z$10</formula>
      <formula>$AA$10</formula>
    </cfRule>
    <cfRule type="cellIs" dxfId="107" priority="62" operator="between">
      <formula>$Z$9</formula>
      <formula>$AA$9</formula>
    </cfRule>
    <cfRule type="cellIs" dxfId="106" priority="61" operator="between">
      <formula>$Z$8</formula>
      <formula>$AA$8</formula>
    </cfRule>
  </conditionalFormatting>
  <conditionalFormatting sqref="C172:D174">
    <cfRule type="cellIs" dxfId="105" priority="60" operator="between">
      <formula>$Z$12</formula>
      <formula>$AA$12</formula>
    </cfRule>
    <cfRule type="cellIs" dxfId="104" priority="59" operator="between">
      <formula>$Z$11</formula>
      <formula>$AA$11</formula>
    </cfRule>
    <cfRule type="cellIs" dxfId="103" priority="58" operator="between">
      <formula>$Z$10</formula>
      <formula>$AA$10</formula>
    </cfRule>
    <cfRule type="cellIs" dxfId="102" priority="57" operator="between">
      <formula>$Z$9</formula>
      <formula>$AA$9</formula>
    </cfRule>
    <cfRule type="cellIs" dxfId="101" priority="56" operator="between">
      <formula>$Z$8</formula>
      <formula>$AA$8</formula>
    </cfRule>
  </conditionalFormatting>
  <conditionalFormatting sqref="C178:D180">
    <cfRule type="cellIs" dxfId="100" priority="51" operator="between">
      <formula>$Z$8</formula>
      <formula>$AA$8</formula>
    </cfRule>
    <cfRule type="cellIs" dxfId="99" priority="52" operator="between">
      <formula>$Z$9</formula>
      <formula>$AA$9</formula>
    </cfRule>
    <cfRule type="cellIs" dxfId="98" priority="53" operator="between">
      <formula>$Z$10</formula>
      <formula>$AA$10</formula>
    </cfRule>
    <cfRule type="cellIs" dxfId="97" priority="54" operator="between">
      <formula>$Z$11</formula>
      <formula>$AA$11</formula>
    </cfRule>
    <cfRule type="cellIs" dxfId="96" priority="55" operator="between">
      <formula>$Z$12</formula>
      <formula>$AA$12</formula>
    </cfRule>
  </conditionalFormatting>
  <conditionalFormatting sqref="V124:W126">
    <cfRule type="cellIs" dxfId="95" priority="50" operator="between">
      <formula>$Z$12</formula>
      <formula>$AA$12</formula>
    </cfRule>
    <cfRule type="cellIs" dxfId="94" priority="49" operator="between">
      <formula>$Z$11</formula>
      <formula>$AA$11</formula>
    </cfRule>
    <cfRule type="cellIs" dxfId="93" priority="48" operator="between">
      <formula>$Z$10</formula>
      <formula>$AA$10</formula>
    </cfRule>
    <cfRule type="cellIs" dxfId="92" priority="47" operator="between">
      <formula>$Z$9</formula>
      <formula>$AA$9</formula>
    </cfRule>
    <cfRule type="cellIs" dxfId="91" priority="46" operator="between">
      <formula>$Z$8</formula>
      <formula>$AA$8</formula>
    </cfRule>
  </conditionalFormatting>
  <conditionalFormatting sqref="V130:W132">
    <cfRule type="cellIs" dxfId="90" priority="45" operator="between">
      <formula>$Z$12</formula>
      <formula>$AA$12</formula>
    </cfRule>
    <cfRule type="cellIs" dxfId="89" priority="44" operator="between">
      <formula>$Z$11</formula>
      <formula>$AA$11</formula>
    </cfRule>
    <cfRule type="cellIs" dxfId="88" priority="43" operator="between">
      <formula>$Z$10</formula>
      <formula>$AA$10</formula>
    </cfRule>
    <cfRule type="cellIs" dxfId="87" priority="42" operator="between">
      <formula>$Z$9</formula>
      <formula>$AA$9</formula>
    </cfRule>
    <cfRule type="cellIs" dxfId="86" priority="41" operator="between">
      <formula>$Z$8</formula>
      <formula>$AA$8</formula>
    </cfRule>
  </conditionalFormatting>
  <conditionalFormatting sqref="V136:W138">
    <cfRule type="cellIs" dxfId="85" priority="40" operator="between">
      <formula>$Z$12</formula>
      <formula>$AA$12</formula>
    </cfRule>
    <cfRule type="cellIs" dxfId="84" priority="39" operator="between">
      <formula>$Z$11</formula>
      <formula>$AA$11</formula>
    </cfRule>
    <cfRule type="cellIs" dxfId="83" priority="38" operator="between">
      <formula>$Z$10</formula>
      <formula>$AA$10</formula>
    </cfRule>
    <cfRule type="cellIs" dxfId="82" priority="37" operator="between">
      <formula>$Z$9</formula>
      <formula>$AA$9</formula>
    </cfRule>
    <cfRule type="cellIs" dxfId="81" priority="36" operator="between">
      <formula>$Z$8</formula>
      <formula>$AA$8</formula>
    </cfRule>
  </conditionalFormatting>
  <conditionalFormatting sqref="V142:W144">
    <cfRule type="cellIs" dxfId="80" priority="35" operator="between">
      <formula>$Z$12</formula>
      <formula>$AA$12</formula>
    </cfRule>
    <cfRule type="cellIs" dxfId="79" priority="34" operator="between">
      <formula>$Z$11</formula>
      <formula>$AA$11</formula>
    </cfRule>
    <cfRule type="cellIs" dxfId="78" priority="33" operator="between">
      <formula>$Z$10</formula>
      <formula>$AA$10</formula>
    </cfRule>
    <cfRule type="cellIs" dxfId="77" priority="32" operator="between">
      <formula>$Z$9</formula>
      <formula>$AA$9</formula>
    </cfRule>
    <cfRule type="cellIs" dxfId="76" priority="31" operator="between">
      <formula>$Z$8</formula>
      <formula>$AA$8</formula>
    </cfRule>
  </conditionalFormatting>
  <conditionalFormatting sqref="V148:W150">
    <cfRule type="cellIs" dxfId="75" priority="30" operator="between">
      <formula>$Z$12</formula>
      <formula>$AA$12</formula>
    </cfRule>
    <cfRule type="cellIs" dxfId="74" priority="29" operator="between">
      <formula>$Z$11</formula>
      <formula>$AA$11</formula>
    </cfRule>
    <cfRule type="cellIs" dxfId="73" priority="28" operator="between">
      <formula>$Z$10</formula>
      <formula>$AA$10</formula>
    </cfRule>
    <cfRule type="cellIs" dxfId="72" priority="27" operator="between">
      <formula>$Z$9</formula>
      <formula>$AA$9</formula>
    </cfRule>
    <cfRule type="cellIs" dxfId="71" priority="26" operator="between">
      <formula>$Z$8</formula>
      <formula>$AA$8</formula>
    </cfRule>
  </conditionalFormatting>
  <conditionalFormatting sqref="V154:W156">
    <cfRule type="cellIs" dxfId="70" priority="25" operator="between">
      <formula>$Z$12</formula>
      <formula>$AA$12</formula>
    </cfRule>
    <cfRule type="cellIs" dxfId="69" priority="24" operator="between">
      <formula>$Z$11</formula>
      <formula>$AA$11</formula>
    </cfRule>
    <cfRule type="cellIs" dxfId="68" priority="23" operator="between">
      <formula>$Z$10</formula>
      <formula>$AA$10</formula>
    </cfRule>
    <cfRule type="cellIs" dxfId="67" priority="22" operator="between">
      <formula>$Z$9</formula>
      <formula>$AA$9</formula>
    </cfRule>
    <cfRule type="cellIs" dxfId="66" priority="21" operator="between">
      <formula>$Z$8</formula>
      <formula>$AA$8</formula>
    </cfRule>
  </conditionalFormatting>
  <conditionalFormatting sqref="V160:W162">
    <cfRule type="cellIs" dxfId="65" priority="20" operator="between">
      <formula>$Z$12</formula>
      <formula>$AA$12</formula>
    </cfRule>
    <cfRule type="cellIs" dxfId="64" priority="19" operator="between">
      <formula>$Z$11</formula>
      <formula>$AA$11</formula>
    </cfRule>
    <cfRule type="cellIs" dxfId="63" priority="18" operator="between">
      <formula>$Z$10</formula>
      <formula>$AA$10</formula>
    </cfRule>
    <cfRule type="cellIs" dxfId="62" priority="17" operator="between">
      <formula>$Z$9</formula>
      <formula>$AA$9</formula>
    </cfRule>
    <cfRule type="cellIs" dxfId="61" priority="16" operator="between">
      <formula>$Z$8</formula>
      <formula>$AA$8</formula>
    </cfRule>
  </conditionalFormatting>
  <conditionalFormatting sqref="V166:W168">
    <cfRule type="cellIs" dxfId="60" priority="15" operator="between">
      <formula>$Z$12</formula>
      <formula>$AA$12</formula>
    </cfRule>
    <cfRule type="cellIs" dxfId="59" priority="14" operator="between">
      <formula>$Z$11</formula>
      <formula>$AA$11</formula>
    </cfRule>
    <cfRule type="cellIs" dxfId="58" priority="12" operator="between">
      <formula>$Z$9</formula>
      <formula>$AA$9</formula>
    </cfRule>
    <cfRule type="cellIs" dxfId="57" priority="11" operator="between">
      <formula>$Z$8</formula>
      <formula>$AA$8</formula>
    </cfRule>
    <cfRule type="cellIs" dxfId="56" priority="13" operator="between">
      <formula>$Z$10</formula>
      <formula>$AA$10</formula>
    </cfRule>
  </conditionalFormatting>
  <conditionalFormatting sqref="V172:W174">
    <cfRule type="cellIs" dxfId="55" priority="10" operator="between">
      <formula>$Z$12</formula>
      <formula>$AA$12</formula>
    </cfRule>
    <cfRule type="cellIs" dxfId="54" priority="9" operator="between">
      <formula>$Z$11</formula>
      <formula>$AA$11</formula>
    </cfRule>
    <cfRule type="cellIs" dxfId="53" priority="8" operator="between">
      <formula>$Z$10</formula>
      <formula>$AA$10</formula>
    </cfRule>
    <cfRule type="cellIs" dxfId="52" priority="6" operator="between">
      <formula>$Z$8</formula>
      <formula>$AA$8</formula>
    </cfRule>
    <cfRule type="cellIs" dxfId="51" priority="7" operator="between">
      <formula>$Z$9</formula>
      <formula>$AA$9</formula>
    </cfRule>
  </conditionalFormatting>
  <conditionalFormatting sqref="V178:W180">
    <cfRule type="cellIs" dxfId="50" priority="1" operator="between">
      <formula>$Z$8</formula>
      <formula>$AA$8</formula>
    </cfRule>
    <cfRule type="cellIs" dxfId="49" priority="5" operator="between">
      <formula>$Z$12</formula>
      <formula>$AA$12</formula>
    </cfRule>
    <cfRule type="cellIs" dxfId="48" priority="4" operator="between">
      <formula>$Z$11</formula>
      <formula>$AA$11</formula>
    </cfRule>
    <cfRule type="cellIs" dxfId="47" priority="3" operator="between">
      <formula>$Z$10</formula>
      <formula>$AA$10</formula>
    </cfRule>
    <cfRule type="cellIs" dxfId="46"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85546875" defaultRowHeight="12.75" x14ac:dyDescent="0.2"/>
  <cols>
    <col min="1" max="1" width="35.42578125" style="102" customWidth="1"/>
    <col min="2" max="2" width="47.140625" style="102" customWidth="1"/>
    <col min="3" max="3" width="42.42578125" style="102" customWidth="1"/>
    <col min="4" max="4" width="34.42578125" style="102" customWidth="1"/>
    <col min="5" max="5" width="27.140625" style="102" customWidth="1"/>
    <col min="6" max="6" width="45.42578125" style="102" customWidth="1"/>
    <col min="7" max="7" width="22.140625" style="102" customWidth="1"/>
    <col min="8" max="8" width="20.85546875" style="102" customWidth="1"/>
    <col min="9" max="9" width="46.28515625" style="102" customWidth="1"/>
    <col min="10" max="10" width="10.85546875" style="102"/>
    <col min="11" max="11" width="20.85546875" style="102" customWidth="1"/>
    <col min="12" max="12" width="14.42578125" style="102" customWidth="1"/>
    <col min="13" max="14" width="21" style="102" customWidth="1"/>
    <col min="15" max="16" width="10.85546875" style="102"/>
    <col min="17" max="17" width="14.85546875" style="102" customWidth="1"/>
    <col min="18" max="18" width="10.85546875" style="102"/>
    <col min="19" max="19" width="16.42578125" style="102" customWidth="1"/>
    <col min="20" max="20" width="10.85546875" style="102"/>
    <col min="21" max="21" width="30.140625" style="102" customWidth="1"/>
    <col min="22" max="16384" width="10.85546875" style="102"/>
  </cols>
  <sheetData>
    <row r="1" spans="1:23" ht="25.5" customHeight="1" x14ac:dyDescent="0.2">
      <c r="A1" s="540" t="s">
        <v>117</v>
      </c>
      <c r="B1" s="540"/>
      <c r="E1" s="539" t="s">
        <v>118</v>
      </c>
      <c r="F1" s="539"/>
      <c r="G1" s="539"/>
      <c r="H1" s="539"/>
    </row>
    <row r="2" spans="1:23" ht="48.95" customHeight="1" x14ac:dyDescent="0.2">
      <c r="B2" s="113" t="s">
        <v>84</v>
      </c>
      <c r="C2" s="113"/>
      <c r="E2" s="538" t="s">
        <v>119</v>
      </c>
      <c r="F2" s="538"/>
      <c r="G2" s="538"/>
      <c r="H2" s="538"/>
      <c r="I2" s="538"/>
      <c r="K2" s="538" t="s">
        <v>120</v>
      </c>
      <c r="L2" s="538"/>
      <c r="M2" s="538"/>
      <c r="N2" s="538"/>
      <c r="P2" s="538" t="s">
        <v>50</v>
      </c>
      <c r="Q2" s="538"/>
      <c r="S2" s="103" t="s">
        <v>68</v>
      </c>
      <c r="U2" s="103" t="s">
        <v>121</v>
      </c>
      <c r="W2" s="53" t="s">
        <v>72</v>
      </c>
    </row>
    <row r="3" spans="1:23" ht="29.25" thickBot="1" x14ac:dyDescent="0.25">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8.25" x14ac:dyDescent="0.2">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7.25" thickBot="1" x14ac:dyDescent="0.25">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8.5" x14ac:dyDescent="0.2">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5" thickBot="1" x14ac:dyDescent="0.25">
      <c r="A7" s="112" t="s">
        <v>161</v>
      </c>
      <c r="B7" s="119"/>
      <c r="C7" s="127"/>
      <c r="E7" s="104"/>
      <c r="F7" s="106"/>
      <c r="P7" s="107"/>
      <c r="S7" s="104" t="s">
        <v>162</v>
      </c>
    </row>
    <row r="8" spans="1:23" x14ac:dyDescent="0.2">
      <c r="A8" s="112" t="s">
        <v>163</v>
      </c>
      <c r="B8" s="121" t="s">
        <v>153</v>
      </c>
      <c r="C8" s="128" t="s">
        <v>164</v>
      </c>
      <c r="S8" s="104"/>
    </row>
    <row r="9" spans="1:23" ht="26.25" thickBot="1" x14ac:dyDescent="0.25">
      <c r="A9" s="112" t="s">
        <v>165</v>
      </c>
      <c r="B9" s="123"/>
      <c r="C9" s="127"/>
    </row>
    <row r="10" spans="1:23" x14ac:dyDescent="0.2">
      <c r="A10" s="112" t="s">
        <v>166</v>
      </c>
      <c r="B10" s="121" t="s">
        <v>161</v>
      </c>
      <c r="C10" s="128" t="s">
        <v>167</v>
      </c>
    </row>
    <row r="11" spans="1:23" ht="14.25" customHeight="1" thickBot="1" x14ac:dyDescent="0.25">
      <c r="A11" s="114"/>
      <c r="B11" s="119"/>
      <c r="C11" s="127"/>
    </row>
    <row r="12" spans="1:23" ht="14.25" customHeight="1" x14ac:dyDescent="0.2">
      <c r="B12" s="121" t="s">
        <v>163</v>
      </c>
      <c r="C12" s="122" t="s">
        <v>132</v>
      </c>
    </row>
    <row r="13" spans="1:23" ht="14.25" customHeight="1" x14ac:dyDescent="0.2">
      <c r="A13" s="218" t="s">
        <v>89</v>
      </c>
      <c r="B13" s="118"/>
      <c r="C13" s="117" t="s">
        <v>154</v>
      </c>
    </row>
    <row r="14" spans="1:23" ht="14.25" customHeight="1" x14ac:dyDescent="0.2">
      <c r="A14" s="219" t="s">
        <v>168</v>
      </c>
      <c r="B14" s="116"/>
      <c r="C14" s="117" t="s">
        <v>164</v>
      </c>
    </row>
    <row r="15" spans="1:23" ht="14.25" customHeight="1" x14ac:dyDescent="0.2">
      <c r="A15" s="219" t="s">
        <v>96</v>
      </c>
      <c r="B15" s="116"/>
      <c r="C15" s="117" t="s">
        <v>167</v>
      </c>
    </row>
    <row r="16" spans="1:23" ht="14.25" customHeight="1" x14ac:dyDescent="0.2">
      <c r="A16" s="219" t="s">
        <v>169</v>
      </c>
      <c r="B16" s="116"/>
      <c r="C16" s="117" t="s">
        <v>170</v>
      </c>
    </row>
    <row r="17" spans="1:5" ht="14.25" customHeight="1" thickBot="1" x14ac:dyDescent="0.25">
      <c r="A17" s="219" t="s">
        <v>171</v>
      </c>
      <c r="B17" s="119"/>
      <c r="C17" s="120"/>
    </row>
    <row r="18" spans="1:5" x14ac:dyDescent="0.2">
      <c r="A18" s="219" t="s">
        <v>172</v>
      </c>
      <c r="B18" s="121" t="s">
        <v>165</v>
      </c>
      <c r="C18" s="122" t="s">
        <v>132</v>
      </c>
    </row>
    <row r="19" spans="1:5" ht="14.25" customHeight="1" x14ac:dyDescent="0.2">
      <c r="B19" s="116"/>
      <c r="C19" s="117" t="s">
        <v>154</v>
      </c>
    </row>
    <row r="20" spans="1:5" ht="14.25" customHeight="1" x14ac:dyDescent="0.2">
      <c r="B20" s="116"/>
      <c r="C20" s="117" t="s">
        <v>164</v>
      </c>
    </row>
    <row r="21" spans="1:5" ht="14.25" customHeight="1" x14ac:dyDescent="0.2">
      <c r="B21" s="116"/>
      <c r="C21" s="117" t="s">
        <v>167</v>
      </c>
    </row>
    <row r="22" spans="1:5" ht="14.25" customHeight="1" x14ac:dyDescent="0.2">
      <c r="B22" s="116"/>
      <c r="C22" s="117" t="s">
        <v>170</v>
      </c>
    </row>
    <row r="23" spans="1:5" ht="14.25" customHeight="1" thickBot="1" x14ac:dyDescent="0.25">
      <c r="B23" s="123"/>
      <c r="C23" s="124"/>
    </row>
    <row r="24" spans="1:5" ht="14.25" customHeight="1" x14ac:dyDescent="0.2">
      <c r="B24" s="121" t="s">
        <v>166</v>
      </c>
      <c r="C24" s="122" t="s">
        <v>170</v>
      </c>
    </row>
    <row r="25" spans="1:5" ht="14.25" customHeight="1" x14ac:dyDescent="0.2">
      <c r="B25" s="116"/>
      <c r="C25" s="117" t="s">
        <v>154</v>
      </c>
    </row>
    <row r="26" spans="1:5" ht="14.25" customHeight="1" thickBot="1" x14ac:dyDescent="0.25">
      <c r="B26" s="119"/>
      <c r="C26" s="120"/>
    </row>
    <row r="30" spans="1:5" x14ac:dyDescent="0.2">
      <c r="A30" s="218"/>
      <c r="B30" s="218"/>
      <c r="C30" s="218"/>
      <c r="D30" s="218"/>
      <c r="E30" s="218"/>
    </row>
    <row r="31" spans="1:5" ht="25.5" x14ac:dyDescent="0.2">
      <c r="A31" s="102" t="s">
        <v>168</v>
      </c>
      <c r="B31" s="102" t="s">
        <v>96</v>
      </c>
      <c r="C31" s="102" t="s">
        <v>173</v>
      </c>
      <c r="D31" s="102" t="s">
        <v>174</v>
      </c>
      <c r="E31" s="102" t="s">
        <v>175</v>
      </c>
    </row>
    <row r="32" spans="1:5" ht="25.5" x14ac:dyDescent="0.2">
      <c r="A32" s="226" t="s">
        <v>176</v>
      </c>
      <c r="B32" s="102" t="s">
        <v>177</v>
      </c>
      <c r="C32" s="102" t="s">
        <v>178</v>
      </c>
      <c r="D32" s="102" t="s">
        <v>179</v>
      </c>
      <c r="E32" s="102" t="s">
        <v>179</v>
      </c>
    </row>
    <row r="33" spans="1:9" ht="25.5" x14ac:dyDescent="0.2">
      <c r="A33" s="226" t="s">
        <v>180</v>
      </c>
      <c r="B33" s="102" t="s">
        <v>97</v>
      </c>
      <c r="C33" s="102" t="s">
        <v>181</v>
      </c>
      <c r="D33" s="102" t="s">
        <v>182</v>
      </c>
      <c r="E33" s="102" t="s">
        <v>182</v>
      </c>
    </row>
    <row r="34" spans="1:9" ht="25.5" x14ac:dyDescent="0.2">
      <c r="A34" s="226" t="s">
        <v>183</v>
      </c>
      <c r="B34" s="102" t="s">
        <v>184</v>
      </c>
      <c r="C34" s="102" t="s">
        <v>185</v>
      </c>
      <c r="D34" s="102" t="s">
        <v>186</v>
      </c>
      <c r="E34" s="102" t="s">
        <v>186</v>
      </c>
    </row>
    <row r="35" spans="1:9" ht="25.5" x14ac:dyDescent="0.2">
      <c r="B35" s="102" t="s">
        <v>187</v>
      </c>
    </row>
    <row r="37" spans="1:9" x14ac:dyDescent="0.2">
      <c r="H37" s="102" t="s">
        <v>85</v>
      </c>
      <c r="I37" s="102" t="s">
        <v>188</v>
      </c>
    </row>
    <row r="38" spans="1:9" ht="102" x14ac:dyDescent="0.2">
      <c r="A38" s="232" t="s">
        <v>189</v>
      </c>
      <c r="B38" s="232" t="s">
        <v>94</v>
      </c>
      <c r="C38" s="232" t="s">
        <v>164</v>
      </c>
      <c r="D38" s="232" t="s">
        <v>190</v>
      </c>
      <c r="E38" s="232" t="s">
        <v>170</v>
      </c>
      <c r="F38" s="232" t="s">
        <v>191</v>
      </c>
      <c r="H38" s="102" t="s">
        <v>189</v>
      </c>
      <c r="I38" s="102" t="s">
        <v>192</v>
      </c>
    </row>
    <row r="39" spans="1:9" ht="63.75" x14ac:dyDescent="0.2">
      <c r="A39" s="228" t="s">
        <v>193</v>
      </c>
      <c r="B39" s="229" t="s">
        <v>194</v>
      </c>
      <c r="C39" s="229" t="s">
        <v>195</v>
      </c>
      <c r="D39" s="228" t="s">
        <v>196</v>
      </c>
      <c r="E39" s="228" t="s">
        <v>197</v>
      </c>
      <c r="F39" s="230" t="s">
        <v>198</v>
      </c>
      <c r="H39" s="102" t="s">
        <v>94</v>
      </c>
      <c r="I39" s="102" t="s">
        <v>199</v>
      </c>
    </row>
    <row r="40" spans="1:9" ht="38.25" x14ac:dyDescent="0.2">
      <c r="A40" s="228" t="s">
        <v>200</v>
      </c>
      <c r="B40" s="229" t="s">
        <v>95</v>
      </c>
      <c r="C40" s="229" t="s">
        <v>201</v>
      </c>
      <c r="D40" s="231" t="s">
        <v>202</v>
      </c>
      <c r="E40" s="231" t="s">
        <v>203</v>
      </c>
      <c r="F40" s="228" t="s">
        <v>204</v>
      </c>
      <c r="H40" s="102" t="s">
        <v>164</v>
      </c>
      <c r="I40" s="102" t="s">
        <v>205</v>
      </c>
    </row>
    <row r="41" spans="1:9" ht="28.5" x14ac:dyDescent="0.2">
      <c r="A41" s="228" t="s">
        <v>206</v>
      </c>
      <c r="B41" s="229" t="s">
        <v>207</v>
      </c>
      <c r="C41" s="229" t="s">
        <v>208</v>
      </c>
      <c r="D41" s="231" t="s">
        <v>209</v>
      </c>
      <c r="E41" s="231" t="s">
        <v>210</v>
      </c>
      <c r="F41" s="231" t="s">
        <v>211</v>
      </c>
      <c r="H41" s="102" t="s">
        <v>190</v>
      </c>
      <c r="I41" s="102" t="s">
        <v>212</v>
      </c>
    </row>
    <row r="42" spans="1:9" ht="28.5" x14ac:dyDescent="0.2">
      <c r="A42" s="228" t="s">
        <v>213</v>
      </c>
      <c r="B42" s="229" t="s">
        <v>214</v>
      </c>
      <c r="C42" s="229" t="s">
        <v>215</v>
      </c>
      <c r="D42" s="231" t="s">
        <v>216</v>
      </c>
      <c r="E42" s="231" t="s">
        <v>217</v>
      </c>
      <c r="F42" s="231" t="s">
        <v>218</v>
      </c>
      <c r="H42" s="102" t="s">
        <v>170</v>
      </c>
      <c r="I42" s="102" t="s">
        <v>219</v>
      </c>
    </row>
    <row r="43" spans="1:9" ht="25.5" x14ac:dyDescent="0.2">
      <c r="A43" s="228" t="s">
        <v>220</v>
      </c>
      <c r="B43" s="227"/>
      <c r="C43" s="227"/>
      <c r="D43" s="231" t="s">
        <v>221</v>
      </c>
      <c r="E43" s="227"/>
      <c r="F43" s="227"/>
      <c r="H43" s="102" t="s">
        <v>191</v>
      </c>
      <c r="I43" s="102" t="s">
        <v>222</v>
      </c>
    </row>
    <row r="44" spans="1:9" ht="28.5" x14ac:dyDescent="0.2">
      <c r="A44" s="228" t="s">
        <v>223</v>
      </c>
      <c r="B44" s="227"/>
      <c r="C44" s="227"/>
      <c r="D44" s="227"/>
      <c r="E44" s="227"/>
      <c r="F44" s="227"/>
    </row>
    <row r="45" spans="1:9" ht="42.75" x14ac:dyDescent="0.2">
      <c r="A45" s="228" t="s">
        <v>224</v>
      </c>
      <c r="B45" s="227"/>
      <c r="C45" s="227"/>
      <c r="D45" s="227"/>
      <c r="E45" s="227"/>
      <c r="F45" s="227"/>
    </row>
    <row r="46" spans="1:9" ht="28.5" x14ac:dyDescent="0.2">
      <c r="A46" s="228" t="s">
        <v>225</v>
      </c>
      <c r="B46" s="227"/>
      <c r="C46" s="227"/>
      <c r="D46" s="227"/>
      <c r="E46" s="227"/>
      <c r="F46" s="227"/>
    </row>
    <row r="47" spans="1:9" ht="28.5" x14ac:dyDescent="0.2">
      <c r="A47" s="228" t="s">
        <v>226</v>
      </c>
      <c r="B47" s="227"/>
      <c r="C47" s="227"/>
      <c r="D47" s="227"/>
      <c r="E47" s="227"/>
      <c r="F47" s="227"/>
    </row>
    <row r="50" spans="1:4" x14ac:dyDescent="0.2">
      <c r="A50" s="533" t="s">
        <v>227</v>
      </c>
      <c r="B50" s="534"/>
      <c r="C50" s="234" t="s">
        <v>228</v>
      </c>
      <c r="D50" s="234" t="s">
        <v>229</v>
      </c>
    </row>
    <row r="51" spans="1:4" ht="14.25" x14ac:dyDescent="0.2">
      <c r="A51" s="541" t="s">
        <v>230</v>
      </c>
      <c r="B51" s="233" t="s">
        <v>133</v>
      </c>
      <c r="C51" s="235">
        <v>0.25</v>
      </c>
      <c r="D51" s="235" t="s">
        <v>139</v>
      </c>
    </row>
    <row r="52" spans="1:4" ht="14.25" x14ac:dyDescent="0.2">
      <c r="A52" s="542"/>
      <c r="B52" s="233" t="s">
        <v>144</v>
      </c>
      <c r="C52" s="235">
        <v>0.15</v>
      </c>
      <c r="D52" s="235" t="s">
        <v>139</v>
      </c>
    </row>
    <row r="53" spans="1:4" ht="14.25" x14ac:dyDescent="0.2">
      <c r="A53" s="543"/>
      <c r="B53" s="233" t="s">
        <v>155</v>
      </c>
      <c r="C53" s="235">
        <v>0.1</v>
      </c>
      <c r="D53" s="235" t="s">
        <v>158</v>
      </c>
    </row>
    <row r="54" spans="1:4" ht="14.25" x14ac:dyDescent="0.2">
      <c r="A54" s="233" t="s">
        <v>231</v>
      </c>
      <c r="B54" s="233" t="s">
        <v>134</v>
      </c>
      <c r="C54" s="235">
        <v>0.25</v>
      </c>
    </row>
    <row r="55" spans="1:4" ht="23.25" x14ac:dyDescent="0.2">
      <c r="A55" s="233" t="s">
        <v>232</v>
      </c>
      <c r="B55" s="233" t="s">
        <v>145</v>
      </c>
      <c r="C55" s="235">
        <v>0.15</v>
      </c>
    </row>
    <row r="58" spans="1:4" ht="15" x14ac:dyDescent="0.25">
      <c r="A58" t="s">
        <v>233</v>
      </c>
      <c r="B58"/>
      <c r="C58"/>
    </row>
    <row r="59" spans="1:4" x14ac:dyDescent="0.2">
      <c r="A59" s="533" t="s">
        <v>227</v>
      </c>
      <c r="B59" s="534"/>
      <c r="C59" s="238" t="s">
        <v>188</v>
      </c>
    </row>
    <row r="60" spans="1:4" ht="80.45" customHeight="1" x14ac:dyDescent="0.2">
      <c r="A60" s="535" t="s">
        <v>123</v>
      </c>
      <c r="B60" s="228" t="s">
        <v>135</v>
      </c>
      <c r="C60" s="228" t="s">
        <v>234</v>
      </c>
    </row>
    <row r="61" spans="1:4" ht="34.5" customHeight="1" x14ac:dyDescent="0.2">
      <c r="A61" s="536"/>
      <c r="B61" s="228" t="s">
        <v>146</v>
      </c>
      <c r="C61" s="228" t="s">
        <v>235</v>
      </c>
    </row>
    <row r="62" spans="1:4" ht="34.5" customHeight="1" x14ac:dyDescent="0.2">
      <c r="A62" s="537"/>
      <c r="B62" s="228" t="s">
        <v>156</v>
      </c>
      <c r="C62" s="228" t="s">
        <v>236</v>
      </c>
    </row>
    <row r="63" spans="1:4" ht="12.75" customHeight="1" x14ac:dyDescent="0.2">
      <c r="A63" s="228" t="s">
        <v>124</v>
      </c>
      <c r="B63" s="228" t="s">
        <v>237</v>
      </c>
      <c r="C63" s="228" t="s">
        <v>238</v>
      </c>
    </row>
    <row r="64" spans="1:4" ht="14.25" x14ac:dyDescent="0.2">
      <c r="A64" s="228"/>
      <c r="B64" s="228" t="s">
        <v>239</v>
      </c>
      <c r="C64" s="228"/>
    </row>
    <row r="65" spans="1:3" ht="14.25" x14ac:dyDescent="0.2">
      <c r="A65" s="228"/>
      <c r="B65" s="228" t="s">
        <v>240</v>
      </c>
      <c r="C65" s="228"/>
    </row>
    <row r="66" spans="1:3" ht="14.25" x14ac:dyDescent="0.2">
      <c r="A66" s="228"/>
      <c r="B66" s="228" t="s">
        <v>241</v>
      </c>
      <c r="C66" s="228"/>
    </row>
    <row r="67" spans="1:3" ht="14.25" x14ac:dyDescent="0.2">
      <c r="A67" s="228"/>
      <c r="B67" s="228" t="s">
        <v>371</v>
      </c>
      <c r="C67" s="228"/>
    </row>
    <row r="68" spans="1:3" ht="14.25" x14ac:dyDescent="0.2">
      <c r="A68" s="228"/>
      <c r="B68" s="228" t="s">
        <v>242</v>
      </c>
      <c r="C68" s="228"/>
    </row>
    <row r="69" spans="1:3" ht="14.25" x14ac:dyDescent="0.2">
      <c r="A69" s="228"/>
      <c r="B69" s="228" t="s">
        <v>372</v>
      </c>
      <c r="C69" s="228"/>
    </row>
    <row r="70" spans="1:3" ht="12.75" customHeight="1" x14ac:dyDescent="0.2">
      <c r="A70" s="228" t="s">
        <v>243</v>
      </c>
      <c r="B70" s="228" t="s">
        <v>137</v>
      </c>
      <c r="C70" s="228" t="s">
        <v>244</v>
      </c>
    </row>
    <row r="71" spans="1:3" ht="14.25" x14ac:dyDescent="0.2">
      <c r="A71" s="228"/>
      <c r="B71" s="228" t="s">
        <v>148</v>
      </c>
      <c r="C71" s="228"/>
    </row>
    <row r="72" spans="1:3" ht="38.25" x14ac:dyDescent="0.2">
      <c r="A72" s="228" t="s">
        <v>245</v>
      </c>
      <c r="B72" s="228" t="s">
        <v>138</v>
      </c>
      <c r="C72" s="228" t="s">
        <v>246</v>
      </c>
    </row>
    <row r="73" spans="1:3" ht="69" customHeight="1" x14ac:dyDescent="0.2">
      <c r="A73" s="228"/>
      <c r="B73" s="228" t="s">
        <v>247</v>
      </c>
      <c r="C73" s="228" t="s">
        <v>248</v>
      </c>
    </row>
    <row r="74" spans="1:3" ht="34.5" customHeight="1" x14ac:dyDescent="0.2">
      <c r="A74" s="228"/>
      <c r="B74" s="228" t="s">
        <v>157</v>
      </c>
      <c r="C74" s="228"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activeCell="G5" sqref="G5:H5"/>
    </sheetView>
  </sheetViews>
  <sheetFormatPr baseColWidth="10" defaultColWidth="0" defaultRowHeight="12.75" zeroHeight="1" x14ac:dyDescent="0.25"/>
  <cols>
    <col min="1" max="1" width="11.42578125" style="51" customWidth="1"/>
    <col min="2" max="2" width="40" style="51" customWidth="1"/>
    <col min="3" max="3" width="13.42578125" style="51" customWidth="1"/>
    <col min="4" max="4" width="13" style="51" customWidth="1"/>
    <col min="5" max="5" width="16.42578125" style="51" customWidth="1"/>
    <col min="6" max="6" width="13.42578125" style="51" customWidth="1"/>
    <col min="7" max="7" width="29.85546875" style="51" bestFit="1" customWidth="1"/>
    <col min="8" max="8" width="10.140625" style="51" bestFit="1" customWidth="1"/>
    <col min="9" max="9" width="11.5703125" style="51" customWidth="1"/>
    <col min="10" max="10" width="29" style="51" bestFit="1" customWidth="1"/>
    <col min="11" max="11" width="15.42578125" style="51" customWidth="1"/>
    <col min="12" max="15" width="12.42578125" style="51" customWidth="1"/>
    <col min="16" max="16" width="3.85546875" style="51" customWidth="1"/>
    <col min="17" max="17" width="4.85546875" style="51" customWidth="1"/>
    <col min="18" max="18" width="5.85546875" style="51" bestFit="1" customWidth="1"/>
    <col min="19" max="24" width="14" style="51" customWidth="1"/>
    <col min="25" max="25" width="11.42578125" style="51" customWidth="1"/>
    <col min="26" max="29" width="11.42578125" style="51" hidden="1" customWidth="1"/>
    <col min="30" max="30" width="5.42578125" style="51" hidden="1" customWidth="1"/>
    <col min="31" max="31" width="26.85546875" style="51" hidden="1" customWidth="1"/>
    <col min="32" max="36" width="22.85546875" style="51" hidden="1" customWidth="1"/>
    <col min="37" max="37" width="23.42578125" style="51" hidden="1" customWidth="1"/>
    <col min="38" max="265" width="11.42578125" style="51" hidden="1" customWidth="1"/>
    <col min="266" max="266" width="12.42578125" style="51" hidden="1" customWidth="1"/>
    <col min="267" max="267" width="47" style="51" hidden="1" customWidth="1"/>
    <col min="268" max="268" width="35" style="51" hidden="1" customWidth="1"/>
    <col min="269" max="16384" width="14.42578125" style="51" hidden="1"/>
  </cols>
  <sheetData>
    <row r="1" spans="1:38" s="4" customFormat="1" ht="20.100000000000001" customHeight="1" thickTop="1" x14ac:dyDescent="0.25">
      <c r="A1" s="367"/>
      <c r="B1" s="370" t="s">
        <v>375</v>
      </c>
      <c r="C1" s="371"/>
      <c r="D1" s="371"/>
      <c r="E1" s="371"/>
      <c r="F1" s="371"/>
      <c r="G1" s="371"/>
      <c r="H1" s="371"/>
      <c r="I1" s="372"/>
      <c r="J1" s="313" t="s">
        <v>373</v>
      </c>
      <c r="K1" s="314"/>
      <c r="L1" s="260"/>
    </row>
    <row r="2" spans="1:38" s="4" customFormat="1" ht="20.100000000000001" customHeight="1" x14ac:dyDescent="0.25">
      <c r="A2" s="368"/>
      <c r="B2" s="373"/>
      <c r="C2" s="374"/>
      <c r="D2" s="374"/>
      <c r="E2" s="374"/>
      <c r="F2" s="374"/>
      <c r="G2" s="374"/>
      <c r="H2" s="374"/>
      <c r="I2" s="375"/>
      <c r="J2" s="315" t="s">
        <v>376</v>
      </c>
      <c r="K2" s="316"/>
      <c r="L2" s="260"/>
    </row>
    <row r="3" spans="1:38" s="3" customFormat="1" ht="16.5" thickBot="1" x14ac:dyDescent="0.25">
      <c r="A3" s="369"/>
      <c r="B3" s="376" t="s">
        <v>359</v>
      </c>
      <c r="C3" s="377"/>
      <c r="D3" s="377"/>
      <c r="E3" s="377"/>
      <c r="F3" s="377"/>
      <c r="G3" s="377"/>
      <c r="H3" s="377"/>
      <c r="I3" s="378"/>
      <c r="J3" s="317" t="s">
        <v>374</v>
      </c>
      <c r="K3" s="318"/>
      <c r="L3" s="261"/>
    </row>
    <row r="4" spans="1:38" s="3" customFormat="1" ht="17.100000000000001" customHeight="1" thickTop="1" x14ac:dyDescent="0.2">
      <c r="A4" s="381"/>
      <c r="B4" s="382"/>
      <c r="C4" s="382"/>
      <c r="D4" s="382"/>
      <c r="E4" s="382"/>
      <c r="F4" s="382"/>
      <c r="G4" s="382"/>
      <c r="H4" s="382"/>
      <c r="I4" s="382"/>
      <c r="J4" s="382"/>
      <c r="K4" s="383"/>
    </row>
    <row r="5" spans="1:38" s="28" customFormat="1" ht="27" customHeight="1" x14ac:dyDescent="0.25">
      <c r="A5" s="108" t="s">
        <v>80</v>
      </c>
      <c r="B5" s="272" t="str">
        <f>'2 IDENTIFICACIÓN'!B5</f>
        <v>ALCALDIA DE BUCARAMANGA</v>
      </c>
      <c r="C5" s="294"/>
      <c r="D5" s="294"/>
      <c r="E5" s="291"/>
      <c r="F5" s="251" t="s">
        <v>81</v>
      </c>
      <c r="G5" s="566" t="str">
        <f>'2 IDENTIFICACIÓN'!G5</f>
        <v>GESTIÓN DE LAS FINANZAS PUBLICAS</v>
      </c>
      <c r="H5" s="567"/>
      <c r="I5" s="251" t="s">
        <v>353</v>
      </c>
      <c r="J5" s="289">
        <f>'2 IDENTIFICACIÓN'!J5</f>
        <v>2026</v>
      </c>
      <c r="K5" s="295"/>
    </row>
    <row r="6" spans="1:38" s="28" customFormat="1" ht="15.75" thickBot="1" x14ac:dyDescent="0.25">
      <c r="A6" s="263"/>
      <c r="B6" s="7"/>
      <c r="C6" s="7"/>
      <c r="D6" s="7"/>
      <c r="E6" s="7"/>
      <c r="F6" s="263"/>
      <c r="G6" s="169"/>
      <c r="H6" s="169"/>
      <c r="I6" s="169"/>
      <c r="J6" s="169"/>
      <c r="K6" s="169"/>
      <c r="S6" s="296"/>
      <c r="T6" s="296"/>
      <c r="U6" s="296"/>
    </row>
    <row r="7" spans="1:38" s="296" customFormat="1" ht="13.5" thickBot="1" x14ac:dyDescent="0.25">
      <c r="D7" s="39"/>
      <c r="E7" s="292"/>
      <c r="F7" s="39"/>
      <c r="I7" s="482" t="s">
        <v>320</v>
      </c>
      <c r="J7" s="483"/>
      <c r="K7" s="483"/>
      <c r="L7" s="483"/>
      <c r="M7" s="483"/>
      <c r="N7" s="483"/>
      <c r="O7" s="484"/>
      <c r="R7" s="297"/>
      <c r="S7" s="298"/>
      <c r="T7" s="476" t="s">
        <v>158</v>
      </c>
      <c r="U7" s="476"/>
      <c r="V7" s="476"/>
      <c r="W7" s="476"/>
      <c r="X7" s="477"/>
      <c r="AF7" s="38"/>
      <c r="AG7" s="38"/>
      <c r="AH7" s="38"/>
      <c r="AI7" s="38"/>
      <c r="AJ7" s="38"/>
    </row>
    <row r="8" spans="1:38" x14ac:dyDescent="0.25">
      <c r="A8" s="43"/>
      <c r="B8" s="43"/>
      <c r="C8" s="43"/>
      <c r="D8" s="43"/>
      <c r="E8" s="394" t="s">
        <v>321</v>
      </c>
      <c r="F8" s="394"/>
      <c r="G8" s="394"/>
      <c r="H8" s="43"/>
      <c r="I8" s="299"/>
      <c r="J8" s="300"/>
      <c r="K8" s="476" t="s">
        <v>158</v>
      </c>
      <c r="L8" s="476"/>
      <c r="M8" s="476"/>
      <c r="N8" s="476"/>
      <c r="O8" s="477"/>
      <c r="P8" s="43"/>
      <c r="R8" s="301"/>
      <c r="T8" s="48">
        <v>0.2</v>
      </c>
      <c r="U8" s="48">
        <v>0.4</v>
      </c>
      <c r="V8" s="48">
        <v>0.6</v>
      </c>
      <c r="W8" s="48">
        <v>0.8</v>
      </c>
      <c r="X8" s="49">
        <v>1</v>
      </c>
      <c r="Y8" s="302"/>
      <c r="Z8" s="302"/>
      <c r="AA8" s="302"/>
      <c r="AB8" s="302"/>
      <c r="AC8" s="302"/>
      <c r="AD8" s="302"/>
      <c r="AE8" s="302"/>
    </row>
    <row r="9" spans="1:38" ht="39.950000000000003" customHeight="1" x14ac:dyDescent="0.2">
      <c r="A9" s="53" t="s">
        <v>255</v>
      </c>
      <c r="B9" s="53" t="s">
        <v>297</v>
      </c>
      <c r="C9" s="53" t="s">
        <v>322</v>
      </c>
      <c r="D9" s="53" t="s">
        <v>322</v>
      </c>
      <c r="E9" s="53" t="s">
        <v>139</v>
      </c>
      <c r="F9" s="53" t="s">
        <v>158</v>
      </c>
      <c r="G9" s="53" t="s">
        <v>323</v>
      </c>
      <c r="H9" s="43"/>
      <c r="I9" s="301"/>
      <c r="J9" s="53"/>
      <c r="K9" s="56" t="s">
        <v>272</v>
      </c>
      <c r="L9" s="56" t="s">
        <v>276</v>
      </c>
      <c r="M9" s="56" t="s">
        <v>280</v>
      </c>
      <c r="N9" s="56" t="s">
        <v>285</v>
      </c>
      <c r="O9" s="57" t="s">
        <v>290</v>
      </c>
      <c r="P9" s="43"/>
      <c r="R9" s="301"/>
      <c r="S9" s="258"/>
      <c r="T9" s="59" t="s">
        <v>272</v>
      </c>
      <c r="U9" s="59" t="s">
        <v>276</v>
      </c>
      <c r="V9" s="59" t="s">
        <v>280</v>
      </c>
      <c r="W9" s="59" t="s">
        <v>285</v>
      </c>
      <c r="X9" s="60" t="s">
        <v>290</v>
      </c>
      <c r="AA9" s="302"/>
      <c r="AB9" s="302"/>
      <c r="AC9" s="303"/>
      <c r="AD9" s="303"/>
      <c r="AE9" s="303"/>
      <c r="AF9" s="303"/>
      <c r="AG9" s="303"/>
      <c r="AH9" s="303"/>
      <c r="AI9" s="303"/>
      <c r="AJ9" s="303"/>
      <c r="AK9" s="303"/>
      <c r="AL9" s="303"/>
    </row>
    <row r="10" spans="1:38" ht="106.5" customHeight="1" x14ac:dyDescent="0.2">
      <c r="A10" s="62" t="str">
        <f>'2 IDENTIFICACIÓN'!A10</f>
        <v>R1</v>
      </c>
      <c r="B10" s="258" t="str">
        <f>+'2 IDENTIFICACIÓN'!J10</f>
        <v>Posibilidad de afectación reputacional por investigaciones de entes de control debido a la falta de control y seguimiento a las partidas conciliatorias y conceptos de ingresos que afectan los movimientos bancarios, generando inconsistencias entre los libros contables y los extractos bancarios</v>
      </c>
      <c r="C10" s="89">
        <f>+'5 VALORACIÓN DEL CONTROL'!T15</f>
        <v>0.6</v>
      </c>
      <c r="D10" s="64">
        <f>+'5 VALORACIÓN DEL CONTROL'!U15</f>
        <v>0.6</v>
      </c>
      <c r="E10" s="64" t="str">
        <f>+IF(C10=0,"",IF(C10&lt;=$R$14,$S$14,IF(C10&lt;=$R$13,$S$13,IF(C10&lt;=$R$12,$S$12,IF(C10&lt;=$R$11,$S$11,IF(C10&lt;=$R$10,$S$10,""))))))</f>
        <v>Media</v>
      </c>
      <c r="F10" s="64" t="str">
        <f>+IF(D10=0,"",IF(D10&lt;=$T$8,$T$9,IF(D10&lt;=$U$8,$U$9,IF(D10&lt;=$V$8,$V$9,IF(D10&lt;=$W$8,$W$9,IF(D10&lt;=$X$8,$X$9,""))))))</f>
        <v>Moderado</v>
      </c>
      <c r="G10" s="258"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Moderado</v>
      </c>
      <c r="I10" s="480"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44" t="s">
        <v>139</v>
      </c>
      <c r="R10" s="68">
        <v>1</v>
      </c>
      <c r="S10" s="59" t="s">
        <v>288</v>
      </c>
      <c r="T10" s="66" t="s">
        <v>298</v>
      </c>
      <c r="U10" s="66" t="s">
        <v>298</v>
      </c>
      <c r="V10" s="66" t="s">
        <v>298</v>
      </c>
      <c r="W10" s="66" t="s">
        <v>298</v>
      </c>
      <c r="X10" s="67" t="s">
        <v>299</v>
      </c>
      <c r="AA10" s="302"/>
      <c r="AB10" s="302"/>
      <c r="AC10" s="303"/>
      <c r="AD10" s="303"/>
      <c r="AE10" s="303"/>
      <c r="AF10" s="69"/>
      <c r="AG10" s="69"/>
      <c r="AH10" s="69"/>
      <c r="AI10" s="69"/>
      <c r="AJ10" s="69"/>
      <c r="AK10" s="303"/>
      <c r="AL10" s="303"/>
    </row>
    <row r="11" spans="1:38" ht="108" customHeight="1" x14ac:dyDescent="0.2">
      <c r="A11" s="62" t="str">
        <f>'2 IDENTIFICACIÓN'!A11</f>
        <v>R2</v>
      </c>
      <c r="B11" s="258" t="str">
        <f>+'2 IDENTIFICACIÓN'!J11</f>
        <v>Posibilidad de afectación reputacional por deficiencias en la planeación de las necesidades del Plan Anual de Adquisiciones de la Secretaría de Hacienda,  debido a insuficiencias en la identificación y proyección oportuna de los requerimientos contractuales, generando compromisos de vigencias futuras para atender necesidades de la vigencia actual</v>
      </c>
      <c r="C11" s="89">
        <f>+'5 VALORACIÓN DEL CONTROL'!T21</f>
        <v>0.6</v>
      </c>
      <c r="D11" s="64">
        <f>+'5 VALORACIÓN DEL CONTROL'!U21</f>
        <v>0.6</v>
      </c>
      <c r="E11" s="64" t="str">
        <f t="shared" ref="E11:E39" si="0">+IF(C11=0,"",IF(C11&lt;=$R$14,$S$14,IF(C11&lt;=$R$13,$S$13,IF(C11&lt;=$R$12,$S$12,IF(C11&lt;=$R$11,$S$11,IF(C11&lt;=$R$10,$S$10,""))))))</f>
        <v>Media</v>
      </c>
      <c r="F11" s="64" t="str">
        <f t="shared" ref="F11:F39" si="1">+IF(D11=0,"",IF(D11&lt;=$T$8,$T$9,IF(D11&lt;=$U$8,$U$9,IF(D11&lt;=$V$8,$V$9,IF(D11&lt;=$W$8,$W$9,IF(D11&lt;=$X$8,$X$9,""))))))</f>
        <v>Moderado</v>
      </c>
      <c r="G11" s="258"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Moderado</v>
      </c>
      <c r="I11" s="480"/>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44"/>
      <c r="R11" s="68">
        <v>0.8</v>
      </c>
      <c r="S11" s="59" t="s">
        <v>283</v>
      </c>
      <c r="T11" s="70" t="s">
        <v>280</v>
      </c>
      <c r="U11" s="70" t="s">
        <v>280</v>
      </c>
      <c r="V11" s="66" t="s">
        <v>298</v>
      </c>
      <c r="W11" s="66" t="s">
        <v>298</v>
      </c>
      <c r="X11" s="67" t="s">
        <v>299</v>
      </c>
      <c r="AA11" s="302"/>
      <c r="AB11" s="302"/>
      <c r="AC11" s="303"/>
      <c r="AD11" s="304"/>
      <c r="AE11" s="72"/>
      <c r="AF11" s="69"/>
      <c r="AG11" s="69"/>
      <c r="AH11" s="69"/>
      <c r="AI11" s="69"/>
      <c r="AJ11" s="69"/>
      <c r="AK11" s="303"/>
      <c r="AL11" s="303"/>
    </row>
    <row r="12" spans="1:38" ht="93" customHeight="1" x14ac:dyDescent="0.2">
      <c r="A12" s="62" t="str">
        <f>'2 IDENTIFICACIÓN'!A12</f>
        <v>R3</v>
      </c>
      <c r="B12" s="258" t="str">
        <f>+'2 IDENTIFICACIÓN'!J12</f>
        <v>Posibilidad de afectación reputacional por investigaciones y sanciones disciplinarias  debido a entes de control, debido al incumplimiento de la Ley 594 de 2000 en la gestión documental de la Secretaría de Hacienda</v>
      </c>
      <c r="C12" s="89">
        <f>+'5 VALORACIÓN DEL CONTROL'!T27</f>
        <v>0.6</v>
      </c>
      <c r="D12" s="64">
        <f>+'5 VALORACIÓN DEL CONTROL'!U27</f>
        <v>0.6</v>
      </c>
      <c r="E12" s="64" t="str">
        <f t="shared" si="0"/>
        <v>Media</v>
      </c>
      <c r="F12" s="64" t="str">
        <f t="shared" si="1"/>
        <v>Moderado</v>
      </c>
      <c r="G12" s="258"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80"/>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R8    R12      R18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R1 R2 R3 R4 R5  R7  R9 R10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R6     R11  R13 R14   R17  R19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R15 R16    </v>
      </c>
      <c r="Q12" s="544"/>
      <c r="R12" s="68">
        <v>0.6</v>
      </c>
      <c r="S12" s="59" t="s">
        <v>278</v>
      </c>
      <c r="T12" s="70" t="s">
        <v>280</v>
      </c>
      <c r="U12" s="70" t="s">
        <v>280</v>
      </c>
      <c r="V12" s="70" t="s">
        <v>280</v>
      </c>
      <c r="W12" s="66" t="s">
        <v>298</v>
      </c>
      <c r="X12" s="67" t="s">
        <v>299</v>
      </c>
      <c r="AA12" s="302"/>
      <c r="AB12" s="302"/>
      <c r="AC12" s="303"/>
      <c r="AD12" s="304"/>
      <c r="AE12" s="72"/>
      <c r="AF12" s="69"/>
      <c r="AG12" s="69"/>
      <c r="AH12" s="69"/>
      <c r="AI12" s="69"/>
      <c r="AJ12" s="73"/>
      <c r="AK12" s="303"/>
      <c r="AL12" s="303"/>
    </row>
    <row r="13" spans="1:38" ht="93" customHeight="1" x14ac:dyDescent="0.2">
      <c r="A13" s="62" t="str">
        <f>'2 IDENTIFICACIÓN'!A13</f>
        <v>R4</v>
      </c>
      <c r="B13" s="258" t="str">
        <f>+'2 IDENTIFICACIÓN'!J13</f>
        <v xml:space="preserve">Posibilidad de afectación reputacional por inconsistencias o errores en el registro y reporte de la información de ingresos presentada en los sistemas CHIP y SIA Contraloría,  debido a deficiencias en la parametrización, interoperabilidad y funcionamiento del Sistema de Información Financiero (SIF), frente a los lineamientos establecidos por los entes de control. </v>
      </c>
      <c r="C13" s="89">
        <f>+'5 VALORACIÓN DEL CONTROL'!T33</f>
        <v>0.6</v>
      </c>
      <c r="D13" s="64">
        <f>+'5 VALORACIÓN DEL CONTROL'!U33</f>
        <v>0.6</v>
      </c>
      <c r="E13" s="64" t="str">
        <f t="shared" si="0"/>
        <v>Media</v>
      </c>
      <c r="F13" s="64" t="str">
        <f t="shared" si="1"/>
        <v>Moderado</v>
      </c>
      <c r="G13" s="258"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80"/>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544"/>
      <c r="R13" s="68">
        <v>0.4</v>
      </c>
      <c r="S13" s="59" t="s">
        <v>274</v>
      </c>
      <c r="T13" s="74" t="s">
        <v>300</v>
      </c>
      <c r="U13" s="70" t="s">
        <v>280</v>
      </c>
      <c r="V13" s="70" t="s">
        <v>280</v>
      </c>
      <c r="W13" s="66" t="s">
        <v>298</v>
      </c>
      <c r="X13" s="67" t="s">
        <v>299</v>
      </c>
      <c r="AA13" s="302"/>
      <c r="AB13" s="302"/>
      <c r="AC13" s="303"/>
      <c r="AD13" s="304"/>
      <c r="AE13" s="72"/>
      <c r="AF13" s="69"/>
      <c r="AG13" s="69"/>
      <c r="AH13" s="69"/>
      <c r="AI13" s="73"/>
      <c r="AJ13" s="69"/>
      <c r="AK13" s="303"/>
      <c r="AL13" s="303"/>
    </row>
    <row r="14" spans="1:38" ht="93" customHeight="1" thickBot="1" x14ac:dyDescent="0.25">
      <c r="A14" s="62" t="str">
        <f>'2 IDENTIFICACIÓN'!A14</f>
        <v>R5</v>
      </c>
      <c r="B14" s="258" t="str">
        <f>+'2 IDENTIFICACIÓN'!J14</f>
        <v xml:space="preserve">Posibilidad de afectación reputacional por debilidades en la planeación, gestión y ejecución de las obligaciones contractuales por parte de las unidades gestoras debido a deficiencias en la supervisión y ejecución oportuna contractual producto de la constitución de reservas presupuestales y pasivos exigibles </v>
      </c>
      <c r="C14" s="89">
        <f>+'5 VALORACIÓN DEL CONTROL'!T39</f>
        <v>0.6</v>
      </c>
      <c r="D14" s="64">
        <f>+'5 VALORACIÓN DEL CONTROL'!U39</f>
        <v>0.6</v>
      </c>
      <c r="E14" s="64" t="str">
        <f t="shared" si="0"/>
        <v>Media</v>
      </c>
      <c r="F14" s="64" t="str">
        <f t="shared" si="1"/>
        <v>Moderado</v>
      </c>
      <c r="G14" s="258" t="str">
        <f t="shared" si="2"/>
        <v>Moderado</v>
      </c>
      <c r="I14" s="481"/>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44"/>
      <c r="R14" s="80">
        <v>0.2</v>
      </c>
      <c r="S14" s="81" t="s">
        <v>270</v>
      </c>
      <c r="T14" s="76" t="s">
        <v>300</v>
      </c>
      <c r="U14" s="76" t="s">
        <v>300</v>
      </c>
      <c r="V14" s="77" t="s">
        <v>280</v>
      </c>
      <c r="W14" s="78" t="s">
        <v>298</v>
      </c>
      <c r="X14" s="79" t="s">
        <v>299</v>
      </c>
      <c r="AA14" s="302"/>
      <c r="AB14" s="302"/>
      <c r="AC14" s="303"/>
      <c r="AD14" s="304"/>
      <c r="AE14" s="72"/>
      <c r="AF14" s="69"/>
      <c r="AG14" s="69"/>
      <c r="AH14" s="69"/>
      <c r="AI14" s="69"/>
      <c r="AJ14" s="69"/>
      <c r="AK14" s="303"/>
      <c r="AL14" s="303"/>
    </row>
    <row r="15" spans="1:38" ht="93" customHeight="1" x14ac:dyDescent="0.2">
      <c r="A15" s="62" t="str">
        <f>'2 IDENTIFICACIÓN'!A15</f>
        <v>R6</v>
      </c>
      <c r="B15" s="258" t="str">
        <f>+'2 IDENTIFICACIÓN'!J15</f>
        <v xml:space="preserve">Posibilidad de afectación económica y reputacional por generación de información contable y financiera no razonable o inconsistente del Municipio de Bucaramanga,  debido a debilidades en la depuración contable, validación de saldos, conciliación y análisis de la información registrada en el Sistema de Información Financiera, en incumplimiento del Marco Normativo del Régimen de Contabilidad Pública. </v>
      </c>
      <c r="C15" s="89">
        <f>+'5 VALORACIÓN DEL CONTROL'!T45</f>
        <v>0.6</v>
      </c>
      <c r="D15" s="64">
        <f>+'5 VALORACIÓN DEL CONTROL'!U45</f>
        <v>0.8</v>
      </c>
      <c r="E15" s="64" t="str">
        <f t="shared" si="0"/>
        <v>Media</v>
      </c>
      <c r="F15" s="64" t="str">
        <f t="shared" si="1"/>
        <v>Mayor</v>
      </c>
      <c r="G15" s="258" t="str">
        <f t="shared" si="2"/>
        <v>Alto</v>
      </c>
      <c r="AA15" s="302"/>
      <c r="AB15" s="302"/>
      <c r="AC15" s="303"/>
      <c r="AD15" s="304"/>
      <c r="AE15" s="72"/>
      <c r="AF15" s="69"/>
      <c r="AG15" s="69"/>
      <c r="AH15" s="69"/>
      <c r="AI15" s="69"/>
      <c r="AJ15" s="69"/>
      <c r="AK15" s="303"/>
      <c r="AL15" s="303"/>
    </row>
    <row r="16" spans="1:38" ht="93" customHeight="1" x14ac:dyDescent="0.2">
      <c r="A16" s="62" t="str">
        <f>'2 IDENTIFICACIÓN'!A16</f>
        <v>R7</v>
      </c>
      <c r="B16" s="258" t="str">
        <f>+'2 IDENTIFICACIÓN'!J16</f>
        <v>Posibilidad de afectación reputacional por investigaciones y sanciones disciplinarias por entes de control debido a la falta de seguimiento al cumplimiento de metas del Plan de Desarrollo Municipal programadas para la vigencia.</v>
      </c>
      <c r="C16" s="89">
        <f>+'5 VALORACIÓN DEL CONTROL'!T51</f>
        <v>0.6</v>
      </c>
      <c r="D16" s="64">
        <f>+'5 VALORACIÓN DEL CONTROL'!U51</f>
        <v>0.6</v>
      </c>
      <c r="E16" s="64" t="str">
        <f t="shared" si="0"/>
        <v>Media</v>
      </c>
      <c r="F16" s="64" t="str">
        <f t="shared" si="1"/>
        <v>Moderado</v>
      </c>
      <c r="G16" s="258" t="str">
        <f t="shared" si="2"/>
        <v>Moderado</v>
      </c>
      <c r="T16" s="53" t="s">
        <v>301</v>
      </c>
      <c r="V16" s="302"/>
      <c r="W16" s="302"/>
      <c r="X16" s="302"/>
      <c r="Y16" s="302"/>
      <c r="Z16" s="302"/>
      <c r="AA16" s="302"/>
      <c r="AB16" s="302"/>
      <c r="AC16" s="303"/>
      <c r="AD16" s="304"/>
      <c r="AE16" s="303"/>
      <c r="AF16" s="72"/>
      <c r="AG16" s="72"/>
      <c r="AH16" s="72"/>
      <c r="AI16" s="72"/>
      <c r="AJ16" s="72"/>
      <c r="AK16" s="303"/>
      <c r="AL16" s="303"/>
    </row>
    <row r="17" spans="1:38" ht="93" customHeight="1" x14ac:dyDescent="0.2">
      <c r="A17" s="62" t="str">
        <f>'2 IDENTIFICACIÓN'!A17</f>
        <v>R8</v>
      </c>
      <c r="B17" s="258" t="str">
        <f>+'2 IDENTIFICACIÓN'!J17</f>
        <v xml:space="preserve">Posibilidad de afectación reputacional por debilidades en la publicación y actualización de la información obligatoria en la página web institucional,  debido a incumplimiento de los lineamientos establecidos en la Ley 1712 de 2014 y la Resolución 1519 de 2020 del MINTIC. </v>
      </c>
      <c r="C17" s="89">
        <f>+'5 VALORACIÓN DEL CONTROL'!T57</f>
        <v>0.6</v>
      </c>
      <c r="D17" s="64">
        <f>+'5 VALORACIÓN DEL CONTROL'!U57</f>
        <v>0.4</v>
      </c>
      <c r="E17" s="64" t="str">
        <f t="shared" si="0"/>
        <v>Media</v>
      </c>
      <c r="F17" s="64" t="str">
        <f t="shared" si="1"/>
        <v>Menor</v>
      </c>
      <c r="G17" s="258" t="str">
        <f t="shared" si="2"/>
        <v>Moderado</v>
      </c>
      <c r="T17" s="83" t="s">
        <v>299</v>
      </c>
      <c r="V17" s="302"/>
      <c r="W17" s="302"/>
      <c r="X17" s="302"/>
      <c r="Y17" s="302"/>
      <c r="Z17" s="302"/>
      <c r="AA17" s="302"/>
      <c r="AB17" s="302"/>
      <c r="AC17" s="303"/>
      <c r="AD17" s="303"/>
      <c r="AE17" s="303"/>
      <c r="AF17" s="69"/>
      <c r="AG17" s="69"/>
      <c r="AH17" s="69"/>
      <c r="AI17" s="69"/>
      <c r="AJ17" s="69"/>
      <c r="AK17" s="303"/>
      <c r="AL17" s="303"/>
    </row>
    <row r="18" spans="1:38" ht="93" customHeight="1" x14ac:dyDescent="0.2">
      <c r="A18" s="62" t="str">
        <f>'2 IDENTIFICACIÓN'!A18</f>
        <v>R9</v>
      </c>
      <c r="B18" s="258" t="str">
        <f>+'2 IDENTIFICACIÓN'!J18</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8" s="89">
        <f>+'5 VALORACIÓN DEL CONTROL'!T63</f>
        <v>0.6</v>
      </c>
      <c r="D18" s="64">
        <f>+'5 VALORACIÓN DEL CONTROL'!U63</f>
        <v>0.6</v>
      </c>
      <c r="E18" s="64" t="str">
        <f t="shared" si="0"/>
        <v>Media</v>
      </c>
      <c r="F18" s="64" t="str">
        <f t="shared" si="1"/>
        <v>Moderado</v>
      </c>
      <c r="G18" s="258" t="str">
        <f t="shared" si="2"/>
        <v>Moderado</v>
      </c>
      <c r="T18" s="66" t="s">
        <v>298</v>
      </c>
      <c r="U18" s="302"/>
      <c r="V18" s="302"/>
      <c r="W18" s="302"/>
      <c r="X18" s="302"/>
      <c r="Y18" s="302"/>
      <c r="Z18" s="302"/>
      <c r="AA18" s="302"/>
      <c r="AB18" s="302"/>
      <c r="AC18" s="303"/>
      <c r="AD18" s="303"/>
      <c r="AE18" s="303"/>
      <c r="AF18" s="69"/>
      <c r="AG18" s="69"/>
      <c r="AH18" s="69"/>
      <c r="AI18" s="69"/>
      <c r="AJ18" s="69"/>
      <c r="AK18" s="303"/>
      <c r="AL18" s="303"/>
    </row>
    <row r="19" spans="1:38" ht="93" customHeight="1" x14ac:dyDescent="0.2">
      <c r="A19" s="62" t="str">
        <f>'2 IDENTIFICACIÓN'!A19</f>
        <v>R10</v>
      </c>
      <c r="B19" s="258" t="str">
        <f>+'2 IDENTIFICACIÓN'!J19</f>
        <v xml:space="preserve">Posibilidad de afectación económica y reputacional por desconocimiento del avance y ejecución de las metas institucionales,  debido a a debilidades en el seguimiento a los recursos del Fondo Municipal de Gestión del Riesgo. </v>
      </c>
      <c r="C19" s="89">
        <f>+'5 VALORACIÓN DEL CONTROL'!T69</f>
        <v>0.6</v>
      </c>
      <c r="D19" s="64">
        <f>+'5 VALORACIÓN DEL CONTROL'!U69</f>
        <v>0.6</v>
      </c>
      <c r="E19" s="64" t="str">
        <f t="shared" si="0"/>
        <v>Media</v>
      </c>
      <c r="F19" s="64" t="str">
        <f t="shared" si="1"/>
        <v>Moderado</v>
      </c>
      <c r="G19" s="258" t="str">
        <f t="shared" si="2"/>
        <v>Moderado</v>
      </c>
      <c r="S19" s="305"/>
      <c r="T19" s="70" t="s">
        <v>280</v>
      </c>
      <c r="U19" s="305"/>
      <c r="V19" s="305"/>
      <c r="W19" s="305"/>
      <c r="X19" s="305"/>
      <c r="Y19" s="305"/>
      <c r="Z19" s="305"/>
      <c r="AA19" s="305"/>
      <c r="AB19" s="305"/>
      <c r="AC19" s="303"/>
      <c r="AD19" s="303"/>
      <c r="AE19" s="306"/>
      <c r="AF19" s="306"/>
      <c r="AG19" s="306"/>
      <c r="AH19" s="306"/>
      <c r="AI19" s="306"/>
      <c r="AJ19" s="306"/>
      <c r="AK19" s="303"/>
      <c r="AL19" s="303"/>
    </row>
    <row r="20" spans="1:38" ht="93" customHeight="1" x14ac:dyDescent="0.2">
      <c r="A20" s="62" t="str">
        <f>'2 IDENTIFICACIÓN'!A20</f>
        <v>R11</v>
      </c>
      <c r="B20" s="258" t="str">
        <f>+'2 IDENTIFICACIÓN'!J20</f>
        <v xml:space="preserve">Posibilidad  de efecto dañoso sobre el recurso público por pérdida, extravío, hurto o faltantes en inventario de bienes muebles de la entidad,  debido a deficiencias en la actualización, verificación y control del inventario de bienes muebles. </v>
      </c>
      <c r="C20" s="89">
        <f>+'5 VALORACIÓN DEL CONTROL'!T75</f>
        <v>0.6</v>
      </c>
      <c r="D20" s="64">
        <f>+'5 VALORACIÓN DEL CONTROL'!U75</f>
        <v>0.8</v>
      </c>
      <c r="E20" s="64" t="str">
        <f t="shared" si="0"/>
        <v>Media</v>
      </c>
      <c r="F20" s="64" t="str">
        <f t="shared" si="1"/>
        <v>Mayor</v>
      </c>
      <c r="G20" s="258" t="str">
        <f t="shared" si="2"/>
        <v>Alto</v>
      </c>
      <c r="S20" s="305"/>
      <c r="T20" s="74" t="s">
        <v>300</v>
      </c>
      <c r="AA20" s="305"/>
      <c r="AB20" s="305"/>
      <c r="AC20" s="303"/>
      <c r="AD20" s="303"/>
      <c r="AE20" s="303"/>
      <c r="AF20" s="69"/>
      <c r="AG20" s="69"/>
      <c r="AH20" s="69"/>
      <c r="AI20" s="69"/>
      <c r="AJ20" s="69"/>
      <c r="AK20" s="303"/>
      <c r="AL20" s="303"/>
    </row>
    <row r="21" spans="1:38" ht="93" customHeight="1" x14ac:dyDescent="0.2">
      <c r="A21" s="62" t="str">
        <f>'2 IDENTIFICACIÓN'!A21</f>
        <v>R12</v>
      </c>
      <c r="B21" s="258" t="str">
        <f>+'2 IDENTIFICACIÓN'!J21</f>
        <v xml:space="preserve">Posibilidad  de efecto dañoso sobre el recurso público por incumplimiento en la atención oportuna de requerimientos emitidos por entes de control y vigilancia, debido a deficiencias en el seguimiento, gestión y control de los términos establecidos para su respuesta. </v>
      </c>
      <c r="C21" s="89">
        <f>+'5 VALORACIÓN DEL CONTROL'!T81</f>
        <v>0.6</v>
      </c>
      <c r="D21" s="64">
        <f>+'5 VALORACIÓN DEL CONTROL'!U81</f>
        <v>0.4</v>
      </c>
      <c r="E21" s="64" t="str">
        <f t="shared" si="0"/>
        <v>Media</v>
      </c>
      <c r="F21" s="64" t="str">
        <f t="shared" si="1"/>
        <v>Menor</v>
      </c>
      <c r="G21" s="258" t="str">
        <f t="shared" si="2"/>
        <v>Moderado</v>
      </c>
      <c r="Q21" s="307"/>
      <c r="R21" s="307"/>
      <c r="S21" s="305"/>
      <c r="AA21" s="305"/>
      <c r="AB21" s="305"/>
      <c r="AC21" s="303"/>
      <c r="AD21" s="303"/>
      <c r="AE21" s="303"/>
      <c r="AF21" s="69"/>
      <c r="AG21" s="69"/>
      <c r="AH21" s="69"/>
      <c r="AI21" s="69"/>
      <c r="AJ21" s="69"/>
      <c r="AK21" s="303"/>
      <c r="AL21" s="303"/>
    </row>
    <row r="22" spans="1:38" ht="93" customHeight="1" x14ac:dyDescent="0.2">
      <c r="A22" s="62" t="str">
        <f>'2 IDENTIFICACIÓN'!A22</f>
        <v>R13</v>
      </c>
      <c r="B22" s="258" t="str">
        <f>+'2 IDENTIFICACIÓN'!J22</f>
        <v xml:space="preserve">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 </v>
      </c>
      <c r="C22" s="89">
        <f>+'5 VALORACIÓN DEL CONTROL'!T87</f>
        <v>0.6</v>
      </c>
      <c r="D22" s="64">
        <f>+'5 VALORACIÓN DEL CONTROL'!U87</f>
        <v>0.8</v>
      </c>
      <c r="E22" s="64" t="str">
        <f t="shared" si="0"/>
        <v>Media</v>
      </c>
      <c r="F22" s="64" t="str">
        <f t="shared" si="1"/>
        <v>Mayor</v>
      </c>
      <c r="G22" s="258" t="str">
        <f t="shared" si="2"/>
        <v>Alto</v>
      </c>
      <c r="Q22" s="307"/>
      <c r="R22" s="307"/>
      <c r="S22" s="308"/>
      <c r="AA22" s="305"/>
      <c r="AB22" s="305"/>
      <c r="AC22" s="303"/>
      <c r="AD22" s="69"/>
      <c r="AE22" s="69"/>
      <c r="AF22" s="69"/>
      <c r="AG22" s="69"/>
      <c r="AH22" s="69"/>
      <c r="AI22" s="69"/>
      <c r="AJ22" s="69"/>
      <c r="AK22" s="303"/>
      <c r="AL22" s="303"/>
    </row>
    <row r="23" spans="1:38" ht="93" customHeight="1" x14ac:dyDescent="0.2">
      <c r="A23" s="62" t="str">
        <f>'2 IDENTIFICACIÓN'!A23</f>
        <v>R14</v>
      </c>
      <c r="B23" s="258" t="str">
        <f>+'2 IDENTIFICACIÓN'!J23</f>
        <v>Posibilidad  de efecto dañoso sobre el recurso público por pago de sanciones debido a omisiones, errores o inconsistencias en el diligenciamiento, validación y reporte de la información financiera, contable y tributaria requerida por los entes de control y vigilancia, dentro de los plazos y lineamientos establecidos por la normatividad aplicable</v>
      </c>
      <c r="C23" s="89">
        <f>+'5 VALORACIÓN DEL CONTROL'!T93</f>
        <v>0.6</v>
      </c>
      <c r="D23" s="64">
        <f>+'5 VALORACIÓN DEL CONTROL'!U93</f>
        <v>0.8</v>
      </c>
      <c r="E23" s="64" t="str">
        <f t="shared" si="0"/>
        <v>Media</v>
      </c>
      <c r="F23" s="64" t="str">
        <f t="shared" si="1"/>
        <v>Mayor</v>
      </c>
      <c r="G23" s="258" t="str">
        <f t="shared" si="2"/>
        <v>Alto</v>
      </c>
      <c r="Q23" s="307"/>
      <c r="R23" s="307"/>
      <c r="AC23" s="303"/>
      <c r="AD23" s="309"/>
      <c r="AE23" s="309"/>
      <c r="AF23" s="309"/>
      <c r="AG23" s="309"/>
      <c r="AH23" s="309"/>
      <c r="AI23" s="309"/>
      <c r="AJ23" s="69"/>
      <c r="AK23" s="303"/>
      <c r="AL23" s="303"/>
    </row>
    <row r="24" spans="1:38" ht="93" customHeight="1" x14ac:dyDescent="0.2">
      <c r="A24" s="62" t="str">
        <f>'2 IDENTIFICACIÓN'!A24</f>
        <v>R15</v>
      </c>
      <c r="B24" s="258" t="str">
        <f>+'2 IDENTIFICACIÓN'!J24</f>
        <v xml:space="preserve">Posibilidad  de efecto dañoso sobre el recurso público por disminución de ingresos o prescripción de la cartera en mora,  debido a la renuencia de los contribuyentes al pago de las obligaciones tributarias, dificultades para la localización de deudores morosos, fallecimiento de contribuyentes y procesos de legalización y cesión de predios que afectan la recuperación oportuna de la cartera dentro de los términos establecidos para el cobro persuasivo y coactivo. </v>
      </c>
      <c r="C24" s="89">
        <f>+'5 VALORACIÓN DEL CONTROL'!T99</f>
        <v>0.6</v>
      </c>
      <c r="D24" s="64">
        <f>+'5 VALORACIÓN DEL CONTROL'!U99</f>
        <v>1</v>
      </c>
      <c r="E24" s="64" t="str">
        <f t="shared" si="0"/>
        <v>Media</v>
      </c>
      <c r="F24" s="64" t="str">
        <f t="shared" si="1"/>
        <v>Catastrófico</v>
      </c>
      <c r="G24" s="258" t="str">
        <f t="shared" si="2"/>
        <v>Extremo</v>
      </c>
      <c r="Q24" s="307"/>
      <c r="R24" s="307"/>
      <c r="AC24" s="303"/>
      <c r="AD24" s="69"/>
      <c r="AE24" s="69"/>
      <c r="AF24" s="69"/>
      <c r="AG24" s="69"/>
      <c r="AH24" s="69"/>
      <c r="AI24" s="69"/>
      <c r="AJ24" s="69"/>
      <c r="AK24" s="303"/>
      <c r="AL24" s="303"/>
    </row>
    <row r="25" spans="1:38" ht="93" customHeight="1" x14ac:dyDescent="0.2">
      <c r="A25" s="62" t="str">
        <f>'2 IDENTIFICACIÓN'!A25</f>
        <v>R16</v>
      </c>
      <c r="B25" s="258" t="str">
        <f>+'2 IDENTIFICACIÓN'!J25</f>
        <v xml:space="preserve">Posibilidad  de efecto dañoso sobre el recurso público por afectación en la ejecución de los proyectos de presupuestos participativos,  debido a cambios en la destinación de los recursos asignados para su financiación. </v>
      </c>
      <c r="C25" s="89">
        <f>+'5 VALORACIÓN DEL CONTROL'!T105</f>
        <v>0.6</v>
      </c>
      <c r="D25" s="64">
        <f>+'5 VALORACIÓN DEL CONTROL'!U105</f>
        <v>1</v>
      </c>
      <c r="E25" s="64" t="str">
        <f t="shared" si="0"/>
        <v>Media</v>
      </c>
      <c r="F25" s="64" t="str">
        <f t="shared" si="1"/>
        <v>Catastrófico</v>
      </c>
      <c r="G25" s="258" t="str">
        <f t="shared" si="2"/>
        <v>Extremo</v>
      </c>
      <c r="AC25" s="303"/>
      <c r="AD25" s="69"/>
      <c r="AE25" s="69"/>
      <c r="AF25" s="69"/>
      <c r="AG25" s="69"/>
      <c r="AH25" s="69"/>
      <c r="AI25" s="69"/>
      <c r="AJ25" s="69"/>
      <c r="AK25" s="303"/>
      <c r="AL25" s="303"/>
    </row>
    <row r="26" spans="1:38" ht="93" customHeight="1" x14ac:dyDescent="0.25">
      <c r="A26" s="62" t="str">
        <f>'2 IDENTIFICACIÓN'!A26</f>
        <v>R17</v>
      </c>
      <c r="B26" s="258" t="str">
        <f>+'2 IDENTIFICACIÓN'!J26</f>
        <v xml:space="preserve">Posibilidad  de efecto dañoso sobre el recurso público por la no disponibilidad de recursos del FONPET para la atención de obligaciones pensionales, debido a deficiencias en la gestión y presentación de la documentación habilitante dentro de los términos establecidos. </v>
      </c>
      <c r="C26" s="89">
        <f>+'5 VALORACIÓN DEL CONTROL'!T111</f>
        <v>0.6</v>
      </c>
      <c r="D26" s="64">
        <f>+'5 VALORACIÓN DEL CONTROL'!U111</f>
        <v>0.8</v>
      </c>
      <c r="E26" s="64" t="str">
        <f t="shared" si="0"/>
        <v>Media</v>
      </c>
      <c r="F26" s="64" t="str">
        <f t="shared" si="1"/>
        <v>Mayor</v>
      </c>
      <c r="G26" s="258" t="str">
        <f t="shared" si="2"/>
        <v>Alto</v>
      </c>
    </row>
    <row r="27" spans="1:38" ht="93" customHeight="1" x14ac:dyDescent="0.25">
      <c r="A27" s="62" t="str">
        <f>'2 IDENTIFICACIÓN'!A27</f>
        <v>R18</v>
      </c>
      <c r="B27" s="258" t="str">
        <f>+'2 IDENTIFICACIÓN'!J27</f>
        <v>Posibilidad  de efecto dañoso sobre el recurso público por configuración del silencio administrativo positivo en recursos de reconsideración y solicitudes de revocatoria directa presentadas por los contribuyentes,  debido a incumplimiento de los términos legales para su trámite y respuesta</v>
      </c>
      <c r="C27" s="89">
        <f>+'5 VALORACIÓN DEL CONTROL'!T117</f>
        <v>0.6</v>
      </c>
      <c r="D27" s="64">
        <f>+'5 VALORACIÓN DEL CONTROL'!U117</f>
        <v>0.4</v>
      </c>
      <c r="E27" s="64" t="str">
        <f t="shared" si="0"/>
        <v>Media</v>
      </c>
      <c r="F27" s="64" t="str">
        <f t="shared" si="1"/>
        <v>Menor</v>
      </c>
      <c r="G27" s="258" t="str">
        <f t="shared" si="2"/>
        <v>Moderado</v>
      </c>
    </row>
    <row r="28" spans="1:38" ht="93" customHeight="1" x14ac:dyDescent="0.25">
      <c r="A28" s="62" t="str">
        <f>'2 IDENTIFICACIÓN'!A28</f>
        <v>R19</v>
      </c>
      <c r="B28" s="258" t="str">
        <f>+'2 IDENTIFICACIÓN'!J28</f>
        <v xml:space="preserve">Posibilidad  de efecto dañoso sobre el recurso público por inconsistencias en la liquidación, gestión y control del Impuesto Predial Unificado (IPU),  debido a la falta de interoperabilidad entre el Sistema de Información de Impuestos Municipales (SIIM) y la plataforma BCGS del Área Metropolitana de Bucaramanga (AMB). </v>
      </c>
      <c r="C28" s="89">
        <f>+'5 VALORACIÓN DEL CONTROL'!T123</f>
        <v>0.6</v>
      </c>
      <c r="D28" s="64">
        <f>+'5 VALORACIÓN DEL CONTROL'!U123</f>
        <v>0.8</v>
      </c>
      <c r="E28" s="64" t="str">
        <f t="shared" si="0"/>
        <v>Media</v>
      </c>
      <c r="F28" s="64" t="str">
        <f t="shared" si="1"/>
        <v>Mayor</v>
      </c>
      <c r="G28" s="258" t="str">
        <f t="shared" si="2"/>
        <v>Alto</v>
      </c>
    </row>
    <row r="29" spans="1:38" ht="93" customHeight="1" x14ac:dyDescent="0.25">
      <c r="A29" s="62" t="str">
        <f>'2 IDENTIFICACIÓN'!A29</f>
        <v>R20</v>
      </c>
      <c r="B29" s="258" t="str">
        <f>+'2 IDENTIFICACIÓN'!J29</f>
        <v xml:space="preserve">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 </v>
      </c>
      <c r="C29" s="89">
        <f>+'5 VALORACIÓN DEL CONTROL'!T129</f>
        <v>0.6</v>
      </c>
      <c r="D29" s="64">
        <f>+'5 VALORACIÓN DEL CONTROL'!U129</f>
        <v>0.8</v>
      </c>
      <c r="E29" s="64" t="str">
        <f t="shared" si="0"/>
        <v>Media</v>
      </c>
      <c r="F29" s="64" t="str">
        <f t="shared" si="1"/>
        <v>Mayor</v>
      </c>
      <c r="G29" s="258" t="str">
        <f t="shared" si="2"/>
        <v>Alto</v>
      </c>
    </row>
    <row r="30" spans="1:38" ht="93" customHeight="1" x14ac:dyDescent="0.25">
      <c r="A30" s="62" t="str">
        <f>'2 IDENTIFICACIÓN'!A30</f>
        <v>R21</v>
      </c>
      <c r="B30" s="258" t="str">
        <f>+'2 IDENTIFICACIÓN'!J30</f>
        <v>Posibilidad de afectación económica y reputacional por inconsistencias en la aplicación de novedades del módulo de Industria y Comercio del Sistema de Impuestos Municipales, debido a deficiencias en la validación, revisión y soporte de la información registrada.</v>
      </c>
      <c r="C30" s="89">
        <f>+'5 VALORACIÓN DEL CONTROL'!T135</f>
        <v>0.6</v>
      </c>
      <c r="D30" s="64">
        <f>+'5 VALORACIÓN DEL CONTROL'!U135</f>
        <v>1</v>
      </c>
      <c r="E30" s="64" t="str">
        <f t="shared" si="0"/>
        <v>Media</v>
      </c>
      <c r="F30" s="64" t="str">
        <f t="shared" si="1"/>
        <v>Catastrófico</v>
      </c>
      <c r="G30" s="258" t="str">
        <f t="shared" si="2"/>
        <v>Extremo</v>
      </c>
    </row>
    <row r="31" spans="1:38" ht="93" customHeight="1" x14ac:dyDescent="0.25">
      <c r="A31" s="62" t="str">
        <f>'2 IDENTIFICACIÓN'!A31</f>
        <v>R22</v>
      </c>
      <c r="B31" s="258" t="str">
        <f>+'2 IDENTIFICACIÓN'!J31</f>
        <v>Posibilidad de pérdida reputacional por soborno entrante en la administración de recursos públicos de la Secretaría de Hacienda,  debido a al recibir o solicitar ventajas indebidas para manipular y/o favorecer la constitución de inversiones, debido a debilidades en los controles y seguimiento de las operaciones financieras.</v>
      </c>
      <c r="C31" s="89">
        <f>+'5 VALORACIÓN DEL CONTROL'!T141</f>
        <v>0.6</v>
      </c>
      <c r="D31" s="64">
        <f>+'5 VALORACIÓN DEL CONTROL'!U141</f>
        <v>0.6</v>
      </c>
      <c r="E31" s="64" t="str">
        <f t="shared" si="0"/>
        <v>Media</v>
      </c>
      <c r="F31" s="64" t="str">
        <f t="shared" si="1"/>
        <v>Moderado</v>
      </c>
      <c r="G31" s="258" t="str">
        <f t="shared" si="2"/>
        <v>Moderado</v>
      </c>
    </row>
    <row r="32" spans="1:38" ht="93" customHeight="1" x14ac:dyDescent="0.25">
      <c r="A32" s="62" t="str">
        <f>'2 IDENTIFICACIÓN'!A32</f>
        <v>R23</v>
      </c>
      <c r="B32" s="258" t="str">
        <f>+'2 IDENTIFICACIÓN'!J32</f>
        <v>Posibilidad de pérdida reputacional por por soborno entrante en el retiro de registros del Boletín de Deudores Morosos del Estado (BDME),  debido a al solicitar o recibir ventajas indebidas a nombre propio o de terceros para efectuar exclusiones sin el cumplimiento de los requisitos establecidos por la Contaduría General de la Nación.</v>
      </c>
      <c r="C32" s="89">
        <f>+'5 VALORACIÓN DEL CONTROL'!T147</f>
        <v>0.6</v>
      </c>
      <c r="D32" s="64">
        <f>+'5 VALORACIÓN DEL CONTROL'!U147</f>
        <v>0.6</v>
      </c>
      <c r="E32" s="64" t="str">
        <f t="shared" si="0"/>
        <v>Media</v>
      </c>
      <c r="F32" s="64" t="str">
        <f t="shared" si="1"/>
        <v>Moderado</v>
      </c>
      <c r="G32" s="258" t="str">
        <f t="shared" si="2"/>
        <v>Moderado</v>
      </c>
    </row>
    <row r="33" spans="1:7" ht="93" customHeight="1" x14ac:dyDescent="0.25">
      <c r="A33" s="62" t="str">
        <f>'2 IDENTIFICACIÓN'!A33</f>
        <v>R24</v>
      </c>
      <c r="B33" s="258" t="str">
        <f>+'2 IDENTIFICACIÓN'!J33</f>
        <v>Posibilidad de afectación económica y reputacional por inconsistencias en la aplicación de novedades del Impuesto Predial Unificado en el Sistema de Impuestos Municipales,  debido a deficiencias en la revisión, validación y soporte de la información registrada.</v>
      </c>
      <c r="C33" s="89">
        <f>+'5 VALORACIÓN DEL CONTROL'!T153</f>
        <v>0.6</v>
      </c>
      <c r="D33" s="64">
        <f>+'5 VALORACIÓN DEL CONTROL'!U153</f>
        <v>1</v>
      </c>
      <c r="E33" s="64" t="str">
        <f t="shared" si="0"/>
        <v>Media</v>
      </c>
      <c r="F33" s="64" t="str">
        <f t="shared" si="1"/>
        <v>Catastrófico</v>
      </c>
      <c r="G33" s="258" t="str">
        <f t="shared" si="2"/>
        <v>Extremo</v>
      </c>
    </row>
    <row r="34" spans="1:7" ht="93" hidden="1" customHeight="1" x14ac:dyDescent="0.25">
      <c r="A34" s="62" t="str">
        <f>'2 IDENTIFICACIÓN'!A34</f>
        <v>R25</v>
      </c>
      <c r="B34" s="258" t="str">
        <f>+'2 IDENTIFICACIÓN'!J34</f>
        <v xml:space="preserve"> por  debido a </v>
      </c>
      <c r="C34" s="89">
        <f>+'5 VALORACIÓN DEL CONTROL'!T159</f>
        <v>0.6</v>
      </c>
      <c r="D34" s="64">
        <f>+'5 VALORACIÓN DEL CONTROL'!U159</f>
        <v>0</v>
      </c>
      <c r="E34" s="64" t="str">
        <f t="shared" si="0"/>
        <v>Media</v>
      </c>
      <c r="F34" s="64" t="str">
        <f t="shared" si="1"/>
        <v/>
      </c>
      <c r="G34" s="258" t="b">
        <f t="shared" si="2"/>
        <v>0</v>
      </c>
    </row>
    <row r="35" spans="1:7" ht="93" hidden="1" customHeight="1" x14ac:dyDescent="0.25">
      <c r="A35" s="62" t="str">
        <f>'2 IDENTIFICACIÓN'!A35</f>
        <v>R26</v>
      </c>
      <c r="B35" s="258" t="str">
        <f>+'2 IDENTIFICACIÓN'!J35</f>
        <v xml:space="preserve"> por  debido a </v>
      </c>
      <c r="C35" s="89">
        <f>+'5 VALORACIÓN DEL CONTROL'!T165</f>
        <v>0.6</v>
      </c>
      <c r="D35" s="64">
        <f>+'5 VALORACIÓN DEL CONTROL'!U165</f>
        <v>0</v>
      </c>
      <c r="E35" s="64" t="str">
        <f t="shared" si="0"/>
        <v>Media</v>
      </c>
      <c r="F35" s="64" t="str">
        <f t="shared" si="1"/>
        <v/>
      </c>
      <c r="G35" s="258" t="b">
        <f t="shared" si="2"/>
        <v>0</v>
      </c>
    </row>
    <row r="36" spans="1:7" ht="93" hidden="1" customHeight="1" x14ac:dyDescent="0.25">
      <c r="A36" s="62" t="str">
        <f>'2 IDENTIFICACIÓN'!A36</f>
        <v>R27</v>
      </c>
      <c r="B36" s="258" t="str">
        <f>+'2 IDENTIFICACIÓN'!J36</f>
        <v xml:space="preserve"> por  debido a </v>
      </c>
      <c r="C36" s="89">
        <f>+'5 VALORACIÓN DEL CONTROL'!T171</f>
        <v>0.6</v>
      </c>
      <c r="D36" s="64">
        <f>+'5 VALORACIÓN DEL CONTROL'!U171</f>
        <v>0</v>
      </c>
      <c r="E36" s="64" t="str">
        <f t="shared" si="0"/>
        <v>Media</v>
      </c>
      <c r="F36" s="64" t="str">
        <f t="shared" si="1"/>
        <v/>
      </c>
      <c r="G36" s="258" t="b">
        <f t="shared" si="2"/>
        <v>0</v>
      </c>
    </row>
    <row r="37" spans="1:7" ht="93" hidden="1" customHeight="1" x14ac:dyDescent="0.25">
      <c r="A37" s="62" t="str">
        <f>'2 IDENTIFICACIÓN'!A37</f>
        <v>R28</v>
      </c>
      <c r="B37" s="258" t="str">
        <f>+'2 IDENTIFICACIÓN'!J37</f>
        <v xml:space="preserve"> por  debido a </v>
      </c>
      <c r="C37" s="89">
        <f>+'5 VALORACIÓN DEL CONTROL'!T177</f>
        <v>0.6</v>
      </c>
      <c r="D37" s="64">
        <f>+'5 VALORACIÓN DEL CONTROL'!U177</f>
        <v>0</v>
      </c>
      <c r="E37" s="64" t="str">
        <f t="shared" si="0"/>
        <v>Media</v>
      </c>
      <c r="F37" s="64" t="str">
        <f t="shared" si="1"/>
        <v/>
      </c>
      <c r="G37" s="258" t="b">
        <f t="shared" si="2"/>
        <v>0</v>
      </c>
    </row>
    <row r="38" spans="1:7" ht="93" hidden="1" customHeight="1" x14ac:dyDescent="0.25">
      <c r="A38" s="62" t="str">
        <f>'2 IDENTIFICACIÓN'!A38</f>
        <v>R29</v>
      </c>
      <c r="B38" s="258" t="str">
        <f>+'2 IDENTIFICACIÓN'!J38</f>
        <v xml:space="preserve"> por  debido a </v>
      </c>
      <c r="C38" s="89">
        <f>+'5 VALORACIÓN DEL CONTROL'!T183</f>
        <v>0.6</v>
      </c>
      <c r="D38" s="64">
        <f>+'5 VALORACIÓN DEL CONTROL'!U183</f>
        <v>0</v>
      </c>
      <c r="E38" s="64" t="str">
        <f t="shared" si="0"/>
        <v>Media</v>
      </c>
      <c r="F38" s="64" t="str">
        <f t="shared" si="1"/>
        <v/>
      </c>
      <c r="G38" s="258" t="b">
        <f t="shared" si="2"/>
        <v>0</v>
      </c>
    </row>
    <row r="39" spans="1:7" ht="93" hidden="1" customHeight="1" x14ac:dyDescent="0.25">
      <c r="A39" s="62" t="str">
        <f>'2 IDENTIFICACIÓN'!A39</f>
        <v>R30</v>
      </c>
      <c r="B39" s="258" t="str">
        <f>+'2 IDENTIFICACIÓN'!J39</f>
        <v xml:space="preserve"> por  debido a </v>
      </c>
      <c r="C39" s="89">
        <f>+'5 VALORACIÓN DEL CONTROL'!T189</f>
        <v>0.6</v>
      </c>
      <c r="D39" s="64">
        <f>+'5 VALORACIÓN DEL CONTROL'!U189</f>
        <v>0</v>
      </c>
      <c r="E39" s="64" t="str">
        <f t="shared" si="0"/>
        <v>Media</v>
      </c>
      <c r="F39" s="64" t="str">
        <f t="shared" si="1"/>
        <v/>
      </c>
      <c r="G39" s="258" t="b">
        <f t="shared" si="2"/>
        <v>0</v>
      </c>
    </row>
    <row r="40" spans="1:7" ht="13.5" thickBot="1" x14ac:dyDescent="0.3">
      <c r="C40" s="145"/>
      <c r="D40" s="146"/>
      <c r="E40" s="146"/>
      <c r="F40" s="146"/>
    </row>
    <row r="41" spans="1:7" ht="14.25" thickTop="1" thickBot="1" x14ac:dyDescent="0.3">
      <c r="A41" s="387" t="s">
        <v>377</v>
      </c>
      <c r="B41" s="387"/>
      <c r="C41" s="387"/>
      <c r="D41" s="387"/>
      <c r="E41" s="387"/>
      <c r="F41" s="387"/>
      <c r="G41" s="387"/>
    </row>
    <row r="42" spans="1:7" ht="14.25" thickTop="1" thickBot="1" x14ac:dyDescent="0.3">
      <c r="A42" s="321" t="s">
        <v>378</v>
      </c>
      <c r="B42" s="387" t="s">
        <v>379</v>
      </c>
      <c r="C42" s="387"/>
      <c r="D42" s="387" t="s">
        <v>380</v>
      </c>
      <c r="E42" s="387"/>
      <c r="F42" s="387" t="s">
        <v>381</v>
      </c>
      <c r="G42" s="387"/>
    </row>
    <row r="43" spans="1:7" ht="78.599999999999994" customHeight="1" thickTop="1" thickBot="1" x14ac:dyDescent="0.3">
      <c r="A43" s="322" t="s">
        <v>382</v>
      </c>
      <c r="B43" s="388">
        <v>46163</v>
      </c>
      <c r="C43" s="388"/>
      <c r="D43" s="389" t="s">
        <v>383</v>
      </c>
      <c r="E43" s="389"/>
      <c r="F43" s="390" t="s">
        <v>384</v>
      </c>
      <c r="G43" s="390"/>
    </row>
    <row r="44" spans="1:7" ht="39" hidden="1" customHeight="1" x14ac:dyDescent="0.25"/>
    <row r="45" spans="1:7" ht="19.5" hidden="1" customHeight="1" x14ac:dyDescent="0.25"/>
    <row r="46" spans="1:7" ht="19.5" hidden="1" customHeight="1" x14ac:dyDescent="0.25"/>
    <row r="47" spans="1:7" ht="19.5" hidden="1" customHeight="1" x14ac:dyDescent="0.25"/>
    <row r="48" spans="1:7" ht="19.5" hidden="1" customHeight="1" x14ac:dyDescent="0.25"/>
    <row r="49" ht="19.5" hidden="1" customHeight="1" x14ac:dyDescent="0.25"/>
  </sheetData>
  <sheetProtection formatCells="0" formatColumns="0" formatRows="0" sort="0" autoFilter="0" pivotTables="0"/>
  <dataConsolidate/>
  <mergeCells count="18">
    <mergeCell ref="B43:C43"/>
    <mergeCell ref="D43:E43"/>
    <mergeCell ref="F43:G43"/>
    <mergeCell ref="B42:C42"/>
    <mergeCell ref="D42:E42"/>
    <mergeCell ref="F42:G42"/>
    <mergeCell ref="A41:G41"/>
    <mergeCell ref="A4:K4"/>
    <mergeCell ref="A1:A3"/>
    <mergeCell ref="B1:I2"/>
    <mergeCell ref="B3:I3"/>
    <mergeCell ref="G5:H5"/>
    <mergeCell ref="T7:X7"/>
    <mergeCell ref="E8:G8"/>
    <mergeCell ref="K8:O8"/>
    <mergeCell ref="I10:I14"/>
    <mergeCell ref="Q10:Q14"/>
    <mergeCell ref="I7:O7"/>
  </mergeCells>
  <conditionalFormatting sqref="D10:E40">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0:F40">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0:G40">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2.75" zeroHeight="1" x14ac:dyDescent="0.25"/>
  <cols>
    <col min="1" max="1" width="11.42578125" style="46" customWidth="1"/>
    <col min="2" max="2" width="30.7109375" style="51" bestFit="1" customWidth="1"/>
    <col min="3" max="4" width="15.42578125" style="51" customWidth="1"/>
    <col min="5" max="6" width="15.42578125" style="90" customWidth="1"/>
    <col min="7" max="7" width="29" style="51" bestFit="1" customWidth="1"/>
    <col min="8" max="8" width="3.85546875" style="51" customWidth="1"/>
    <col min="9" max="9" width="11.140625" style="51" bestFit="1" customWidth="1"/>
    <col min="10" max="10" width="30.5703125" style="51" bestFit="1" customWidth="1"/>
    <col min="11" max="11" width="19.28515625" style="51" customWidth="1"/>
    <col min="12" max="15" width="12.42578125" style="51" customWidth="1"/>
    <col min="16" max="16" width="3.85546875" style="51" customWidth="1"/>
    <col min="17" max="17" width="4.85546875" style="46" hidden="1" customWidth="1"/>
    <col min="18" max="18" width="6.140625" style="46" hidden="1" customWidth="1"/>
    <col min="19" max="24" width="14" style="46" hidden="1" customWidth="1"/>
    <col min="25" max="29" width="11.42578125" style="46" customWidth="1"/>
    <col min="30" max="30" width="5.42578125" style="46" bestFit="1" customWidth="1"/>
    <col min="31" max="31" width="26.85546875" style="46" customWidth="1"/>
    <col min="32" max="32" width="22.85546875" style="51" customWidth="1"/>
    <col min="33" max="36" width="22.85546875" style="51" hidden="1" customWidth="1"/>
    <col min="37" max="37" width="23.42578125" style="46" hidden="1" customWidth="1"/>
    <col min="38" max="265" width="11.42578125" style="46" hidden="1" customWidth="1"/>
    <col min="266" max="266" width="12.42578125" style="46" hidden="1" customWidth="1"/>
    <col min="267" max="267" width="47" style="46" hidden="1" customWidth="1"/>
    <col min="268" max="268" width="35" style="46" hidden="1" customWidth="1"/>
    <col min="269" max="16384" width="14.42578125" style="46" hidden="1"/>
  </cols>
  <sheetData>
    <row r="1" spans="1:38" s="4" customFormat="1" ht="20.100000000000001" customHeight="1" thickTop="1" x14ac:dyDescent="0.25">
      <c r="A1" s="367"/>
      <c r="B1" s="370" t="s">
        <v>375</v>
      </c>
      <c r="C1" s="371"/>
      <c r="D1" s="371"/>
      <c r="E1" s="371"/>
      <c r="F1" s="371"/>
      <c r="G1" s="371"/>
      <c r="H1" s="371"/>
      <c r="I1" s="372"/>
      <c r="J1" s="313" t="s">
        <v>373</v>
      </c>
      <c r="K1" s="314"/>
      <c r="L1" s="260"/>
    </row>
    <row r="2" spans="1:38" s="4" customFormat="1" ht="20.100000000000001" customHeight="1" x14ac:dyDescent="0.25">
      <c r="A2" s="368"/>
      <c r="B2" s="373"/>
      <c r="C2" s="374"/>
      <c r="D2" s="374"/>
      <c r="E2" s="374"/>
      <c r="F2" s="374"/>
      <c r="G2" s="374"/>
      <c r="H2" s="374"/>
      <c r="I2" s="375"/>
      <c r="J2" s="315" t="s">
        <v>376</v>
      </c>
      <c r="K2" s="316"/>
      <c r="L2" s="260"/>
    </row>
    <row r="3" spans="1:38" s="3" customFormat="1" ht="16.5" thickBot="1" x14ac:dyDescent="0.25">
      <c r="A3" s="369"/>
      <c r="B3" s="376" t="s">
        <v>359</v>
      </c>
      <c r="C3" s="377"/>
      <c r="D3" s="377"/>
      <c r="E3" s="377"/>
      <c r="F3" s="377"/>
      <c r="G3" s="377"/>
      <c r="H3" s="377"/>
      <c r="I3" s="378"/>
      <c r="J3" s="317" t="s">
        <v>374</v>
      </c>
      <c r="K3" s="318"/>
      <c r="L3" s="261"/>
    </row>
    <row r="4" spans="1:38" s="3" customFormat="1" ht="17.100000000000001" customHeight="1" thickTop="1" x14ac:dyDescent="0.2">
      <c r="A4" s="381"/>
      <c r="B4" s="382"/>
      <c r="C4" s="382"/>
      <c r="D4" s="382"/>
      <c r="E4" s="382"/>
      <c r="F4" s="382"/>
      <c r="G4" s="382"/>
      <c r="H4" s="382"/>
      <c r="I4" s="382"/>
      <c r="J4" s="382"/>
      <c r="K4" s="383"/>
    </row>
    <row r="5" spans="1:38" s="4" customFormat="1" ht="27" customHeight="1" x14ac:dyDescent="0.25">
      <c r="A5" s="12" t="s">
        <v>80</v>
      </c>
      <c r="B5" s="266" t="str">
        <f>'2 IDENTIFICACIÓN'!B5</f>
        <v>ALCALDIA DE BUCARAMANGA</v>
      </c>
      <c r="C5" s="267"/>
      <c r="D5" s="267"/>
      <c r="E5" s="268"/>
      <c r="F5" s="251" t="s">
        <v>81</v>
      </c>
      <c r="G5" s="266" t="str">
        <f>'2 IDENTIFICACIÓN'!G5</f>
        <v>GESTIÓN DE LAS FINANZAS PUBLICAS</v>
      </c>
      <c r="H5" s="268"/>
      <c r="I5" s="251" t="s">
        <v>353</v>
      </c>
      <c r="J5" s="269">
        <f>'2 IDENTIFICACIÓN'!J5</f>
        <v>2026</v>
      </c>
      <c r="K5" s="270"/>
    </row>
    <row r="6" spans="1:38" s="4" customFormat="1" ht="15.75" thickBot="1" x14ac:dyDescent="0.25">
      <c r="A6" s="166"/>
      <c r="B6" s="262"/>
      <c r="C6" s="262"/>
      <c r="D6" s="262"/>
      <c r="E6" s="262"/>
      <c r="F6" s="263"/>
      <c r="G6" s="264"/>
      <c r="H6" s="264"/>
      <c r="I6" s="264"/>
      <c r="J6" s="264"/>
      <c r="K6" s="264"/>
      <c r="S6" s="37"/>
      <c r="T6" s="37"/>
      <c r="U6" s="37"/>
    </row>
    <row r="7" spans="1:38" s="37" customFormat="1" ht="13.5" thickBot="1" x14ac:dyDescent="0.25">
      <c r="A7" s="545" t="s">
        <v>294</v>
      </c>
      <c r="B7" s="546"/>
      <c r="C7" s="546"/>
      <c r="D7" s="546"/>
      <c r="E7" s="546"/>
      <c r="F7" s="546"/>
      <c r="G7" s="547"/>
      <c r="I7" s="545" t="s">
        <v>320</v>
      </c>
      <c r="J7" s="546"/>
      <c r="K7" s="546"/>
      <c r="L7" s="546"/>
      <c r="M7" s="546"/>
      <c r="N7" s="546"/>
      <c r="O7" s="547"/>
      <c r="R7" s="41"/>
      <c r="S7" s="42"/>
      <c r="T7" s="476" t="s">
        <v>158</v>
      </c>
      <c r="U7" s="476"/>
      <c r="V7" s="476"/>
      <c r="W7" s="476"/>
      <c r="X7" s="477"/>
      <c r="AF7" s="38"/>
      <c r="AG7" s="38"/>
      <c r="AH7" s="38"/>
      <c r="AI7" s="38"/>
      <c r="AJ7" s="38"/>
    </row>
    <row r="8" spans="1:38" x14ac:dyDescent="0.25">
      <c r="A8" s="44"/>
      <c r="B8" s="45"/>
      <c r="C8" s="476" t="s">
        <v>158</v>
      </c>
      <c r="D8" s="476"/>
      <c r="E8" s="476"/>
      <c r="F8" s="476"/>
      <c r="G8" s="477"/>
      <c r="H8" s="43"/>
      <c r="I8" s="44"/>
      <c r="J8" s="45"/>
      <c r="K8" s="476" t="s">
        <v>158</v>
      </c>
      <c r="L8" s="476"/>
      <c r="M8" s="476"/>
      <c r="N8" s="476"/>
      <c r="O8" s="477"/>
      <c r="P8" s="43"/>
      <c r="R8" s="47"/>
      <c r="T8" s="48">
        <v>0.2</v>
      </c>
      <c r="U8" s="48">
        <v>0.4</v>
      </c>
      <c r="V8" s="48">
        <v>0.6</v>
      </c>
      <c r="W8" s="48">
        <v>0.8</v>
      </c>
      <c r="X8" s="49">
        <v>1</v>
      </c>
      <c r="Y8" s="50"/>
      <c r="Z8" s="50"/>
      <c r="AA8" s="50"/>
      <c r="AB8" s="50"/>
      <c r="AC8" s="50"/>
      <c r="AD8" s="50"/>
      <c r="AE8" s="50"/>
    </row>
    <row r="9" spans="1:38" x14ac:dyDescent="0.2">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
      <c r="A10" s="480" t="s">
        <v>139</v>
      </c>
      <c r="B10" s="56" t="s">
        <v>288</v>
      </c>
      <c r="C10" s="66" t="str">
        <f>+'4 MAPA CALOR INHERENTE'!I10</f>
        <v xml:space="preserve">                   </v>
      </c>
      <c r="D10" s="66" t="str">
        <f>+'4 MAPA CALOR INHERENTE'!J10</f>
        <v xml:space="preserve">                   </v>
      </c>
      <c r="E10" s="66" t="str">
        <f>+'4 MAPA CALOR INHERENTE'!K10</f>
        <v xml:space="preserve">                   </v>
      </c>
      <c r="F10" s="66" t="str">
        <f>+'4 MAPA CALOR INHERENTE'!L10</f>
        <v xml:space="preserve">                   </v>
      </c>
      <c r="G10" s="67" t="str">
        <f>+'4 MAPA CALOR INHERENTE'!M10</f>
        <v xml:space="preserve">              R15     </v>
      </c>
      <c r="H10" s="65"/>
      <c r="I10" s="480" t="s">
        <v>139</v>
      </c>
      <c r="J10" s="56" t="s">
        <v>288</v>
      </c>
      <c r="K10" s="66" t="str">
        <f>+'6 MAPA CALOR RESIDUAL'!K10</f>
        <v xml:space="preserve">                   </v>
      </c>
      <c r="L10" s="66" t="str">
        <f>+'6 MAPA CALOR RESIDUAL'!L10</f>
        <v xml:space="preserve">                   </v>
      </c>
      <c r="M10" s="66" t="str">
        <f>+'6 MAPA CALOR RESIDUAL'!M10</f>
        <v xml:space="preserve">                   </v>
      </c>
      <c r="N10" s="66" t="str">
        <f>+'6 MAPA CALOR RESIDUAL'!N10</f>
        <v xml:space="preserve">                   </v>
      </c>
      <c r="O10" s="67" t="str">
        <f>+'6 MAPA CALOR RESIDUAL'!O10</f>
        <v xml:space="preserve">                   </v>
      </c>
      <c r="P10" s="65"/>
      <c r="Q10" s="544"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
      <c r="A11" s="480"/>
      <c r="B11" s="56" t="s">
        <v>283</v>
      </c>
      <c r="C11" s="70" t="str">
        <f>+'4 MAPA CALOR INHERENTE'!I11</f>
        <v xml:space="preserve">                   </v>
      </c>
      <c r="D11" s="70" t="str">
        <f>+'4 MAPA CALOR INHERENTE'!J11</f>
        <v xml:space="preserve">                   </v>
      </c>
      <c r="E11" s="66" t="str">
        <f>+'4 MAPA CALOR INHERENTE'!K11</f>
        <v xml:space="preserve">    R5               </v>
      </c>
      <c r="F11" s="66" t="str">
        <f>+'4 MAPA CALOR INHERENTE'!L11</f>
        <v xml:space="preserve">            R13       </v>
      </c>
      <c r="G11" s="67" t="str">
        <f>+'4 MAPA CALOR INHERENTE'!M11</f>
        <v xml:space="preserve">                   </v>
      </c>
      <c r="H11" s="65"/>
      <c r="I11" s="480"/>
      <c r="J11" s="56" t="s">
        <v>283</v>
      </c>
      <c r="K11" s="70" t="str">
        <f>+'6 MAPA CALOR RESIDUAL'!K11</f>
        <v xml:space="preserve">                   </v>
      </c>
      <c r="L11" s="70" t="str">
        <f>+'6 MAPA CALOR RESIDUAL'!L11</f>
        <v xml:space="preserve">                   </v>
      </c>
      <c r="M11" s="66" t="str">
        <f>+'6 MAPA CALOR RESIDUAL'!M11</f>
        <v xml:space="preserve">                   </v>
      </c>
      <c r="N11" s="66" t="str">
        <f>+'6 MAPA CALOR RESIDUAL'!N11</f>
        <v xml:space="preserve">                   </v>
      </c>
      <c r="O11" s="67" t="str">
        <f>+'6 MAPA CALOR RESIDUAL'!O11</f>
        <v xml:space="preserve">                   </v>
      </c>
      <c r="P11" s="65"/>
      <c r="Q11" s="544"/>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
      <c r="A12" s="480"/>
      <c r="B12" s="56" t="s">
        <v>278</v>
      </c>
      <c r="C12" s="70" t="str">
        <f>+'4 MAPA CALOR INHERENTE'!I12</f>
        <v xml:space="preserve">                   </v>
      </c>
      <c r="D12" s="70" t="str">
        <f>+'4 MAPA CALOR INHERENTE'!J12</f>
        <v xml:space="preserve">       R8    R12      R18  </v>
      </c>
      <c r="E12" s="70" t="str">
        <f>+'4 MAPA CALOR INHERENTE'!K12</f>
        <v xml:space="preserve">R1  R3 R4      R10          </v>
      </c>
      <c r="F12" s="66" t="str">
        <f>+'4 MAPA CALOR INHERENTE'!L12</f>
        <v xml:space="preserve">     R6     R11   R14   R17   </v>
      </c>
      <c r="G12" s="67" t="str">
        <f>+'4 MAPA CALOR INHERENTE'!M12</f>
        <v xml:space="preserve">               R16    </v>
      </c>
      <c r="H12" s="65"/>
      <c r="I12" s="480"/>
      <c r="J12" s="56" t="s">
        <v>278</v>
      </c>
      <c r="K12" s="70" t="str">
        <f>+'6 MAPA CALOR RESIDUAL'!K12</f>
        <v xml:space="preserve">                   </v>
      </c>
      <c r="L12" s="70" t="str">
        <f>+'6 MAPA CALOR RESIDUAL'!L12</f>
        <v xml:space="preserve">       R8    R12      R18  </v>
      </c>
      <c r="M12" s="70" t="str">
        <f>+'6 MAPA CALOR RESIDUAL'!M12</f>
        <v xml:space="preserve">R1 R2 R3 R4 R5  R7  R9 R10          </v>
      </c>
      <c r="N12" s="66" t="str">
        <f>+'6 MAPA CALOR RESIDUAL'!N12</f>
        <v xml:space="preserve">     R6     R11  R13 R14   R17  R19 </v>
      </c>
      <c r="O12" s="67" t="str">
        <f>+'6 MAPA CALOR RESIDUAL'!O12</f>
        <v xml:space="preserve">              R15 R16    </v>
      </c>
      <c r="P12" s="65"/>
      <c r="Q12" s="544"/>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
      <c r="A13" s="480"/>
      <c r="B13" s="56" t="s">
        <v>274</v>
      </c>
      <c r="C13" s="74" t="str">
        <f>+'4 MAPA CALOR INHERENTE'!I13</f>
        <v xml:space="preserve">                   </v>
      </c>
      <c r="D13" s="70" t="str">
        <f>+'4 MAPA CALOR INHERENTE'!J13</f>
        <v xml:space="preserve">                   </v>
      </c>
      <c r="E13" s="70" t="str">
        <f>+'4 MAPA CALOR INHERENTE'!K13</f>
        <v xml:space="preserve"> R2     R7  R9           </v>
      </c>
      <c r="F13" s="66" t="str">
        <f>+'4 MAPA CALOR INHERENTE'!L13</f>
        <v xml:space="preserve">                   </v>
      </c>
      <c r="G13" s="67" t="str">
        <f>+'4 MAPA CALOR INHERENTE'!M13</f>
        <v xml:space="preserve">                   </v>
      </c>
      <c r="H13" s="65"/>
      <c r="I13" s="480"/>
      <c r="J13" s="56" t="s">
        <v>274</v>
      </c>
      <c r="K13" s="74" t="str">
        <f>+'6 MAPA CALOR RESIDUAL'!K13</f>
        <v xml:space="preserve">                   </v>
      </c>
      <c r="L13" s="70" t="str">
        <f>+'6 MAPA CALOR RESIDUAL'!L13</f>
        <v xml:space="preserve">                   </v>
      </c>
      <c r="M13" s="70" t="str">
        <f>+'6 MAPA CALOR RESIDUAL'!M13</f>
        <v xml:space="preserve">                   </v>
      </c>
      <c r="N13" s="66" t="str">
        <f>+'6 MAPA CALOR RESIDUAL'!N13</f>
        <v xml:space="preserve">                   </v>
      </c>
      <c r="O13" s="67" t="str">
        <f>+'6 MAPA CALOR RESIDUAL'!O13</f>
        <v xml:space="preserve">                   </v>
      </c>
      <c r="P13" s="65"/>
      <c r="Q13" s="544"/>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25">
      <c r="A14" s="481"/>
      <c r="B14" s="75" t="s">
        <v>270</v>
      </c>
      <c r="C14" s="76" t="str">
        <f>+'4 MAPA CALOR INHERENTE'!I14</f>
        <v xml:space="preserve">                   </v>
      </c>
      <c r="D14" s="76" t="str">
        <f>+'4 MAPA CALOR INHERENTE'!J14</f>
        <v xml:space="preserve">                   </v>
      </c>
      <c r="E14" s="77" t="str">
        <f>+'4 MAPA CALOR INHERENTE'!K14</f>
        <v xml:space="preserve">                   </v>
      </c>
      <c r="F14" s="78" t="str">
        <f>+'4 MAPA CALOR INHERENTE'!L14</f>
        <v xml:space="preserve">                  R19 </v>
      </c>
      <c r="G14" s="79" t="str">
        <f>+'4 MAPA CALOR INHERENTE'!M14</f>
        <v xml:space="preserve">                   </v>
      </c>
      <c r="H14" s="65"/>
      <c r="I14" s="481"/>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544"/>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5.5" x14ac:dyDescent="0.2">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25">
      <c r="A26" s="51"/>
      <c r="B26" s="65"/>
      <c r="C26" s="145"/>
      <c r="D26" s="146"/>
      <c r="E26" s="147"/>
      <c r="F26" s="147"/>
      <c r="G26" s="65"/>
      <c r="H26" s="65"/>
      <c r="I26" s="65"/>
      <c r="J26" s="65"/>
      <c r="K26" s="65"/>
      <c r="L26" s="65"/>
      <c r="M26" s="65"/>
      <c r="N26" s="65"/>
      <c r="O26" s="65"/>
      <c r="P26" s="65"/>
    </row>
    <row r="27" spans="1:38" x14ac:dyDescent="0.25">
      <c r="A27" s="51"/>
      <c r="B27" s="65"/>
      <c r="C27" s="145"/>
      <c r="D27" s="146"/>
      <c r="E27" s="147"/>
      <c r="F27" s="147"/>
      <c r="G27" s="65"/>
      <c r="H27" s="65"/>
      <c r="I27" s="65"/>
      <c r="J27" s="65"/>
      <c r="K27" s="65"/>
      <c r="L27" s="65"/>
      <c r="M27" s="65"/>
      <c r="N27" s="65"/>
      <c r="O27" s="65"/>
      <c r="P27" s="65"/>
    </row>
    <row r="28" spans="1:38" x14ac:dyDescent="0.25">
      <c r="A28" s="51"/>
      <c r="B28" s="65"/>
      <c r="C28" s="145"/>
      <c r="D28" s="146"/>
      <c r="E28" s="147"/>
      <c r="F28" s="147"/>
      <c r="G28" s="65"/>
      <c r="H28" s="65"/>
      <c r="I28" s="65"/>
      <c r="J28" s="65"/>
      <c r="K28" s="65"/>
      <c r="L28" s="65"/>
      <c r="M28" s="65"/>
      <c r="N28" s="65"/>
      <c r="O28" s="65"/>
      <c r="P28" s="65"/>
    </row>
    <row r="29" spans="1:38" x14ac:dyDescent="0.25">
      <c r="A29" s="51"/>
      <c r="B29" s="65"/>
      <c r="C29" s="145"/>
      <c r="D29" s="146"/>
      <c r="E29" s="147"/>
      <c r="F29" s="147"/>
      <c r="G29" s="65"/>
      <c r="H29" s="65"/>
      <c r="I29" s="65"/>
      <c r="J29" s="65"/>
      <c r="K29" s="65"/>
      <c r="L29" s="65"/>
      <c r="M29" s="65"/>
      <c r="N29" s="65"/>
      <c r="O29" s="65"/>
      <c r="P29" s="65"/>
    </row>
    <row r="30" spans="1:38" ht="14.45" customHeight="1" x14ac:dyDescent="0.25">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25">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25">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25">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25">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25">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25">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spans="1:7" x14ac:dyDescent="0.25"/>
    <row r="66" spans="1:7" x14ac:dyDescent="0.25"/>
    <row r="67" spans="1:7" x14ac:dyDescent="0.25"/>
    <row r="68" spans="1:7" x14ac:dyDescent="0.25"/>
    <row r="69" spans="1:7" ht="13.5" thickBot="1" x14ac:dyDescent="0.3"/>
    <row r="70" spans="1:7" ht="14.25" thickTop="1" thickBot="1" x14ac:dyDescent="0.3">
      <c r="A70" s="387" t="s">
        <v>377</v>
      </c>
      <c r="B70" s="387"/>
      <c r="C70" s="387"/>
      <c r="D70" s="387"/>
      <c r="E70" s="387"/>
      <c r="F70" s="387"/>
      <c r="G70" s="387"/>
    </row>
    <row r="71" spans="1:7" ht="14.25" thickTop="1" thickBot="1" x14ac:dyDescent="0.3">
      <c r="A71" s="321" t="s">
        <v>378</v>
      </c>
      <c r="B71" s="387" t="s">
        <v>379</v>
      </c>
      <c r="C71" s="387"/>
      <c r="D71" s="387" t="s">
        <v>380</v>
      </c>
      <c r="E71" s="387"/>
      <c r="F71" s="387" t="s">
        <v>381</v>
      </c>
      <c r="G71" s="387"/>
    </row>
    <row r="72" spans="1:7" ht="59.45" customHeight="1" thickTop="1" thickBot="1" x14ac:dyDescent="0.3">
      <c r="A72" s="322" t="s">
        <v>382</v>
      </c>
      <c r="B72" s="388">
        <v>46163</v>
      </c>
      <c r="C72" s="388"/>
      <c r="D72" s="389" t="s">
        <v>383</v>
      </c>
      <c r="E72" s="389"/>
      <c r="F72" s="390" t="s">
        <v>384</v>
      </c>
      <c r="G72" s="390"/>
    </row>
  </sheetData>
  <sheetProtection formatCells="0" formatColumns="0" formatRows="0" sort="0" autoFilter="0" pivotTables="0"/>
  <dataConsolidate/>
  <mergeCells count="19">
    <mergeCell ref="A70:G70"/>
    <mergeCell ref="B71:C71"/>
    <mergeCell ref="D71:E71"/>
    <mergeCell ref="F71:G71"/>
    <mergeCell ref="B72:C72"/>
    <mergeCell ref="D72:E72"/>
    <mergeCell ref="F72:G72"/>
    <mergeCell ref="I10:I14"/>
    <mergeCell ref="Q10:Q14"/>
    <mergeCell ref="A7:G7"/>
    <mergeCell ref="C8:G8"/>
    <mergeCell ref="A10:A14"/>
    <mergeCell ref="I7:O7"/>
    <mergeCell ref="A1:A3"/>
    <mergeCell ref="B1:I2"/>
    <mergeCell ref="B3:I3"/>
    <mergeCell ref="T7:X7"/>
    <mergeCell ref="K8:O8"/>
    <mergeCell ref="A4:K4"/>
  </mergeCells>
  <conditionalFormatting sqref="D15:E29">
    <cfRule type="cellIs" dxfId="31" priority="1" operator="equal">
      <formula>$S$14</formula>
    </cfRule>
    <cfRule type="cellIs" dxfId="30" priority="2" operator="equal">
      <formula>$S$13</formula>
    </cfRule>
    <cfRule type="cellIs" dxfId="29" priority="3" operator="equal">
      <formula>$S$12</formula>
    </cfRule>
    <cfRule type="cellIs" dxfId="28" priority="4" operator="equal">
      <formula>$S$11</formula>
    </cfRule>
    <cfRule type="cellIs" dxfId="27" priority="5" operator="equal">
      <formula>$S$10</formula>
    </cfRule>
  </conditionalFormatting>
  <conditionalFormatting sqref="F15:F29">
    <cfRule type="cellIs" dxfId="26" priority="6" operator="equal">
      <formula>$T$9</formula>
    </cfRule>
    <cfRule type="cellIs" dxfId="25" priority="7" operator="equal">
      <formula>$U$9</formula>
    </cfRule>
    <cfRule type="cellIs" dxfId="24" priority="8" operator="equal">
      <formula>$V$9</formula>
    </cfRule>
    <cfRule type="cellIs" dxfId="23" priority="9" operator="equal">
      <formula>$W$9</formula>
    </cfRule>
    <cfRule type="cellIs" dxfId="22" priority="10" operator="equal">
      <formula>$X$9</formula>
    </cfRule>
  </conditionalFormatting>
  <conditionalFormatting sqref="G15:G29">
    <cfRule type="cellIs" dxfId="21" priority="16" operator="equal">
      <formula>$T$17</formula>
    </cfRule>
    <cfRule type="cellIs" dxfId="20" priority="17" operator="equal">
      <formula>$T$18</formula>
    </cfRule>
    <cfRule type="cellIs" dxfId="19" priority="18" operator="equal">
      <formula>$T$19</formula>
    </cfRule>
    <cfRule type="cellIs" dxfId="18"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3"/>
  <sheetViews>
    <sheetView showGridLines="0" tabSelected="1" zoomScale="80" zoomScaleNormal="80" workbookViewId="0">
      <selection activeCell="J5" sqref="J5:K5"/>
    </sheetView>
  </sheetViews>
  <sheetFormatPr baseColWidth="10" defaultColWidth="0" defaultRowHeight="12.75" x14ac:dyDescent="0.25"/>
  <cols>
    <col min="1" max="1" width="11.42578125" style="51" customWidth="1"/>
    <col min="2" max="2" width="42.28515625" style="51" customWidth="1"/>
    <col min="3" max="4" width="14.140625" style="51" customWidth="1"/>
    <col min="5" max="5" width="16.42578125" style="51" customWidth="1"/>
    <col min="6" max="6" width="16.85546875" style="51" customWidth="1"/>
    <col min="7" max="7" width="29" style="51" bestFit="1" customWidth="1"/>
    <col min="8" max="8" width="15.42578125" style="51" customWidth="1"/>
    <col min="9" max="9" width="13" style="51" customWidth="1"/>
    <col min="10" max="10" width="25.28515625" style="51" customWidth="1"/>
    <col min="11" max="11" width="14.42578125" style="51" customWidth="1"/>
    <col min="12" max="12" width="16.5703125" style="51" customWidth="1"/>
    <col min="13" max="13" width="16.85546875" style="51" customWidth="1"/>
    <col min="14" max="14" width="15.42578125" style="51" customWidth="1"/>
    <col min="15" max="16" width="16.42578125" style="51" customWidth="1"/>
    <col min="17" max="17" width="50.85546875" style="51" customWidth="1"/>
    <col min="18" max="18" width="52.42578125" style="51" customWidth="1"/>
    <col min="19" max="19" width="32.5703125" style="51" customWidth="1"/>
    <col min="20" max="20" width="24.140625" style="51" customWidth="1"/>
    <col min="21" max="22" width="15" style="92" customWidth="1"/>
    <col min="23" max="24" width="15.42578125" style="51" customWidth="1"/>
    <col min="25" max="25" width="4.85546875" style="51" customWidth="1"/>
    <col min="26" max="26" width="5.42578125" style="51" bestFit="1" customWidth="1"/>
    <col min="27" max="28" width="14" style="51" customWidth="1"/>
    <col min="29" max="29" width="18.42578125" style="51" customWidth="1"/>
    <col min="30" max="30" width="19.42578125" style="51" customWidth="1"/>
    <col min="31" max="31" width="14" style="51" customWidth="1"/>
    <col min="32" max="32" width="17" style="51" bestFit="1" customWidth="1"/>
    <col min="33" max="33" width="11.42578125" style="51" customWidth="1"/>
    <col min="34" max="37" width="11.42578125" style="51" hidden="1" customWidth="1"/>
    <col min="38" max="38" width="5.42578125" style="51" hidden="1" customWidth="1"/>
    <col min="39" max="39" width="26.85546875" style="51" hidden="1" customWidth="1"/>
    <col min="40" max="44" width="22.85546875" style="51" hidden="1" customWidth="1"/>
    <col min="45" max="45" width="23.42578125" style="51" hidden="1" customWidth="1"/>
    <col min="46" max="273" width="11.42578125" style="51" hidden="1" customWidth="1"/>
    <col min="274" max="274" width="12.42578125" style="51" hidden="1" customWidth="1"/>
    <col min="275" max="275" width="47" style="51" hidden="1" customWidth="1"/>
    <col min="276" max="276" width="35" style="51" hidden="1" customWidth="1"/>
    <col min="277" max="279" width="11.42578125" style="51" hidden="1" customWidth="1"/>
    <col min="280" max="280" width="12.42578125" style="51" hidden="1" customWidth="1"/>
    <col min="281" max="281" width="47" style="51" hidden="1" customWidth="1"/>
    <col min="282" max="282" width="35" style="51" hidden="1" customWidth="1"/>
    <col min="283" max="16384" width="14.42578125" style="51" hidden="1"/>
  </cols>
  <sheetData>
    <row r="1" spans="1:46" s="4" customFormat="1" ht="20.100000000000001" customHeight="1" thickTop="1" x14ac:dyDescent="0.25">
      <c r="A1" s="367"/>
      <c r="B1" s="370" t="s">
        <v>375</v>
      </c>
      <c r="C1" s="371"/>
      <c r="D1" s="371"/>
      <c r="E1" s="371"/>
      <c r="F1" s="371"/>
      <c r="G1" s="371"/>
      <c r="H1" s="371"/>
      <c r="I1" s="372"/>
      <c r="J1" s="384" t="s">
        <v>373</v>
      </c>
      <c r="K1" s="385"/>
      <c r="L1" s="260"/>
    </row>
    <row r="2" spans="1:46" s="4" customFormat="1" ht="20.100000000000001" customHeight="1" x14ac:dyDescent="0.25">
      <c r="A2" s="368"/>
      <c r="B2" s="373"/>
      <c r="C2" s="374"/>
      <c r="D2" s="374"/>
      <c r="E2" s="374"/>
      <c r="F2" s="374"/>
      <c r="G2" s="374"/>
      <c r="H2" s="374"/>
      <c r="I2" s="375"/>
      <c r="J2" s="315" t="s">
        <v>376</v>
      </c>
      <c r="K2" s="316"/>
      <c r="L2" s="260"/>
    </row>
    <row r="3" spans="1:46" s="3" customFormat="1" ht="16.5" thickBot="1" x14ac:dyDescent="0.25">
      <c r="A3" s="369"/>
      <c r="B3" s="376" t="s">
        <v>359</v>
      </c>
      <c r="C3" s="377"/>
      <c r="D3" s="377"/>
      <c r="E3" s="377"/>
      <c r="F3" s="377"/>
      <c r="G3" s="377"/>
      <c r="H3" s="377"/>
      <c r="I3" s="378"/>
      <c r="J3" s="317" t="s">
        <v>374</v>
      </c>
      <c r="K3" s="318"/>
      <c r="L3" s="261"/>
    </row>
    <row r="4" spans="1:46" s="3" customFormat="1" ht="17.100000000000001" customHeight="1" thickTop="1" x14ac:dyDescent="0.2">
      <c r="A4" s="381"/>
      <c r="B4" s="382"/>
      <c r="C4" s="382"/>
      <c r="D4" s="382"/>
      <c r="E4" s="382"/>
      <c r="F4" s="382"/>
      <c r="G4" s="382"/>
      <c r="H4" s="382"/>
      <c r="I4" s="382"/>
      <c r="J4" s="382"/>
      <c r="K4" s="383"/>
    </row>
    <row r="5" spans="1:46" s="28" customFormat="1" ht="27" customHeight="1" x14ac:dyDescent="0.25">
      <c r="A5" s="108" t="s">
        <v>80</v>
      </c>
      <c r="B5" s="293" t="str">
        <f>'2 IDENTIFICACIÓN'!B5</f>
        <v>ALCALDIA DE BUCARAMANGA</v>
      </c>
      <c r="C5" s="294"/>
      <c r="D5" s="294"/>
      <c r="E5" s="291"/>
      <c r="F5" s="251" t="s">
        <v>81</v>
      </c>
      <c r="G5" s="566" t="str">
        <f>'2 IDENTIFICACIÓN'!G5</f>
        <v>GESTIÓN DE LAS FINANZAS PUBLICAS</v>
      </c>
      <c r="H5" s="567"/>
      <c r="I5" s="251" t="s">
        <v>353</v>
      </c>
      <c r="J5" s="568">
        <f>'2 IDENTIFICACIÓN'!J5</f>
        <v>2026</v>
      </c>
      <c r="K5" s="569"/>
    </row>
    <row r="6" spans="1:46" s="28" customFormat="1" ht="15" x14ac:dyDescent="0.2">
      <c r="A6" s="263"/>
      <c r="B6" s="7"/>
      <c r="C6" s="7"/>
      <c r="D6" s="7"/>
      <c r="E6" s="7"/>
      <c r="F6" s="263"/>
      <c r="G6" s="169"/>
      <c r="H6" s="169"/>
      <c r="I6" s="169"/>
      <c r="J6" s="169"/>
      <c r="K6" s="169"/>
      <c r="T6" s="296"/>
      <c r="U6" s="296"/>
      <c r="V6" s="296"/>
    </row>
    <row r="7" spans="1:46" ht="14.45" customHeight="1" x14ac:dyDescent="0.25">
      <c r="A7" s="43"/>
      <c r="B7" s="43"/>
      <c r="C7" s="43"/>
      <c r="D7" s="43"/>
      <c r="E7" s="394" t="s">
        <v>295</v>
      </c>
      <c r="F7" s="394"/>
      <c r="G7" s="394"/>
      <c r="H7" s="43"/>
      <c r="I7" s="43"/>
      <c r="J7" s="394" t="s">
        <v>321</v>
      </c>
      <c r="K7" s="394"/>
      <c r="L7" s="394"/>
      <c r="M7" s="43"/>
      <c r="N7" s="43"/>
      <c r="O7" s="43"/>
      <c r="P7" s="43"/>
      <c r="Q7" s="394" t="s">
        <v>324</v>
      </c>
      <c r="R7" s="394"/>
      <c r="S7" s="394"/>
      <c r="T7" s="394"/>
      <c r="U7" s="394"/>
      <c r="V7" s="394"/>
      <c r="W7" s="43"/>
      <c r="X7" s="43"/>
      <c r="Z7" s="301"/>
      <c r="AB7" s="48">
        <v>0.2</v>
      </c>
      <c r="AC7" s="48">
        <v>0.4</v>
      </c>
      <c r="AD7" s="48">
        <v>0.6</v>
      </c>
      <c r="AE7" s="48">
        <v>0.8</v>
      </c>
      <c r="AF7" s="49">
        <v>1</v>
      </c>
      <c r="AG7" s="302"/>
      <c r="AH7" s="302"/>
      <c r="AI7" s="302"/>
      <c r="AJ7" s="302"/>
      <c r="AK7" s="302"/>
      <c r="AL7" s="302"/>
      <c r="AM7" s="302"/>
    </row>
    <row r="8" spans="1:46" ht="38.25" x14ac:dyDescent="0.2">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301"/>
      <c r="AA8" s="258"/>
      <c r="AB8" s="59" t="s">
        <v>272</v>
      </c>
      <c r="AC8" s="59" t="s">
        <v>276</v>
      </c>
      <c r="AD8" s="59" t="s">
        <v>280</v>
      </c>
      <c r="AE8" s="59" t="s">
        <v>285</v>
      </c>
      <c r="AF8" s="60" t="s">
        <v>290</v>
      </c>
      <c r="AI8" s="302"/>
      <c r="AJ8" s="302"/>
      <c r="AK8" s="303"/>
      <c r="AL8" s="303"/>
      <c r="AM8" s="303"/>
      <c r="AN8" s="303"/>
      <c r="AO8" s="303"/>
      <c r="AP8" s="303"/>
      <c r="AQ8" s="303"/>
      <c r="AR8" s="303"/>
      <c r="AS8" s="303"/>
      <c r="AT8" s="303"/>
    </row>
    <row r="9" spans="1:46" ht="75" customHeight="1" x14ac:dyDescent="0.2">
      <c r="A9" s="379" t="str">
        <f>'2 IDENTIFICACIÓN'!A10</f>
        <v>R1</v>
      </c>
      <c r="B9" s="352" t="str">
        <f>+'2 IDENTIFICACIÓN'!J10</f>
        <v>Posibilidad de afectación reputacional por investigaciones de entes de control debido a la falta de control y seguimiento a las partidas conciliatorias y conceptos de ingresos que afectan los movimientos bancarios, generando inconsistencias entre los libros contables y los extractos bancarios</v>
      </c>
      <c r="C9" s="358">
        <f>+'3 PROBABIL E IMPACTO INHERENTE'!E10</f>
        <v>0.6</v>
      </c>
      <c r="D9" s="358">
        <f>+'3 PROBABIL E IMPACTO INHERENTE'!M10</f>
        <v>0.6</v>
      </c>
      <c r="E9" s="356" t="str">
        <f>+'4 MAPA CALOR INHERENTE'!C10</f>
        <v>Media</v>
      </c>
      <c r="F9" s="356" t="str">
        <f>+'4 MAPA CALOR INHERENTE'!D10</f>
        <v>Moderado</v>
      </c>
      <c r="G9" s="352" t="str">
        <f>+'4 MAPA CALOR INHERENTE'!E10</f>
        <v>Moderado</v>
      </c>
      <c r="H9" s="358">
        <f>+'6 MAPA CALOR RESIDUAL'!C10</f>
        <v>0.6</v>
      </c>
      <c r="I9" s="356">
        <f>+'6 MAPA CALOR RESIDUAL'!D10</f>
        <v>0.6</v>
      </c>
      <c r="J9" s="356" t="str">
        <f>+'6 MAPA CALOR RESIDUAL'!E10</f>
        <v>Media</v>
      </c>
      <c r="K9" s="356" t="str">
        <f>+'6 MAPA CALOR RESIDUAL'!F10</f>
        <v>Moderado</v>
      </c>
      <c r="L9" s="352" t="str">
        <f>+'6 MAPA CALOR RESIDUAL'!G10</f>
        <v>Moderado</v>
      </c>
      <c r="M9" s="352" t="str">
        <f>+IF($N9="","",IF($N9=$AC$22,$AD$22,IF($N9=$AC$25,$AD$25)))</f>
        <v>Requiere Plan de Acción</v>
      </c>
      <c r="N9" s="352" t="str">
        <f>+IF(L9="","",IF(OR(L9=$AB$22,L9=$AB$23,L9=$AB$24),$AC$22,IF(L9=$AB$25,$AC$25)))</f>
        <v>Reducir_mitigar_Transferir_Evitar</v>
      </c>
      <c r="O9" s="354" t="s">
        <v>334</v>
      </c>
      <c r="P9" s="352" t="str">
        <f>+IF($M9="","",IF($M9=$AD$25,$AC$25,$O9))</f>
        <v>Reducir_Mitigar</v>
      </c>
      <c r="Q9" s="350" t="str">
        <f>'5 VALORACIÓN DEL CONTROL'!I10</f>
        <v>La Tesorería General  verifica las partidas conciliatorias bancarias reportadas por Contabilidad, a través de la revisión y seguimiento de las diferencias identificadas, con el fin de gestionar su saneamiento oportuno.</v>
      </c>
      <c r="R9" s="259" t="s">
        <v>394</v>
      </c>
      <c r="S9" s="259" t="s">
        <v>395</v>
      </c>
      <c r="T9" s="259" t="s">
        <v>396</v>
      </c>
      <c r="U9" s="311">
        <v>46023</v>
      </c>
      <c r="V9" s="311">
        <v>46386</v>
      </c>
      <c r="W9" s="43"/>
      <c r="X9" s="43"/>
      <c r="Z9" s="301"/>
      <c r="AA9" s="258"/>
      <c r="AB9" s="59"/>
      <c r="AC9" s="59"/>
      <c r="AD9" s="59"/>
      <c r="AE9" s="59"/>
      <c r="AF9" s="60"/>
      <c r="AI9" s="302"/>
      <c r="AJ9" s="302"/>
      <c r="AK9" s="303"/>
      <c r="AL9" s="303"/>
      <c r="AM9" s="303"/>
      <c r="AN9" s="303"/>
      <c r="AO9" s="303"/>
      <c r="AP9" s="303"/>
      <c r="AQ9" s="303"/>
      <c r="AR9" s="303"/>
      <c r="AS9" s="303"/>
      <c r="AT9" s="303"/>
    </row>
    <row r="10" spans="1:46" ht="103.5" customHeight="1" x14ac:dyDescent="0.2">
      <c r="A10" s="380"/>
      <c r="B10" s="353"/>
      <c r="C10" s="359"/>
      <c r="D10" s="359"/>
      <c r="E10" s="357"/>
      <c r="F10" s="357"/>
      <c r="G10" s="353"/>
      <c r="H10" s="359"/>
      <c r="I10" s="357"/>
      <c r="J10" s="357"/>
      <c r="K10" s="357"/>
      <c r="L10" s="353"/>
      <c r="M10" s="353"/>
      <c r="N10" s="353"/>
      <c r="O10" s="355"/>
      <c r="P10" s="353"/>
      <c r="Q10" s="351"/>
      <c r="R10" s="259" t="s">
        <v>397</v>
      </c>
      <c r="S10" s="259" t="s">
        <v>398</v>
      </c>
      <c r="T10" s="259" t="s">
        <v>399</v>
      </c>
      <c r="U10" s="311">
        <v>46023</v>
      </c>
      <c r="V10" s="311">
        <v>46374</v>
      </c>
      <c r="Y10" s="391" t="s">
        <v>139</v>
      </c>
      <c r="Z10" s="68">
        <v>1</v>
      </c>
      <c r="AA10" s="59" t="s">
        <v>288</v>
      </c>
      <c r="AB10" s="66" t="s">
        <v>298</v>
      </c>
      <c r="AC10" s="66" t="s">
        <v>298</v>
      </c>
      <c r="AD10" s="66" t="s">
        <v>298</v>
      </c>
      <c r="AE10" s="66" t="s">
        <v>298</v>
      </c>
      <c r="AF10" s="67" t="s">
        <v>299</v>
      </c>
      <c r="AI10" s="302"/>
      <c r="AJ10" s="302"/>
      <c r="AK10" s="303"/>
      <c r="AL10" s="303"/>
      <c r="AM10" s="303"/>
      <c r="AN10" s="69"/>
      <c r="AO10" s="69"/>
      <c r="AP10" s="69"/>
      <c r="AQ10" s="69"/>
      <c r="AR10" s="69"/>
      <c r="AS10" s="303"/>
      <c r="AT10" s="303"/>
    </row>
    <row r="11" spans="1:46" ht="113.25" customHeight="1" x14ac:dyDescent="0.2">
      <c r="A11" s="62" t="str">
        <f>'2 IDENTIFICACIÓN'!A11</f>
        <v>R2</v>
      </c>
      <c r="B11" s="258" t="str">
        <f>+'2 IDENTIFICACIÓN'!J11</f>
        <v>Posibilidad de afectación reputacional por deficiencias en la planeación de las necesidades del Plan Anual de Adquisiciones de la Secretaría de Hacienda,  debido a insuficiencias en la identificación y proyección oportuna de los requerimientos contractuales, generando compromisos de vigencias futuras para atender necesidades de la vigencia actual</v>
      </c>
      <c r="C11" s="89">
        <f>+'3 PROBABIL E IMPACTO INHERENTE'!E11</f>
        <v>0.4</v>
      </c>
      <c r="D11" s="89">
        <f>+'3 PROBABIL E IMPACTO INHERENTE'!M11</f>
        <v>0.6</v>
      </c>
      <c r="E11" s="64" t="str">
        <f>+'4 MAPA CALOR INHERENTE'!C11</f>
        <v>Baja</v>
      </c>
      <c r="F11" s="64" t="str">
        <f>+'4 MAPA CALOR INHERENTE'!D11</f>
        <v>Moderado</v>
      </c>
      <c r="G11" s="258" t="str">
        <f>+'4 MAPA CALOR INHERENTE'!E11</f>
        <v>Moderado</v>
      </c>
      <c r="H11" s="89">
        <f>+'5 VALORACIÓN DEL CONTROL'!T21</f>
        <v>0.6</v>
      </c>
      <c r="I11" s="64">
        <f>+'5 VALORACIÓN DEL CONTROL'!U21</f>
        <v>0.6</v>
      </c>
      <c r="J11" s="64" t="str">
        <f t="shared" ref="J11:J32" si="0">+IF(H11=0,"",IF(H11&lt;=$Z$18,$AA$18,IF(H11&lt;=$Z$15,$AA$15,IF(H11&lt;=$Z$14,$AA$14,IF(H11&lt;=$Z$11,$AA$11,IF(H11&lt;=$Z$10,$AA$10,""))))))</f>
        <v>Media</v>
      </c>
      <c r="K11" s="64" t="str">
        <f t="shared" ref="K11:K32" si="1">+IF(I11=0,"",IF(I11&lt;=$AB$7,$AB$8,IF(I11&lt;=$AC$7,$AC$8,IF(I11&lt;=$AD$7,$AD$8,IF(I11&lt;=$AE$7,$AE$8,IF(I11&lt;=$AF$7,$AF$8,""))))))</f>
        <v>Moderado</v>
      </c>
      <c r="L11" s="258" t="str">
        <f t="shared" ref="L11:L32" si="2">+IF(J11=$AA$10,IF(K11=$AB$8,$AB$10,IF(K11=$AC$8,$AC$10,IF(K11=$AD$8,$AD$10,IF(K11=$AE$8,$AE$10,IF(K11=$AF$8,$AF$10))))),IF(J11=$AA$11,IF(K11=$AB$8,$AB$11,IF(K11=$AC$8,$AC$11,IF(K11=$AD$8,$AD$11,IF(K11=$AE$8,$AE$11,IF(K11=$AF$8,$AF$11))))),IF(J11=$AA$14,IF(K11=$AB$8,$AB$14,IF(K11=$AC$8,$AC$14,IF(K11=$AD$8,$AD$14,IF(K11=$AE$8,$AE$14,IF(K11=$AF$8,$AF$14))))),IF(J11=$AA$15,IF(K11=$AB$8,$AB$15,IF(K11=$AC$8,$AC$15,IF(K11=$AD$8,$AD$15,IF(K11=$AE$8,$AE$15,IF(K11=$AF$8,$AF$15))))),IF(J11=$AA$18,IF(K11=$AB$8,$AB$18,IF(K11=$AC$8,$AC$18,IF(K11=$AD$8,$AD$18,IF(K11=$AE$8,$AE$18,IF(K11=$AF$8,$AF$18))))),"")))))</f>
        <v>Moderado</v>
      </c>
      <c r="M11" s="258" t="str">
        <f t="shared" ref="M11:M46" si="3">+IF($N11="","",IF($N11=$AC$22,$AD$22,IF($N11=$AC$25,$AD$25)))</f>
        <v>Requiere Plan de Acción</v>
      </c>
      <c r="N11" s="258" t="str">
        <f t="shared" ref="N11:N32" si="4">+IF(L11="","",IF(OR(L11=$AB$22,L11=$AB$23,L11=$AB$24),$AC$22,IF(L11=$AB$25,$AC$25)))</f>
        <v>Reducir_mitigar_Transferir_Evitar</v>
      </c>
      <c r="O11" s="259" t="s">
        <v>334</v>
      </c>
      <c r="P11" s="258" t="str">
        <f t="shared" ref="P11:P46" si="5">+IF($M11="","",IF($M11=$AD$25,$AC$25,$O11))</f>
        <v>Reducir_Mitigar</v>
      </c>
      <c r="Q11" s="310" t="str">
        <f>'5 VALORACIÓN DEL CONTROL'!I16</f>
        <v xml:space="preserve">El Secretario de Hacienda y el equipo de contratación  verifican las necesidades contractuales incluidas en el Plan Anual de Adquisiciones, a través de la revisión y seguimiento de la identificación y proyección de los requerimientos de las dependencias, con el fin de gestionar oportunamente las modificaciones y actualizaciones requeridas. </v>
      </c>
      <c r="R11" s="259" t="s">
        <v>405</v>
      </c>
      <c r="S11" s="259" t="s">
        <v>406</v>
      </c>
      <c r="T11" s="259" t="s">
        <v>407</v>
      </c>
      <c r="U11" s="311">
        <v>46023</v>
      </c>
      <c r="V11" s="311">
        <v>46374</v>
      </c>
      <c r="Y11" s="392"/>
      <c r="Z11" s="68">
        <v>0.8</v>
      </c>
      <c r="AA11" s="59" t="s">
        <v>283</v>
      </c>
      <c r="AB11" s="70" t="s">
        <v>280</v>
      </c>
      <c r="AC11" s="70" t="s">
        <v>280</v>
      </c>
      <c r="AD11" s="66" t="s">
        <v>298</v>
      </c>
      <c r="AE11" s="66" t="s">
        <v>298</v>
      </c>
      <c r="AF11" s="67" t="s">
        <v>299</v>
      </c>
      <c r="AI11" s="302"/>
      <c r="AJ11" s="302"/>
      <c r="AK11" s="303"/>
      <c r="AL11" s="304"/>
      <c r="AM11" s="72"/>
      <c r="AN11" s="69"/>
      <c r="AO11" s="69"/>
      <c r="AP11" s="69"/>
      <c r="AQ11" s="69"/>
      <c r="AR11" s="69"/>
      <c r="AS11" s="303"/>
      <c r="AT11" s="303"/>
    </row>
    <row r="12" spans="1:46" ht="72" customHeight="1" x14ac:dyDescent="0.2">
      <c r="A12" s="360" t="str">
        <f>'2 IDENTIFICACIÓN'!A12</f>
        <v>R3</v>
      </c>
      <c r="B12" s="352" t="str">
        <f>+'2 IDENTIFICACIÓN'!J12</f>
        <v>Posibilidad de afectación reputacional por investigaciones y sanciones disciplinarias  debido a entes de control, debido al incumplimiento de la Ley 594 de 2000 en la gestión documental de la Secretaría de Hacienda</v>
      </c>
      <c r="C12" s="358">
        <f>+'3 PROBABIL E IMPACTO INHERENTE'!E12</f>
        <v>0.6</v>
      </c>
      <c r="D12" s="358">
        <f>+'3 PROBABIL E IMPACTO INHERENTE'!M12</f>
        <v>0.6</v>
      </c>
      <c r="E12" s="356" t="str">
        <f>+'4 MAPA CALOR INHERENTE'!C12</f>
        <v>Media</v>
      </c>
      <c r="F12" s="356" t="str">
        <f>+'4 MAPA CALOR INHERENTE'!D12</f>
        <v>Moderado</v>
      </c>
      <c r="G12" s="352" t="str">
        <f>+'4 MAPA CALOR INHERENTE'!E12</f>
        <v>Moderado</v>
      </c>
      <c r="H12" s="358">
        <f>+'5 VALORACIÓN DEL CONTROL'!T27</f>
        <v>0.6</v>
      </c>
      <c r="I12" s="356">
        <f>+'5 VALORACIÓN DEL CONTROL'!U27</f>
        <v>0.6</v>
      </c>
      <c r="J12" s="356" t="str">
        <f>+IF(H12=0,"",IF(H12&lt;=$Z$18,$AA$18,IF(H12&lt;=$Z$15,$AA$15,IF(H12&lt;=$Z$14,$AA$14,IF(H12&lt;=$Z$11,$AA$11,IF(H12&lt;=$Z$10,$AA$10,""))))))</f>
        <v>Media</v>
      </c>
      <c r="K12" s="356" t="str">
        <f>+IF(I12=0,"",IF(I12&lt;=$AB$7,$AB$8,IF(I12&lt;=$AC$7,$AC$8,IF(I12&lt;=$AD$7,$AD$8,IF(I12&lt;=$AE$7,$AE$8,IF(I12&lt;=$AF$7,$AF$8,""))))))</f>
        <v>Moderado</v>
      </c>
      <c r="L12" s="352" t="str">
        <f>+IF(J12=$AA$10,IF(K12=$AB$8,$AB$10,IF(K12=$AC$8,$AC$10,IF(K12=$AD$8,$AD$10,IF(K12=$AE$8,$AE$10,IF(K12=$AF$8,$AF$10))))),IF(J12=$AA$11,IF(K12=$AB$8,$AB$11,IF(K12=$AC$8,$AC$11,IF(K12=$AD$8,$AD$11,IF(K12=$AE$8,$AE$11,IF(K12=$AF$8,$AF$11))))),IF(J12=$AA$14,IF(K12=$AB$8,$AB$14,IF(K12=$AC$8,$AC$14,IF(K12=$AD$8,$AD$14,IF(K12=$AE$8,$AE$14,IF(K12=$AF$8,$AF$14))))),IF(J12=$AA$15,IF(K12=$AB$8,$AB$15,IF(K12=$AC$8,$AC$15,IF(K12=$AD$8,$AD$15,IF(K12=$AE$8,$AE$15,IF(K12=$AF$8,$AF$15))))),IF(J12=$AA$18,IF(K12=$AB$8,$AB$18,IF(K12=$AC$8,$AC$18,IF(K12=$AD$8,$AD$18,IF(K12=$AE$8,$AE$18,IF(K12=$AF$8,$AF$18))))),"")))))</f>
        <v>Moderado</v>
      </c>
      <c r="M12" s="352" t="str">
        <f>+IF($N12="","",IF($N12=$AC$22,$AD$22,IF($N12=$AC$25,$AD$25)))</f>
        <v>Requiere Plan de Acción</v>
      </c>
      <c r="N12" s="352" t="str">
        <f>+IF(L12="","",IF(OR(L12=$AB$22,L12=$AB$23,L12=$AB$24),$AC$22,IF(L12=$AB$25,$AC$25)))</f>
        <v>Reducir_mitigar_Transferir_Evitar</v>
      </c>
      <c r="O12" s="354" t="s">
        <v>334</v>
      </c>
      <c r="P12" s="352" t="str">
        <f>+IF($M12="","",IF($M12=$AD$25,$AC$25,$O12))</f>
        <v>Reducir_Mitigar</v>
      </c>
      <c r="Q12" s="350" t="str">
        <f>'5 VALORACIÓN DEL CONTROL'!I22</f>
        <v>El área de archivo de la Secretaría de Hacienda encargado del manejo del archivo  aplica los manuales y procedimientos para la intervención documental el cual establece los lineamientos para llevar a cabo la: organización, inventario y transferencias documentales primarias desde los Archivos de Gestión al Archivo Central, teniendo en cuenta el cumplimiento de los tiempos de retención en las fases del ciclo vital de la documentación, según lo estipulen las tablas de retención documental, tablas de valoración documental y las directrices del Archivo General de la Nación</v>
      </c>
      <c r="R12" s="259" t="s">
        <v>413</v>
      </c>
      <c r="S12" s="259" t="s">
        <v>414</v>
      </c>
      <c r="T12" s="259" t="s">
        <v>419</v>
      </c>
      <c r="U12" s="311">
        <v>46082</v>
      </c>
      <c r="V12" s="311">
        <v>46142</v>
      </c>
      <c r="Y12" s="392"/>
      <c r="Z12" s="68"/>
      <c r="AA12" s="59"/>
      <c r="AB12" s="70"/>
      <c r="AC12" s="70"/>
      <c r="AD12" s="66"/>
      <c r="AE12" s="66"/>
      <c r="AF12" s="67"/>
      <c r="AI12" s="302"/>
      <c r="AJ12" s="302"/>
      <c r="AK12" s="303"/>
      <c r="AL12" s="304"/>
      <c r="AM12" s="72"/>
      <c r="AN12" s="69"/>
      <c r="AO12" s="69"/>
      <c r="AP12" s="69"/>
      <c r="AQ12" s="69"/>
      <c r="AR12" s="69"/>
      <c r="AS12" s="303"/>
      <c r="AT12" s="303"/>
    </row>
    <row r="13" spans="1:46" ht="48" customHeight="1" x14ac:dyDescent="0.2">
      <c r="A13" s="386"/>
      <c r="B13" s="363"/>
      <c r="C13" s="362"/>
      <c r="D13" s="362"/>
      <c r="E13" s="364"/>
      <c r="F13" s="364"/>
      <c r="G13" s="363"/>
      <c r="H13" s="362"/>
      <c r="I13" s="364"/>
      <c r="J13" s="364"/>
      <c r="K13" s="364"/>
      <c r="L13" s="363"/>
      <c r="M13" s="363"/>
      <c r="N13" s="363"/>
      <c r="O13" s="366"/>
      <c r="P13" s="363"/>
      <c r="Q13" s="365"/>
      <c r="R13" s="259" t="s">
        <v>415</v>
      </c>
      <c r="S13" s="259" t="s">
        <v>416</v>
      </c>
      <c r="T13" s="259" t="s">
        <v>420</v>
      </c>
      <c r="U13" s="311">
        <v>46023</v>
      </c>
      <c r="V13" s="311">
        <v>46374</v>
      </c>
      <c r="Y13" s="392"/>
      <c r="Z13" s="68"/>
      <c r="AA13" s="59"/>
      <c r="AB13" s="70"/>
      <c r="AC13" s="70"/>
      <c r="AD13" s="66"/>
      <c r="AE13" s="66"/>
      <c r="AF13" s="67"/>
      <c r="AI13" s="302"/>
      <c r="AJ13" s="302"/>
      <c r="AK13" s="303"/>
      <c r="AL13" s="304"/>
      <c r="AM13" s="72"/>
      <c r="AN13" s="69"/>
      <c r="AO13" s="69"/>
      <c r="AP13" s="69"/>
      <c r="AQ13" s="69"/>
      <c r="AR13" s="69"/>
      <c r="AS13" s="303"/>
      <c r="AT13" s="303"/>
    </row>
    <row r="14" spans="1:46" ht="43.5" customHeight="1" x14ac:dyDescent="0.2">
      <c r="A14" s="361"/>
      <c r="B14" s="353"/>
      <c r="C14" s="359"/>
      <c r="D14" s="359"/>
      <c r="E14" s="357"/>
      <c r="F14" s="357"/>
      <c r="G14" s="353"/>
      <c r="H14" s="359"/>
      <c r="I14" s="357"/>
      <c r="J14" s="357"/>
      <c r="K14" s="357"/>
      <c r="L14" s="353"/>
      <c r="M14" s="353"/>
      <c r="N14" s="353"/>
      <c r="O14" s="355"/>
      <c r="P14" s="353"/>
      <c r="Q14" s="351"/>
      <c r="R14" s="259" t="s">
        <v>417</v>
      </c>
      <c r="S14" s="259" t="s">
        <v>418</v>
      </c>
      <c r="T14" s="259" t="s">
        <v>420</v>
      </c>
      <c r="U14" s="311">
        <v>46023</v>
      </c>
      <c r="V14" s="311">
        <v>46374</v>
      </c>
      <c r="Y14" s="392"/>
      <c r="Z14" s="68">
        <v>0.6</v>
      </c>
      <c r="AA14" s="59" t="s">
        <v>278</v>
      </c>
      <c r="AB14" s="70" t="s">
        <v>280</v>
      </c>
      <c r="AC14" s="70" t="s">
        <v>280</v>
      </c>
      <c r="AD14" s="70" t="s">
        <v>280</v>
      </c>
      <c r="AE14" s="66" t="s">
        <v>298</v>
      </c>
      <c r="AF14" s="67" t="s">
        <v>299</v>
      </c>
      <c r="AI14" s="302"/>
      <c r="AJ14" s="302"/>
      <c r="AK14" s="303"/>
      <c r="AL14" s="304"/>
      <c r="AM14" s="72"/>
      <c r="AN14" s="69"/>
      <c r="AO14" s="69"/>
      <c r="AP14" s="69"/>
      <c r="AQ14" s="69"/>
      <c r="AR14" s="73"/>
      <c r="AS14" s="303"/>
      <c r="AT14" s="303"/>
    </row>
    <row r="15" spans="1:46" ht="115.5" customHeight="1" x14ac:dyDescent="0.2">
      <c r="A15" s="62" t="str">
        <f>'2 IDENTIFICACIÓN'!A13</f>
        <v>R4</v>
      </c>
      <c r="B15" s="258" t="str">
        <f>+'2 IDENTIFICACIÓN'!J13</f>
        <v xml:space="preserve">Posibilidad de afectación reputacional por inconsistencias o errores en el registro y reporte de la información de ingresos presentada en los sistemas CHIP y SIA Contraloría,  debido a deficiencias en la parametrización, interoperabilidad y funcionamiento del Sistema de Información Financiero (SIF), frente a los lineamientos establecidos por los entes de control. </v>
      </c>
      <c r="C15" s="89">
        <f>+'3 PROBABIL E IMPACTO INHERENTE'!E13</f>
        <v>0.6</v>
      </c>
      <c r="D15" s="89">
        <f>+'3 PROBABIL E IMPACTO INHERENTE'!M13</f>
        <v>0.6</v>
      </c>
      <c r="E15" s="64" t="str">
        <f>+'4 MAPA CALOR INHERENTE'!C13</f>
        <v>Media</v>
      </c>
      <c r="F15" s="64" t="str">
        <f>+'4 MAPA CALOR INHERENTE'!D13</f>
        <v>Moderado</v>
      </c>
      <c r="G15" s="258" t="str">
        <f>+'4 MAPA CALOR INHERENTE'!E13</f>
        <v>Moderado</v>
      </c>
      <c r="H15" s="89">
        <f>+'5 VALORACIÓN DEL CONTROL'!T33</f>
        <v>0.6</v>
      </c>
      <c r="I15" s="64">
        <f>+'5 VALORACIÓN DEL CONTROL'!U33</f>
        <v>0.6</v>
      </c>
      <c r="J15" s="64" t="str">
        <f t="shared" si="0"/>
        <v>Media</v>
      </c>
      <c r="K15" s="64" t="str">
        <f t="shared" si="1"/>
        <v>Moderado</v>
      </c>
      <c r="L15" s="258" t="str">
        <f t="shared" si="2"/>
        <v>Moderado</v>
      </c>
      <c r="M15" s="258" t="str">
        <f t="shared" si="3"/>
        <v>Requiere Plan de Acción</v>
      </c>
      <c r="N15" s="258" t="str">
        <f t="shared" si="4"/>
        <v>Reducir_mitigar_Transferir_Evitar</v>
      </c>
      <c r="O15" s="259" t="s">
        <v>334</v>
      </c>
      <c r="P15" s="258" t="str">
        <f t="shared" si="5"/>
        <v>Reducir_Mitigar</v>
      </c>
      <c r="Q15" s="310" t="str">
        <f>'5 VALORACIÓN DEL CONTROL'!I28</f>
        <v>El Profesional Especializado del Área de Presupuesto verifica y valida la información presupuestal suministrada por el Área de Tesorería,  mediante la revisión de la ejecución de ingresos y la clasificación de cuentas en el Sistema de Información Financiero (SIF), con el fin de identificar inconsistencias en la información reportada a los sistemas CHIP y SIA Contraloría antes de su rendición a los entes de control.</v>
      </c>
      <c r="R15" s="259" t="s">
        <v>426</v>
      </c>
      <c r="S15" s="259" t="s">
        <v>427</v>
      </c>
      <c r="T15" s="259" t="s">
        <v>428</v>
      </c>
      <c r="U15" s="311">
        <v>46082</v>
      </c>
      <c r="V15" s="311">
        <v>46374</v>
      </c>
      <c r="Y15" s="392"/>
      <c r="Z15" s="68">
        <v>0.4</v>
      </c>
      <c r="AA15" s="59" t="s">
        <v>274</v>
      </c>
      <c r="AB15" s="74" t="s">
        <v>300</v>
      </c>
      <c r="AC15" s="70" t="s">
        <v>280</v>
      </c>
      <c r="AD15" s="70" t="s">
        <v>280</v>
      </c>
      <c r="AE15" s="66" t="s">
        <v>298</v>
      </c>
      <c r="AF15" s="67" t="s">
        <v>299</v>
      </c>
      <c r="AI15" s="302"/>
      <c r="AJ15" s="302"/>
      <c r="AK15" s="303"/>
      <c r="AL15" s="304"/>
      <c r="AM15" s="72"/>
      <c r="AN15" s="69"/>
      <c r="AO15" s="69"/>
      <c r="AP15" s="69"/>
      <c r="AQ15" s="73"/>
      <c r="AR15" s="69"/>
      <c r="AS15" s="303"/>
      <c r="AT15" s="303"/>
    </row>
    <row r="16" spans="1:46" ht="78" customHeight="1" x14ac:dyDescent="0.2">
      <c r="A16" s="360" t="str">
        <f>'2 IDENTIFICACIÓN'!A14</f>
        <v>R5</v>
      </c>
      <c r="B16" s="352" t="str">
        <f>+'2 IDENTIFICACIÓN'!J14</f>
        <v xml:space="preserve">Posibilidad de afectación reputacional por debilidades en la planeación, gestión y ejecución de las obligaciones contractuales por parte de las unidades gestoras debido a deficiencias en la supervisión y ejecución oportuna contractual producto de la constitución de reservas presupuestales y pasivos exigibles </v>
      </c>
      <c r="C16" s="358">
        <f>+'3 PROBABIL E IMPACTO INHERENTE'!E14</f>
        <v>0.8</v>
      </c>
      <c r="D16" s="358">
        <f>+'3 PROBABIL E IMPACTO INHERENTE'!M14</f>
        <v>0.6</v>
      </c>
      <c r="E16" s="356" t="str">
        <f>+'4 MAPA CALOR INHERENTE'!C14</f>
        <v>Alta</v>
      </c>
      <c r="F16" s="356" t="str">
        <f>+'4 MAPA CALOR INHERENTE'!D14</f>
        <v>Moderado</v>
      </c>
      <c r="G16" s="352" t="str">
        <f>+'4 MAPA CALOR INHERENTE'!E14</f>
        <v>Alto</v>
      </c>
      <c r="H16" s="358">
        <f>+'5 VALORACIÓN DEL CONTROL'!T39</f>
        <v>0.6</v>
      </c>
      <c r="I16" s="356">
        <f>+'5 VALORACIÓN DEL CONTROL'!U39</f>
        <v>0.6</v>
      </c>
      <c r="J16" s="356" t="str">
        <f>+IF(H16=0,"",IF(H16&lt;=$Z$18,$AA$18,IF(H16&lt;=$Z$15,$AA$15,IF(H16&lt;=$Z$14,$AA$14,IF(H16&lt;=$Z$11,$AA$11,IF(H16&lt;=$Z$10,$AA$10,""))))))</f>
        <v>Media</v>
      </c>
      <c r="K16" s="356" t="str">
        <f>+IF(I16=0,"",IF(I16&lt;=$AB$7,$AB$8,IF(I16&lt;=$AC$7,$AC$8,IF(I16&lt;=$AD$7,$AD$8,IF(I16&lt;=$AE$7,$AE$8,IF(I16&lt;=$AF$7,$AF$8,""))))))</f>
        <v>Moderado</v>
      </c>
      <c r="L16" s="352" t="str">
        <f>+IF(J16=$AA$10,IF(K16=$AB$8,$AB$10,IF(K16=$AC$8,$AC$10,IF(K16=$AD$8,$AD$10,IF(K16=$AE$8,$AE$10,IF(K16=$AF$8,$AF$10))))),IF(J16=$AA$11,IF(K16=$AB$8,$AB$11,IF(K16=$AC$8,$AC$11,IF(K16=$AD$8,$AD$11,IF(K16=$AE$8,$AE$11,IF(K16=$AF$8,$AF$11))))),IF(J16=$AA$14,IF(K16=$AB$8,$AB$14,IF(K16=$AC$8,$AC$14,IF(K16=$AD$8,$AD$14,IF(K16=$AE$8,$AE$14,IF(K16=$AF$8,$AF$14))))),IF(J16=$AA$15,IF(K16=$AB$8,$AB$15,IF(K16=$AC$8,$AC$15,IF(K16=$AD$8,$AD$15,IF(K16=$AE$8,$AE$15,IF(K16=$AF$8,$AF$15))))),IF(J16=$AA$18,IF(K16=$AB$8,$AB$18,IF(K16=$AC$8,$AC$18,IF(K16=$AD$8,$AD$18,IF(K16=$AE$8,$AE$18,IF(K16=$AF$8,$AF$18))))),"")))))</f>
        <v>Moderado</v>
      </c>
      <c r="M16" s="352" t="str">
        <f>+IF($N16="","",IF($N16=$AC$22,$AD$22,IF($N16=$AC$25,$AD$25)))</f>
        <v>Requiere Plan de Acción</v>
      </c>
      <c r="N16" s="352" t="str">
        <f>+IF(L16="","",IF(OR(L16=$AB$22,L16=$AB$23,L16=$AB$24),$AC$22,IF(L16=$AB$25,$AC$25)))</f>
        <v>Reducir_mitigar_Transferir_Evitar</v>
      </c>
      <c r="O16" s="354" t="s">
        <v>334</v>
      </c>
      <c r="P16" s="352" t="str">
        <f>+IF($M16="","",IF($M16=$AD$25,$AC$25,$O16))</f>
        <v>Reducir_Mitigar</v>
      </c>
      <c r="Q16" s="350" t="str">
        <f>'5 VALORACIÓN DEL CONTROL'!I34</f>
        <v>El Secretario de Hacienda y el Profesional Especializado del Área de Presupuesto  imparten lineamientos a las unidades gestoras sobre el procedimiento para la constitución, seguimiento, ejecución y pago de las reservas presupuestales previamente constituidas, con el fin de fortalecer el cumplimiento oportuno de las obligaciones contractuales dentro de la vigencia fiscal correspondiente.</v>
      </c>
      <c r="R16" s="259" t="s">
        <v>434</v>
      </c>
      <c r="S16" s="259" t="s">
        <v>435</v>
      </c>
      <c r="T16" s="259" t="s">
        <v>436</v>
      </c>
      <c r="U16" s="311">
        <v>46266</v>
      </c>
      <c r="V16" s="311">
        <v>46374</v>
      </c>
      <c r="Y16" s="392"/>
      <c r="Z16" s="336"/>
      <c r="AA16" s="337"/>
      <c r="AB16" s="338"/>
      <c r="AC16" s="339"/>
      <c r="AD16" s="339"/>
      <c r="AE16" s="340"/>
      <c r="AF16" s="341"/>
      <c r="AI16" s="302"/>
      <c r="AJ16" s="302"/>
      <c r="AK16" s="303"/>
      <c r="AL16" s="304"/>
      <c r="AM16" s="72"/>
      <c r="AN16" s="69"/>
      <c r="AO16" s="69"/>
      <c r="AP16" s="69"/>
      <c r="AQ16" s="73"/>
      <c r="AR16" s="69"/>
      <c r="AS16" s="303"/>
      <c r="AT16" s="303"/>
    </row>
    <row r="17" spans="1:46" ht="69.75" customHeight="1" x14ac:dyDescent="0.2">
      <c r="A17" s="386"/>
      <c r="B17" s="363"/>
      <c r="C17" s="362"/>
      <c r="D17" s="362"/>
      <c r="E17" s="364"/>
      <c r="F17" s="364"/>
      <c r="G17" s="363"/>
      <c r="H17" s="362"/>
      <c r="I17" s="364"/>
      <c r="J17" s="364"/>
      <c r="K17" s="364"/>
      <c r="L17" s="363"/>
      <c r="M17" s="363"/>
      <c r="N17" s="363"/>
      <c r="O17" s="366"/>
      <c r="P17" s="363"/>
      <c r="Q17" s="365"/>
      <c r="R17" s="259" t="s">
        <v>437</v>
      </c>
      <c r="S17" s="259" t="s">
        <v>439</v>
      </c>
      <c r="T17" s="259" t="s">
        <v>438</v>
      </c>
      <c r="U17" s="311">
        <v>46054</v>
      </c>
      <c r="V17" s="311">
        <v>46386</v>
      </c>
      <c r="Y17" s="392"/>
      <c r="Z17" s="336"/>
      <c r="AA17" s="337"/>
      <c r="AB17" s="338"/>
      <c r="AC17" s="339"/>
      <c r="AD17" s="339"/>
      <c r="AE17" s="340"/>
      <c r="AF17" s="341"/>
      <c r="AI17" s="302"/>
      <c r="AJ17" s="302"/>
      <c r="AK17" s="303"/>
      <c r="AL17" s="304"/>
      <c r="AM17" s="72"/>
      <c r="AN17" s="69"/>
      <c r="AO17" s="69"/>
      <c r="AP17" s="69"/>
      <c r="AQ17" s="73"/>
      <c r="AR17" s="69"/>
      <c r="AS17" s="303"/>
      <c r="AT17" s="303"/>
    </row>
    <row r="18" spans="1:46" ht="71.25" customHeight="1" thickBot="1" x14ac:dyDescent="0.25">
      <c r="A18" s="361"/>
      <c r="B18" s="353"/>
      <c r="C18" s="359"/>
      <c r="D18" s="359"/>
      <c r="E18" s="357"/>
      <c r="F18" s="357"/>
      <c r="G18" s="353"/>
      <c r="H18" s="359"/>
      <c r="I18" s="357"/>
      <c r="J18" s="357"/>
      <c r="K18" s="357"/>
      <c r="L18" s="353"/>
      <c r="M18" s="353"/>
      <c r="N18" s="353"/>
      <c r="O18" s="355"/>
      <c r="P18" s="353"/>
      <c r="Q18" s="351"/>
      <c r="R18" s="259" t="s">
        <v>440</v>
      </c>
      <c r="S18" s="259" t="s">
        <v>441</v>
      </c>
      <c r="T18" s="259" t="s">
        <v>436</v>
      </c>
      <c r="U18" s="311">
        <v>46174</v>
      </c>
      <c r="V18" s="311">
        <v>46386</v>
      </c>
      <c r="Y18" s="393"/>
      <c r="Z18" s="80">
        <v>0.2</v>
      </c>
      <c r="AA18" s="81" t="s">
        <v>270</v>
      </c>
      <c r="AB18" s="76" t="s">
        <v>300</v>
      </c>
      <c r="AC18" s="76" t="s">
        <v>300</v>
      </c>
      <c r="AD18" s="77" t="s">
        <v>280</v>
      </c>
      <c r="AE18" s="78" t="s">
        <v>298</v>
      </c>
      <c r="AF18" s="79" t="s">
        <v>299</v>
      </c>
      <c r="AI18" s="302"/>
      <c r="AJ18" s="302"/>
      <c r="AK18" s="303"/>
      <c r="AL18" s="304"/>
      <c r="AM18" s="72"/>
      <c r="AN18" s="69"/>
      <c r="AO18" s="69"/>
      <c r="AP18" s="69"/>
      <c r="AQ18" s="69"/>
      <c r="AR18" s="69"/>
      <c r="AS18" s="303"/>
      <c r="AT18" s="303"/>
    </row>
    <row r="19" spans="1:46" ht="71.25" customHeight="1" x14ac:dyDescent="0.2">
      <c r="A19" s="360" t="str">
        <f>'2 IDENTIFICACIÓN'!A15</f>
        <v>R6</v>
      </c>
      <c r="B19" s="352" t="str">
        <f>+'2 IDENTIFICACIÓN'!J15</f>
        <v xml:space="preserve">Posibilidad de afectación económica y reputacional por generación de información contable y financiera no razonable o inconsistente del Municipio de Bucaramanga,  debido a debilidades en la depuración contable, validación de saldos, conciliación y análisis de la información registrada en el Sistema de Información Financiera, en incumplimiento del Marco Normativo del Régimen de Contabilidad Pública. </v>
      </c>
      <c r="C19" s="358">
        <f>+'3 PROBABIL E IMPACTO INHERENTE'!E15</f>
        <v>0.6</v>
      </c>
      <c r="D19" s="358">
        <f>+'3 PROBABIL E IMPACTO INHERENTE'!M15</f>
        <v>0.8</v>
      </c>
      <c r="E19" s="356" t="str">
        <f>+'4 MAPA CALOR INHERENTE'!C15</f>
        <v>Media</v>
      </c>
      <c r="F19" s="356" t="str">
        <f>+'4 MAPA CALOR INHERENTE'!D15</f>
        <v>Mayor</v>
      </c>
      <c r="G19" s="352" t="str">
        <f>+'4 MAPA CALOR INHERENTE'!E15</f>
        <v>Alto</v>
      </c>
      <c r="H19" s="358">
        <f>+'5 VALORACIÓN DEL CONTROL'!T45</f>
        <v>0.6</v>
      </c>
      <c r="I19" s="356">
        <f>+'5 VALORACIÓN DEL CONTROL'!U45</f>
        <v>0.8</v>
      </c>
      <c r="J19" s="356" t="str">
        <f>+IF(H19=0,"",IF(H19&lt;=$Z$18,$AA$18,IF(H19&lt;=$Z$15,$AA$15,IF(H19&lt;=$Z$14,$AA$14,IF(H19&lt;=$Z$11,$AA$11,IF(H19&lt;=$Z$10,$AA$10,""))))))</f>
        <v>Media</v>
      </c>
      <c r="K19" s="356" t="str">
        <f>+IF(I19=0,"",IF(I19&lt;=$AB$7,$AB$8,IF(I19&lt;=$AC$7,$AC$8,IF(I19&lt;=$AD$7,$AD$8,IF(I19&lt;=$AE$7,$AE$8,IF(I19&lt;=$AF$7,$AF$8,""))))))</f>
        <v>Mayor</v>
      </c>
      <c r="L19" s="352" t="str">
        <f>+IF(J19=$AA$10,IF(K19=$AB$8,$AB$10,IF(K19=$AC$8,$AC$10,IF(K19=$AD$8,$AD$10,IF(K19=$AE$8,$AE$10,IF(K19=$AF$8,$AF$10))))),IF(J19=$AA$11,IF(K19=$AB$8,$AB$11,IF(K19=$AC$8,$AC$11,IF(K19=$AD$8,$AD$11,IF(K19=$AE$8,$AE$11,IF(K19=$AF$8,$AF$11))))),IF(J19=$AA$14,IF(K19=$AB$8,$AB$14,IF(K19=$AC$8,$AC$14,IF(K19=$AD$8,$AD$14,IF(K19=$AE$8,$AE$14,IF(K19=$AF$8,$AF$14))))),IF(J19=$AA$15,IF(K19=$AB$8,$AB$15,IF(K19=$AC$8,$AC$15,IF(K19=$AD$8,$AD$15,IF(K19=$AE$8,$AE$15,IF(K19=$AF$8,$AF$15))))),IF(J19=$AA$18,IF(K19=$AB$8,$AB$18,IF(K19=$AC$8,$AC$18,IF(K19=$AD$8,$AD$18,IF(K19=$AE$8,$AE$18,IF(K19=$AF$8,$AF$18))))),"")))))</f>
        <v>Alto</v>
      </c>
      <c r="M19" s="352" t="str">
        <f>+IF($N19="","",IF($N19=$AC$22,$AD$22,IF($N19=$AC$25,$AD$25)))</f>
        <v>Requiere Plan de Acción</v>
      </c>
      <c r="N19" s="352" t="str">
        <f>+IF(L19="","",IF(OR(L19=$AB$22,L19=$AB$23,L19=$AB$24),$AC$22,IF(L19=$AB$25,$AC$25)))</f>
        <v>Reducir_mitigar_Transferir_Evitar</v>
      </c>
      <c r="O19" s="354" t="s">
        <v>334</v>
      </c>
      <c r="P19" s="352" t="str">
        <f>+IF($M19="","",IF($M19=$AD$25,$AC$25,$O19))</f>
        <v>Reducir_Mitigar</v>
      </c>
      <c r="Q19" s="350" t="str">
        <f>'5 VALORACIÓN DEL CONTROL'!I40</f>
        <v>El profesional especializado del Área de Contabilidad  revisa y valida periódicamente la información contable y financiera registrada en el Sistema de Información Financiera,  mediante actividades de conciliación, depuración, análisis de saldos y articulación con las dependencias involucradas, con el fin de garantizar la razonabilidad y consistencia de la información financiera del Municipio de Bucaramanga conforme al Marco Normativo del Régimen de Contabilidad Pública.</v>
      </c>
      <c r="R19" s="259" t="s">
        <v>447</v>
      </c>
      <c r="S19" s="259" t="s">
        <v>448</v>
      </c>
      <c r="T19" s="259" t="s">
        <v>449</v>
      </c>
      <c r="U19" s="311">
        <v>46023</v>
      </c>
      <c r="V19" s="311">
        <v>46386</v>
      </c>
      <c r="Y19" s="342"/>
      <c r="Z19" s="145"/>
      <c r="AA19" s="343"/>
      <c r="AB19" s="344"/>
      <c r="AC19" s="344"/>
      <c r="AD19" s="345"/>
      <c r="AE19" s="346"/>
      <c r="AF19" s="347"/>
      <c r="AI19" s="302"/>
      <c r="AJ19" s="302"/>
      <c r="AK19" s="303"/>
      <c r="AL19" s="304"/>
      <c r="AM19" s="72"/>
      <c r="AN19" s="69"/>
      <c r="AO19" s="69"/>
      <c r="AP19" s="69"/>
      <c r="AQ19" s="69"/>
      <c r="AR19" s="69"/>
      <c r="AS19" s="303"/>
      <c r="AT19" s="303"/>
    </row>
    <row r="20" spans="1:46" ht="128.25" customHeight="1" x14ac:dyDescent="0.2">
      <c r="A20" s="361"/>
      <c r="B20" s="353"/>
      <c r="C20" s="359"/>
      <c r="D20" s="359"/>
      <c r="E20" s="357"/>
      <c r="F20" s="357"/>
      <c r="G20" s="353"/>
      <c r="H20" s="359"/>
      <c r="I20" s="357"/>
      <c r="J20" s="357"/>
      <c r="K20" s="357"/>
      <c r="L20" s="353"/>
      <c r="M20" s="353"/>
      <c r="N20" s="353"/>
      <c r="O20" s="355"/>
      <c r="P20" s="353"/>
      <c r="Q20" s="351"/>
      <c r="R20" s="259" t="s">
        <v>450</v>
      </c>
      <c r="S20" s="259" t="s">
        <v>451</v>
      </c>
      <c r="T20" s="259" t="s">
        <v>449</v>
      </c>
      <c r="U20" s="311">
        <v>46023</v>
      </c>
      <c r="V20" s="311">
        <v>46386</v>
      </c>
      <c r="AI20" s="302"/>
      <c r="AJ20" s="302"/>
      <c r="AK20" s="303"/>
      <c r="AL20" s="304"/>
      <c r="AM20" s="72"/>
      <c r="AN20" s="69"/>
      <c r="AO20" s="69"/>
      <c r="AP20" s="69"/>
      <c r="AQ20" s="69"/>
      <c r="AR20" s="69"/>
      <c r="AS20" s="303"/>
      <c r="AT20" s="303"/>
    </row>
    <row r="21" spans="1:46" ht="120" customHeight="1" x14ac:dyDescent="0.2">
      <c r="A21" s="62" t="str">
        <f>'2 IDENTIFICACIÓN'!A16</f>
        <v>R7</v>
      </c>
      <c r="B21" s="258" t="str">
        <f>+'2 IDENTIFICACIÓN'!J16</f>
        <v>Posibilidad de afectación reputacional por investigaciones y sanciones disciplinarias por entes de control debido a la falta de seguimiento al cumplimiento de metas del Plan de Desarrollo Municipal programadas para la vigencia.</v>
      </c>
      <c r="C21" s="89">
        <f>+'3 PROBABIL E IMPACTO INHERENTE'!E16</f>
        <v>0.4</v>
      </c>
      <c r="D21" s="89">
        <f>+'3 PROBABIL E IMPACTO INHERENTE'!M16</f>
        <v>0.6</v>
      </c>
      <c r="E21" s="64" t="str">
        <f>+'4 MAPA CALOR INHERENTE'!C16</f>
        <v>Baja</v>
      </c>
      <c r="F21" s="64" t="str">
        <f>+'4 MAPA CALOR INHERENTE'!D16</f>
        <v>Moderado</v>
      </c>
      <c r="G21" s="258" t="str">
        <f>+'4 MAPA CALOR INHERENTE'!E16</f>
        <v>Moderado</v>
      </c>
      <c r="H21" s="89">
        <f>+'5 VALORACIÓN DEL CONTROL'!T51</f>
        <v>0.6</v>
      </c>
      <c r="I21" s="64">
        <f>+'5 VALORACIÓN DEL CONTROL'!U51</f>
        <v>0.6</v>
      </c>
      <c r="J21" s="64" t="str">
        <f t="shared" si="0"/>
        <v>Media</v>
      </c>
      <c r="K21" s="64" t="str">
        <f t="shared" si="1"/>
        <v>Moderado</v>
      </c>
      <c r="L21" s="258" t="str">
        <f t="shared" si="2"/>
        <v>Moderado</v>
      </c>
      <c r="M21" s="258" t="str">
        <f t="shared" si="3"/>
        <v>Requiere Plan de Acción</v>
      </c>
      <c r="N21" s="258" t="str">
        <f t="shared" si="4"/>
        <v>Reducir_mitigar_Transferir_Evitar</v>
      </c>
      <c r="O21" s="259" t="s">
        <v>334</v>
      </c>
      <c r="P21" s="258" t="str">
        <f t="shared" si="5"/>
        <v>Reducir_Mitigar</v>
      </c>
      <c r="Q21" s="310" t="str">
        <f>'5 VALORACIÓN DEL CONTROL'!I46</f>
        <v>La Secretaría de Hacienda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R21" s="259" t="s">
        <v>457</v>
      </c>
      <c r="S21" s="259" t="s">
        <v>458</v>
      </c>
      <c r="T21" s="259" t="s">
        <v>459</v>
      </c>
      <c r="U21" s="311">
        <v>46082</v>
      </c>
      <c r="V21" s="311">
        <v>46374</v>
      </c>
      <c r="AB21" s="53" t="s">
        <v>301</v>
      </c>
      <c r="AC21" s="53" t="s">
        <v>68</v>
      </c>
      <c r="AD21" s="53" t="s">
        <v>70</v>
      </c>
      <c r="AF21" s="258" t="s">
        <v>335</v>
      </c>
      <c r="AG21" s="302"/>
      <c r="AH21" s="302"/>
      <c r="AI21" s="302"/>
      <c r="AJ21" s="302"/>
      <c r="AK21" s="303"/>
      <c r="AL21" s="304"/>
      <c r="AM21" s="303"/>
      <c r="AN21" s="72"/>
      <c r="AO21" s="72"/>
      <c r="AP21" s="72"/>
      <c r="AQ21" s="72"/>
      <c r="AR21" s="72"/>
      <c r="AS21" s="303"/>
      <c r="AT21" s="303"/>
    </row>
    <row r="22" spans="1:46" ht="93" customHeight="1" x14ac:dyDescent="0.2">
      <c r="A22" s="62" t="str">
        <f>'2 IDENTIFICACIÓN'!A17</f>
        <v>R8</v>
      </c>
      <c r="B22" s="258" t="str">
        <f>+'2 IDENTIFICACIÓN'!J17</f>
        <v xml:space="preserve">Posibilidad de afectación reputacional por debilidades en la publicación y actualización de la información obligatoria en la página web institucional,  debido a incumplimiento de los lineamientos establecidos en la Ley 1712 de 2014 y la Resolución 1519 de 2020 del MINTIC. </v>
      </c>
      <c r="C22" s="89">
        <f>+'3 PROBABIL E IMPACTO INHERENTE'!E17</f>
        <v>0.6</v>
      </c>
      <c r="D22" s="89">
        <f>+'3 PROBABIL E IMPACTO INHERENTE'!M17</f>
        <v>0.4</v>
      </c>
      <c r="E22" s="64" t="str">
        <f>+'4 MAPA CALOR INHERENTE'!C17</f>
        <v>Media</v>
      </c>
      <c r="F22" s="64" t="str">
        <f>+'4 MAPA CALOR INHERENTE'!D17</f>
        <v>Menor</v>
      </c>
      <c r="G22" s="258" t="str">
        <f>+'4 MAPA CALOR INHERENTE'!E17</f>
        <v>Moderado</v>
      </c>
      <c r="H22" s="89">
        <f>+'5 VALORACIÓN DEL CONTROL'!T57</f>
        <v>0.6</v>
      </c>
      <c r="I22" s="64">
        <f>+'5 VALORACIÓN DEL CONTROL'!U57</f>
        <v>0.4</v>
      </c>
      <c r="J22" s="64" t="str">
        <f t="shared" si="0"/>
        <v>Media</v>
      </c>
      <c r="K22" s="64" t="str">
        <f t="shared" si="1"/>
        <v>Menor</v>
      </c>
      <c r="L22" s="258" t="str">
        <f t="shared" si="2"/>
        <v>Moderado</v>
      </c>
      <c r="M22" s="258" t="str">
        <f t="shared" si="3"/>
        <v>Requiere Plan de Acción</v>
      </c>
      <c r="N22" s="258" t="str">
        <f t="shared" si="4"/>
        <v>Reducir_mitigar_Transferir_Evitar</v>
      </c>
      <c r="O22" s="259" t="s">
        <v>334</v>
      </c>
      <c r="P22" s="258" t="str">
        <f t="shared" si="5"/>
        <v>Reducir_Mitigar</v>
      </c>
      <c r="Q22" s="310" t="str">
        <f>'5 VALORACIÓN DEL CONTROL'!I52</f>
        <v>El profesional asignado por el líder del proceso  verifica la información sujeta a publicación y actualización en la página web institucional,  de acuerdo con los lineamientos establecidos en la Resolución 1519 de 2020 y sus anexos.</v>
      </c>
      <c r="R22" s="259" t="s">
        <v>466</v>
      </c>
      <c r="S22" s="259" t="s">
        <v>467</v>
      </c>
      <c r="T22" s="259" t="s">
        <v>468</v>
      </c>
      <c r="U22" s="311">
        <v>46023</v>
      </c>
      <c r="V22" s="311">
        <v>46386</v>
      </c>
      <c r="AB22" s="83" t="s">
        <v>299</v>
      </c>
      <c r="AC22" s="258" t="s">
        <v>335</v>
      </c>
      <c r="AD22" s="258" t="s">
        <v>336</v>
      </c>
      <c r="AE22" s="302"/>
      <c r="AF22" s="312" t="s">
        <v>334</v>
      </c>
      <c r="AI22" s="302"/>
      <c r="AJ22" s="302"/>
      <c r="AK22" s="303"/>
      <c r="AL22" s="303"/>
      <c r="AM22" s="303"/>
      <c r="AN22" s="69"/>
      <c r="AO22" s="69"/>
      <c r="AP22" s="69"/>
      <c r="AQ22" s="69"/>
      <c r="AR22" s="69"/>
      <c r="AS22" s="303"/>
      <c r="AT22" s="303"/>
    </row>
    <row r="23" spans="1:46" ht="93" customHeight="1" x14ac:dyDescent="0.2">
      <c r="A23" s="62" t="str">
        <f>'2 IDENTIFICACIÓN'!A18</f>
        <v>R9</v>
      </c>
      <c r="B23" s="258" t="str">
        <f>+'2 IDENTIFICACIÓN'!J18</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23" s="89">
        <f>+'3 PROBABIL E IMPACTO INHERENTE'!E18</f>
        <v>0.4</v>
      </c>
      <c r="D23" s="89">
        <f>+'3 PROBABIL E IMPACTO INHERENTE'!M18</f>
        <v>0.6</v>
      </c>
      <c r="E23" s="64" t="str">
        <f>+'4 MAPA CALOR INHERENTE'!C18</f>
        <v>Baja</v>
      </c>
      <c r="F23" s="64" t="str">
        <f>+'4 MAPA CALOR INHERENTE'!D18</f>
        <v>Moderado</v>
      </c>
      <c r="G23" s="258" t="str">
        <f>+'4 MAPA CALOR INHERENTE'!E18</f>
        <v>Moderado</v>
      </c>
      <c r="H23" s="89">
        <f>+'5 VALORACIÓN DEL CONTROL'!T63</f>
        <v>0.6</v>
      </c>
      <c r="I23" s="64">
        <f>+'5 VALORACIÓN DEL CONTROL'!U63</f>
        <v>0.6</v>
      </c>
      <c r="J23" s="64" t="str">
        <f t="shared" si="0"/>
        <v>Media</v>
      </c>
      <c r="K23" s="64" t="str">
        <f t="shared" si="1"/>
        <v>Moderado</v>
      </c>
      <c r="L23" s="258" t="str">
        <f t="shared" si="2"/>
        <v>Moderado</v>
      </c>
      <c r="M23" s="258" t="str">
        <f t="shared" si="3"/>
        <v>Requiere Plan de Acción</v>
      </c>
      <c r="N23" s="258" t="str">
        <f t="shared" si="4"/>
        <v>Reducir_mitigar_Transferir_Evitar</v>
      </c>
      <c r="O23" s="259" t="s">
        <v>334</v>
      </c>
      <c r="P23" s="258" t="str">
        <f t="shared" si="5"/>
        <v>Reducir_Mitigar</v>
      </c>
      <c r="Q23" s="310" t="str">
        <f>'5 VALORACIÓN DEL CONTROL'!I58</f>
        <v>La profesional encargada  revisa las acciones correctivas establecidas y plasmadas en los Planes de Mejoramiento de auditorías internas y externas suscritos,  a través de seguimientos con los responsables de su cumplimiento</v>
      </c>
      <c r="R23" s="259" t="s">
        <v>473</v>
      </c>
      <c r="S23" s="259" t="s">
        <v>474</v>
      </c>
      <c r="T23" s="259" t="s">
        <v>475</v>
      </c>
      <c r="U23" s="311">
        <v>46113</v>
      </c>
      <c r="V23" s="311">
        <v>46374</v>
      </c>
      <c r="AB23" s="66" t="s">
        <v>298</v>
      </c>
      <c r="AC23" s="258" t="s">
        <v>335</v>
      </c>
      <c r="AD23" s="258" t="s">
        <v>336</v>
      </c>
      <c r="AE23" s="302"/>
      <c r="AF23" s="312" t="s">
        <v>337</v>
      </c>
      <c r="AG23" s="302"/>
      <c r="AH23" s="302"/>
      <c r="AI23" s="302"/>
      <c r="AJ23" s="302"/>
      <c r="AK23" s="303"/>
      <c r="AL23" s="303"/>
      <c r="AM23" s="303"/>
      <c r="AN23" s="69"/>
      <c r="AO23" s="69"/>
      <c r="AP23" s="69"/>
      <c r="AQ23" s="69"/>
      <c r="AR23" s="69"/>
      <c r="AS23" s="303"/>
      <c r="AT23" s="303"/>
    </row>
    <row r="24" spans="1:46" ht="93" customHeight="1" x14ac:dyDescent="0.2">
      <c r="A24" s="62" t="str">
        <f>'2 IDENTIFICACIÓN'!A19</f>
        <v>R10</v>
      </c>
      <c r="B24" s="258" t="str">
        <f>+'2 IDENTIFICACIÓN'!J19</f>
        <v xml:space="preserve">Posibilidad de afectación económica y reputacional por desconocimiento del avance y ejecución de las metas institucionales,  debido a a debilidades en el seguimiento a los recursos del Fondo Municipal de Gestión del Riesgo. </v>
      </c>
      <c r="C24" s="89">
        <f>+'3 PROBABIL E IMPACTO INHERENTE'!E19</f>
        <v>0.6</v>
      </c>
      <c r="D24" s="89">
        <f>+'3 PROBABIL E IMPACTO INHERENTE'!M19</f>
        <v>0.6</v>
      </c>
      <c r="E24" s="64" t="str">
        <f>+'4 MAPA CALOR INHERENTE'!C19</f>
        <v>Media</v>
      </c>
      <c r="F24" s="64" t="str">
        <f>+'4 MAPA CALOR INHERENTE'!D19</f>
        <v>Moderado</v>
      </c>
      <c r="G24" s="258" t="str">
        <f>+'4 MAPA CALOR INHERENTE'!E19</f>
        <v>Moderado</v>
      </c>
      <c r="H24" s="89">
        <f>+'5 VALORACIÓN DEL CONTROL'!T69</f>
        <v>0.6</v>
      </c>
      <c r="I24" s="64">
        <f>+'5 VALORACIÓN DEL CONTROL'!U69</f>
        <v>0.6</v>
      </c>
      <c r="J24" s="64" t="str">
        <f t="shared" si="0"/>
        <v>Media</v>
      </c>
      <c r="K24" s="64" t="str">
        <f t="shared" si="1"/>
        <v>Moderado</v>
      </c>
      <c r="L24" s="258" t="str">
        <f t="shared" si="2"/>
        <v>Moderado</v>
      </c>
      <c r="M24" s="258" t="str">
        <f t="shared" si="3"/>
        <v>Requiere Plan de Acción</v>
      </c>
      <c r="N24" s="258" t="str">
        <f t="shared" si="4"/>
        <v>Reducir_mitigar_Transferir_Evitar</v>
      </c>
      <c r="O24" s="259" t="s">
        <v>334</v>
      </c>
      <c r="P24" s="258" t="str">
        <f t="shared" si="5"/>
        <v>Reducir_Mitigar</v>
      </c>
      <c r="Q24" s="310" t="str">
        <f>'5 VALORACIÓN DEL CONTROL'!I64</f>
        <v>El ordenador del gasto  verifica la destinación y ejecución de recursos del fondo de Gestión del Riesgo a través de seguimientos, a fin de garantizar el cumplimiento de metas institucionales</v>
      </c>
      <c r="R24" s="259" t="s">
        <v>481</v>
      </c>
      <c r="S24" s="259" t="s">
        <v>482</v>
      </c>
      <c r="T24" s="259" t="s">
        <v>407</v>
      </c>
      <c r="U24" s="311">
        <v>46143</v>
      </c>
      <c r="V24" s="311">
        <v>46374</v>
      </c>
      <c r="AA24" s="305"/>
      <c r="AB24" s="70" t="s">
        <v>280</v>
      </c>
      <c r="AC24" s="258" t="s">
        <v>335</v>
      </c>
      <c r="AD24" s="258" t="s">
        <v>336</v>
      </c>
      <c r="AE24" s="305"/>
      <c r="AF24" s="312" t="s">
        <v>162</v>
      </c>
      <c r="AG24" s="305"/>
      <c r="AH24" s="305"/>
      <c r="AI24" s="305"/>
      <c r="AJ24" s="305"/>
      <c r="AK24" s="303"/>
      <c r="AL24" s="303"/>
      <c r="AM24" s="306"/>
      <c r="AN24" s="306"/>
      <c r="AO24" s="306"/>
      <c r="AP24" s="306"/>
      <c r="AQ24" s="306"/>
      <c r="AR24" s="306"/>
      <c r="AS24" s="303"/>
      <c r="AT24" s="303"/>
    </row>
    <row r="25" spans="1:46" ht="93" customHeight="1" x14ac:dyDescent="0.2">
      <c r="A25" s="62" t="str">
        <f>'2 IDENTIFICACIÓN'!A20</f>
        <v>R11</v>
      </c>
      <c r="B25" s="258" t="str">
        <f>+'2 IDENTIFICACIÓN'!J20</f>
        <v xml:space="preserve">Posibilidad  de efecto dañoso sobre el recurso público por pérdida, extravío, hurto o faltantes en inventario de bienes muebles de la entidad,  debido a deficiencias en la actualización, verificación y control del inventario de bienes muebles. </v>
      </c>
      <c r="C25" s="89">
        <f>+'3 PROBABIL E IMPACTO INHERENTE'!E20</f>
        <v>0.6</v>
      </c>
      <c r="D25" s="89">
        <f>+'3 PROBABIL E IMPACTO INHERENTE'!M20</f>
        <v>0.8</v>
      </c>
      <c r="E25" s="64" t="str">
        <f>+'4 MAPA CALOR INHERENTE'!C20</f>
        <v>Media</v>
      </c>
      <c r="F25" s="64" t="str">
        <f>+'4 MAPA CALOR INHERENTE'!D20</f>
        <v>Mayor</v>
      </c>
      <c r="G25" s="258" t="str">
        <f>+'4 MAPA CALOR INHERENTE'!E20</f>
        <v>Alto</v>
      </c>
      <c r="H25" s="89">
        <f>+'5 VALORACIÓN DEL CONTROL'!T75</f>
        <v>0.6</v>
      </c>
      <c r="I25" s="64">
        <f>+'5 VALORACIÓN DEL CONTROL'!U75</f>
        <v>0.8</v>
      </c>
      <c r="J25" s="64" t="str">
        <f t="shared" si="0"/>
        <v>Media</v>
      </c>
      <c r="K25" s="64" t="str">
        <f t="shared" si="1"/>
        <v>Mayor</v>
      </c>
      <c r="L25" s="258" t="str">
        <f t="shared" si="2"/>
        <v>Alto</v>
      </c>
      <c r="M25" s="258" t="str">
        <f t="shared" si="3"/>
        <v>Requiere Plan de Acción</v>
      </c>
      <c r="N25" s="258" t="str">
        <f t="shared" si="4"/>
        <v>Reducir_mitigar_Transferir_Evitar</v>
      </c>
      <c r="O25" s="259" t="s">
        <v>334</v>
      </c>
      <c r="P25" s="258" t="str">
        <f t="shared" si="5"/>
        <v>Reducir_Mitigar</v>
      </c>
      <c r="Q25" s="310" t="str">
        <f>'5 VALORACIÓN DEL CONTROL'!I70</f>
        <v>El servidor público verifica la existencia y estado de los bienes muebles asignados a su cargo,  a través de la revisión y validación de la información registrada en el formato Estado Actual del Inventario Resumido del Servidor Público F-INV-8500-238,37-015 y el reporte oportuno de novedades o inconsistencias al área de Inventarios.</v>
      </c>
      <c r="R25" s="259" t="s">
        <v>488</v>
      </c>
      <c r="S25" s="259" t="s">
        <v>489</v>
      </c>
      <c r="T25" s="259" t="s">
        <v>490</v>
      </c>
      <c r="U25" s="311">
        <v>46024</v>
      </c>
      <c r="V25" s="311">
        <v>46374</v>
      </c>
      <c r="AA25" s="305"/>
      <c r="AB25" s="74" t="s">
        <v>300</v>
      </c>
      <c r="AC25" s="258" t="s">
        <v>159</v>
      </c>
      <c r="AD25" s="258" t="s">
        <v>338</v>
      </c>
      <c r="AI25" s="305"/>
      <c r="AJ25" s="305"/>
      <c r="AK25" s="303"/>
      <c r="AL25" s="303"/>
      <c r="AM25" s="303"/>
      <c r="AN25" s="69"/>
      <c r="AO25" s="69"/>
      <c r="AP25" s="69"/>
      <c r="AQ25" s="69"/>
      <c r="AR25" s="69"/>
      <c r="AS25" s="303"/>
      <c r="AT25" s="303"/>
    </row>
    <row r="26" spans="1:46" ht="93" customHeight="1" x14ac:dyDescent="0.2">
      <c r="A26" s="62" t="str">
        <f>'2 IDENTIFICACIÓN'!A21</f>
        <v>R12</v>
      </c>
      <c r="B26" s="258" t="str">
        <f>+'2 IDENTIFICACIÓN'!J21</f>
        <v xml:space="preserve">Posibilidad  de efecto dañoso sobre el recurso público por incumplimiento en la atención oportuna de requerimientos emitidos por entes de control y vigilancia, debido a deficiencias en el seguimiento, gestión y control de los términos establecidos para su respuesta. </v>
      </c>
      <c r="C26" s="89">
        <f>+'3 PROBABIL E IMPACTO INHERENTE'!E21</f>
        <v>0.6</v>
      </c>
      <c r="D26" s="89">
        <f>+'3 PROBABIL E IMPACTO INHERENTE'!M21</f>
        <v>0.4</v>
      </c>
      <c r="E26" s="64" t="str">
        <f>+'4 MAPA CALOR INHERENTE'!C21</f>
        <v>Media</v>
      </c>
      <c r="F26" s="64" t="str">
        <f>+'4 MAPA CALOR INHERENTE'!D21</f>
        <v>Menor</v>
      </c>
      <c r="G26" s="258" t="str">
        <f>+'4 MAPA CALOR INHERENTE'!E21</f>
        <v>Moderado</v>
      </c>
      <c r="H26" s="89">
        <f>+'5 VALORACIÓN DEL CONTROL'!T81</f>
        <v>0.6</v>
      </c>
      <c r="I26" s="64">
        <f>+'5 VALORACIÓN DEL CONTROL'!U81</f>
        <v>0.4</v>
      </c>
      <c r="J26" s="64" t="str">
        <f t="shared" si="0"/>
        <v>Media</v>
      </c>
      <c r="K26" s="64" t="str">
        <f t="shared" si="1"/>
        <v>Menor</v>
      </c>
      <c r="L26" s="258" t="str">
        <f t="shared" si="2"/>
        <v>Moderado</v>
      </c>
      <c r="M26" s="258" t="str">
        <f t="shared" si="3"/>
        <v>Requiere Plan de Acción</v>
      </c>
      <c r="N26" s="258" t="str">
        <f t="shared" si="4"/>
        <v>Reducir_mitigar_Transferir_Evitar</v>
      </c>
      <c r="O26" s="259" t="s">
        <v>334</v>
      </c>
      <c r="P26" s="258" t="str">
        <f t="shared" si="5"/>
        <v>Reducir_Mitigar</v>
      </c>
      <c r="Q26" s="310" t="str">
        <f>'5 VALORACIÓN DEL CONTROL'!I76</f>
        <v>El profesional encargado verifica el cumplimiento de los términos establecidos para la atención de los requerimientos de los entes de control y vigilancia asignados a la Secretaría de Hacienda,  a través del seguimiento a las fechas de vencimiento y respuesta registradas en los mecanismos institucionales, identificando alertas frente a posibles incumplimientos.</v>
      </c>
      <c r="R26" s="259" t="s">
        <v>494</v>
      </c>
      <c r="S26" s="259" t="s">
        <v>495</v>
      </c>
      <c r="T26" s="259" t="s">
        <v>420</v>
      </c>
      <c r="U26" s="311">
        <v>46024</v>
      </c>
      <c r="V26" s="311">
        <v>46374</v>
      </c>
      <c r="Y26" s="307"/>
      <c r="Z26" s="307"/>
      <c r="AA26" s="305"/>
      <c r="AB26" s="144"/>
      <c r="AI26" s="305"/>
      <c r="AJ26" s="305"/>
      <c r="AK26" s="303"/>
      <c r="AL26" s="303"/>
      <c r="AM26" s="303"/>
      <c r="AN26" s="69"/>
      <c r="AO26" s="69"/>
      <c r="AP26" s="69"/>
      <c r="AQ26" s="69"/>
      <c r="AR26" s="69"/>
      <c r="AS26" s="303"/>
      <c r="AT26" s="303"/>
    </row>
    <row r="27" spans="1:46" ht="122.25" customHeight="1" x14ac:dyDescent="0.2">
      <c r="A27" s="62" t="str">
        <f>'2 IDENTIFICACIÓN'!A22</f>
        <v>R13</v>
      </c>
      <c r="B27" s="258" t="str">
        <f>+'2 IDENTIFICACIÓN'!J22</f>
        <v xml:space="preserve">Posibilidad  de efecto dañoso sobre el recurso público por deficiencias en la gestión de las etapas precontractual, contractual y postcontractual,  debido a incumplimiento de los lineamientos, requisitos y obligaciones establecidos en la normatividad vigente y en los documentos contractuales, generando pagos sobre obligaciones parcialmente ejecutadas o no cumplidas. </v>
      </c>
      <c r="C27" s="89">
        <f>+'3 PROBABIL E IMPACTO INHERENTE'!E22</f>
        <v>0.8</v>
      </c>
      <c r="D27" s="89">
        <f>+'3 PROBABIL E IMPACTO INHERENTE'!M22</f>
        <v>0.8</v>
      </c>
      <c r="E27" s="64" t="str">
        <f>+'4 MAPA CALOR INHERENTE'!C22</f>
        <v>Alta</v>
      </c>
      <c r="F27" s="64" t="str">
        <f>+'4 MAPA CALOR INHERENTE'!D22</f>
        <v>Mayor</v>
      </c>
      <c r="G27" s="258" t="str">
        <f>+'4 MAPA CALOR INHERENTE'!E22</f>
        <v>Alto</v>
      </c>
      <c r="H27" s="89">
        <f>+'5 VALORACIÓN DEL CONTROL'!T87</f>
        <v>0.6</v>
      </c>
      <c r="I27" s="64">
        <f>+'5 VALORACIÓN DEL CONTROL'!U87</f>
        <v>0.8</v>
      </c>
      <c r="J27" s="64" t="str">
        <f t="shared" si="0"/>
        <v>Media</v>
      </c>
      <c r="K27" s="64" t="str">
        <f t="shared" si="1"/>
        <v>Mayor</v>
      </c>
      <c r="L27" s="258" t="str">
        <f t="shared" si="2"/>
        <v>Alto</v>
      </c>
      <c r="M27" s="258" t="str">
        <f t="shared" si="3"/>
        <v>Requiere Plan de Acción</v>
      </c>
      <c r="N27" s="258" t="str">
        <f t="shared" si="4"/>
        <v>Reducir_mitigar_Transferir_Evitar</v>
      </c>
      <c r="O27" s="259" t="s">
        <v>334</v>
      </c>
      <c r="P27" s="258" t="str">
        <f t="shared" si="5"/>
        <v>Reducir_Mitigar</v>
      </c>
      <c r="Q27" s="310" t="str">
        <f>'5 VALORACIÓN DEL CONTROL'!I82</f>
        <v>Los profesionales encargados de la contratación y los supervisores designados verifican el cumplimiento de los lineamientos, requisitos y obligaciones establecidos en la normatividad vigente y en los documentos contractuales  durante las etapas precontractual, contractual y postcontractual de los procesos celebrados por la Secretaría de Hacienda, diferentes a contratos de prestación de servicios, mediante la aplicación de listas de chequeo y revisión del avance y ejecución contractual.</v>
      </c>
      <c r="R27" s="259" t="s">
        <v>503</v>
      </c>
      <c r="S27" s="259" t="s">
        <v>504</v>
      </c>
      <c r="T27" s="259" t="s">
        <v>505</v>
      </c>
      <c r="U27" s="311">
        <v>46113</v>
      </c>
      <c r="V27" s="311">
        <v>46374</v>
      </c>
      <c r="Y27" s="307"/>
      <c r="Z27" s="307"/>
      <c r="AA27" s="308"/>
      <c r="AI27" s="305"/>
      <c r="AJ27" s="305"/>
      <c r="AK27" s="303"/>
      <c r="AL27" s="69"/>
      <c r="AM27" s="69"/>
      <c r="AN27" s="69"/>
      <c r="AO27" s="69"/>
      <c r="AP27" s="69"/>
      <c r="AQ27" s="69"/>
      <c r="AR27" s="69"/>
      <c r="AS27" s="303"/>
      <c r="AT27" s="303"/>
    </row>
    <row r="28" spans="1:46" ht="108" customHeight="1" x14ac:dyDescent="0.2">
      <c r="A28" s="62" t="str">
        <f>'2 IDENTIFICACIÓN'!A23</f>
        <v>R14</v>
      </c>
      <c r="B28" s="258" t="str">
        <f>+'2 IDENTIFICACIÓN'!J23</f>
        <v>Posibilidad  de efecto dañoso sobre el recurso público por pago de sanciones debido a omisiones, errores o inconsistencias en el diligenciamiento, validación y reporte de la información financiera, contable y tributaria requerida por los entes de control y vigilancia, dentro de los plazos y lineamientos establecidos por la normatividad aplicable</v>
      </c>
      <c r="C28" s="89">
        <f>+'3 PROBABIL E IMPACTO INHERENTE'!E23</f>
        <v>0.6</v>
      </c>
      <c r="D28" s="89">
        <f>+'3 PROBABIL E IMPACTO INHERENTE'!M23</f>
        <v>0.8</v>
      </c>
      <c r="E28" s="64" t="str">
        <f>+'4 MAPA CALOR INHERENTE'!C23</f>
        <v>Media</v>
      </c>
      <c r="F28" s="64" t="str">
        <f>+'4 MAPA CALOR INHERENTE'!D23</f>
        <v>Mayor</v>
      </c>
      <c r="G28" s="258" t="str">
        <f>+'4 MAPA CALOR INHERENTE'!E23</f>
        <v>Alto</v>
      </c>
      <c r="H28" s="89">
        <f>+'5 VALORACIÓN DEL CONTROL'!T93</f>
        <v>0.6</v>
      </c>
      <c r="I28" s="64">
        <f>+'5 VALORACIÓN DEL CONTROL'!U93</f>
        <v>0.8</v>
      </c>
      <c r="J28" s="64" t="str">
        <f t="shared" si="0"/>
        <v>Media</v>
      </c>
      <c r="K28" s="64" t="str">
        <f t="shared" si="1"/>
        <v>Mayor</v>
      </c>
      <c r="L28" s="258" t="str">
        <f t="shared" si="2"/>
        <v>Alto</v>
      </c>
      <c r="M28" s="258" t="str">
        <f t="shared" si="3"/>
        <v>Requiere Plan de Acción</v>
      </c>
      <c r="N28" s="258" t="str">
        <f t="shared" si="4"/>
        <v>Reducir_mitigar_Transferir_Evitar</v>
      </c>
      <c r="O28" s="259" t="s">
        <v>334</v>
      </c>
      <c r="P28" s="258" t="str">
        <f t="shared" si="5"/>
        <v>Reducir_Mitigar</v>
      </c>
      <c r="Q28" s="310" t="str">
        <f>'5 VALORACIÓN DEL CONTROL'!I88</f>
        <v>El profesional del Área Contable verifica y valida que la información financiera, contable y tributaria requerida por los entes de control y vigilancia sea diligenciada y reportada dentro de los plazos y lineamientos establecidos por la normatividad aplicable, con el fin de evitar inconsistencias, omisiones y posibles sanciones para el Municipio de Bucaramanga.</v>
      </c>
      <c r="R28" s="259" t="s">
        <v>511</v>
      </c>
      <c r="S28" s="259" t="s">
        <v>512</v>
      </c>
      <c r="T28" s="259" t="s">
        <v>513</v>
      </c>
      <c r="U28" s="311">
        <v>46023</v>
      </c>
      <c r="V28" s="311">
        <v>46386</v>
      </c>
      <c r="Y28" s="307"/>
      <c r="Z28" s="307"/>
      <c r="AK28" s="303"/>
      <c r="AL28" s="309"/>
      <c r="AM28" s="309"/>
      <c r="AN28" s="309"/>
      <c r="AO28" s="309"/>
      <c r="AP28" s="309"/>
      <c r="AQ28" s="309"/>
      <c r="AR28" s="69"/>
      <c r="AS28" s="303"/>
      <c r="AT28" s="303"/>
    </row>
    <row r="29" spans="1:46" ht="116.25" customHeight="1" x14ac:dyDescent="0.2">
      <c r="A29" s="62" t="str">
        <f>'2 IDENTIFICACIÓN'!A24</f>
        <v>R15</v>
      </c>
      <c r="B29" s="258" t="str">
        <f>+'2 IDENTIFICACIÓN'!J24</f>
        <v xml:space="preserve">Posibilidad  de efecto dañoso sobre el recurso público por disminución de ingresos o prescripción de la cartera en mora,  debido a la renuencia de los contribuyentes al pago de las obligaciones tributarias, dificultades para la localización de deudores morosos, fallecimiento de contribuyentes y procesos de legalización y cesión de predios que afectan la recuperación oportuna de la cartera dentro de los términos establecidos para el cobro persuasivo y coactivo. </v>
      </c>
      <c r="C29" s="89">
        <f>+'3 PROBABIL E IMPACTO INHERENTE'!E24</f>
        <v>1</v>
      </c>
      <c r="D29" s="89">
        <f>+'3 PROBABIL E IMPACTO INHERENTE'!M24</f>
        <v>1</v>
      </c>
      <c r="E29" s="64" t="str">
        <f>+'4 MAPA CALOR INHERENTE'!C24</f>
        <v>Muy Alta</v>
      </c>
      <c r="F29" s="64" t="str">
        <f>+'4 MAPA CALOR INHERENTE'!D24</f>
        <v>Catastrófico</v>
      </c>
      <c r="G29" s="258" t="str">
        <f>+'4 MAPA CALOR INHERENTE'!E24</f>
        <v>Extremo</v>
      </c>
      <c r="H29" s="89">
        <f>+'5 VALORACIÓN DEL CONTROL'!T99</f>
        <v>0.6</v>
      </c>
      <c r="I29" s="64">
        <f>+'5 VALORACIÓN DEL CONTROL'!U94</f>
        <v>1</v>
      </c>
      <c r="J29" s="64" t="str">
        <f t="shared" si="0"/>
        <v>Media</v>
      </c>
      <c r="K29" s="64" t="str">
        <f t="shared" si="1"/>
        <v>Catastrófico</v>
      </c>
      <c r="L29" s="258" t="str">
        <f t="shared" si="2"/>
        <v>Extremo</v>
      </c>
      <c r="M29" s="258" t="str">
        <f t="shared" si="3"/>
        <v>Requiere Plan de Acción</v>
      </c>
      <c r="N29" s="258" t="str">
        <f t="shared" si="4"/>
        <v>Reducir_mitigar_Transferir_Evitar</v>
      </c>
      <c r="O29" s="259" t="s">
        <v>334</v>
      </c>
      <c r="P29" s="258" t="str">
        <f t="shared" si="5"/>
        <v>Reducir_Mitigar</v>
      </c>
      <c r="Q29" s="310" t="str">
        <f>'5 VALORACIÓN DEL CONTROL'!I94</f>
        <v>El Tesorero General del Municipio y el equipo de trabajo verifican la gestión y recuperación de la cartera de las diferentes rentas municipales,  a través del seguimiento y validación de las actuaciones de cobro persuasivo y coactivo realizadas a los contribuyentes morosos, identificando oportunamente situaciones que puedan afectar el recaudo y evitar la prescripción de las obligaciones.</v>
      </c>
      <c r="R29" s="259" t="s">
        <v>519</v>
      </c>
      <c r="S29" s="259" t="s">
        <v>520</v>
      </c>
      <c r="T29" s="259" t="s">
        <v>521</v>
      </c>
      <c r="U29" s="311">
        <v>46023</v>
      </c>
      <c r="V29" s="311">
        <v>46386</v>
      </c>
      <c r="Y29" s="307"/>
      <c r="Z29" s="307"/>
      <c r="AK29" s="303"/>
      <c r="AL29" s="69"/>
      <c r="AM29" s="69"/>
      <c r="AN29" s="69"/>
      <c r="AO29" s="69"/>
      <c r="AP29" s="69"/>
      <c r="AQ29" s="69"/>
      <c r="AR29" s="69"/>
      <c r="AS29" s="303"/>
      <c r="AT29" s="303"/>
    </row>
    <row r="30" spans="1:46" ht="93" customHeight="1" x14ac:dyDescent="0.2">
      <c r="A30" s="62" t="str">
        <f>'2 IDENTIFICACIÓN'!A25</f>
        <v>R16</v>
      </c>
      <c r="B30" s="258" t="str">
        <f>+'2 IDENTIFICACIÓN'!J25</f>
        <v xml:space="preserve">Posibilidad  de efecto dañoso sobre el recurso público por afectación en la ejecución de los proyectos de presupuestos participativos,  debido a cambios en la destinación de los recursos asignados para su financiación. </v>
      </c>
      <c r="C30" s="89">
        <f>+'3 PROBABIL E IMPACTO INHERENTE'!E25</f>
        <v>0.6</v>
      </c>
      <c r="D30" s="89">
        <f>+'3 PROBABIL E IMPACTO INHERENTE'!M25</f>
        <v>1</v>
      </c>
      <c r="E30" s="64" t="str">
        <f>+'4 MAPA CALOR INHERENTE'!C25</f>
        <v>Media</v>
      </c>
      <c r="F30" s="64" t="str">
        <f>+'4 MAPA CALOR INHERENTE'!D25</f>
        <v>Catastrófico</v>
      </c>
      <c r="G30" s="258" t="str">
        <f>+'4 MAPA CALOR INHERENTE'!E25</f>
        <v>Extremo</v>
      </c>
      <c r="H30" s="89">
        <f>+'5 VALORACIÓN DEL CONTROL'!T105</f>
        <v>0.6</v>
      </c>
      <c r="I30" s="64">
        <f>+'5 VALORACIÓN DEL CONTROL'!U95</f>
        <v>1</v>
      </c>
      <c r="J30" s="64" t="str">
        <f t="shared" si="0"/>
        <v>Media</v>
      </c>
      <c r="K30" s="64" t="str">
        <f t="shared" si="1"/>
        <v>Catastrófico</v>
      </c>
      <c r="L30" s="258" t="str">
        <f t="shared" si="2"/>
        <v>Extremo</v>
      </c>
      <c r="M30" s="258" t="str">
        <f t="shared" si="3"/>
        <v>Requiere Plan de Acción</v>
      </c>
      <c r="N30" s="258" t="str">
        <f t="shared" si="4"/>
        <v>Reducir_mitigar_Transferir_Evitar</v>
      </c>
      <c r="O30" s="259" t="s">
        <v>334</v>
      </c>
      <c r="P30" s="258" t="str">
        <f t="shared" si="5"/>
        <v>Reducir_Mitigar</v>
      </c>
      <c r="Q30" s="310" t="str">
        <f>'5 VALORACIÓN DEL CONTROL'!I100</f>
        <v xml:space="preserve">El profesional especializado de presupuesto erifica los traslados presupuestales cada vez que surja esta actividad,  a fin de garantizar que los mismos se hagan acorde a sus exigencias, y garantizar que en  ningún momento se afecte el rubro de presupuestos participativos a un uso diferente del definido en el Acuerdo que lo estableció. </v>
      </c>
      <c r="R30" s="259" t="s">
        <v>527</v>
      </c>
      <c r="S30" s="259" t="s">
        <v>528</v>
      </c>
      <c r="T30" s="259" t="s">
        <v>529</v>
      </c>
      <c r="U30" s="311">
        <v>46023</v>
      </c>
      <c r="V30" s="311">
        <v>46374</v>
      </c>
      <c r="AK30" s="303"/>
      <c r="AL30" s="69"/>
      <c r="AM30" s="69"/>
      <c r="AN30" s="69"/>
      <c r="AO30" s="69"/>
      <c r="AP30" s="69"/>
      <c r="AQ30" s="69"/>
      <c r="AR30" s="69"/>
      <c r="AS30" s="303"/>
      <c r="AT30" s="303"/>
    </row>
    <row r="31" spans="1:46" ht="93" customHeight="1" x14ac:dyDescent="0.25">
      <c r="A31" s="62" t="str">
        <f>'2 IDENTIFICACIÓN'!A26</f>
        <v>R17</v>
      </c>
      <c r="B31" s="258" t="str">
        <f>+'2 IDENTIFICACIÓN'!J26</f>
        <v xml:space="preserve">Posibilidad  de efecto dañoso sobre el recurso público por la no disponibilidad de recursos del FONPET para la atención de obligaciones pensionales, debido a deficiencias en la gestión y presentación de la documentación habilitante dentro de los términos establecidos. </v>
      </c>
      <c r="C31" s="89">
        <f>+'3 PROBABIL E IMPACTO INHERENTE'!E26</f>
        <v>0.6</v>
      </c>
      <c r="D31" s="89">
        <f>+'3 PROBABIL E IMPACTO INHERENTE'!M26</f>
        <v>0.8</v>
      </c>
      <c r="E31" s="64" t="str">
        <f>+'4 MAPA CALOR INHERENTE'!C26</f>
        <v>Media</v>
      </c>
      <c r="F31" s="64" t="str">
        <f>+'4 MAPA CALOR INHERENTE'!D26</f>
        <v>Mayor</v>
      </c>
      <c r="G31" s="258" t="str">
        <f>+'4 MAPA CALOR INHERENTE'!E26</f>
        <v>Alto</v>
      </c>
      <c r="H31" s="89">
        <f>+'5 VALORACIÓN DEL CONTROL'!T111</f>
        <v>0.6</v>
      </c>
      <c r="I31" s="64">
        <f>+'5 VALORACIÓN DEL CONTROL'!U96</f>
        <v>1</v>
      </c>
      <c r="J31" s="64" t="str">
        <f t="shared" si="0"/>
        <v>Media</v>
      </c>
      <c r="K31" s="64" t="str">
        <f t="shared" si="1"/>
        <v>Catastrófico</v>
      </c>
      <c r="L31" s="258" t="str">
        <f t="shared" si="2"/>
        <v>Extremo</v>
      </c>
      <c r="M31" s="258" t="str">
        <f t="shared" si="3"/>
        <v>Requiere Plan de Acción</v>
      </c>
      <c r="N31" s="258" t="str">
        <f t="shared" si="4"/>
        <v>Reducir_mitigar_Transferir_Evitar</v>
      </c>
      <c r="O31" s="259" t="s">
        <v>334</v>
      </c>
      <c r="P31" s="258" t="str">
        <f t="shared" si="5"/>
        <v>Reducir_Mitigar</v>
      </c>
      <c r="Q31" s="310" t="str">
        <f>'5 VALORACIÓN DEL CONTROL'!I106</f>
        <v>El profesional encargado  de diligenciar los formatos de requisitos habilitantes para acceder a los recursos del FONPET  deberá formular y ejecutar un cronograma con el cumplimiento de los tiempos definidos por el Ministerio de Hacienda y Crédito Público.</v>
      </c>
      <c r="R31" s="259" t="s">
        <v>535</v>
      </c>
      <c r="S31" s="259" t="s">
        <v>536</v>
      </c>
      <c r="T31" s="259" t="s">
        <v>537</v>
      </c>
      <c r="U31" s="311">
        <v>46023</v>
      </c>
      <c r="V31" s="311">
        <v>46374</v>
      </c>
    </row>
    <row r="32" spans="1:46" ht="115.5" customHeight="1" x14ac:dyDescent="0.25">
      <c r="A32" s="62" t="str">
        <f>'2 IDENTIFICACIÓN'!A27</f>
        <v>R18</v>
      </c>
      <c r="B32" s="258" t="str">
        <f>+'2 IDENTIFICACIÓN'!J27</f>
        <v>Posibilidad  de efecto dañoso sobre el recurso público por configuración del silencio administrativo positivo en recursos de reconsideración y solicitudes de revocatoria directa presentadas por los contribuyentes,  debido a incumplimiento de los términos legales para su trámite y respuesta</v>
      </c>
      <c r="C32" s="89">
        <f>+'3 PROBABIL E IMPACTO INHERENTE'!E27</f>
        <v>0.6</v>
      </c>
      <c r="D32" s="89">
        <f>+'3 PROBABIL E IMPACTO INHERENTE'!M27</f>
        <v>0.4</v>
      </c>
      <c r="E32" s="64" t="str">
        <f>+'4 MAPA CALOR INHERENTE'!C27</f>
        <v>Media</v>
      </c>
      <c r="F32" s="64" t="str">
        <f>+'4 MAPA CALOR INHERENTE'!D27</f>
        <v>Menor</v>
      </c>
      <c r="G32" s="258" t="str">
        <f>+'4 MAPA CALOR INHERENTE'!E27</f>
        <v>Moderado</v>
      </c>
      <c r="H32" s="89">
        <f>+'5 VALORACIÓN DEL CONTROL'!T117</f>
        <v>0.6</v>
      </c>
      <c r="I32" s="64">
        <f>+'5 VALORACIÓN DEL CONTROL'!U121</f>
        <v>0.8</v>
      </c>
      <c r="J32" s="64" t="str">
        <f t="shared" si="0"/>
        <v>Media</v>
      </c>
      <c r="K32" s="64" t="str">
        <f t="shared" si="1"/>
        <v>Mayor</v>
      </c>
      <c r="L32" s="258" t="str">
        <f t="shared" si="2"/>
        <v>Alto</v>
      </c>
      <c r="M32" s="258" t="str">
        <f t="shared" si="3"/>
        <v>Requiere Plan de Acción</v>
      </c>
      <c r="N32" s="258" t="str">
        <f t="shared" si="4"/>
        <v>Reducir_mitigar_Transferir_Evitar</v>
      </c>
      <c r="O32" s="259" t="s">
        <v>334</v>
      </c>
      <c r="P32" s="258" t="str">
        <f t="shared" si="5"/>
        <v>Reducir_Mitigar</v>
      </c>
      <c r="Q32" s="310" t="str">
        <f>'5 VALORACIÓN DEL CONTROL'!I112</f>
        <v>Los profesionales asignados al área de impuestos (grupo de abogados)  verifican los términos legales de los recursos de reconsideración y solicitudes de revocatoria directa asignados a la Secretaría de Hacienda, mediante un sistema de automatización que genera alertas sobre el vencimiento de los términos y notificaciones al correo electrónico del abogado responsable, con el fin de evitar la configuración del silencio administrativo positivo.</v>
      </c>
      <c r="R32" s="259" t="s">
        <v>543</v>
      </c>
      <c r="S32" s="259" t="s">
        <v>544</v>
      </c>
      <c r="T32" s="259" t="s">
        <v>545</v>
      </c>
      <c r="U32" s="311">
        <v>46174</v>
      </c>
      <c r="V32" s="311">
        <v>46374</v>
      </c>
    </row>
    <row r="33" spans="1:22" ht="115.5" customHeight="1" x14ac:dyDescent="0.25">
      <c r="A33" s="360" t="str">
        <f>'2 IDENTIFICACIÓN'!A28</f>
        <v>R19</v>
      </c>
      <c r="B33" s="352" t="str">
        <f>+'2 IDENTIFICACIÓN'!J28</f>
        <v xml:space="preserve">Posibilidad  de efecto dañoso sobre el recurso público por inconsistencias en la liquidación, gestión y control del Impuesto Predial Unificado (IPU),  debido a la falta de interoperabilidad entre el Sistema de Información de Impuestos Municipales (SIIM) y la plataforma BCGS del Área Metropolitana de Bucaramanga (AMB). </v>
      </c>
      <c r="C33" s="358">
        <f>+'3 PROBABIL E IMPACTO INHERENTE'!E28</f>
        <v>0.2</v>
      </c>
      <c r="D33" s="358">
        <f>+'3 PROBABIL E IMPACTO INHERENTE'!M28</f>
        <v>0.8</v>
      </c>
      <c r="E33" s="356" t="str">
        <f>+'4 MAPA CALOR INHERENTE'!C28</f>
        <v>Muy Baja</v>
      </c>
      <c r="F33" s="356" t="str">
        <f>+'4 MAPA CALOR INHERENTE'!D28</f>
        <v>Mayor</v>
      </c>
      <c r="G33" s="352" t="str">
        <f>+'4 MAPA CALOR INHERENTE'!E28</f>
        <v>Alto</v>
      </c>
      <c r="H33" s="358">
        <f>+'5 VALORACIÓN DEL CONTROL'!T123</f>
        <v>0.6</v>
      </c>
      <c r="I33" s="356">
        <v>0.8</v>
      </c>
      <c r="J33" s="356" t="str">
        <f>+IF(H33=0,"",IF(H33&lt;=$Z$18,$AA$18,IF(H33&lt;=$Z$15,$AA$15,IF(H33&lt;=$Z$14,$AA$14,IF(H33&lt;=$Z$11,$AA$11,IF(H33&lt;=$Z$10,$AA$10,""))))))</f>
        <v>Media</v>
      </c>
      <c r="K33" s="356" t="str">
        <f>+IF(I33=0,"",IF(I33&lt;=$AB$7,$AB$8,IF(I33&lt;=$AC$7,$AC$8,IF(I33&lt;=$AD$7,$AD$8,IF(I33&lt;=$AE$7,$AE$8,IF(I33&lt;=$AF$7,$AF$8,""))))))</f>
        <v>Mayor</v>
      </c>
      <c r="L33" s="352" t="str">
        <f>+IF(J33=$AA$10,IF(K33=$AB$8,$AB$10,IF(K33=$AC$8,$AC$10,IF(K33=$AD$8,$AD$10,IF(K33=$AE$8,$AE$10,IF(K33=$AF$8,$AF$10))))),IF(J33=$AA$11,IF(K33=$AB$8,$AB$11,IF(K33=$AC$8,$AC$11,IF(K33=$AD$8,$AD$11,IF(K33=$AE$8,$AE$11,IF(K33=$AF$8,$AF$11))))),IF(J33=$AA$14,IF(K33=$AB$8,$AB$14,IF(K33=$AC$8,$AC$14,IF(K33=$AD$8,$AD$14,IF(K33=$AE$8,$AE$14,IF(K33=$AF$8,$AF$14))))),IF(J33=$AA$15,IF(K33=$AB$8,$AB$15,IF(K33=$AC$8,$AC$15,IF(K33=$AD$8,$AD$15,IF(K33=$AE$8,$AE$15,IF(K33=$AF$8,$AF$15))))),IF(J33=$AA$18,IF(K33=$AB$8,$AB$18,IF(K33=$AC$8,$AC$18,IF(K33=$AD$8,$AD$18,IF(K33=$AE$8,$AE$18,IF(K33=$AF$8,$AF$18))))),"")))))</f>
        <v>Alto</v>
      </c>
      <c r="M33" s="352" t="str">
        <f>+IF($N33="","",IF($N33=$AC$22,$AD$22,IF($N33=$AC$25,$AD$25)))</f>
        <v>Requiere Plan de Acción</v>
      </c>
      <c r="N33" s="352" t="str">
        <f>+IF(L33="","",IF(OR(L33=$AB$22,L33=$AB$23,L33=$AB$24),$AC$22,IF(L33=$AB$25,$AC$25)))</f>
        <v>Reducir_mitigar_Transferir_Evitar</v>
      </c>
      <c r="O33" s="354" t="s">
        <v>334</v>
      </c>
      <c r="P33" s="352" t="str">
        <f>+IF($M33="","",IF($M33=$AD$25,$AC$25,$O33))</f>
        <v>Reducir_Mitigar</v>
      </c>
      <c r="Q33" s="350" t="str">
        <f>'5 VALORACIÓN DEL CONTROL'!I118</f>
        <v>La Subsecretaría de Hacienda y/o el personal asignado del área de Impuestos Municipales,  verifican la interoperabilidad  en la liquidación del Impuesto Predial Unificado (IPU) entre el Sistema de Información de Impuestos Municipales (SIIM) y la plataforma BCGS del Área Metropolitana de Bucaramanga (AMB).</v>
      </c>
      <c r="R33" s="259" t="s">
        <v>551</v>
      </c>
      <c r="S33" s="259" t="s">
        <v>554</v>
      </c>
      <c r="T33" s="259" t="s">
        <v>553</v>
      </c>
      <c r="U33" s="311">
        <v>46174</v>
      </c>
      <c r="V33" s="311">
        <v>46295</v>
      </c>
    </row>
    <row r="34" spans="1:22" ht="93" customHeight="1" x14ac:dyDescent="0.25">
      <c r="A34" s="361"/>
      <c r="B34" s="353"/>
      <c r="C34" s="359"/>
      <c r="D34" s="359"/>
      <c r="E34" s="357"/>
      <c r="F34" s="357"/>
      <c r="G34" s="353"/>
      <c r="H34" s="359"/>
      <c r="I34" s="357"/>
      <c r="J34" s="357"/>
      <c r="K34" s="357"/>
      <c r="L34" s="353"/>
      <c r="M34" s="353"/>
      <c r="N34" s="353"/>
      <c r="O34" s="355"/>
      <c r="P34" s="353"/>
      <c r="Q34" s="351"/>
      <c r="R34" s="259" t="s">
        <v>552</v>
      </c>
      <c r="S34" s="259" t="s">
        <v>556</v>
      </c>
      <c r="T34" s="259" t="s">
        <v>555</v>
      </c>
      <c r="U34" s="311">
        <v>46174</v>
      </c>
      <c r="V34" s="311">
        <v>46374</v>
      </c>
    </row>
    <row r="35" spans="1:22" ht="108.75" customHeight="1" x14ac:dyDescent="0.25">
      <c r="A35" s="62" t="str">
        <f>'2 IDENTIFICACIÓN'!A29</f>
        <v>R20</v>
      </c>
      <c r="B35" s="258" t="str">
        <f>+'2 IDENTIFICACIÓN'!J29</f>
        <v xml:space="preserve">Posibilidad  de efecto dañoso sobre el recurso público por investigaciones disciplinarias y sanciones por entes de control,  debido a incumplimiento en las normas vigentes en las diferentes etapas de la contratación (precontractual, contractual y postcontractual) que puedan afectar la obtención y cumplimiento del objeto contractual </v>
      </c>
      <c r="C35" s="89">
        <f>+'3 PROBABIL E IMPACTO INHERENTE'!E29</f>
        <v>0.8</v>
      </c>
      <c r="D35" s="89">
        <f>+'3 PROBABIL E IMPACTO INHERENTE'!M29</f>
        <v>0.8</v>
      </c>
      <c r="E35" s="64" t="str">
        <f>+'4 MAPA CALOR INHERENTE'!C29</f>
        <v>Alta</v>
      </c>
      <c r="F35" s="64" t="str">
        <f>+'4 MAPA CALOR INHERENTE'!D29</f>
        <v>Mayor</v>
      </c>
      <c r="G35" s="258" t="str">
        <f>+'4 MAPA CALOR INHERENTE'!E29</f>
        <v>Alto</v>
      </c>
      <c r="H35" s="89">
        <f>+'5 VALORACIÓN DEL CONTROL'!T124</f>
        <v>0.36</v>
      </c>
      <c r="I35" s="64">
        <f>+'5 VALORACIÓN DEL CONTROL'!U124</f>
        <v>0.8</v>
      </c>
      <c r="J35" s="64" t="str">
        <f t="shared" ref="J35:J46" si="6">+IF(H35=0,"",IF(H35&lt;=$Z$18,$AA$18,IF(H35&lt;=$Z$15,$AA$15,IF(H35&lt;=$Z$14,$AA$14,IF(H35&lt;=$Z$11,$AA$11,IF(H35&lt;=$Z$10,$AA$10,""))))))</f>
        <v>Baja</v>
      </c>
      <c r="K35" s="64" t="str">
        <f t="shared" ref="K35:K46" si="7">+IF(I35=0,"",IF(I35&lt;=$AB$7,$AB$8,IF(I35&lt;=$AC$7,$AC$8,IF(I35&lt;=$AD$7,$AD$8,IF(I35&lt;=$AE$7,$AE$8,IF(I35&lt;=$AF$7,$AF$8,""))))))</f>
        <v>Mayor</v>
      </c>
      <c r="L35" s="258" t="str">
        <f t="shared" ref="L35:L46" si="8">+IF(J35=$AA$10,IF(K35=$AB$8,$AB$10,IF(K35=$AC$8,$AC$10,IF(K35=$AD$8,$AD$10,IF(K35=$AE$8,$AE$10,IF(K35=$AF$8,$AF$10))))),IF(J35=$AA$11,IF(K35=$AB$8,$AB$11,IF(K35=$AC$8,$AC$11,IF(K35=$AD$8,$AD$11,IF(K35=$AE$8,$AE$11,IF(K35=$AF$8,$AF$11))))),IF(J35=$AA$14,IF(K35=$AB$8,$AB$14,IF(K35=$AC$8,$AC$14,IF(K35=$AD$8,$AD$14,IF(K35=$AE$8,$AE$14,IF(K35=$AF$8,$AF$14))))),IF(J35=$AA$15,IF(K35=$AB$8,$AB$15,IF(K35=$AC$8,$AC$15,IF(K35=$AD$8,$AD$15,IF(K35=$AE$8,$AE$15,IF(K35=$AF$8,$AF$15))))),IF(J35=$AA$18,IF(K35=$AB$8,$AB$18,IF(K35=$AC$8,$AC$18,IF(K35=$AD$8,$AD$18,IF(K35=$AE$8,$AE$18,IF(K35=$AF$8,$AF$18))))),"")))))</f>
        <v>Alto</v>
      </c>
      <c r="M35" s="258" t="str">
        <f t="shared" si="3"/>
        <v>Requiere Plan de Acción</v>
      </c>
      <c r="N35" s="258" t="str">
        <f t="shared" ref="N35:N46" si="9">+IF(L35="","",IF(OR(L35=$AB$22,L35=$AB$23,L35=$AB$24),$AC$22,IF(L35=$AB$25,$AC$25)))</f>
        <v>Reducir_mitigar_Transferir_Evitar</v>
      </c>
      <c r="O35" s="259" t="s">
        <v>334</v>
      </c>
      <c r="P35" s="258" t="str">
        <f t="shared" si="5"/>
        <v>Reducir_Mitigar</v>
      </c>
      <c r="Q35" s="310" t="str">
        <f>'5 VALORACIÓN DEL CONTROL'!I124</f>
        <v>Los profesionales encargados de la contratación y/o supervisores designados revisaran el cumplimiento de las normas vigentes en las diferentes etapas de contratación (precontractual, contractual y postcontractual), de los procesos celebrados por la Secretaría de Hacienda.</v>
      </c>
      <c r="R35" s="259" t="s">
        <v>562</v>
      </c>
      <c r="S35" s="259" t="s">
        <v>536</v>
      </c>
      <c r="T35" s="259" t="s">
        <v>563</v>
      </c>
      <c r="U35" s="311">
        <v>46023</v>
      </c>
      <c r="V35" s="311">
        <v>46374</v>
      </c>
    </row>
    <row r="36" spans="1:22" ht="93" customHeight="1" x14ac:dyDescent="0.25">
      <c r="A36" s="62" t="str">
        <f>'2 IDENTIFICACIÓN'!A30</f>
        <v>R21</v>
      </c>
      <c r="B36" s="258" t="str">
        <f>+'2 IDENTIFICACIÓN'!J30</f>
        <v>Posibilidad de afectación económica y reputacional por inconsistencias en la aplicación de novedades del módulo de Industria y Comercio del Sistema de Impuestos Municipales, debido a deficiencias en la validación, revisión y soporte de la información registrada.</v>
      </c>
      <c r="C36" s="89">
        <f>+'3 PROBABIL E IMPACTO INHERENTE'!E30</f>
        <v>0.6</v>
      </c>
      <c r="D36" s="89">
        <f>+'3 PROBABIL E IMPACTO INHERENTE'!M30</f>
        <v>1</v>
      </c>
      <c r="E36" s="64" t="str">
        <f>+'4 MAPA CALOR INHERENTE'!C30</f>
        <v>Media</v>
      </c>
      <c r="F36" s="64" t="str">
        <f>+'4 MAPA CALOR INHERENTE'!D30</f>
        <v>Catastrófico</v>
      </c>
      <c r="G36" s="258" t="str">
        <f>+'4 MAPA CALOR INHERENTE'!E30</f>
        <v>Extremo</v>
      </c>
      <c r="H36" s="89">
        <f>+'5 VALORACIÓN DEL CONTROL'!T125</f>
        <v>0.6</v>
      </c>
      <c r="I36" s="64">
        <f>+'5 VALORACIÓN DEL CONTROL'!U125</f>
        <v>0.8</v>
      </c>
      <c r="J36" s="64" t="str">
        <f t="shared" si="6"/>
        <v>Media</v>
      </c>
      <c r="K36" s="64" t="str">
        <f t="shared" si="7"/>
        <v>Mayor</v>
      </c>
      <c r="L36" s="258" t="str">
        <f t="shared" si="8"/>
        <v>Alto</v>
      </c>
      <c r="M36" s="258" t="str">
        <f t="shared" si="3"/>
        <v>Requiere Plan de Acción</v>
      </c>
      <c r="N36" s="258" t="str">
        <f t="shared" si="9"/>
        <v>Reducir_mitigar_Transferir_Evitar</v>
      </c>
      <c r="O36" s="259" t="s">
        <v>334</v>
      </c>
      <c r="P36" s="258" t="str">
        <f t="shared" si="5"/>
        <v>Reducir_Mitigar</v>
      </c>
      <c r="Q36" s="310" t="str">
        <f>'5 VALORACIÓN DEL CONTROL'!I130</f>
        <v>El profesional responsable  verifica la aplicación de novedades en el Sistema de Impuestos Municipales,  a través de la revisión y validación de los documentos o actos administrativos que soportan las modificaciones registradas, con el fin de garantizar la consistencia y trazabilidad de la información.</v>
      </c>
      <c r="R36" s="259" t="s">
        <v>569</v>
      </c>
      <c r="S36" s="259" t="s">
        <v>570</v>
      </c>
      <c r="T36" s="259" t="s">
        <v>593</v>
      </c>
      <c r="U36" s="311">
        <v>46143</v>
      </c>
      <c r="V36" s="311">
        <v>46374</v>
      </c>
    </row>
    <row r="37" spans="1:22" ht="93" customHeight="1" x14ac:dyDescent="0.25">
      <c r="A37" s="360" t="str">
        <f>'2 IDENTIFICACIÓN'!A31</f>
        <v>R22</v>
      </c>
      <c r="B37" s="352" t="str">
        <f>+'2 IDENTIFICACIÓN'!J31</f>
        <v>Posibilidad de pérdida reputacional por soborno entrante en la administración de recursos públicos de la Secretaría de Hacienda,  debido a al recibir o solicitar ventajas indebidas para manipular y/o favorecer la constitución de inversiones, debido a debilidades en los controles y seguimiento de las operaciones financieras.</v>
      </c>
      <c r="C37" s="358">
        <f>+'3 PROBABIL E IMPACTO INHERENTE'!E31</f>
        <v>0.4</v>
      </c>
      <c r="D37" s="358">
        <f>+'3 PROBABIL E IMPACTO INHERENTE'!M31</f>
        <v>0.6</v>
      </c>
      <c r="E37" s="356" t="str">
        <f>+'4 MAPA CALOR INHERENTE'!C31</f>
        <v>Baja</v>
      </c>
      <c r="F37" s="356" t="str">
        <f>+'4 MAPA CALOR INHERENTE'!D31</f>
        <v>Moderado</v>
      </c>
      <c r="G37" s="352" t="str">
        <f>+'4 MAPA CALOR INHERENTE'!E31</f>
        <v>Moderado</v>
      </c>
      <c r="H37" s="358">
        <f>+'5 VALORACIÓN DEL CONTROL'!T126</f>
        <v>0.6</v>
      </c>
      <c r="I37" s="356">
        <f>+'5 VALORACIÓN DEL CONTROL'!U126</f>
        <v>0.8</v>
      </c>
      <c r="J37" s="356" t="str">
        <f>+IF(H37=0,"",IF(H37&lt;=$Z$18,$AA$18,IF(H37&lt;=$Z$15,$AA$15,IF(H37&lt;=$Z$14,$AA$14,IF(H37&lt;=$Z$11,$AA$11,IF(H37&lt;=$Z$10,$AA$10,""))))))</f>
        <v>Media</v>
      </c>
      <c r="K37" s="356" t="str">
        <f>+IF(I37=0,"",IF(I37&lt;=$AB$7,$AB$8,IF(I37&lt;=$AC$7,$AC$8,IF(I37&lt;=$AD$7,$AD$8,IF(I37&lt;=$AE$7,$AE$8,IF(I37&lt;=$AF$7,$AF$8,""))))))</f>
        <v>Mayor</v>
      </c>
      <c r="L37" s="352" t="str">
        <f>+IF(J37=$AA$10,IF(K37=$AB$8,$AB$10,IF(K37=$AC$8,$AC$10,IF(K37=$AD$8,$AD$10,IF(K37=$AE$8,$AE$10,IF(K37=$AF$8,$AF$10))))),IF(J37=$AA$11,IF(K37=$AB$8,$AB$11,IF(K37=$AC$8,$AC$11,IF(K37=$AD$8,$AD$11,IF(K37=$AE$8,$AE$11,IF(K37=$AF$8,$AF$11))))),IF(J37=$AA$14,IF(K37=$AB$8,$AB$14,IF(K37=$AC$8,$AC$14,IF(K37=$AD$8,$AD$14,IF(K37=$AE$8,$AE$14,IF(K37=$AF$8,$AF$14))))),IF(J37=$AA$15,IF(K37=$AB$8,$AB$15,IF(K37=$AC$8,$AC$15,IF(K37=$AD$8,$AD$15,IF(K37=$AE$8,$AE$15,IF(K37=$AF$8,$AF$15))))),IF(J37=$AA$18,IF(K37=$AB$8,$AB$18,IF(K37=$AC$8,$AC$18,IF(K37=$AD$8,$AD$18,IF(K37=$AE$8,$AE$18,IF(K37=$AF$8,$AF$18))))),"")))))</f>
        <v>Alto</v>
      </c>
      <c r="M37" s="352" t="str">
        <f>+IF($N37="","",IF($N37=$AC$22,$AD$22,IF($N37=$AC$25,$AD$25)))</f>
        <v>Requiere Plan de Acción</v>
      </c>
      <c r="N37" s="352" t="str">
        <f>+IF(L37="","",IF(OR(L37=$AB$22,L37=$AB$23,L37=$AB$24),$AC$22,IF(L37=$AB$25,$AC$25)))</f>
        <v>Reducir_mitigar_Transferir_Evitar</v>
      </c>
      <c r="O37" s="354" t="s">
        <v>334</v>
      </c>
      <c r="P37" s="352" t="str">
        <f>+IF($M37="","",IF($M37=$AD$25,$AC$25,$O37))</f>
        <v>Reducir_Mitigar</v>
      </c>
      <c r="Q37" s="350" t="str">
        <f>'5 VALORACIÓN DEL CONTROL'!I136</f>
        <v>El líder del proceso  revisa y valida la constitución de inversiones realizadas por la Secretaría de Hacienda, verificando el cumplimiento de los lineamientos financieros  y dejando evidencia de la revisión mediante las actas y aprobaciones del Comité de Inversiones Financieras</v>
      </c>
      <c r="R37" s="259" t="s">
        <v>576</v>
      </c>
      <c r="S37" s="259" t="s">
        <v>577</v>
      </c>
      <c r="T37" s="259" t="s">
        <v>578</v>
      </c>
      <c r="U37" s="311">
        <v>46174</v>
      </c>
      <c r="V37" s="311">
        <v>46356</v>
      </c>
    </row>
    <row r="38" spans="1:22" ht="93" customHeight="1" x14ac:dyDescent="0.25">
      <c r="A38" s="361"/>
      <c r="B38" s="353"/>
      <c r="C38" s="359"/>
      <c r="D38" s="359"/>
      <c r="E38" s="357"/>
      <c r="F38" s="357"/>
      <c r="G38" s="353"/>
      <c r="H38" s="359"/>
      <c r="I38" s="357"/>
      <c r="J38" s="357"/>
      <c r="K38" s="357"/>
      <c r="L38" s="353"/>
      <c r="M38" s="353"/>
      <c r="N38" s="353"/>
      <c r="O38" s="355"/>
      <c r="P38" s="353"/>
      <c r="Q38" s="351"/>
      <c r="R38" s="259" t="s">
        <v>579</v>
      </c>
      <c r="S38" s="259" t="s">
        <v>580</v>
      </c>
      <c r="T38" s="259" t="s">
        <v>578</v>
      </c>
      <c r="U38" s="311">
        <v>46266</v>
      </c>
      <c r="V38" s="311">
        <v>46356</v>
      </c>
    </row>
    <row r="39" spans="1:22" ht="111.75" customHeight="1" x14ac:dyDescent="0.25">
      <c r="A39" s="62" t="str">
        <f>'2 IDENTIFICACIÓN'!A32</f>
        <v>R23</v>
      </c>
      <c r="B39" s="258" t="str">
        <f>+'2 IDENTIFICACIÓN'!J32</f>
        <v>Posibilidad de pérdida reputacional por por soborno entrante en el retiro de registros del Boletín de Deudores Morosos del Estado (BDME),  debido a al solicitar o recibir ventajas indebidas a nombre propio o de terceros para efectuar exclusiones sin el cumplimiento de los requisitos establecidos por la Contaduría General de la Nación.</v>
      </c>
      <c r="C39" s="89">
        <f>+'3 PROBABIL E IMPACTO INHERENTE'!E32</f>
        <v>0.6</v>
      </c>
      <c r="D39" s="89">
        <f>+'3 PROBABIL E IMPACTO INHERENTE'!M32</f>
        <v>0.6</v>
      </c>
      <c r="E39" s="64" t="str">
        <f>+'4 MAPA CALOR INHERENTE'!C32</f>
        <v>Media</v>
      </c>
      <c r="F39" s="64" t="str">
        <f>+'4 MAPA CALOR INHERENTE'!D32</f>
        <v>Moderado</v>
      </c>
      <c r="G39" s="258" t="str">
        <f>+'4 MAPA CALOR INHERENTE'!E32</f>
        <v>Moderado</v>
      </c>
      <c r="H39" s="89">
        <f>+'5 VALORACIÓN DEL CONTROL'!T127</f>
        <v>0.6</v>
      </c>
      <c r="I39" s="64">
        <f>+'5 VALORACIÓN DEL CONTROL'!U127</f>
        <v>0.8</v>
      </c>
      <c r="J39" s="64" t="str">
        <f t="shared" si="6"/>
        <v>Media</v>
      </c>
      <c r="K39" s="64" t="str">
        <f t="shared" si="7"/>
        <v>Mayor</v>
      </c>
      <c r="L39" s="258" t="str">
        <f t="shared" si="8"/>
        <v>Alto</v>
      </c>
      <c r="M39" s="258" t="str">
        <f t="shared" si="3"/>
        <v>Requiere Plan de Acción</v>
      </c>
      <c r="N39" s="258" t="str">
        <f t="shared" si="9"/>
        <v>Reducir_mitigar_Transferir_Evitar</v>
      </c>
      <c r="O39" s="259" t="s">
        <v>334</v>
      </c>
      <c r="P39" s="258" t="str">
        <f t="shared" si="5"/>
        <v>Reducir_Mitigar</v>
      </c>
      <c r="Q39" s="310" t="str">
        <f>'5 VALORACIÓN DEL CONTROL'!I142</f>
        <v>El profesional responsable  verifica y valida que los retiros de registros del Boletín de Deudores Morosos del Estado (BDME) cumplan con los requisitos y soportes establecidos por la Contaduría General de la Nación, dejando evidencia de la revisión y aprobación previa al trámite de exclusión.</v>
      </c>
      <c r="R39" s="259" t="s">
        <v>585</v>
      </c>
      <c r="S39" s="259" t="s">
        <v>586</v>
      </c>
      <c r="T39" s="259" t="s">
        <v>449</v>
      </c>
      <c r="U39" s="311">
        <v>46023</v>
      </c>
      <c r="V39" s="311">
        <v>46374</v>
      </c>
    </row>
    <row r="40" spans="1:22" ht="93" customHeight="1" x14ac:dyDescent="0.25">
      <c r="A40" s="62" t="str">
        <f>'2 IDENTIFICACIÓN'!A33</f>
        <v>R24</v>
      </c>
      <c r="B40" s="258" t="str">
        <f>+'2 IDENTIFICACIÓN'!J33</f>
        <v>Posibilidad de afectación económica y reputacional por inconsistencias en la aplicación de novedades del Impuesto Predial Unificado en el Sistema de Impuestos Municipales,  debido a deficiencias en la revisión, validación y soporte de la información registrada.</v>
      </c>
      <c r="C40" s="89">
        <f>+'3 PROBABIL E IMPACTO INHERENTE'!E33</f>
        <v>0.6</v>
      </c>
      <c r="D40" s="89">
        <f>+'3 PROBABIL E IMPACTO INHERENTE'!M33</f>
        <v>1</v>
      </c>
      <c r="E40" s="64" t="str">
        <f>+'4 MAPA CALOR INHERENTE'!C33</f>
        <v>Media</v>
      </c>
      <c r="F40" s="64" t="str">
        <f>+'4 MAPA CALOR INHERENTE'!D33</f>
        <v>Catastrófico</v>
      </c>
      <c r="G40" s="258" t="str">
        <f>+'4 MAPA CALOR INHERENTE'!E33</f>
        <v>Extremo</v>
      </c>
      <c r="H40" s="89">
        <f>+'5 VALORACIÓN DEL CONTROL'!T128</f>
        <v>0.6</v>
      </c>
      <c r="I40" s="64">
        <f>+'5 VALORACIÓN DEL CONTROL'!U128</f>
        <v>0.8</v>
      </c>
      <c r="J40" s="64" t="str">
        <f t="shared" si="6"/>
        <v>Media</v>
      </c>
      <c r="K40" s="64" t="str">
        <f t="shared" si="7"/>
        <v>Mayor</v>
      </c>
      <c r="L40" s="258" t="str">
        <f t="shared" si="8"/>
        <v>Alto</v>
      </c>
      <c r="M40" s="258" t="str">
        <f t="shared" si="3"/>
        <v>Requiere Plan de Acción</v>
      </c>
      <c r="N40" s="258" t="str">
        <f t="shared" si="9"/>
        <v>Reducir_mitigar_Transferir_Evitar</v>
      </c>
      <c r="O40" s="259" t="s">
        <v>334</v>
      </c>
      <c r="P40" s="258" t="str">
        <f t="shared" si="5"/>
        <v>Reducir_Mitigar</v>
      </c>
      <c r="Q40" s="310" t="str">
        <f>'5 VALORACIÓN DEL CONTROL'!I148</f>
        <v>El profesional responsable  verifica la aplicación de novedades del Impuesto Predial Unificado en el Sistema de Impuestos Municipales,  a través de la revisión y validación de los documentos o actos administrativos que soportan las modificaciones efectuadas, identificando posibles inconsistencias o registros sin justificación.</v>
      </c>
      <c r="R40" s="259" t="s">
        <v>591</v>
      </c>
      <c r="S40" s="259" t="s">
        <v>592</v>
      </c>
      <c r="T40" s="259" t="s">
        <v>593</v>
      </c>
      <c r="U40" s="311">
        <v>46143</v>
      </c>
      <c r="V40" s="311">
        <v>46374</v>
      </c>
    </row>
    <row r="41" spans="1:22" ht="93" hidden="1" customHeight="1" x14ac:dyDescent="0.25">
      <c r="A41" s="62" t="str">
        <f>'2 IDENTIFICACIÓN'!A34</f>
        <v>R25</v>
      </c>
      <c r="B41" s="258" t="str">
        <f>+'2 IDENTIFICACIÓN'!J34</f>
        <v xml:space="preserve"> por  debido a </v>
      </c>
      <c r="C41" s="89" t="str">
        <f>+'3 PROBABIL E IMPACTO INHERENTE'!E34</f>
        <v/>
      </c>
      <c r="D41" s="89" t="str">
        <f>+'3 PROBABIL E IMPACTO INHERENTE'!M34</f>
        <v/>
      </c>
      <c r="E41" s="64" t="str">
        <f>+'4 MAPA CALOR INHERENTE'!C34</f>
        <v/>
      </c>
      <c r="F41" s="64" t="str">
        <f>+'4 MAPA CALOR INHERENTE'!D34</f>
        <v/>
      </c>
      <c r="G41" s="258" t="str">
        <f>+'4 MAPA CALOR INHERENTE'!E34</f>
        <v/>
      </c>
      <c r="H41" s="89">
        <f>+'5 VALORACIÓN DEL CONTROL'!T129</f>
        <v>0.6</v>
      </c>
      <c r="I41" s="64">
        <f>+'5 VALORACIÓN DEL CONTROL'!U129</f>
        <v>0.8</v>
      </c>
      <c r="J41" s="64" t="str">
        <f t="shared" si="6"/>
        <v>Media</v>
      </c>
      <c r="K41" s="64" t="str">
        <f t="shared" si="7"/>
        <v>Mayor</v>
      </c>
      <c r="L41" s="258" t="str">
        <f t="shared" si="8"/>
        <v>Alto</v>
      </c>
      <c r="M41" s="258" t="str">
        <f t="shared" si="3"/>
        <v>Requiere Plan de Acción</v>
      </c>
      <c r="N41" s="258" t="str">
        <f t="shared" si="9"/>
        <v>Reducir_mitigar_Transferir_Evitar</v>
      </c>
      <c r="O41" s="259"/>
      <c r="P41" s="258">
        <f t="shared" si="5"/>
        <v>0</v>
      </c>
      <c r="Q41" s="310"/>
      <c r="R41" s="259"/>
      <c r="S41" s="259"/>
      <c r="T41" s="259"/>
      <c r="U41" s="311"/>
      <c r="V41" s="311"/>
    </row>
    <row r="42" spans="1:22" ht="93" hidden="1" customHeight="1" x14ac:dyDescent="0.25">
      <c r="A42" s="62" t="str">
        <f>'2 IDENTIFICACIÓN'!A35</f>
        <v>R26</v>
      </c>
      <c r="B42" s="258" t="str">
        <f>+'2 IDENTIFICACIÓN'!J35</f>
        <v xml:space="preserve"> por  debido a </v>
      </c>
      <c r="C42" s="89" t="str">
        <f>+'3 PROBABIL E IMPACTO INHERENTE'!E35</f>
        <v/>
      </c>
      <c r="D42" s="89" t="str">
        <f>+'3 PROBABIL E IMPACTO INHERENTE'!M35</f>
        <v/>
      </c>
      <c r="E42" s="64" t="str">
        <f>+'4 MAPA CALOR INHERENTE'!C35</f>
        <v/>
      </c>
      <c r="F42" s="64" t="str">
        <f>+'4 MAPA CALOR INHERENTE'!D35</f>
        <v/>
      </c>
      <c r="G42" s="258" t="str">
        <f>+'4 MAPA CALOR INHERENTE'!E35</f>
        <v/>
      </c>
      <c r="H42" s="89">
        <f>+'5 VALORACIÓN DEL CONTROL'!T130</f>
        <v>0.36</v>
      </c>
      <c r="I42" s="64">
        <f>+'5 VALORACIÓN DEL CONTROL'!U130</f>
        <v>1</v>
      </c>
      <c r="J42" s="64" t="str">
        <f t="shared" si="6"/>
        <v>Baja</v>
      </c>
      <c r="K42" s="64" t="str">
        <f t="shared" si="7"/>
        <v>Catastrófico</v>
      </c>
      <c r="L42" s="258" t="str">
        <f t="shared" si="8"/>
        <v>Extremo</v>
      </c>
      <c r="M42" s="258" t="str">
        <f t="shared" si="3"/>
        <v>Requiere Plan de Acción</v>
      </c>
      <c r="N42" s="258" t="str">
        <f t="shared" si="9"/>
        <v>Reducir_mitigar_Transferir_Evitar</v>
      </c>
      <c r="O42" s="259"/>
      <c r="P42" s="258">
        <f t="shared" si="5"/>
        <v>0</v>
      </c>
      <c r="Q42" s="310" t="str">
        <f>'5 VALORACIÓN DEL CONTROL'!I35</f>
        <v xml:space="preserve">  </v>
      </c>
      <c r="R42" s="259"/>
      <c r="S42" s="259"/>
      <c r="T42" s="259"/>
      <c r="U42" s="311"/>
      <c r="V42" s="311"/>
    </row>
    <row r="43" spans="1:22" ht="93" hidden="1" customHeight="1" x14ac:dyDescent="0.25">
      <c r="A43" s="62" t="str">
        <f>'2 IDENTIFICACIÓN'!A36</f>
        <v>R27</v>
      </c>
      <c r="B43" s="258" t="str">
        <f>+'2 IDENTIFICACIÓN'!J36</f>
        <v xml:space="preserve"> por  debido a </v>
      </c>
      <c r="C43" s="89" t="str">
        <f>+'3 PROBABIL E IMPACTO INHERENTE'!E36</f>
        <v/>
      </c>
      <c r="D43" s="89" t="str">
        <f>+'3 PROBABIL E IMPACTO INHERENTE'!M36</f>
        <v/>
      </c>
      <c r="E43" s="64" t="str">
        <f>+'4 MAPA CALOR INHERENTE'!C36</f>
        <v/>
      </c>
      <c r="F43" s="64" t="str">
        <f>+'4 MAPA CALOR INHERENTE'!D36</f>
        <v/>
      </c>
      <c r="G43" s="258" t="str">
        <f>+'4 MAPA CALOR INHERENTE'!E36</f>
        <v/>
      </c>
      <c r="H43" s="89">
        <f>+'5 VALORACIÓN DEL CONTROL'!T131</f>
        <v>0.6</v>
      </c>
      <c r="I43" s="64">
        <f>+'5 VALORACIÓN DEL CONTROL'!U131</f>
        <v>1</v>
      </c>
      <c r="J43" s="64" t="str">
        <f t="shared" si="6"/>
        <v>Media</v>
      </c>
      <c r="K43" s="64" t="str">
        <f t="shared" si="7"/>
        <v>Catastrófico</v>
      </c>
      <c r="L43" s="258" t="str">
        <f t="shared" si="8"/>
        <v>Extremo</v>
      </c>
      <c r="M43" s="258" t="str">
        <f t="shared" si="3"/>
        <v>Requiere Plan de Acción</v>
      </c>
      <c r="N43" s="258" t="str">
        <f t="shared" si="9"/>
        <v>Reducir_mitigar_Transferir_Evitar</v>
      </c>
      <c r="O43" s="259"/>
      <c r="P43" s="258">
        <f t="shared" si="5"/>
        <v>0</v>
      </c>
      <c r="Q43" s="310" t="str">
        <f>'5 VALORACIÓN DEL CONTROL'!I36</f>
        <v xml:space="preserve">  </v>
      </c>
      <c r="R43" s="259"/>
      <c r="S43" s="259"/>
      <c r="T43" s="259"/>
      <c r="U43" s="311"/>
      <c r="V43" s="311"/>
    </row>
    <row r="44" spans="1:22" ht="93" hidden="1" customHeight="1" x14ac:dyDescent="0.25">
      <c r="A44" s="62" t="str">
        <f>'2 IDENTIFICACIÓN'!A37</f>
        <v>R28</v>
      </c>
      <c r="B44" s="258" t="str">
        <f>+'2 IDENTIFICACIÓN'!J37</f>
        <v xml:space="preserve"> por  debido a </v>
      </c>
      <c r="C44" s="89" t="str">
        <f>+'3 PROBABIL E IMPACTO INHERENTE'!E37</f>
        <v/>
      </c>
      <c r="D44" s="89" t="str">
        <f>+'3 PROBABIL E IMPACTO INHERENTE'!M37</f>
        <v/>
      </c>
      <c r="E44" s="64" t="str">
        <f>+'4 MAPA CALOR INHERENTE'!C37</f>
        <v/>
      </c>
      <c r="F44" s="64" t="str">
        <f>+'4 MAPA CALOR INHERENTE'!D37</f>
        <v/>
      </c>
      <c r="G44" s="258" t="str">
        <f>+'4 MAPA CALOR INHERENTE'!E37</f>
        <v/>
      </c>
      <c r="H44" s="89">
        <f>+'5 VALORACIÓN DEL CONTROL'!T132</f>
        <v>0.6</v>
      </c>
      <c r="I44" s="64">
        <f>+'5 VALORACIÓN DEL CONTROL'!U132</f>
        <v>1</v>
      </c>
      <c r="J44" s="64" t="str">
        <f t="shared" si="6"/>
        <v>Media</v>
      </c>
      <c r="K44" s="64" t="str">
        <f t="shared" si="7"/>
        <v>Catastrófico</v>
      </c>
      <c r="L44" s="258" t="str">
        <f t="shared" si="8"/>
        <v>Extremo</v>
      </c>
      <c r="M44" s="258" t="str">
        <f t="shared" si="3"/>
        <v>Requiere Plan de Acción</v>
      </c>
      <c r="N44" s="258" t="str">
        <f t="shared" si="9"/>
        <v>Reducir_mitigar_Transferir_Evitar</v>
      </c>
      <c r="O44" s="259"/>
      <c r="P44" s="258">
        <f t="shared" si="5"/>
        <v>0</v>
      </c>
      <c r="Q44" s="310" t="str">
        <f>'5 VALORACIÓN DEL CONTROL'!I37</f>
        <v xml:space="preserve">  </v>
      </c>
      <c r="R44" s="259"/>
      <c r="S44" s="259"/>
      <c r="T44" s="259"/>
      <c r="U44" s="311"/>
      <c r="V44" s="311"/>
    </row>
    <row r="45" spans="1:22" ht="93" hidden="1" customHeight="1" x14ac:dyDescent="0.25">
      <c r="A45" s="62" t="str">
        <f>'2 IDENTIFICACIÓN'!A38</f>
        <v>R29</v>
      </c>
      <c r="B45" s="258" t="str">
        <f>+'2 IDENTIFICACIÓN'!J38</f>
        <v xml:space="preserve"> por  debido a </v>
      </c>
      <c r="C45" s="89" t="str">
        <f>+'3 PROBABIL E IMPACTO INHERENTE'!E38</f>
        <v/>
      </c>
      <c r="D45" s="89" t="str">
        <f>+'3 PROBABIL E IMPACTO INHERENTE'!M38</f>
        <v/>
      </c>
      <c r="E45" s="64" t="str">
        <f>+'4 MAPA CALOR INHERENTE'!C38</f>
        <v/>
      </c>
      <c r="F45" s="64" t="str">
        <f>+'4 MAPA CALOR INHERENTE'!D38</f>
        <v/>
      </c>
      <c r="G45" s="258" t="str">
        <f>+'4 MAPA CALOR INHERENTE'!E38</f>
        <v/>
      </c>
      <c r="H45" s="89">
        <f>+'5 VALORACIÓN DEL CONTROL'!T133</f>
        <v>0.6</v>
      </c>
      <c r="I45" s="64">
        <f>+'5 VALORACIÓN DEL CONTROL'!U133</f>
        <v>1</v>
      </c>
      <c r="J45" s="64" t="str">
        <f t="shared" si="6"/>
        <v>Media</v>
      </c>
      <c r="K45" s="64" t="str">
        <f t="shared" si="7"/>
        <v>Catastrófico</v>
      </c>
      <c r="L45" s="258" t="str">
        <f t="shared" si="8"/>
        <v>Extremo</v>
      </c>
      <c r="M45" s="258" t="str">
        <f t="shared" si="3"/>
        <v>Requiere Plan de Acción</v>
      </c>
      <c r="N45" s="258" t="str">
        <f t="shared" si="9"/>
        <v>Reducir_mitigar_Transferir_Evitar</v>
      </c>
      <c r="O45" s="259"/>
      <c r="P45" s="258">
        <f t="shared" si="5"/>
        <v>0</v>
      </c>
      <c r="Q45" s="310" t="str">
        <f>'5 VALORACIÓN DEL CONTROL'!I38</f>
        <v xml:space="preserve">  </v>
      </c>
      <c r="R45" s="259"/>
      <c r="S45" s="259"/>
      <c r="T45" s="259"/>
      <c r="U45" s="311"/>
      <c r="V45" s="311"/>
    </row>
    <row r="46" spans="1:22" ht="93" hidden="1" customHeight="1" x14ac:dyDescent="0.25">
      <c r="A46" s="62" t="str">
        <f>'2 IDENTIFICACIÓN'!A39</f>
        <v>R30</v>
      </c>
      <c r="B46" s="258" t="str">
        <f>+'2 IDENTIFICACIÓN'!J39</f>
        <v xml:space="preserve"> por  debido a </v>
      </c>
      <c r="C46" s="89" t="str">
        <f>+'3 PROBABIL E IMPACTO INHERENTE'!E39</f>
        <v/>
      </c>
      <c r="D46" s="89" t="str">
        <f>+'3 PROBABIL E IMPACTO INHERENTE'!M39</f>
        <v/>
      </c>
      <c r="E46" s="64" t="str">
        <f>+'4 MAPA CALOR INHERENTE'!C39</f>
        <v/>
      </c>
      <c r="F46" s="64" t="str">
        <f>+'4 MAPA CALOR INHERENTE'!D39</f>
        <v/>
      </c>
      <c r="G46" s="258" t="str">
        <f>+'4 MAPA CALOR INHERENTE'!E39</f>
        <v/>
      </c>
      <c r="H46" s="89">
        <f>+'5 VALORACIÓN DEL CONTROL'!T134</f>
        <v>0.6</v>
      </c>
      <c r="I46" s="64">
        <f>+'5 VALORACIÓN DEL CONTROL'!U134</f>
        <v>1</v>
      </c>
      <c r="J46" s="64" t="str">
        <f t="shared" si="6"/>
        <v>Media</v>
      </c>
      <c r="K46" s="64" t="str">
        <f t="shared" si="7"/>
        <v>Catastrófico</v>
      </c>
      <c r="L46" s="258" t="str">
        <f t="shared" si="8"/>
        <v>Extremo</v>
      </c>
      <c r="M46" s="258" t="str">
        <f t="shared" si="3"/>
        <v>Requiere Plan de Acción</v>
      </c>
      <c r="N46" s="258" t="str">
        <f t="shared" si="9"/>
        <v>Reducir_mitigar_Transferir_Evitar</v>
      </c>
      <c r="O46" s="259"/>
      <c r="P46" s="258">
        <f t="shared" si="5"/>
        <v>0</v>
      </c>
      <c r="Q46" s="310" t="str">
        <f>'5 VALORACIÓN DEL CONTROL'!I39</f>
        <v xml:space="preserve">  </v>
      </c>
      <c r="R46" s="259"/>
      <c r="S46" s="259"/>
      <c r="T46" s="259"/>
      <c r="U46" s="311"/>
      <c r="V46" s="311"/>
    </row>
    <row r="47" spans="1:22" ht="14.45" customHeight="1" thickBot="1" x14ac:dyDescent="0.3"/>
    <row r="48" spans="1:22" ht="14.25" thickTop="1" thickBot="1" x14ac:dyDescent="0.3">
      <c r="A48" s="387" t="s">
        <v>377</v>
      </c>
      <c r="B48" s="387"/>
      <c r="C48" s="387"/>
      <c r="D48" s="387"/>
      <c r="E48" s="387"/>
      <c r="F48" s="387"/>
      <c r="G48" s="387"/>
    </row>
    <row r="49" spans="1:7" ht="19.5" customHeight="1" thickTop="1" thickBot="1" x14ac:dyDescent="0.3">
      <c r="A49" s="321" t="s">
        <v>378</v>
      </c>
      <c r="B49" s="387" t="s">
        <v>379</v>
      </c>
      <c r="C49" s="387"/>
      <c r="D49" s="387" t="s">
        <v>380</v>
      </c>
      <c r="E49" s="387"/>
      <c r="F49" s="387" t="s">
        <v>381</v>
      </c>
      <c r="G49" s="387"/>
    </row>
    <row r="50" spans="1:7" ht="101.45" customHeight="1" thickTop="1" thickBot="1" x14ac:dyDescent="0.3">
      <c r="A50" s="322" t="s">
        <v>382</v>
      </c>
      <c r="B50" s="388">
        <v>46163</v>
      </c>
      <c r="C50" s="388"/>
      <c r="D50" s="389" t="s">
        <v>383</v>
      </c>
      <c r="E50" s="389"/>
      <c r="F50" s="390" t="s">
        <v>384</v>
      </c>
      <c r="G50" s="390"/>
    </row>
    <row r="51" spans="1:7" ht="19.5" customHeight="1" thickTop="1" x14ac:dyDescent="0.25"/>
    <row r="52" spans="1:7" ht="19.5" customHeight="1" x14ac:dyDescent="0.25"/>
    <row r="53" spans="1:7" ht="19.5" customHeight="1" x14ac:dyDescent="0.25"/>
  </sheetData>
  <sheetProtection formatCells="0" formatColumns="0" formatRows="0" sort="0" autoFilter="0" pivotTables="0"/>
  <dataConsolidate/>
  <mergeCells count="120">
    <mergeCell ref="A48:G48"/>
    <mergeCell ref="B49:C49"/>
    <mergeCell ref="D49:E49"/>
    <mergeCell ref="F49:G49"/>
    <mergeCell ref="B50:C50"/>
    <mergeCell ref="D50:E50"/>
    <mergeCell ref="F50:G50"/>
    <mergeCell ref="Y10:Y18"/>
    <mergeCell ref="E7:G7"/>
    <mergeCell ref="J7:L7"/>
    <mergeCell ref="Q7:V7"/>
    <mergeCell ref="C16:C18"/>
    <mergeCell ref="B16:B18"/>
    <mergeCell ref="A16:A18"/>
    <mergeCell ref="Q19:Q20"/>
    <mergeCell ref="P19:P20"/>
    <mergeCell ref="O19:O20"/>
    <mergeCell ref="N19:N20"/>
    <mergeCell ref="M19:M20"/>
    <mergeCell ref="L19:L20"/>
    <mergeCell ref="K19:K20"/>
    <mergeCell ref="J19:J20"/>
    <mergeCell ref="I19:I20"/>
    <mergeCell ref="H19:H20"/>
    <mergeCell ref="B12:B14"/>
    <mergeCell ref="A12:A14"/>
    <mergeCell ref="J12:J14"/>
    <mergeCell ref="I12:I14"/>
    <mergeCell ref="H12:H14"/>
    <mergeCell ref="G12:G14"/>
    <mergeCell ref="F12:F14"/>
    <mergeCell ref="D12:D14"/>
    <mergeCell ref="C12:C14"/>
    <mergeCell ref="A1:A3"/>
    <mergeCell ref="B1:I2"/>
    <mergeCell ref="B3:I3"/>
    <mergeCell ref="A9:A10"/>
    <mergeCell ref="B9:B10"/>
    <mergeCell ref="C9:C10"/>
    <mergeCell ref="D9:D10"/>
    <mergeCell ref="E9:E10"/>
    <mergeCell ref="F9:F10"/>
    <mergeCell ref="G9:G10"/>
    <mergeCell ref="H9:H10"/>
    <mergeCell ref="I9:I10"/>
    <mergeCell ref="A4:K4"/>
    <mergeCell ref="J9:J10"/>
    <mergeCell ref="K9:K10"/>
    <mergeCell ref="J1:K1"/>
    <mergeCell ref="G5:H5"/>
    <mergeCell ref="J5:K5"/>
    <mergeCell ref="N9:N10"/>
    <mergeCell ref="I16:I18"/>
    <mergeCell ref="Q16:Q18"/>
    <mergeCell ref="P16:P18"/>
    <mergeCell ref="O16:O18"/>
    <mergeCell ref="N16:N18"/>
    <mergeCell ref="M16:M18"/>
    <mergeCell ref="E12:E14"/>
    <mergeCell ref="L9:L10"/>
    <mergeCell ref="M9:M10"/>
    <mergeCell ref="Q12:Q14"/>
    <mergeCell ref="P12:P14"/>
    <mergeCell ref="O12:O14"/>
    <mergeCell ref="N12:N14"/>
    <mergeCell ref="M12:M14"/>
    <mergeCell ref="L12:L14"/>
    <mergeCell ref="K12:K14"/>
    <mergeCell ref="O9:O10"/>
    <mergeCell ref="P9:P10"/>
    <mergeCell ref="Q9:Q10"/>
    <mergeCell ref="H16:H18"/>
    <mergeCell ref="G16:G18"/>
    <mergeCell ref="F16:F18"/>
    <mergeCell ref="E16:E18"/>
    <mergeCell ref="D16:D18"/>
    <mergeCell ref="L16:L18"/>
    <mergeCell ref="K16:K18"/>
    <mergeCell ref="J16:J18"/>
    <mergeCell ref="D19:D20"/>
    <mergeCell ref="C19:C20"/>
    <mergeCell ref="B19:B20"/>
    <mergeCell ref="A19:A20"/>
    <mergeCell ref="Q33:Q34"/>
    <mergeCell ref="P33:P34"/>
    <mergeCell ref="O33:O34"/>
    <mergeCell ref="N33:N34"/>
    <mergeCell ref="M33:M34"/>
    <mergeCell ref="L33:L34"/>
    <mergeCell ref="K33:K34"/>
    <mergeCell ref="J33:J34"/>
    <mergeCell ref="I33:I34"/>
    <mergeCell ref="H33:H34"/>
    <mergeCell ref="G33:G34"/>
    <mergeCell ref="F33:F34"/>
    <mergeCell ref="G19:G20"/>
    <mergeCell ref="F19:F20"/>
    <mergeCell ref="E19:E20"/>
    <mergeCell ref="Q37:Q38"/>
    <mergeCell ref="P37:P38"/>
    <mergeCell ref="O37:O38"/>
    <mergeCell ref="N37:N38"/>
    <mergeCell ref="E33:E34"/>
    <mergeCell ref="D33:D34"/>
    <mergeCell ref="C33:C34"/>
    <mergeCell ref="B33:B34"/>
    <mergeCell ref="A33:A34"/>
    <mergeCell ref="C37:C38"/>
    <mergeCell ref="B37:B38"/>
    <mergeCell ref="A37:A38"/>
    <mergeCell ref="H37:H38"/>
    <mergeCell ref="G37:G38"/>
    <mergeCell ref="F37:F38"/>
    <mergeCell ref="E37:E38"/>
    <mergeCell ref="D37:D38"/>
    <mergeCell ref="M37:M38"/>
    <mergeCell ref="L37:L38"/>
    <mergeCell ref="K37:K38"/>
    <mergeCell ref="J37:J38"/>
    <mergeCell ref="I37:I38"/>
  </mergeCells>
  <conditionalFormatting sqref="E9 I9:J9 E11:E12 I11:J12 E15:E16 I15:J16 E19 I19:J19 E21:E33 I21:J33 E35:E37 I35:J37 E39:E46 I39:J46">
    <cfRule type="cellIs" dxfId="17" priority="6" operator="equal">
      <formula>$AA$18</formula>
    </cfRule>
    <cfRule type="cellIs" dxfId="16" priority="7" operator="equal">
      <formula>$AA$15</formula>
    </cfRule>
    <cfRule type="cellIs" dxfId="15" priority="8" operator="equal">
      <formula>$AA$14</formula>
    </cfRule>
    <cfRule type="cellIs" dxfId="14" priority="9" operator="equal">
      <formula>$AA$11</formula>
    </cfRule>
    <cfRule type="cellIs" dxfId="13" priority="10" operator="equal">
      <formula>$AA$10</formula>
    </cfRule>
  </conditionalFormatting>
  <conditionalFormatting sqref="F9 K9 F11:F12 K11:K12 F15:F16 K15:K16 F19 K19 F21:F33 K21:K33 F35:F37 K35:K37 F39:F46 K39:K46">
    <cfRule type="cellIs" dxfId="12" priority="1" operator="equal">
      <formula>$AB$8</formula>
    </cfRule>
    <cfRule type="cellIs" dxfId="11" priority="2" operator="equal">
      <formula>$AC$8</formula>
    </cfRule>
    <cfRule type="cellIs" dxfId="10" priority="3" operator="equal">
      <formula>$AD$8</formula>
    </cfRule>
    <cfRule type="cellIs" dxfId="9" priority="4" operator="equal">
      <formula>$AE$8</formula>
    </cfRule>
    <cfRule type="cellIs" dxfId="8" priority="5" operator="equal">
      <formula>$AF$8</formula>
    </cfRule>
  </conditionalFormatting>
  <conditionalFormatting sqref="G9 L9 G11:G12 L11:L12 G15:G16 L15:L16 G19 L19 G21:G33 L21:L33 G35:G37 L35:L37 G39:G46 L39:L46">
    <cfRule type="cellIs" dxfId="7" priority="11" operator="equal">
      <formula>$AB$22</formula>
    </cfRule>
    <cfRule type="cellIs" dxfId="6" priority="12" operator="equal">
      <formula>$AB$23</formula>
    </cfRule>
    <cfRule type="cellIs" dxfId="5" priority="13" operator="equal">
      <formula>$AB$24</formula>
    </cfRule>
    <cfRule type="cellIs" dxfId="4" priority="14" operator="equal">
      <formula>$AB$25</formula>
    </cfRule>
  </conditionalFormatting>
  <dataValidations count="4">
    <dataValidation type="list" allowBlank="1" showInputMessage="1" showErrorMessage="1" sqref="JL10:JR22" xr:uid="{98522C97-9849-44FD-86D4-33C526399F15}">
      <formula1>#REF!</formula1>
    </dataValidation>
    <dataValidation allowBlank="1" showInputMessage="1" showErrorMessage="1" prompt="La probabilidad se encuentra determinada por una escala de 1 a 3, siendo 1 la menor probabilidad de ocurrencia del riesgo y 3 la mayor probabilidad de  ocurrencia." sqref="JK8:JK9" xr:uid="{1807A45F-0FAB-49FB-8DA7-80A14D01B445}"/>
    <dataValidation allowBlank="1" showInputMessage="1" showErrorMessage="1" prompt="Es la materialización del riesgo y las consecuencias de su aparición. Su escala es: 5 bajo impacto, 10 medio, 20 alto impacto._x000a_" sqref="JL8:JR9" xr:uid="{DF85FD9D-5541-4CC3-892B-E356F49D9B5D}"/>
    <dataValidation type="list" allowBlank="1" showInputMessage="1" showErrorMessage="1" sqref="O9 O11:O12 O15:O16 O19 O21:O33 O35:O37 O39:O46" xr:uid="{A074858F-F60B-4076-909E-54BC293BF6E1}">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2.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3.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SANDRA HOLGUIN</cp:lastModifiedBy>
  <cp:revision/>
  <dcterms:created xsi:type="dcterms:W3CDTF">2006-09-16T00:00:00Z</dcterms:created>
  <dcterms:modified xsi:type="dcterms:W3CDTF">2026-05-28T22:02:34Z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