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A9D6A725-44E9-4E45-968B-15D12F0A5C17}"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6"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Acción-proyectos'!$A$9:$BE$30</definedName>
    <definedName name="PA">'Plan de Acción-metas'!$A$9:$BE$27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57" i="6" l="1"/>
  <c r="AV57" i="6"/>
  <c r="BB56" i="6"/>
  <c r="AY56" i="6"/>
  <c r="AE56" i="6"/>
  <c r="AZ56" i="6" s="1"/>
  <c r="BB55" i="6"/>
  <c r="AY55" i="6"/>
  <c r="AU55" i="6"/>
  <c r="AX55" i="6" s="1"/>
  <c r="AE55" i="6"/>
  <c r="AZ55" i="6" s="1"/>
  <c r="BB54" i="6"/>
  <c r="AU54" i="6"/>
  <c r="AX54" i="6" s="1"/>
  <c r="AE54" i="6"/>
  <c r="AZ54" i="6" s="1"/>
  <c r="BB53" i="6"/>
  <c r="AY53" i="6"/>
  <c r="AU53" i="6"/>
  <c r="AX53" i="6" s="1"/>
  <c r="AE53" i="6"/>
  <c r="AZ53" i="6" s="1"/>
  <c r="BB52" i="6"/>
  <c r="AU52" i="6"/>
  <c r="AX52" i="6" s="1"/>
  <c r="AE52" i="6"/>
  <c r="AZ52" i="6" s="1"/>
  <c r="BB51" i="6"/>
  <c r="AY51" i="6"/>
  <c r="AU51" i="6"/>
  <c r="AX51" i="6" s="1"/>
  <c r="AE51" i="6"/>
  <c r="AZ51" i="6" s="1"/>
  <c r="BB50" i="6"/>
  <c r="AY50" i="6"/>
  <c r="AU50" i="6"/>
  <c r="AX50" i="6" s="1"/>
  <c r="AE50" i="6"/>
  <c r="AZ50" i="6" s="1"/>
  <c r="BB49" i="6"/>
  <c r="AY49" i="6"/>
  <c r="AU49" i="6"/>
  <c r="AX49" i="6" s="1"/>
  <c r="AE49" i="6"/>
  <c r="AZ49" i="6" s="1"/>
  <c r="BB48" i="6"/>
  <c r="AU48" i="6"/>
  <c r="AE48" i="6"/>
  <c r="BB47" i="6"/>
  <c r="AU47" i="6"/>
  <c r="AX47" i="6" s="1"/>
  <c r="AE47" i="6"/>
  <c r="AY47" i="6" s="1"/>
  <c r="BB46" i="6"/>
  <c r="AU46" i="6"/>
  <c r="AE46" i="6"/>
  <c r="AZ46" i="6" s="1"/>
  <c r="BB45" i="6"/>
  <c r="AU45" i="6"/>
  <c r="AX45" i="6" s="1"/>
  <c r="AE45" i="6"/>
  <c r="AY45" i="6" s="1"/>
  <c r="BB44" i="6"/>
  <c r="AU44" i="6"/>
  <c r="AE44" i="6"/>
  <c r="AZ44" i="6" s="1"/>
  <c r="BB43" i="6"/>
  <c r="AU43" i="6"/>
  <c r="AX43" i="6" s="1"/>
  <c r="AE43" i="6"/>
  <c r="AY43" i="6" s="1"/>
  <c r="BB42" i="6"/>
  <c r="AU42" i="6"/>
  <c r="AD42" i="6"/>
  <c r="AE42" i="6" s="1"/>
  <c r="BB41" i="6"/>
  <c r="AU41" i="6"/>
  <c r="AX41" i="6" s="1"/>
  <c r="AE41" i="6"/>
  <c r="AZ41" i="6" s="1"/>
  <c r="BB40" i="6"/>
  <c r="AT40" i="6"/>
  <c r="AU40" i="6" s="1"/>
  <c r="AE40" i="6"/>
  <c r="AZ40" i="6" s="1"/>
  <c r="AD40" i="6"/>
  <c r="BB39" i="6"/>
  <c r="AU39" i="6"/>
  <c r="AE39" i="6"/>
  <c r="BB38" i="6"/>
  <c r="AU38" i="6"/>
  <c r="AE38" i="6"/>
  <c r="AZ38" i="6" s="1"/>
  <c r="BB37" i="6"/>
  <c r="AU37" i="6"/>
  <c r="AE37" i="6"/>
  <c r="AX37" i="6" s="1"/>
  <c r="BB36" i="6"/>
  <c r="AU36" i="6"/>
  <c r="R36" i="6"/>
  <c r="AE36" i="6" s="1"/>
  <c r="AZ36" i="6" s="1"/>
  <c r="BB35" i="6"/>
  <c r="AU35" i="6"/>
  <c r="AD35" i="6"/>
  <c r="AE35" i="6" s="1"/>
  <c r="AY35" i="6" s="1"/>
  <c r="BB34" i="6"/>
  <c r="AU34" i="6"/>
  <c r="AE34" i="6"/>
  <c r="AX34" i="6" s="1"/>
  <c r="BB33" i="6"/>
  <c r="AU33" i="6"/>
  <c r="AX33" i="6" s="1"/>
  <c r="AE33" i="6"/>
  <c r="AZ33" i="6" s="1"/>
  <c r="BB32" i="6"/>
  <c r="AY32" i="6"/>
  <c r="AU32" i="6"/>
  <c r="AE32" i="6"/>
  <c r="BB31" i="6"/>
  <c r="AU31" i="6"/>
  <c r="AE31" i="6"/>
  <c r="AZ31" i="6" s="1"/>
  <c r="AD31" i="6"/>
  <c r="BB30" i="6"/>
  <c r="AU30" i="6"/>
  <c r="AE30" i="6"/>
  <c r="AY30" i="6" s="1"/>
  <c r="BB29" i="6"/>
  <c r="AY29" i="6"/>
  <c r="AU29" i="6"/>
  <c r="AX29" i="6" s="1"/>
  <c r="AE29" i="6"/>
  <c r="AZ29" i="6" s="1"/>
  <c r="BB28" i="6"/>
  <c r="AU28" i="6"/>
  <c r="AE28" i="6"/>
  <c r="AY28" i="6" s="1"/>
  <c r="BB27" i="6"/>
  <c r="AY27" i="6"/>
  <c r="AU27" i="6"/>
  <c r="AX27" i="6" s="1"/>
  <c r="AE27" i="6"/>
  <c r="AZ27" i="6" s="1"/>
  <c r="BB26" i="6"/>
  <c r="AZ26" i="6"/>
  <c r="AU26" i="6"/>
  <c r="AX26" i="6" s="1"/>
  <c r="AE26" i="6"/>
  <c r="AY26" i="6" s="1"/>
  <c r="N26" i="6"/>
  <c r="BB25" i="6"/>
  <c r="AU25" i="6"/>
  <c r="AE25" i="6"/>
  <c r="AX25" i="6" s="1"/>
  <c r="BB24" i="6"/>
  <c r="AU24" i="6"/>
  <c r="AX24" i="6" s="1"/>
  <c r="AE24" i="6"/>
  <c r="AZ24" i="6" s="1"/>
  <c r="BB23" i="6"/>
  <c r="AY23" i="6"/>
  <c r="AU23" i="6"/>
  <c r="AE23" i="6"/>
  <c r="N23" i="6"/>
  <c r="BB22" i="6"/>
  <c r="AY22" i="6"/>
  <c r="AU22" i="6"/>
  <c r="AX22" i="6" s="1"/>
  <c r="AE22" i="6"/>
  <c r="AZ22" i="6" s="1"/>
  <c r="BB21" i="6"/>
  <c r="AU21" i="6"/>
  <c r="AE21" i="6"/>
  <c r="AY21" i="6" s="1"/>
  <c r="BB20" i="6"/>
  <c r="AU20" i="6"/>
  <c r="AD20" i="6"/>
  <c r="P20" i="6"/>
  <c r="AE20" i="6" s="1"/>
  <c r="BB19" i="6"/>
  <c r="AY19" i="6"/>
  <c r="AU19" i="6"/>
  <c r="AX19" i="6" s="1"/>
  <c r="AE19" i="6"/>
  <c r="AZ19" i="6" s="1"/>
  <c r="BB18" i="6"/>
  <c r="AU18" i="6"/>
  <c r="AE18" i="6"/>
  <c r="AY18" i="6" s="1"/>
  <c r="BB17" i="6"/>
  <c r="AY17" i="6"/>
  <c r="AU17" i="6"/>
  <c r="AX17" i="6" s="1"/>
  <c r="AE17" i="6"/>
  <c r="AZ17" i="6" s="1"/>
  <c r="BB16" i="6"/>
  <c r="AU16" i="6"/>
  <c r="AE16" i="6"/>
  <c r="AY16" i="6" s="1"/>
  <c r="K16" i="6"/>
  <c r="J16" i="6"/>
  <c r="BB15" i="6"/>
  <c r="AU15" i="6"/>
  <c r="AX15" i="6" s="1"/>
  <c r="AE15" i="6"/>
  <c r="AY15" i="6" s="1"/>
  <c r="BB14" i="6"/>
  <c r="AX14" i="6"/>
  <c r="AU14" i="6"/>
  <c r="AE14" i="6"/>
  <c r="AZ14" i="6" s="1"/>
  <c r="BB13" i="6"/>
  <c r="AU13" i="6"/>
  <c r="AX13" i="6" s="1"/>
  <c r="AE13" i="6"/>
  <c r="AY13" i="6" s="1"/>
  <c r="BB12" i="6"/>
  <c r="AX12" i="6"/>
  <c r="AU12" i="6"/>
  <c r="AE12" i="6"/>
  <c r="AZ12" i="6" s="1"/>
  <c r="BB11" i="6"/>
  <c r="AU11" i="6"/>
  <c r="AX11" i="6" s="1"/>
  <c r="AE11" i="6"/>
  <c r="AY11" i="6" s="1"/>
  <c r="J11" i="6"/>
  <c r="AX28" i="6" l="1"/>
  <c r="AX30" i="6"/>
  <c r="AX31" i="6"/>
  <c r="AX39" i="6"/>
  <c r="AY44" i="6"/>
  <c r="AY46" i="6"/>
  <c r="AY12" i="6"/>
  <c r="AY14" i="6"/>
  <c r="AX16" i="6"/>
  <c r="AX18" i="6"/>
  <c r="AX21" i="6"/>
  <c r="AX23" i="6"/>
  <c r="AX32" i="6"/>
  <c r="AX38" i="6"/>
  <c r="AY39" i="6"/>
  <c r="AX40" i="6"/>
  <c r="AY25" i="6"/>
  <c r="AY34" i="6"/>
  <c r="AX35" i="6"/>
  <c r="AX36" i="6"/>
  <c r="AY37" i="6"/>
  <c r="AX44" i="6"/>
  <c r="AX46" i="6"/>
  <c r="AX56" i="6"/>
  <c r="AZ20" i="6"/>
  <c r="AY20" i="6"/>
  <c r="AX20" i="6"/>
  <c r="AY42" i="6"/>
  <c r="AX42" i="6"/>
  <c r="AZ42" i="6"/>
  <c r="AZ11" i="6"/>
  <c r="AZ15" i="6"/>
  <c r="AZ16" i="6"/>
  <c r="AZ21" i="6"/>
  <c r="AZ30" i="6"/>
  <c r="AY40" i="6"/>
  <c r="AZ45" i="6"/>
  <c r="AZ47" i="6"/>
  <c r="AZ23" i="6"/>
  <c r="AZ25" i="6"/>
  <c r="AZ34" i="6"/>
  <c r="AZ39" i="6"/>
  <c r="AU57" i="6"/>
  <c r="AY24" i="6"/>
  <c r="AY31" i="6"/>
  <c r="AY33" i="6"/>
  <c r="AY36" i="6"/>
  <c r="AY38" i="6"/>
  <c r="AY41" i="6"/>
  <c r="AY52" i="6"/>
  <c r="AY54" i="6"/>
  <c r="AZ13" i="6"/>
  <c r="AZ18" i="6"/>
  <c r="AZ28" i="6"/>
  <c r="AZ35" i="6"/>
  <c r="AZ43" i="6"/>
  <c r="AE57" i="6"/>
  <c r="AZ32" i="6"/>
  <c r="AZ37" i="6"/>
  <c r="N54" i="1" l="1"/>
  <c r="M54" i="1"/>
  <c r="L54"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P53" i="1" l="1"/>
  <c r="P54" i="1"/>
  <c r="AF53" i="1"/>
  <c r="AY53" i="1" s="1"/>
  <c r="AF54" i="1"/>
  <c r="AY54" i="1" s="1"/>
  <c r="AU53" i="1"/>
  <c r="BB53" i="1" s="1"/>
  <c r="AU54" i="1"/>
  <c r="BB54" i="1" s="1"/>
  <c r="P49" i="1"/>
  <c r="P50" i="1"/>
  <c r="P51" i="1"/>
  <c r="P52" i="1"/>
  <c r="AF49" i="1"/>
  <c r="AY49" i="1" s="1"/>
  <c r="AF50" i="1"/>
  <c r="AY50" i="1" s="1"/>
  <c r="AF51" i="1"/>
  <c r="AY51" i="1" s="1"/>
  <c r="AF52" i="1"/>
  <c r="AZ52" i="1" s="1"/>
  <c r="AU49" i="1"/>
  <c r="BB49" i="1" s="1"/>
  <c r="AU50" i="1"/>
  <c r="BB50" i="1" s="1"/>
  <c r="AU51" i="1"/>
  <c r="BB51" i="1" s="1"/>
  <c r="AU52" i="1"/>
  <c r="BB52" i="1" s="1"/>
  <c r="P30" i="1"/>
  <c r="P31" i="1"/>
  <c r="P32" i="1"/>
  <c r="P33" i="1"/>
  <c r="P34" i="1"/>
  <c r="P35" i="1"/>
  <c r="P36" i="1"/>
  <c r="P37" i="1"/>
  <c r="P38" i="1"/>
  <c r="P39" i="1"/>
  <c r="P40" i="1"/>
  <c r="P41" i="1"/>
  <c r="P42" i="1"/>
  <c r="P43" i="1"/>
  <c r="P44" i="1"/>
  <c r="P45" i="1"/>
  <c r="P47" i="1"/>
  <c r="P48" i="1"/>
  <c r="AF30" i="1"/>
  <c r="AY30" i="1" s="1"/>
  <c r="AF31" i="1"/>
  <c r="AZ31" i="1" s="1"/>
  <c r="AF32" i="1"/>
  <c r="AY32" i="1" s="1"/>
  <c r="AF33" i="1"/>
  <c r="AY33" i="1" s="1"/>
  <c r="AF34" i="1"/>
  <c r="AY34" i="1" s="1"/>
  <c r="AF35" i="1"/>
  <c r="AZ35" i="1" s="1"/>
  <c r="AF36" i="1"/>
  <c r="AZ36" i="1" s="1"/>
  <c r="AF37" i="1"/>
  <c r="AZ37" i="1" s="1"/>
  <c r="AF38" i="1"/>
  <c r="AY38" i="1" s="1"/>
  <c r="AF39" i="1"/>
  <c r="AZ39" i="1" s="1"/>
  <c r="AF40" i="1"/>
  <c r="AZ40" i="1" s="1"/>
  <c r="AF41" i="1"/>
  <c r="AZ41" i="1" s="1"/>
  <c r="AF42" i="1"/>
  <c r="AY42" i="1" s="1"/>
  <c r="AF43" i="1"/>
  <c r="AZ43" i="1" s="1"/>
  <c r="AF44" i="1"/>
  <c r="AY44" i="1" s="1"/>
  <c r="AF45" i="1"/>
  <c r="AY45" i="1" s="1"/>
  <c r="AF46" i="1"/>
  <c r="AY46" i="1" s="1"/>
  <c r="AF47" i="1"/>
  <c r="AY47" i="1" s="1"/>
  <c r="AF48" i="1"/>
  <c r="AY48" i="1" s="1"/>
  <c r="AU30" i="1"/>
  <c r="BB30" i="1" s="1"/>
  <c r="AU31" i="1"/>
  <c r="BB31" i="1" s="1"/>
  <c r="AU32" i="1"/>
  <c r="BB32" i="1" s="1"/>
  <c r="AU33" i="1"/>
  <c r="BB33" i="1" s="1"/>
  <c r="AU34" i="1"/>
  <c r="BB34" i="1" s="1"/>
  <c r="AU35" i="1"/>
  <c r="BB35" i="1" s="1"/>
  <c r="AU36" i="1"/>
  <c r="BB36" i="1" s="1"/>
  <c r="AU37" i="1"/>
  <c r="BB37" i="1" s="1"/>
  <c r="AU38" i="1"/>
  <c r="BB38" i="1" s="1"/>
  <c r="AU39" i="1"/>
  <c r="BB39" i="1" s="1"/>
  <c r="AU40" i="1"/>
  <c r="BB40" i="1" s="1"/>
  <c r="AU41" i="1"/>
  <c r="BB41" i="1" s="1"/>
  <c r="AU42" i="1"/>
  <c r="BB42" i="1" s="1"/>
  <c r="AU43" i="1"/>
  <c r="BB43" i="1" s="1"/>
  <c r="AU44" i="1"/>
  <c r="BB44" i="1" s="1"/>
  <c r="AU45" i="1"/>
  <c r="BB45" i="1" s="1"/>
  <c r="AU46" i="1"/>
  <c r="BB46" i="1" s="1"/>
  <c r="AU47" i="1"/>
  <c r="BB47" i="1" s="1"/>
  <c r="AU48" i="1"/>
  <c r="BB48" i="1" s="1"/>
  <c r="AX51" i="1" l="1"/>
  <c r="AY40" i="1"/>
  <c r="AX50" i="1"/>
  <c r="AX49" i="1"/>
  <c r="AX52" i="1"/>
  <c r="AY31" i="1"/>
  <c r="AZ48" i="1"/>
  <c r="AX48" i="1"/>
  <c r="AX40" i="1"/>
  <c r="AX36" i="1"/>
  <c r="AZ47" i="1"/>
  <c r="AY35" i="1"/>
  <c r="AZ51" i="1"/>
  <c r="AZ32" i="1"/>
  <c r="AY36" i="1"/>
  <c r="AX44" i="1"/>
  <c r="AX32" i="1"/>
  <c r="AZ44" i="1"/>
  <c r="AY43" i="1"/>
  <c r="AY37" i="1"/>
  <c r="AX33" i="1"/>
  <c r="AZ33" i="1"/>
  <c r="AY39" i="1"/>
  <c r="AX41" i="1"/>
  <c r="AX45" i="1"/>
  <c r="AX37" i="1"/>
  <c r="AY52" i="1"/>
  <c r="AZ45" i="1"/>
  <c r="AY41" i="1"/>
  <c r="AX47" i="1"/>
  <c r="AX43" i="1"/>
  <c r="AX39" i="1"/>
  <c r="AX35" i="1"/>
  <c r="AX31" i="1"/>
  <c r="AX54" i="1"/>
  <c r="AZ54" i="1"/>
  <c r="AX53" i="1"/>
  <c r="AZ53" i="1"/>
  <c r="AZ50" i="1"/>
  <c r="AZ49" i="1"/>
  <c r="AZ46" i="1"/>
  <c r="AZ42" i="1"/>
  <c r="AZ38" i="1"/>
  <c r="AZ34" i="1"/>
  <c r="AZ30" i="1"/>
  <c r="AX46" i="1"/>
  <c r="AX42" i="1"/>
  <c r="AX38" i="1"/>
  <c r="AX34" i="1"/>
  <c r="AX30" i="1"/>
  <c r="AU11" i="1" l="1"/>
  <c r="BB11" i="1" s="1"/>
  <c r="AU27" i="1"/>
  <c r="BB27" i="1" s="1"/>
  <c r="AF27" i="1"/>
  <c r="AF28" i="1"/>
  <c r="AF29" i="1"/>
  <c r="AU12" i="1" l="1"/>
  <c r="BB12" i="1" s="1"/>
  <c r="AU13" i="1"/>
  <c r="BB13" i="1" s="1"/>
  <c r="AU14" i="1"/>
  <c r="BB14" i="1" s="1"/>
  <c r="AU15" i="1"/>
  <c r="BB15" i="1" s="1"/>
  <c r="AU16" i="1"/>
  <c r="BB16" i="1" s="1"/>
  <c r="AU17" i="1"/>
  <c r="BB17" i="1" s="1"/>
  <c r="AU18" i="1"/>
  <c r="BB18" i="1" s="1"/>
  <c r="AU19" i="1"/>
  <c r="BB19" i="1" s="1"/>
  <c r="AU20" i="1"/>
  <c r="BB20" i="1" s="1"/>
  <c r="AU21" i="1"/>
  <c r="BB21" i="1" s="1"/>
  <c r="AU22" i="1"/>
  <c r="BB22" i="1" s="1"/>
  <c r="AU23" i="1"/>
  <c r="BB23" i="1" s="1"/>
  <c r="AU24" i="1"/>
  <c r="BB24" i="1" s="1"/>
  <c r="AU25" i="1"/>
  <c r="BB25" i="1" s="1"/>
  <c r="AU26" i="1"/>
  <c r="BB26" i="1" s="1"/>
  <c r="AU28" i="1"/>
  <c r="BB28" i="1" s="1"/>
  <c r="AU29" i="1"/>
  <c r="BB29" i="1" s="1"/>
  <c r="AF11" i="1"/>
  <c r="AF12" i="1"/>
  <c r="AY12" i="1" s="1"/>
  <c r="AF13" i="1"/>
  <c r="AF14" i="1"/>
  <c r="AY14" i="1" s="1"/>
  <c r="AF15" i="1"/>
  <c r="AF16" i="1"/>
  <c r="AY16" i="1" s="1"/>
  <c r="AF17" i="1"/>
  <c r="AF18" i="1"/>
  <c r="AY18" i="1" s="1"/>
  <c r="AF19" i="1"/>
  <c r="AF20" i="1"/>
  <c r="AY20" i="1" s="1"/>
  <c r="AF21" i="1"/>
  <c r="AF22" i="1"/>
  <c r="AY22" i="1" s="1"/>
  <c r="AF23" i="1"/>
  <c r="AF24" i="1"/>
  <c r="AY24" i="1" s="1"/>
  <c r="AF25" i="1"/>
  <c r="AF26" i="1"/>
  <c r="AY26" i="1" s="1"/>
  <c r="AY28" i="1"/>
  <c r="P11" i="1"/>
  <c r="P12" i="1"/>
  <c r="P13" i="1"/>
  <c r="P14" i="1"/>
  <c r="P15" i="1"/>
  <c r="P16" i="1"/>
  <c r="P17" i="1"/>
  <c r="P18" i="1"/>
  <c r="P19" i="1"/>
  <c r="P20" i="1"/>
  <c r="P21" i="1"/>
  <c r="P22" i="1"/>
  <c r="P23" i="1"/>
  <c r="P24" i="1"/>
  <c r="P25" i="1"/>
  <c r="P26" i="1"/>
  <c r="P27" i="1"/>
  <c r="P28" i="1"/>
  <c r="P29" i="1"/>
  <c r="AX27" i="1" l="1"/>
  <c r="AX19" i="1"/>
  <c r="AX11" i="1"/>
  <c r="AX23" i="1"/>
  <c r="AX15" i="1"/>
  <c r="AX29" i="1"/>
  <c r="AX25" i="1"/>
  <c r="AX21" i="1"/>
  <c r="AX17" i="1"/>
  <c r="AX13" i="1"/>
  <c r="AZ26" i="1"/>
  <c r="AZ22" i="1"/>
  <c r="AZ18" i="1"/>
  <c r="AZ14" i="1"/>
  <c r="AX26" i="1"/>
  <c r="AX22" i="1"/>
  <c r="AZ29" i="1"/>
  <c r="AZ25" i="1"/>
  <c r="AZ21" i="1"/>
  <c r="AZ17" i="1"/>
  <c r="AZ13" i="1"/>
  <c r="AZ28" i="1"/>
  <c r="AZ24" i="1"/>
  <c r="AZ20" i="1"/>
  <c r="AZ16" i="1"/>
  <c r="AZ12" i="1"/>
  <c r="AX28" i="1"/>
  <c r="AX24" i="1"/>
  <c r="AZ27" i="1"/>
  <c r="AZ23" i="1"/>
  <c r="AZ19" i="1"/>
  <c r="AZ15" i="1"/>
  <c r="AZ11" i="1"/>
  <c r="AX18" i="1"/>
  <c r="AX14" i="1"/>
  <c r="AY29" i="1"/>
  <c r="AY25" i="1"/>
  <c r="AY21" i="1"/>
  <c r="AY17" i="1"/>
  <c r="AY13" i="1"/>
  <c r="AX20" i="1"/>
  <c r="AX16" i="1"/>
  <c r="AX12" i="1"/>
  <c r="AY27" i="1"/>
  <c r="AY23" i="1"/>
  <c r="AY19" i="1"/>
  <c r="AY15" i="1"/>
  <c r="A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s>
  <commentList>
    <comment ref="J10" authorId="0" shapeId="0" xr:uid="{3F23C4F6-2279-401B-B8DB-934D316ED6D3}">
      <text>
        <r>
          <rPr>
            <b/>
            <sz val="9"/>
            <color indexed="81"/>
            <rFont val="Tahoma"/>
            <family val="2"/>
          </rPr>
          <t>MONICA:</t>
        </r>
        <r>
          <rPr>
            <sz val="9"/>
            <color indexed="81"/>
            <rFont val="Tahoma"/>
            <family val="2"/>
          </rPr>
          <t xml:space="preserve">
Valor total del proyecto</t>
        </r>
      </text>
    </comment>
    <comment ref="K10" authorId="0" shapeId="0" xr:uid="{2398FACC-09EC-4553-941A-CAFDC1498D37}">
      <text>
        <r>
          <rPr>
            <b/>
            <sz val="9"/>
            <color indexed="81"/>
            <rFont val="Tahoma"/>
            <family val="2"/>
          </rPr>
          <t>MONICA:</t>
        </r>
        <r>
          <rPr>
            <sz val="9"/>
            <color indexed="81"/>
            <rFont val="Tahoma"/>
            <family val="2"/>
          </rPr>
          <t xml:space="preserve">
Valor vigencia 2024 del proyecto</t>
        </r>
      </text>
    </comment>
    <comment ref="L10" authorId="0" shapeId="0" xr:uid="{96DAC225-4084-4691-81B6-D7F4BE498B33}">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8CC11CC8-7EAC-459F-AA42-103AC65A8779}">
      <text>
        <r>
          <rPr>
            <b/>
            <sz val="9"/>
            <color indexed="81"/>
            <rFont val="Tahoma"/>
            <family val="2"/>
          </rPr>
          <t>MONICA:</t>
        </r>
        <r>
          <rPr>
            <sz val="9"/>
            <color indexed="81"/>
            <rFont val="Tahoma"/>
            <family val="2"/>
          </rPr>
          <t xml:space="preserve">
Enfoque diferencial que apunte directamente el producto.</t>
        </r>
      </text>
    </comment>
    <comment ref="N10" authorId="0" shapeId="0" xr:uid="{0C9E2347-E30E-4F43-96D8-7D8C27CD1C5E}">
      <text>
        <r>
          <rPr>
            <b/>
            <sz val="9"/>
            <color indexed="81"/>
            <rFont val="Tahoma"/>
            <family val="2"/>
          </rPr>
          <t>MONICA:</t>
        </r>
        <r>
          <rPr>
            <sz val="9"/>
            <color indexed="81"/>
            <rFont val="Tahoma"/>
            <family val="2"/>
          </rPr>
          <t xml:space="preserve">
Cuantitativa</t>
        </r>
      </text>
    </comment>
    <comment ref="O10" authorId="0" shapeId="0" xr:uid="{4EB8D1AE-5C4A-4C50-A2BC-45E5EF115C94}">
      <text>
        <r>
          <rPr>
            <b/>
            <sz val="9"/>
            <color indexed="81"/>
            <rFont val="Tahoma"/>
            <family val="2"/>
          </rPr>
          <t>MONICA:</t>
        </r>
        <r>
          <rPr>
            <sz val="9"/>
            <color indexed="81"/>
            <rFont val="Tahoma"/>
            <family val="2"/>
          </rPr>
          <t xml:space="preserve">
De forma general</t>
        </r>
      </text>
    </comment>
    <comment ref="G45" authorId="0" shapeId="0" xr:uid="{8CD328F8-2215-4355-9135-B28F029ABD26}">
      <text>
        <r>
          <rPr>
            <b/>
            <sz val="9"/>
            <color indexed="81"/>
            <rFont val="Tahoma"/>
            <family val="2"/>
          </rPr>
          <t>MONICA:</t>
        </r>
        <r>
          <rPr>
            <sz val="9"/>
            <color indexed="81"/>
            <rFont val="Tahoma"/>
            <family val="2"/>
          </rPr>
          <t xml:space="preserve">
Revisar forma de medición.</t>
        </r>
      </text>
    </comment>
  </commentList>
</comments>
</file>

<file path=xl/sharedStrings.xml><?xml version="1.0" encoding="utf-8"?>
<sst xmlns="http://schemas.openxmlformats.org/spreadsheetml/2006/main" count="1164" uniqueCount="357">
  <si>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</si>
  <si>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</si>
  <si>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</si>
  <si>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</si>
  <si>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</si>
  <si>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</si>
  <si>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</si>
  <si>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</si>
  <si>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</si>
  <si>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</si>
  <si>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</si>
  <si>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</si>
  <si>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</si>
  <si>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</si>
  <si>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</si>
  <si>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</si>
  <si>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</si>
  <si>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</si>
  <si>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</si>
  <si>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</si>
  <si>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</si>
  <si>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</si>
  <si>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</si>
  <si>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</si>
  <si>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</si>
  <si>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</si>
  <si>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</si>
  <si>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</si>
  <si>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</si>
  <si>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t>LÍnea Base</t>
  </si>
  <si>
    <t>PLAN DE ACCION</t>
  </si>
  <si>
    <t>Código:  F-DPM-10100-238,37-060</t>
  </si>
  <si>
    <t>Código BPIN</t>
  </si>
  <si>
    <t>Total Recursos Obligados</t>
  </si>
  <si>
    <t>Total Recursos Pagados</t>
  </si>
  <si>
    <t>Logro Vigencia</t>
  </si>
  <si>
    <t>Ejecución Recursos Pagados</t>
  </si>
  <si>
    <t>Ejecución Recursos Obligados</t>
  </si>
  <si>
    <t>Nivel de Gestión</t>
  </si>
  <si>
    <t>Ejecución Recursos Comprometidos</t>
  </si>
  <si>
    <t>EJECUCIÓN PRESUPUESTAL</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</si>
  <si>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</si>
  <si>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</si>
  <si>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</si>
  <si>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</si>
  <si>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</si>
  <si>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</si>
  <si>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</si>
  <si>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</si>
  <si>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</si>
  <si>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</si>
  <si>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</si>
  <si>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</si>
  <si>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</si>
  <si>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</si>
  <si>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Porcentaje Avance VigenciaR</t>
  </si>
  <si>
    <t>Recursos del Balance</t>
  </si>
  <si>
    <t>Territorio seguro y sostenible</t>
  </si>
  <si>
    <t>Gobierno territorial</t>
  </si>
  <si>
    <t>Ambiente y desarrollo sostenible.</t>
  </si>
  <si>
    <t>4501</t>
  </si>
  <si>
    <t>Fortalecimiento de la convivencia y la seguridad ciudadana (4501).</t>
  </si>
  <si>
    <t>4501060</t>
  </si>
  <si>
    <t>Adecuar una (1) Infraestructura para el bienestar animal</t>
  </si>
  <si>
    <t>Infraestructura para el bienestar animal adecuada (450106000).</t>
  </si>
  <si>
    <t>Número</t>
  </si>
  <si>
    <t>4501061</t>
  </si>
  <si>
    <t>Atender 50,000 animales domésticos (40.000 esterilizaciones, 10.000 atenciones integrales)</t>
  </si>
  <si>
    <t>Animales atendidos (450106100)</t>
  </si>
  <si>
    <t>4501063</t>
  </si>
  <si>
    <t>Apoyar financieramiente 24 prestadores de servicio de atención integral</t>
  </si>
  <si>
    <t>Prestadores del servicio de atención integral de animales apoyados (450106300)</t>
  </si>
  <si>
    <t>3201</t>
  </si>
  <si>
    <t>Fortalecimiento del desempeño ambiental de los sectores productivos (3201).</t>
  </si>
  <si>
    <t>3201003</t>
  </si>
  <si>
    <t>Brindar el servicio de asistencia técnica para la consolidación de 40 negocios verdes</t>
  </si>
  <si>
    <t>Negocios verdes consolidados (320100300)</t>
  </si>
  <si>
    <t>3201002</t>
  </si>
  <si>
    <t>Realizar 1 documento de lineamientos técnicos para el fortalecimiento del desempeño ambiental de la minería de subsistencia en el municipio.</t>
  </si>
  <si>
    <t>Documentos de lineamientos técnicos realizados (320100200).</t>
  </si>
  <si>
    <t>3202</t>
  </si>
  <si>
    <t>Conservación de la biodiversidad y sus servicios ecosistémicos (3202)</t>
  </si>
  <si>
    <t>3202043</t>
  </si>
  <si>
    <t xml:space="preserve">Implementar servicio de apoyo financiero para el pago por Servicios ambientales de 986,23 Has </t>
  </si>
  <si>
    <t>Áreas con esquemas de Pago por Servicios Ambientales implementados (320204300).</t>
  </si>
  <si>
    <t>986,23 Has</t>
  </si>
  <si>
    <t>Hectáreas</t>
  </si>
  <si>
    <t>3202049</t>
  </si>
  <si>
    <t>Mantener la cobertura vegetal 20 Has en proceso de recuperación</t>
  </si>
  <si>
    <t>Áreas en proceso de recuperación de cobertura vegetal (320204900).</t>
  </si>
  <si>
    <t>3202045</t>
  </si>
  <si>
    <t>Realizar la identificación de 10 Has nuevas como suelo de protección-corredores ambientales.</t>
  </si>
  <si>
    <t>Nuevas áreas identificadas como suelo de protección (320204500)</t>
  </si>
  <si>
    <t>3203</t>
  </si>
  <si>
    <t>Gestión integral del recurso hídrico (3203)</t>
  </si>
  <si>
    <t>3203034</t>
  </si>
  <si>
    <t>Brindar servicio de asistencia técnica para la formulación de 4 proyectos para el mejoramiento de la calidad del recurso hídrico, incluyendo las fuentes que abastecen el acueducto.</t>
  </si>
  <si>
    <t>Proyectos para el mejoramiento de la calidad del recurso hídrico formulados. (320303400).</t>
  </si>
  <si>
    <t>3203050</t>
  </si>
  <si>
    <t>Adquirir 800 Has de importancia ambiental para destinarlos a la  protección del recurso hídrico.</t>
  </si>
  <si>
    <t>Hectáreas de áreas protegidas (320305000)</t>
  </si>
  <si>
    <t>3203033</t>
  </si>
  <si>
    <t>Brindar servicio de asistencia técnica para la formulación de 4 proyectos de  promoción del uso eficiente y ahorro del agua.</t>
  </si>
  <si>
    <t>Proyectos para la promoción del uso eficiente y ahorro del agua formulados (320303300).</t>
  </si>
  <si>
    <t>3206</t>
  </si>
  <si>
    <t>Gestión del cambio climático para un desarrollo bajo en carbono y resiliente al clima (3206).</t>
  </si>
  <si>
    <t>3206003</t>
  </si>
  <si>
    <t>Brindar el servicio de apoyo técnico para la implementación de 4 pilotos con acciones de mitigación y adaptación al cambio climático.</t>
  </si>
  <si>
    <t>Pilotos con acciones de mitigación y adaptación al cambio climático desarrollados 
(320600300)</t>
  </si>
  <si>
    <t>3208</t>
  </si>
  <si>
    <t>Educación ambiental (3208).</t>
  </si>
  <si>
    <t>3208006</t>
  </si>
  <si>
    <t>Brindar el servicio de asistencia técnica para la implementación de 3 Estrategias educativo ambientales y de participación.</t>
  </si>
  <si>
    <t>Estrategias educativo ambientales y de participación implementadas (320800600).</t>
  </si>
  <si>
    <t>Vivienda Ciudad y Territorio</t>
  </si>
  <si>
    <t>4003</t>
  </si>
  <si>
    <t>Acceso de la población a los servicios de agua potable y saneamiento básico.
(4003)</t>
  </si>
  <si>
    <t>4003022</t>
  </si>
  <si>
    <t xml:space="preserve">Implementar 1 plan de gestion integral de residuos sólidos </t>
  </si>
  <si>
    <t>Plan de Gestión Integral de Residuos Sólidos implementado (400302200)</t>
  </si>
  <si>
    <t>4003021</t>
  </si>
  <si>
    <t>Asistir técnicamente a 10,000 personas en el manejo de residuos sólidos</t>
  </si>
  <si>
    <t>Personas asistidas técnicamente
 (400302100)</t>
  </si>
  <si>
    <t>ND</t>
  </si>
  <si>
    <t>4003012</t>
  </si>
  <si>
    <t>Construir 1 solución de disposición final de residuos sólidos para el municipio, que incluya tecnologías aplicadas (incluso a la educación ambiental) código</t>
  </si>
  <si>
    <t>Soluciones de disposición final de residuos sólidos construidas (400301200)</t>
  </si>
  <si>
    <t>4003031</t>
  </si>
  <si>
    <t>Construir 1 estación de clasificación y aprovechamiento de residuos sólidos construida</t>
  </si>
  <si>
    <t>Estación de clasificación y aprovechamiento de residuos sólidos construida (400303100).</t>
  </si>
  <si>
    <t>4003040</t>
  </si>
  <si>
    <t>Apoyar financieramiente 1 proyecto para el cierre financiero del sistema de tratamiento de aguas residuales en el municipio de Bucaramanga</t>
  </si>
  <si>
    <t>Proyectos apoyados financieramente (400304000)</t>
  </si>
  <si>
    <t>Territorio seguro que integra</t>
  </si>
  <si>
    <t>Salud y protección social</t>
  </si>
  <si>
    <t>1903</t>
  </si>
  <si>
    <t>Inspección, vigilancia y control (1903)</t>
  </si>
  <si>
    <t>1903016</t>
  </si>
  <si>
    <t>Realizar 2.000 auditorías y visitas inspectivas</t>
  </si>
  <si>
    <t>Auditorías y visitas inspectivas realizadas 
 (190301600)</t>
  </si>
  <si>
    <t>1903031</t>
  </si>
  <si>
    <t>Generar 48 informes de eventos de servicio de información de vigilancia epidemiológica</t>
  </si>
  <si>
    <t>Informes de evento generados en la vigencia
 (190303100)</t>
  </si>
  <si>
    <t>1903042</t>
  </si>
  <si>
    <t>Realizar 20.000 servicios de vigilancia y control sanitario de los factores de riesgo para la salud, en los establecimientos y espacios que pueden generar riesgos para la población.</t>
  </si>
  <si>
    <t>Municipios especiales 1,2 y 3 con vigilancia y control sanitario real y efectivo en su jurisdicción, sobre los factores de riesgo para la salud, en los establecimientos y espacios que pueden generar riesgos para la población  realizados
 (190304200)</t>
  </si>
  <si>
    <t>1905</t>
  </si>
  <si>
    <t>Salud pública (1905)</t>
  </si>
  <si>
    <t>1905027</t>
  </si>
  <si>
    <t>Implementar 20 campañas de gestión del riesgo para enfermedades inmunoprevenibles</t>
  </si>
  <si>
    <t>Campañas de gestión del riesgo para enfermedades inmunoprevenibles implementadas - jornadas de vacunación (190502700)</t>
  </si>
  <si>
    <t>1905013</t>
  </si>
  <si>
    <t>Mantener 1 cuarto frío</t>
  </si>
  <si>
    <t>Cuartos fríos con mantenimiento -(190501300)</t>
  </si>
  <si>
    <t>1905054</t>
  </si>
  <si>
    <t>Implementar 10 estrategias de promoción de salud, incluyendo salud menstrual a adolescentes y mujeres de sectores poblacionales vulnerables priorizados</t>
  </si>
  <si>
    <t>Estrategias de promoción de la salud implementadas (190505400)</t>
  </si>
  <si>
    <t>1905026</t>
  </si>
  <si>
    <t xml:space="preserve">Implementar 4 campañas de gestión del riesgo para enfermedades emergentes, reemergentes y desatendidas en tuberculosis, lepra o enfermedad de Hansen </t>
  </si>
  <si>
    <t>Campañas de gestión del riesgo para enfermedades emergentes, reemergentes y desatendidas implementadas (190502600)</t>
  </si>
  <si>
    <t>1905040</t>
  </si>
  <si>
    <t xml:space="preserve">Certificar a 8000 personas con discapacidad </t>
  </si>
  <si>
    <t>Personas con servicio de certificación de discapacidad (190504000)</t>
  </si>
  <si>
    <t>1905023</t>
  </si>
  <si>
    <t xml:space="preserve">Implementar 4 campañas de gestión del riesgo para abordar condiciones crónicas prevalentes </t>
  </si>
  <si>
    <t>Campañas de gestión del riesgo para abordar condiciones crónicas prevalentes
 (190502300)</t>
  </si>
  <si>
    <t>1905049</t>
  </si>
  <si>
    <t>Implementar cuatro (4) estrategias de promoción de la participación social en salud, incluyendo salud sexual y reproductiva</t>
  </si>
  <si>
    <t>Estrategias de promoción de la participación social en salud implementadas (190504900)</t>
  </si>
  <si>
    <t>1905043</t>
  </si>
  <si>
    <t>Implementar 4 campañas de gestión del riesgo para abordar situaciones situaciones endemo-epidémicas</t>
  </si>
  <si>
    <t xml:space="preserve">Campañas de gestión del riesgo para abordar situaciones situaciones endemo-epidémicas implementadas - DENGUE,  (190504300) </t>
  </si>
  <si>
    <t>1905024</t>
  </si>
  <si>
    <t xml:space="preserve">Implementar 4 campañas de gestión del riesgo para abordar situaciones de salud relacionadas con condiciones ambientales </t>
  </si>
  <si>
    <t>Campañas de gestión del riesgo para abordar situaciones de salud relacionadas con condiciones ambientales implementadas (190502400)</t>
  </si>
  <si>
    <t>1905022</t>
  </si>
  <si>
    <t>Implementar 4 campañas de gestión del riesgo en temas de trastornos mentales</t>
  </si>
  <si>
    <t>Campañas de gestión del riesgo en temas de trastornos mentales implementadas -(190502200)</t>
  </si>
  <si>
    <t>1905015</t>
  </si>
  <si>
    <t>Elaborar un (1) documentos de planeación (Plan Territorial de Salud)</t>
  </si>
  <si>
    <t>Documento de planeación elaborados
 (190501500)</t>
  </si>
  <si>
    <t>1905042</t>
  </si>
  <si>
    <t>Atender a 20.000 personas en centros reguladores de urgencias, emergencias y desastres</t>
  </si>
  <si>
    <t>Personas atendidas en centros reguladores de urgencias, emergencias y desastres
 (190504200)</t>
  </si>
  <si>
    <t>1906</t>
  </si>
  <si>
    <t>Aseguramiento y prestación integral de servicios de salud (1906)</t>
  </si>
  <si>
    <t>1906044</t>
  </si>
  <si>
    <t>Afiliar a 281.600 personas al régimen subsidiado del Sistema General de Seguridad Social</t>
  </si>
  <si>
    <t>Personas afiliadas al régimen subsidiado (190604400)</t>
  </si>
  <si>
    <t>1906001</t>
  </si>
  <si>
    <t xml:space="preserve">Adecuar un (1) hospital de primer nivel de atención </t>
  </si>
  <si>
    <t>Hospitales de primer nivel de atención adecuados
 (190600100)</t>
  </si>
  <si>
    <t>1906030</t>
  </si>
  <si>
    <t xml:space="preserve">Construir y dotar un (1) hospital de primer nivel de atención </t>
  </si>
  <si>
    <t>Hospitales de primer nivel de atención construidos y dotados
 (190603000)</t>
  </si>
  <si>
    <t>1906034</t>
  </si>
  <si>
    <t xml:space="preserve">Realizar 3 estudios de preinversión </t>
  </si>
  <si>
    <t>Estudios de pre inversión realizados
 (190603400)</t>
  </si>
  <si>
    <t>1906005</t>
  </si>
  <si>
    <t>Dotar 1 Hospital de primer nivel de atención</t>
  </si>
  <si>
    <t>Hospitales de primer nivel de atención dotados
 (190600500)</t>
  </si>
  <si>
    <t>1903041</t>
  </si>
  <si>
    <t>Realizar vigilancia sanitaria e Inspección Vigilancia y Control de la gestión del Sistema general de Seguridad Social en Salud en su jurisdicción</t>
  </si>
  <si>
    <t>Distritos que realizan la vigilancia sanitaria e Inspección Vigilancia y Control  de la gestión del Sistema general de Seguridad Social en Salud  en su jurisdicción real y efectivamente  realizados (190304100)</t>
  </si>
  <si>
    <t>1905041</t>
  </si>
  <si>
    <t>Atender a 1,000 personas víctimas del conflicto armado con atención psicosocial en los ámbitos individual, familiar y comunitario, como consecuencia de las graves violaciones a los Derechos Humanos y las infracciones al Derecho Internacional Humanitario</t>
  </si>
  <si>
    <t>Personas víctimas del conflicto armado atendidas con atención psicosocial (190504100)</t>
  </si>
  <si>
    <t>Implementar 4 campañas de gestión del riesgo para el abordaje de enfermedades crónicas no transmisibles que incluya entre otras diabetes (pie diabético) y sarcopenia.</t>
  </si>
  <si>
    <t>Campañas de gestión del riesgo para abordar condiciones crónicas prevalentes implementadas (190502300)</t>
  </si>
  <si>
    <t>número</t>
  </si>
  <si>
    <t>1906033</t>
  </si>
  <si>
    <t>Adquirir y dotar dos (2) unidades móviles para la atención médica</t>
  </si>
  <si>
    <t>Unidades móviles para la atención médica adquiridas y dotadas (190603300)</t>
  </si>
  <si>
    <t>Formular e Implementar una estrategia de incidencia social, comunicacional, interinstitucional, jurídica y técnica para la defensa y protección de la alta montaña de Santurbán ante la amenaza del cambio climático y los impactos de actividades antrópicas, como los proyectos de minería a gran escala</t>
  </si>
  <si>
    <t>Hectáreas de áreas de ecosistemas estratégicos 
(320305000)</t>
  </si>
  <si>
    <t>3202005</t>
  </si>
  <si>
    <t>Formular e implementar un plan de restauración y conservación de los ecosistemas de bambú y guadua de los cerros orientales de Bucaramanga</t>
  </si>
  <si>
    <t>Áreas en proceso de restauración (320200500)</t>
  </si>
  <si>
    <t>Fortalecimiento para la atención integral a la fauna en el municipio de bucaramanga</t>
  </si>
  <si>
    <t>17 comunas y 3 corregimientos</t>
  </si>
  <si>
    <t>Total de la Población</t>
  </si>
  <si>
    <t>Fortalecimiento del desempeño ambiental de los sectores productivos</t>
  </si>
  <si>
    <t>Desarrollo de estrategias para la conservación de la biodiversidad y sus servicios ecosistémicos en el municipio de bucaramanga</t>
  </si>
  <si>
    <t>Fortalecimiento de las estrategias para la gestión integral del recurso hídrico en el municipio de bucaramanga</t>
  </si>
  <si>
    <t>Desarrollo de estrategias para la gestión del cambio climático y resiliencia comunitaria en el municipio de bucaramanga</t>
  </si>
  <si>
    <t>Implementación de estrategias de educación ambiental y participación comunitaria en el municipio de bucaramanga</t>
  </si>
  <si>
    <t>Fortalecimiento de estrategias para la gestión integral de residuos sólidos en el municipio de bucaramanga</t>
  </si>
  <si>
    <t>Aportes financieros para garantizar la operación continua y el mantenimiento periódico de la planta de tratamiento de lixiviados -ptlx dentro del marco del convenio interadministrativo 517 de 2014 entre la emab y el municipio de bucaramanga</t>
  </si>
  <si>
    <t>Mejoramiento de la calidad de los servicios de salud, mediante el fortalecimiento de la inspección, vigilancia y control en las entidades prestadoras de salud en el municipio de Bucaramanga</t>
  </si>
  <si>
    <t>Fortalecimiento del sistema de vigilancia epidemiológica en el municipio de Bucaramanga</t>
  </si>
  <si>
    <t>Fortalecimiento de las intervenciones de saneamiento dirigidas a mejorar las relaciones entre ambiente y salud en el municipio de bucaramanga</t>
  </si>
  <si>
    <t>Fortalecimiento del plan ampliado de inmunizaciones (PAI) en el municipio de Bucaramanga</t>
  </si>
  <si>
    <t>Fortalecimiento de las acciones de promoción de la salud y prevención de la enfermedad a la población por condición y/o situación de vulnerabilidad residente en la ciudad de Bucaramanga</t>
  </si>
  <si>
    <t>Fortalecimiento de las acciones de promoción, prevención y control de enfermedades transmisibles en el municipio de bucaramanga.</t>
  </si>
  <si>
    <t>Fortalecimiento de las acciones de promoción de la salud y prevención de la enfermedad a la población por condición y/o situación de vulnerabilidad residente en la ciudad de bucaramanga</t>
  </si>
  <si>
    <t>Población con discapacidad</t>
  </si>
  <si>
    <t>Implementación de medidas efectivas de prevención, detección temprana y manejo integral de las enfermedades crónicas no transmisibles de los habitantes del municipio de bucaramanga.</t>
  </si>
  <si>
    <t>Fortalecimiento de la autoridad sanitaria y la participación para la gestión de la salud pública  en el municipio de Bucaramanga</t>
  </si>
  <si>
    <t xml:space="preserve">Fortalecimiento de las acciones de promoción y prevención de salud relacionadas con condiciones ambientales en el municipio de bucramanga. </t>
  </si>
  <si>
    <t>Implementación de acciones para la promoción salud mental y la convivencia social en los habitantes de la ciudad de bucaramanga.</t>
  </si>
  <si>
    <t>Implementación del plan de intervenciones colectivas (pic), a través de la estrategia atención primaria en salud en el municipio de bucaramanga</t>
  </si>
  <si>
    <t>Mejoramiento en la gestión de emergencias médicas y desastres sanitarios en el municipio de Bucaramanga.</t>
  </si>
  <si>
    <t>Ampliación de la cobertura de la seguridad social en salud de para residentes en situación de pobreza y  sin capacidad de pago del municipio de Bucaramanga</t>
  </si>
  <si>
    <t>Población pobre sin capacidad de pago</t>
  </si>
  <si>
    <t>ADECUACIÓN Y DOTACIÓN DE UN CENTRO DE SALUD EN EL MUNICIPIO DE BUCARAMANGA</t>
  </si>
  <si>
    <t>No se ha iniciado la ejecución de actividades.</t>
  </si>
  <si>
    <t xml:space="preserve">Elaboración estudios y diseños para el mejoramiento y adecuaciones locativas de la infraestrutura de la red de centros de salud y unidades hospitalarias de la e.s.e. instituto de salud de bucaramanga" </t>
  </si>
  <si>
    <t>DOTACIÓN DE EQUIPOS BIOMEDICOS PARA LA ESE ISABU DEL MUNICIPIO DE BUCARAMANGA</t>
  </si>
  <si>
    <t>Población victima del conflicto armado</t>
  </si>
  <si>
    <t>ADQUISICIÓN DE UNIDADES MÓVILES PARA INCREMENTAR LA CAPACIDAD EN LA ATENCIÓN BÁSICA  DE LOS SERVICIOS DE SALUD QUE BRINDA LA ESE ISABU</t>
  </si>
  <si>
    <t>Secretaría de Salud y Ambiente</t>
  </si>
  <si>
    <t>Claudia Mercedes Amaya Ayala</t>
  </si>
  <si>
    <t>11
15</t>
  </si>
  <si>
    <t>11
13</t>
  </si>
  <si>
    <t>13
15</t>
  </si>
  <si>
    <t>6
13
15</t>
  </si>
  <si>
    <t>6
11
13</t>
  </si>
  <si>
    <t>6
11
12</t>
  </si>
  <si>
    <t>6
13</t>
  </si>
  <si>
    <t>6
13
17</t>
  </si>
  <si>
    <t>Versión:3.0</t>
  </si>
  <si>
    <t>Fecha aprobación: Abril 10 de 2025</t>
  </si>
  <si>
    <t>Página: 1 de 2</t>
  </si>
  <si>
    <t>Página: 2 de 2</t>
  </si>
  <si>
    <r>
      <t>Unidad de Medida</t>
    </r>
    <r>
      <rPr>
        <b/>
        <sz val="12"/>
        <color rgb="FF002060"/>
        <rFont val="Arial Narrow"/>
        <family val="2"/>
      </rPr>
      <t>2</t>
    </r>
  </si>
  <si>
    <r>
      <t>Meta Programada Cuatrienio</t>
    </r>
    <r>
      <rPr>
        <b/>
        <sz val="12"/>
        <color rgb="FF002060"/>
        <rFont val="Arial Narrow"/>
        <family val="2"/>
      </rPr>
      <t>3</t>
    </r>
  </si>
  <si>
    <t>Población en condición y/o situación de vulnerabilidad</t>
  </si>
  <si>
    <t>Total 2025</t>
  </si>
  <si>
    <r>
      <t>SGP Salud</t>
    </r>
    <r>
      <rPr>
        <b/>
        <sz val="12"/>
        <color rgb="FF002060"/>
        <rFont val="Arial Narrow"/>
        <family val="2"/>
      </rPr>
      <t>4</t>
    </r>
  </si>
  <si>
    <r>
      <t>SGP Deporte</t>
    </r>
    <r>
      <rPr>
        <b/>
        <sz val="12"/>
        <color rgb="FF002060"/>
        <rFont val="Arial Narrow"/>
        <family val="2"/>
      </rPr>
      <t>5</t>
    </r>
  </si>
  <si>
    <t xml:space="preserve">Recursos propios </t>
  </si>
  <si>
    <t xml:space="preserve">SGP Educación </t>
  </si>
  <si>
    <r>
      <t xml:space="preserve">SGP Cultura </t>
    </r>
    <r>
      <rPr>
        <b/>
        <sz val="12"/>
        <color rgb="FF002060"/>
        <rFont val="Arial Narrow"/>
        <family val="2"/>
      </rPr>
      <t>6</t>
    </r>
  </si>
  <si>
    <r>
      <t xml:space="preserve">SGP Libre inversión </t>
    </r>
    <r>
      <rPr>
        <b/>
        <sz val="12"/>
        <color rgb="FF002060"/>
        <rFont val="Arial Narrow"/>
        <family val="2"/>
      </rPr>
      <t>7</t>
    </r>
  </si>
  <si>
    <r>
      <t xml:space="preserve">SGP Libre destinación </t>
    </r>
    <r>
      <rPr>
        <b/>
        <sz val="12"/>
        <color rgb="FF002060"/>
        <rFont val="Arial Narrow"/>
        <family val="2"/>
      </rPr>
      <t>8</t>
    </r>
  </si>
  <si>
    <r>
      <t>SGP Alimentación escolar</t>
    </r>
    <r>
      <rPr>
        <b/>
        <sz val="12"/>
        <color rgb="FF002060"/>
        <rFont val="Arial Narrow"/>
        <family val="2"/>
      </rPr>
      <t>9</t>
    </r>
  </si>
  <si>
    <r>
      <t>SGP APSB</t>
    </r>
    <r>
      <rPr>
        <b/>
        <sz val="12"/>
        <color rgb="FF002060"/>
        <rFont val="Arial Narrow"/>
        <family val="2"/>
      </rPr>
      <t>11</t>
    </r>
  </si>
  <si>
    <r>
      <t>Crédito</t>
    </r>
    <r>
      <rPr>
        <b/>
        <sz val="12"/>
        <color rgb="FF002060"/>
        <rFont val="Arial Narrow"/>
        <family val="2"/>
      </rPr>
      <t>12</t>
    </r>
  </si>
  <si>
    <r>
      <t xml:space="preserve">Transferencias de capital - cofinanciación departamento </t>
    </r>
    <r>
      <rPr>
        <b/>
        <sz val="12"/>
        <color rgb="FF002060"/>
        <rFont val="Arial Narrow"/>
        <family val="2"/>
      </rPr>
      <t>13</t>
    </r>
  </si>
  <si>
    <r>
      <t>Transferencias de capital - cofinanciación nación</t>
    </r>
    <r>
      <rPr>
        <b/>
        <sz val="12"/>
        <color rgb="FF002060"/>
        <rFont val="Arial Narrow"/>
        <family val="2"/>
      </rPr>
      <t>14</t>
    </r>
  </si>
  <si>
    <r>
      <t>Otros</t>
    </r>
    <r>
      <rPr>
        <b/>
        <sz val="12"/>
        <color rgb="FF002060"/>
        <rFont val="Arial Narrow"/>
        <family val="2"/>
      </rPr>
      <t>15</t>
    </r>
  </si>
  <si>
    <t xml:space="preserve">Recursos del Balance </t>
  </si>
  <si>
    <t>Total Recursos Comprometido 2025</t>
  </si>
  <si>
    <t xml:space="preserve">Total Recursos Gestionados </t>
  </si>
  <si>
    <t>Recursos propios 2025</t>
  </si>
  <si>
    <t>SGP Educación 2025</t>
  </si>
  <si>
    <t>SGP Salud 2025</t>
  </si>
  <si>
    <t>SGP Deporte 2025</t>
  </si>
  <si>
    <t>SGP Cultura 2025</t>
  </si>
  <si>
    <t>SGP Libre inversión 2025</t>
  </si>
  <si>
    <t>SGP Libre destinación 2025</t>
  </si>
  <si>
    <t>SGP Alimentación escolar 2025</t>
  </si>
  <si>
    <t>SGP Municipios río Magdalena 2025</t>
  </si>
  <si>
    <t>SGP APSB 2025</t>
  </si>
  <si>
    <t>Crédito 2025</t>
  </si>
  <si>
    <t>Transferencias de capital - cofinanciación departamento 2025</t>
  </si>
  <si>
    <t>Transferencias de capital - cofinanciación nación 2025</t>
  </si>
  <si>
    <t>Otros 2025</t>
  </si>
  <si>
    <t xml:space="preserve">SGP APSB 2025 </t>
  </si>
  <si>
    <t>Recursos propios 20252</t>
  </si>
  <si>
    <t>SGP Educación 20253</t>
  </si>
  <si>
    <t>SGP Salud 20254</t>
  </si>
  <si>
    <t>SGP Deporte 20255</t>
  </si>
  <si>
    <t>SGP Cultura 20256</t>
  </si>
  <si>
    <t>SGP Libre inversión 20257</t>
  </si>
  <si>
    <t>SGP Libre destinación 20258</t>
  </si>
  <si>
    <t>SGP Alimentación escolar 20259</t>
  </si>
  <si>
    <t>SGP Municipios río Magdalena 202510</t>
  </si>
  <si>
    <t>Crédito 20251</t>
  </si>
  <si>
    <t>Transferencias de capital - cofinanciación departamento 20251</t>
  </si>
  <si>
    <t>Transferencias de capital - cofinanciación nación 20251</t>
  </si>
  <si>
    <t>Otros 202515</t>
  </si>
  <si>
    <t xml:space="preserve">Se continua brindado apoyo financiero para garanterizar la operación y funcionamiento de la Planta de Tratamiento de Lixiviados del sitio de disposición final El Carrasco. </t>
  </si>
  <si>
    <t>ADECUACIÓN DE LA INFRAESTRUCTURA FÍSICA DE LA UNIDAD HOSPITALARIA UIMIST DE LA ESE INSTITUTO DE SALUD DE BUCARAMANGA DEL MUNICIPIO DE BUCARAMANGA</t>
  </si>
  <si>
    <t>|</t>
  </si>
  <si>
    <t>Diseño e implementación de un modelo operativo para la gestión integral de residuos en puntos críticos del municipio de Bucaramanga</t>
  </si>
  <si>
    <t>El 16 de Junio de 2025 se firmó el Convenio Interadministrativo No. 115 de 2025, que tiene por objeto “Convenio interadministrativo de transferencia de recursos con el propósito de la elaboración de estudios y diseños para la Reposición de la infraestructura del Centro de Salud El Rosario perteneciente a la Red de Centros de
Salud y Unidades hospitalarias de la ESE Instituto de salud de Bucaramanga”. La alcaldía Municipal de Bucaramanga realizó el giro del 50% de los recursos en el
mes de septiembre de 2025, actualmente la ESE ISABU se encuentra en etapa pre
contractual para dar inicio al contrato de consultoría en el mes de octubre de 2025.</t>
  </si>
  <si>
    <t xml:space="preserve">El proceso se encuentra publicado en el SECOP II Bajo  Actualmente se encuentran realizando el trámite de adjudicación del  proceso de selección abreviada de menor cuantía N° SI-SI-SAMC-003-2025 cuyo objeto corresponde a " ADECUACION Y OPTIMIZACIÓN DE LAS CONDICIONES LOCATIVAS DE LA UNIDAD DE BIENESTAR ANIMAL DEL MUNICIPIO DE BUCARAMANGA" POR VALOR DE $ 179.098.232,00; cuyo cierre se dió el día 25 de noviembre de 2025 con la presentación de (1) proponente. </t>
  </si>
  <si>
    <t xml:space="preserve">A corte del mes de noviembre, se han realizado un total de 8696  atenciones y valoraciones diarias incluyendo acciones de alimentación, atención veterinaria, socialización y condiciones óptimas de alojamiento, contribuyendo a su rehabilitación y eventual adopción, para el manejo integral de los caninos y felinos de la Unidad de Bienestar Animal. Y jornadas de esterilización masiva en caninos y felinos tienen un impacto positivo significativo al contribuir al control poblacional, reducir el abandono y mejorar la salud pública para un total de 3833 esterilizaciones. </t>
  </si>
  <si>
    <t>En el mes de noviembre, se llevó a cabo la evaluación del proceso de subasta inversa  SSAB-SASI2-004-2025 cuyo objeto corresponde a "SUMNISTRO DE MEDICAMENTOS, INSUMOS, ELEMENTOS DE CUIDADOS ANIMAL, ALIMENTO CONCENTRADO PARA LA ATENCIÓN DE ANIMALES QUE INGRESAN A LA UNIDAD DE BIENESTAR ANIMAL A CARGO DEL MUNICIPIO DE BUCARAMANGA"</t>
  </si>
  <si>
    <t xml:space="preserve">A corte de noviembre de 2025, se logro realizar  32 visitas a negocios verdes que están en proceso y/o cuentan con el aval de la Autoridad Ambiental, con el fin de brindar y o gestionar apoyo por parte de la alcaldía de Bucaramanga, Identificamos y sostuvimos acercamiento con nuevos emprendimientos con enfoque de economía circular, como aprovechamiento de residuos voluminosos, reciclables, y especiales, con la finalidad de que se inscriban ante la Autoridad Ambiental - Corporación Autónoma Regional Para la Defensa de la Meseta de Bucaramanga como Negocios Verdes, y de esta manera dar alcance al apoyo que se brindara por parte de la alcaldía de Bucaramanga; logrando la inscripción de (1) de ellos antes la CDMB, (3) tres más con la intención de convertirse en Negocio Verde y de la misma manera aumentando y manteniendo el número de Negocios Verdes del Municipio.
Logramos apoyar 14 Negocios Verdes en manejo de redes sociales con la finalidad de aumentar su capacidad comercial en conjunto con la Universidad Pontificia Bolivariana – UPB
Se logró generar un espacio comercial en la Emisora Nacional para 8 Negocios Verdes con la finalidad de comercializar sus productos. </t>
  </si>
  <si>
    <t xml:space="preserve">En el mes de noviembre, se llevo a cabo mesas de trabajo con la Universidad de Santander - UDES  para avanzar en especificaciones tecnicas convenio de Caratacterización. </t>
  </si>
  <si>
    <t>Este PSA se implementa en un área de 723,965 ha con acciones de conservación y restauración en sesenta y tres (62) predios distribuidos en los municipios de Charta y Suratá. En el mes de noviembre se finalizaron los informes de visitas a los predios de PSA y se llevó a cabo la sexta Sesión del Comité de Seguimiento del Convenio No. 073 de 2025 con la participación de Carolina Avella- Coordinadora General del Proyecto de implementación de PSA – Fundación Natura, Juan Osorio Vega- Especialista PSA – Fundación Natura, Silvia Cristina Reyes Sánchez – Líder del proceso de gestión y conservación ambiental - Acueducto Metropolitano de Bucaramanga, Claudia Inés Gutiérrez Suárez - Profesional - Acueducto Metropolitano de Bucaramanga, Daniel Alfonso Gómez Cure- Subsecretario de Despacho (E), Leidy López Arguello– CPS de la Subsecretaria de ambiente, Laura Daniela Santamaria– CPS de la Subsecretaria de ambiente y Nanny Rocio Lizcano – CPS de la Subsecretaria de ambiente.</t>
  </si>
  <si>
    <t>En el mes de noviembre se intervino un área de 0,89 ha con acciones de siembra de plantas ornamentales en la Glorieta de la avenida Quebrada Seca con Cra 15, en el parque Los Guayacanes, parque Los Sarrapios y en el parque frente al colegio ABC; de igual manera se requiere se realizó la siembra de especies nativas forestales en el parque Los Sarrapios y Parque los Guayacanes.
zona. Se realizó una primera jornada el día 11 de noviembre el ejército nacional Batallón de Ingenieros de Atención y Prevención de Desastres No. 81, se realizó la apertura de ciento ochenta (180) huecos de dimensiones 30 cm X 30 cm para el establecimiento de las plántulas, previamente seleccionadas de las especie Agave (Agave americana.) a distancias de 0,50 m X 0,50 m.</t>
  </si>
  <si>
    <t xml:space="preserve">Se continua realizando la actividad de Identificación y medición de áreas de protección e interés cultural, social y ecológica del corredor corredor ecológico urbano, y su inclusión dentro del Observatorio Ambiental. </t>
  </si>
  <si>
    <t>Se formuló el proyecto “Recuperación del recurso hídrico del Corregimiento Uno – Quebrada El Aburrido”, de acuerdo a los lineamientos establecidos en la circular 016 de 2025 de acuerdo a la naturaleza del proyecto, que integra un diagnóstico ambiental y comunitario participativo. Donde se identificaron fuentes directas de contaminación, así como condiciones de riesgo asociadas, lo que permitió definir medidas prioritarias para la reducción de vertimientos y el fortalecimiento comunitario; Medidas como propuestas de implementación de proyectos de innovación como “un sistema piloto de biorremediación mediante plantas fitosanitarias para el tratamiento de aguas residuales” que busca mitigar los impactos ambientales en la zona intervenida.
Se avanzó en la articulación con el Acueducto Metropolitano de Bucaramanga (AMB) y el Instituto de Vivienda de Interés Social y Reforma Urbana de Bucaramanga (INVISBU), con el fin de unificar esfuerzos técnicos y financieros para la viabilidad del proyecto. Además, se realizaron acercamientos con el Ministerio de Vivienda, Ciudad y Territorio para explorar las oportunidades de financiación a través del Plan Departamental de Aguas.</t>
  </si>
  <si>
    <t xml:space="preserve">Se realizó apoyo a la formulación del requerimiento técnico del predio denominado el ALPARTAGAL como objeto de adquisición, para conservación del recurso hídrico, el cual esta ubicado en el parque regional del páramo de Santurbán  </t>
  </si>
  <si>
    <t xml:space="preserve">Se avanzó en la documentación del proyecto que tiene como objetivo la implementación de un sistema piloto de captación de agua lluvia, que sirva
como modelo replicable y contemple criterios de sostenibilidad, eficiencia y bajo costo para el contexto rural de las demás instituciones educativas pertenecientes al corregimiento 1.
Se realizó taller ambiental con dinámicas pedagógicas en la Institución Educativa Rural Vijagual en conjunto con el programa de Educación Ambiental en el cual se abordaron temas como el ciclo del agua, calidad del recurso hídrico y prácticas de uso eficiente con la finalidad de sensibilizar a la comunidad estudiantil en estos temas. </t>
  </si>
  <si>
    <t>Se llevaron a cabo mesas de trabajo con el equipo técnico de la Universidad Antonio Nariño-UAN, con la finalidad de revisar la documentación requerida para la implementación de 1 piloto en 5 instituciones educativas rurales del municipio de Bucaramanga, los cuales están basados en tecnologías tradicionales de digestión anaerobia para la producción de biogás, complementadas con tecnologías de punta para su purificación y mejoramiento. Los sistemas de biorrefinería les permiten a los usuarios hacer tratamiento de sus residuos orgánicos, incluyendo vertimientos y residuos sólidos (como residuos de cocina y residuos de animales), con el fin de cumplir con la legislación ambiental vigente, pero brindando la opción de generar productos con valor agregado tales como fertilizantes orgánicos y biogás combustible, que podría utilizarse como proyecto de economía circular con las comunidades aledañas a las Instituciones, para revegetalizar los espacios verdes del colegio o espacios de la misma comunidad.
Se realizó un diagnóstico técnico y multitemporal de las Islas de Calor Urbana (ICU) en Bucaramanga, con el fin de identificar qué sectores de la ciudad registran mayores temperaturas superficiales, cómo han cambiado en los últimos años y cuáles factores urbanos explican este comportamiento.</t>
  </si>
  <si>
    <t>La Subsecretaría de Ambiente fortaleció los PRAES y PRAUS mediante la elaboración de una cartilla pedagógica sobre siembra de plantas arbóreas, arbustivas y ornamentales, promoviendo la educación ambiental y la participación estudiantil en iniciativas de arborización y sostenibilidad.
La Subsecretaría de Ambiente fortaleció los PROCEDAS mediante visitas técnicas a las huertas en La Salle y Villa Rosa, sensibilizando a 13 adultos sobre su cuidado y elaborando los documentos requeridos para garantizar el adecuado seguimiento y sostenibilidad comunitaria.
Se implementaron acciones de participación ciudadana mediante la realización de la estrategia de la 4ª Cumbre Mundial de Páramos, consolidando aportes para la planificación sostenible del territorio y presentando la elaboración del informe para el Concejo Municipal de Bucaramanga.</t>
  </si>
  <si>
    <t>Mesa de trabajo con Tránsito, Secretaría de Desarrollo Social y Secretaría del interior  para establecer la regulación de vehiculos de tracción humana que transportan residuos RCD y otros de acuerdo a la Ley 769 de 2002 y Ley 1383 de 2010. Elaboración del Brief de gestores RCD. Elaboración del diagnóstico PIGA. Mesas de trabajo con la empresa EMAB para revisión del cumplimiento de las sensibiliaciones corporativas en campañas de seguridad vial, fátiga y distracciones, revisión de los simulacros adelantados por la empresa EMAB y sus evaluaciones. Revisión de los itinerarios de barrido y limpieza de areas públicas a la empresa Limpieza Urbana. Solicitud a las empresas del manejo de residuos vegetales provenientes de corte y poda de cesped. Entrega de comodato a la organización REUSO. Informe de seguimiento y sensibilizaciones a la plaza Guarín, San Francisco y establecimientos comerciales al rededor de las plazas para el control de gallinazo negro. Revisión de los lineamientos y cumpimientos de los planes de contingencia de las empresas de aseo entregan Emab y impieza urbana con la unidad de gestión de riesgo. Se realizó revisión del protocolo de lavado de puentes y áreas públicos de la empresa Limpieza Urbana.</t>
  </si>
  <si>
    <t xml:space="preserve">Se realizan mesas de trabajo con la Empresa de Aseo de Bucaramanga EMAB para el desarrollo de actividades tendientes a la limpieza de la ciudad y reducción de puntos criticos. 
El día 11 de noviembre de 2025 se llevó a cabo mesa de trabajo con el fin de socializar la problemática actual relacionada con los puntos críticos de disposición inadecuada de residuos sólidos en la ciudad de Bucaramanga y conformar una mesa de trabajo interinstitucional para diseñar una estrategia conjunta de prevención, desactivación, embellecimiento y mantenimiento de estos espacios, articulando esfuerzos desde las competencias y responsabilidades de cada institución participante.con las empresas de aseo Veolia, Limpieza Urbana, Emab, autoridad ambiental CDMB, Instituto municipal de cultura IMCT, Secretaria del Interior, Tránsito, DADEP y Secretaría de Infraestructura. </t>
  </si>
  <si>
    <t xml:space="preserve">Se realizó asistencia técnica a 171 personas así: censo de tres (3) recicladores para proceso de formalización. Se realizó seguimiento y asesoria técnica al manejo adecuado de la compostera ubicada en la Unidad de Bienestar Animal. Se realizarón asistencias técnicas conjuntas con Desarrollo sócial y comunidad  para establecer los compromisos del Taller denominado GUARDIANES AMBIENTALES. Como estrategía de cultura ciudadana se realizó el taller vitual  de GUARDIANES AMBIENTALES, donde se inscribieron  123 ciudadanos, donde se  promovió prácticas  responsables de separación de residuos sólidos en el hogar, manejo adecuado de residuos especiales, conservación de zonas verdes y uso del Observatorio Ambiental. Se prestó asistencia técnica a 45 personas en Centros comerciales, tindas OXXO, Instituciones del estado (Defensoria del pueblo, Hospital Universitario, ICBF, ISABU, Registraduría), Taller de motos del Sector de Quebrada Seca. 
Se prestó apoyo técnico para la elaboración de las Resoluciones de pago de cada organización de resicladores que recibirá el pago del Incentivo de Aprovechamiento y Tratamiento - IAT </t>
  </si>
  <si>
    <t>Meta Programada Para la vigencia 2026, sin  embargo, se adelantaron las siguientes acciones: 
Se realizarón 4 mesas de trabajo concertadas con los alcaldes del área metropolitana con e fin de buscar alternativastecnológicas para el aprovechamiento y/o tratamiento de residuos sólidos como solución de disposición final con el fin de disminuir el 50% de residuos que llegan al relleno Sanitario El Carrasco en una proyección de largo plazo</t>
  </si>
  <si>
    <t>Meta Programada Para la vigencia 2026
El día 25 de noviembre se llevó a cabo mesa de trabajo para revisar el estado de avance de proyectos ECA y PARSO, identificando  fuente de financiación y compormisos intersecretariales para llevar a cabo los estudios, diseños y construcción de soluciones que permitan la reducción de residuos sólidos en el Relleno Sanitario El Carrasco</t>
  </si>
  <si>
    <t xml:space="preserve">En el mes de noviembre, se adelantaron 93 Auditorias clasificadas por Dispensadores farmacéuticos,  ISABU, Red de Urgencias, indicadores de calidad de las IPS y seguimiento a auditoria Gaudi vigencia 2024, seguimiento auditoria circular 035, 1 auditoria integral </t>
  </si>
  <si>
    <t>Se realizaron 03 unidades de análisis del evento mortalidad por TB pulmonar, MPTN, Dengue, además se realizo la precritica de 195 certificados de defunción diligenciados por las IPS de bucaramanga.
Se realizó el COVE con la participación de 152 personas, referentes de Sivigila de las UPGD (IPS, EAPB). Se emitieron 4 boletines epidemiológicos y 1 informe de gestión y 01 informe de empalme para el mes (noviembre).
Se hizo envío de las bases de datos y depuración de los Eventos de interés en Salud Pública asignados, TB, Violencia de Género, Intento de suicidio, Lepra, CA Mama y Cuello Uterino, Cáncer en menores de 18 años, EHR, Lesiones de causa externa, Pólvora a SE 43 - 2025.
Se realizaron un total de  54 IEC,   2 BAC,  2 MRCV y  4 BAC para apoyo al programa de Tuberculosis reportadas por el programa. Se realizó un abordaje de alrededor de 385 personas.</t>
  </si>
  <si>
    <t>Se desarrollo la actividad de muestreo (6),  al PAE ,  se realizo la firma y adjudicación  del requerimiento de insumos de muestreo de alimentos. Se realizaron 214 visitas de inspección y vigilancia, se sensibilizó y capacitó a los diferentes establecimientos. Se desarrollaron muestras al sistema de agua para consumo humano.
Se realizaron 51 visItas a establecimientos generadores de residuos peligrosos en atención a salud y otras actividades (PGIRASA) . Visitas a  163 establecimientos comerciales,  24 visitas en el tema de RUIDOS  a establecimientos</t>
  </si>
  <si>
    <t>Se realiza comité PAI el 19 de noviembre, se socializa resultados de jornada de Intensificación y otras estrategias ejecutadas. 
Se realiza visita de asistencia tecnica a IPS de bucaramanga: Dispesario Médico, IPS Sanitas Bolarquí, CUB y Cajasan, Cruz roja seccional Santander, Virrey solis cabecera, Virrey solis sotomayor, Centro medico san Diego, IPS Milagroz, Sanitas, Colsanitas.
se realiza la consolidación de la información para conocer las coberturas de vacunación con corte a octubre 2025 a nivel municipal.
Acompañamiento en jornada de vacunación en ruta de vacunación por las comunas.
Socialización indicaciones Inmunoglobulina Antirrábica origen equino.
Socialización lienamientos VSR.
Apoyo en recepción y entrega de inmunobiológicos y demás insumos del PAI
Se realiza calidad del dato en los informes mensuales de las instituciones prestadoras de servicios de salud.  
Se realiza revisión de las dosis entregadas, aplicadas y pérdidas de vacuna COVID19 en cada una de las IPS públicas y privadas del municipio de Bucaramanga 
Se realiza seguimiento y revisión de inventarios semanal a las IPS vacunadoras publicas y privadas
Se realiza verificación y seguimiento al movimiento de biologicos e insumos PAI (Kardex– PAIWEB- En físico)
Se realiza la recepción de 14729 dosis de biologicos de esquema regular.
Se realiza apoyo en la entrega de 24269 dosis de biologicos de esquema regular a las IPS, garantizando esquemas completos a la población.
Se realizan 149 controles de cambios de digitaciòn en paiweb.
Se realizan 84 seguimientos a la entrega oportuna de informes de vacunaciòn.</t>
  </si>
  <si>
    <t>Se realiza mantenimiento preventivo y correctivo a los equipos y áreas destinadas para asegurar la correcta conservación de inmunobiológicos</t>
  </si>
  <si>
    <t xml:space="preserve">Se realiza visita de verificación de cumplimiento resolución 055 de 2018 a  los siguientes instituciones: centro vida Alvarez, Hogar geriatrico la luz, El manantial, Geriatricos Integrales, Nuevo Hogar, Antonia Santos, Maria Auxiliadora, Santa Ana, Valle verde, Margarita, Flor de vida 1 2 y 3 santa Rita. Se realizo asistencia técnica a los trabjadores de los establecimientos que atienden poblacion adulto mayor: Hogar geatrico Familiar, La rosa de Guadalupe,Avac, Funndacion Saludable, Envejecer con alegria ,El retiro, Anos Maravillosos, Santa Marta, Calor De Hogar, Olimpo, Yerbabuena, Fundacion Plenitud, Ips coomultrasan.
se realizaron las siguientes visitas:
05-11-2025 Asistencia técnica en Sanitas EAPB, donde se verificó cumplimiento en la RIA de violencias basadas en género.
05-11-2025 Asistencia técnica en Profamilia IPS, donde se verificó cumplimiento en las RIAS de interrupción voluntaria del embarazo, planificación familiar y violencias basadas en género.
10-11-2025 Asistencia técnica en Salud Mia EAPB, donde se verificó cumplimiento en las RIAS de de interrupción voluntaria del embarazo, planificación familiar y violencias basadas en género.
11-11-2025 Asistencia técnica en Sanitas EAPB, donde se verificó cumplimiento en las RIAS de consulta preconcepcional, atención del control prenatal, parto, puerperio, e interrupción voluntaria del embarazo.
14-11-2025 Asistencia técnica en Sura EAPB, donde se verificó cumplimiento en las RIAS de consulta preconcepcional, atención del control prenatal, parto, puerperio, e interrupción voluntaria del embarazo.
18-11-2025 Asistencia técnica en Famisanar EAPB, donde se verificó cumplimiento en las RIAS de consulta preconcepcional, atención del control prenatal, parto, puerperio, e interrupción voluntaria del embarazo.
19-11-2025 Asistencia técnica en ESE HUS, donde se verificó cumplimiento en las RIAS de interrupción voluntaria del embarazo, planificación familiar y violencias basadas en género.
19-11-2025 Asistencia técnica en Hospital local del norte de la ESE ISABU, donde se verificó cumplimiento en las RIAS de consulta preconcepcional, atención del control prenatal, parto, puerperio e interrupción voluntaria del embarazo.
20-11-2025 Asistencia técnica en ESE HUS, donde se verificó cumplimiento en las RIAS de consulta preconcepcional, atención del control prenatal, parto, puerperio e interrupción voluntaria del embarazo.
26-11-2025 Asistencia técnica en Clínica materno infantil San Luis, donde se verificó cumplimiento en las RIAS de consulta preconcepcional, atención del control prenatal, parto, puerperio e interrupción voluntaria del embarazo.
Se realizaron 6 asistencias técnicas a EAPB e IPS de atención de control prenatal y parto.  Capacitaciones a talento humano en salud. 
Se realizaron dos (4) visitas de inspección y vigilancia a IPS - Centro de Salud La Joya, Campo Hermoso, Cristal Alto y Café Madrid, en el marco de la verificación al cumplimiento de las RIAS de Promoción y Mantenimiento de la Salud y Materno-Perinatal en los programas de control prental y crecimiento y desarrollo, conforme a lo establecido en la Res. 3280 de 2018. Así mismo se adelantaron asistencias técnicas y seguimientos a casos de desnutrición en dichos Centros de Salud, según correspondía. Por otra parte, en articulación con la SSD se adelantó asistencia técnica en el lineamiento de Desnutrición Aguda en la IPS Clínca San Luis y Hospital Universitario Los Comuneros.   </t>
  </si>
  <si>
    <t>Se realiza reunión de seguimiento actividades de Consentidos, se realizó entrega de solicitudes al 100% de los casos, realizando entrega de 35488 tabletas para programa de Tuberculosis, entrega de 31 tabletas para programa de Hansen. Apoyo en el suministro de tratamiento a 55 pacientes en condiciones de vulnerabilidad y riesgo de perdida de seguimeint., se realizarón 5 Búsquedas activa en población vulnerable, y se recepcionaron visitas  epidemiologicas de campo de 8 dias. Se realizaron 6 abordajes psicosociales a personas afectadas por TB con riesgo de perdida en el seguimiento. Se realizaron 7 visitas de asistencia técnica en lineamientos de Tuberculosis a Cs café Madrid- EAPB COOSALUD (2), IPS SIES Salud, Vivir Ips, CDI.  Se realiza seguimiento a casos de TB FMR para el manejo integral, se realiza mesa psicosocial de TB, se participa en CERCET del 27-11-2025</t>
  </si>
  <si>
    <t>Se realiza revisión de 192 historias clínicas a las cuales se les realiza en la plataforma del sispro la respectiva autorización , la cual se envia a la ISABU.</t>
  </si>
  <si>
    <t>Se realizan 15  asistencia técnica a la IPS del municipio en la implementación del Tamizaje auditivo para todos los grupos poblacionales de acuerdo a la edad y frecuencia establecida dentro de la Ruta de promoción y mantenimiento de la salud y Ruta Materno Perinatal.
Se realizan 21 visitas técnicasa  IPS y EAPBS, odontológicas para verificar el cumplimineto de normatividad vigiente referente a la prestacion de servicios de salud.
Se realizaron intervenciones a losbarrios Ciudad Bolivar, Alvarez, Luz de Salvación,Mutiis, Real de Minas, Toledo, Brisas de la ciudad de Bucaramanga con el objetivo de promover la actividad física en la comunidad y capacitar a los líderes locales para fomentar estilos de vida saludables en sus vecindarios.
Se realizaron visitas  técnicas a: IMAP – SALUD MIA  para verificar el cumplimiento de la normatividad vigente en lo referente a la prestación de servicos de salud dentro de la atención de de la ruta de vejez, según la resolución 3280.
Se realiza asistencia técnica a IPS y EAPB en Cáncer, EPOC, Tabaco, Enfermedades Huérfanas.
Se realiza seguimiento telefónico a pacientes con diagnóstico de Cáncer, en aras de identificar barreras de acceso en salud. Se logró seguimiento a 29 personas diagnosticadas y reportadas por el SIVIGILA.ó
Se realizaron informaciones en salud hacia la población adulto mayor con el fin de promover la salud y el autocuidado en cada uno de los adultos; enfocados mas hacia la prevención de riesgo cardiovascular, la importancia de salud mental, haciendo seguimiento a las enfermedades cronicas, promoviendo los estilos de habitos saludables entre otras</t>
  </si>
  <si>
    <t xml:space="preserve">Se realizo la revisión, corrección y entrega de 28 cajas del archivo de gestión correspondiente al año 2025 del Área de Gestión de la Salud Pública para la aprobación por parte de la oficina de Gestión Documental para la entrega de puesto de la Subsecretaria de Salud.
Se participo de forma activa en el proceso de entrevistas durante las visitas de diagnostico sobre la gestión de documentos digítale y electrónicos según lo estipulado en la circular 179 del 2025.
Se realizo la actualización del inventario documental de la mano del equipo de Vigilancia Epidemiológica, para el archivo de gestión del 2025 de dicho programa de acuerdo a la documentación incluida en cada carpeta a lo largo de su gestión.
Se llevó a cabo la visita de revisión del archivo de gestión del Área de Desarrollo Sostenible, Educación y Cultura Ambiental para determinar los aspectos a subsanar para la aprobación por parte de la oficina de Gestión Documental para la entrega de puesto del Subsecretario de Ambiente.
Se apoyo el proceso de auditoria integral de la Unidad de Bienestar Animal con la verificación de todo lo relacionado con la gestión documental de la Historias Clínicas.
 Se participo de forma activa en el proceso de entrevistas durante las jornadas de revisión de las series y subseries documentales con el fin de identificar los ajustes y actualizaciones que sean necesarios dentro de la Tabla de Retención Documental (TRD) liderado por la oficina de Gestión Documental de acuerdo con lo estipulado en la circular 162 del 2025.
Se clasificó , ordenó y se realizaron inventarios actualizados para el archivo de gestión del 2025 del área de Gestión de la Salud pública con 14 programas, así como certificados de defunción y derechos de petición para un total de 22 carpetas nuevas incluidas en el archivo.
Se clasificaron y ordenaron 17 cajas del programa de Tuberculosis y Hansen conteniendo 232 carpetas con Historias Clínicas.
Se realizaron 6 auditorías a las IPS Gestionar Bienestar, Profamilia, Virrey Solís, Sociedad Cardiovascular, Foscal Bolarqui y Asopormen; así como 4 auditorías a las sedes de los gestores farmacéuticos Disfarma, Cruz Verde y Neuromédica, con el objetivo de auditar el componetne de con la participación social y la atención al usuario en salud.
Se aplicaron 411  encuestas de veeduría ciudadana sobre la atención en servicios de salud “VEECAS”-IPS en un total de 20  instituciones prestadoras de salud:Centro de salud Campo Hermoso, Centro de Salud Comuneros, Centro de salud Cristal Alto, Centro de Salud Girardot, Centro de Salud Kennedy, Centro de salud La Joya, Centro de salud La Libertad, Centro de salud Mutis, Centro de Salud Rosario, Centro de salud Toledo Plata, Clínica Chicamocha, Clínica de urgencias Bucaramanga, Clínica San Luis, Hospital Local del Norte, Hospital Universitario de Santander ESE HUS, Hospital Universitario Los Comuneros y UIMIST.
Revisión puntos críticos programáticos, asegurar el cumplimiento contractual y definir acciones inmediatas de gestión ante riesgos identificados, para el empalme y cierre de vigencia, reunión de acciones colectivas en el PIC para la prevención de la prolifereación del dengue y ETV,  mesa sectorial con las EPS y los EBS de la ESE ISABU, acta de seguimiento convenio 280 interadministrativo, informe de supervisor de contrato 092 con la Cruz Roja, informe de supervisor de contrato 161 con proinapsa, cubrimiento de actividades en temas de medios de la SSAB, fotos, videos y otros multimedias y los respectivos boletines de comunicación, se recibe 1145 PQRS a través de plataforma GSC (831 Externas, 314 Internas), 260 de IVC, total 1405.
Celebración DÍA INTERNACIONAL DE LA ELIMINACIÓN DE LA VIOLENCIA CONTRA LAS MUJERES. Con el lema de ONU MUJERES "No hay excusa" Las líneas programáticas de Agenda Metropolitana, SSR, Salud Infantil y Salud Mental se acogen a los 16 días de activismo, con actividades previamente coordinadas y concertadas con actores institucionales y comunidad en general.  Los 16 días se inician el jueves 13 de noviembre y terminan el 28 de noviembre, con actividades tales como: Entrega de mangas y habladores con el violentómetro a los taxistas con previa sensibilación, socialización de la ruta de violencias y la línea espérame en varios escenarios comunitarios como parques, plazas de mercado, centros comerciales, recreovía, auditorios, plazoleta de la democracia, Alcaldía de Bucaramanga y redes sociales.También se conmemora NOVIEMBRE AZUL con campaña de prevención y detección temprana del cáncer de próstata, el cáncer más común en hombres después del de piel, promoviendo que los hombres se cuiden, se informen y acudan al médico para realizarse exámenes preventivos, especialmente a partir de los 40-50 años o antes si hay antecedentes familiares, para detectar a tiempo esta enfermedad que, si se detecta temprano, tiene altas tasas de curación.  </t>
  </si>
  <si>
    <t xml:space="preserve">Se realizó sensibilización sobre dengue en la comunidad del parque centenario el día 19 de noviembre de 2025,  total  personas intervenidas: 31, 0-5 años = 0, 6-11 años =0, 12 - 17 años = 0, 18 - 28 años = 6, 29- 59 años =17, 60 en Adelante = 8 Soportado con registro fotográfico y asistencia
Se realizó sensibilización sobre dengue en la comunidad de la vereda la malaña el día 20 de noviembre de 2025,  total  personas intervenidas:  72, 0-5 años = 0, 6-11 años =72, 12 - 17 años = 0, 18 - 28 años = 0, 29- 59 años =0, 60 en Adelante = 0 Soportado con registro fotográfico y asistencia
Se realizó sensibilización sobre dengue en la comunidad de la Plazoleta de la democracia el día 25 de noviembre de 2025,  total  personas intervenidas: 29, 0-5 años = 0, 6-11 años =0, 12 - 17 años = 0, 18 - 28 años = 1, 29- 59 años =20, 60 en Adelante = 8 Soportado con registro fotográfico y asistencia
Se realizó sensibilización sobre dengue en la comunidad del barrio El Pablon el día 26 de noviembre de 2025,  total  personas intervenidas: 43, 0-5 años = 0, 6-11 años =0, 12 - 17 años = 0, 18 - 28 años = 8, 29- 59 años =12, 60 en Adelante = 23 Soportado con registro fotográfico y asistencia
Se registraron 335  visitas (325 efectivas, 16 positivas, 384 personas intervenidas) en viviendas, 61 sujetos de riesgo (4 positivos) y 820 alcantarillas intervenidas, soportado con registro PDF Epiccollect5 durante el mes de noviembre 2025. 
Se realizó realizo visita para aplicación de encuestas domiciliarias de factor de riesgo para Chagas los días 13 y 28 de noviembre de 2025, Soportado con registro fotográfico y encuesta.
Se realizó aplicación de pruebas rápidas para Chagas en el barrio Café Madrid (Colegio Minuto de Dios), el día 13 de noviembre de 2025, Soportado con acta, registro fotográfico y asistencia.
Se realizó desde el PIC 300 encuestas PRE aplicadas en el barrio Estoraques y San Francisco y 1000 kits en los barrios Estoraque  San Francisco. 3000 kits entregados en la jornada de lavado y cepillado en los barrios Comuneros,Villa María, Rincón de la Paz y Bucaramanga 
Se realizó la entrega e instalación de 71 toldillos sin impregnar de la siguiente manera: 15 menores de 5 años, 59 adultos mayores, 1 gestante  y 11 personas con discapacidad/comorbilidad; en el barrio San Martin de la comuna 9 el día 14 de noviembre de 2025.
• Se realizó la entrega e instalación de 89 toldillos impregnados de la siguiente manera: 37 menores de 5 años, 29 adultos mayores, 1 gestante  y 7 personas con discapacidad/comorbilidad; en el la vereda La Gracia de Dios del corregimiento 1 el día 14 de NOVIEMBRE de 2025.
• Se realizó la entrega e instalación de 70 toldillos sin impregnar de la siguiente manera: 20 menores de 5 años, 46 adultos mayores, 5 gestantes  y 5 personas con discapacidad/comorbilidad; en el barrio Cristal bajo de la comuna 10 el día 20 de NOVIEMBRE de 2025.
• Se realizó la entrega e instalación de 93 toldillos sin impregnar de la siguiente manera: 42 menores de 5 años, 51 adultos mayores, 5 gestantes  y 8 personas con discapacidad/comorbilidad; en el barrio Luz de salvación 2 de la comuna 11 el día 21 de NOVIEMBRE de 2025.
• Se realizó la entrega e instalación de 86 toldillos sin impregnar de la siguiente manera: 24 menores de 5 años, 58 adultos mayores y 7 personas con discapacidad/comorbilidad; en el barrio Cristal Alto de la comuna 10 el día 21 de NOVIEMBRE de 2025
• Se realizó la entrega e instalación de 21 toldillos sin impregnar de la siguiente manera: 13 menores de 5 años, 12 adultos mayores y 8 personas con discapacidad/comorbilidad; en el barrio Luz de salvación 1 de la comuna 10 el día 25 de NOVIEMBRE de 2025.
• Se realizó la entrega e instalación de 79 toldillos sin impregnar de la siguiente manera: 21 menores de 5 años, 55 adultos mayores y 7 personas con discapacidad/comorbilidad; en el barrio Nariño de la comuna 4 el día 26 de NOVIEMBRE de 2025.
• Se realizó la entrega e instalación de 15 toldillos sin impregnar de la siguiente manera: 10 menores de 5 años, 14 adultos mayores y 3 personas con discapacidad/comorbilidad; en el barrio Balconcitos de la comuna 1 el día 28 de NOVIEMBRE de 2025.
</t>
  </si>
  <si>
    <t>Se realizaron 171 seguimientos a reportes de animales agresores, considerados potencialmente transmisores del virus de la rabia, así como 7 seguimientos a casos asociados a sospecha de leptospirosis, 1 seguimiento relacionados con animales venenosos, correspondientes a diferentes barrios del municipio de Bucaramanga.
Se inmunizaron 3776 animales, Caninos Totales 2436, Felinos totales 1330. Actividades realizadas en,  COMUNA 1: Villa Carmelo, Transición 3, Bavaria 2, Tejarcitos, Colorados, Villa Alegría, Villa Rosa. COMUNA 2: Fundación FADA, Transición 4, Villa Mercedes, Esperanza 2, La Juventud. COMUNA 3: Miradores UIS parte Baja, San Francisco. COMUNA 4: Granada COMUNA 5: Asentamiento Humano Esperanza Sector 1, Asentamiento Humano Esperanza Sector 1, Campo Hermoso, Reserva la Inmaculada. COMUNA 6: Ricaurte. COMUNA 7: Conjunto Residencial Metrópolis Sur, Conjunto Residencial las Cigarras. COMUNA 8: Bucaramanga- Mercado. COMUNA 10: Conjunto Residencial Azalia, Conjunto Residencial San Lorenzo, Conjunto Residencial Reserva San Lorenzo. COMUNA 11:Campo Real, Conjunto Residencial Cárpatos,  Conjunto Residencial Alameda, Delicias Altas, Ciudad Venecia, Conjunto Residencial Caledonia, Balcones del Sur, Conquistadores, Rocío, Conjunto Villa de los Conquistadores, Conjunto Residencial los Robles,  Conjunto Residencial la Riviera, Villa Alicia, Luz de Salvación Sector 2, Manuela Beltrán, Brisas del Palmar, Villas del Nogal, Toledo Plata, Villa Real, Granjas Julio Rincón parte Alta, Granjas Julio Rincón parte Baja, Villa Sara, Santa María. COMUNA 12: Terrazas, Altos del Jardín, Cabecera. COMUNA 13: Álvarez, Mejoras Públicas, Conjunto Residencial Cajasan, Pan de Azúcar, Floresta. COMUNA 14: Buena Vista, Buenos Aires, Albania. COMUNA 15: Antonia Santos Centro. COMUNA 16: Altos del Cacique, Bosque del Cacique, Conjunto Residencial Cacique Imperial, Hacienda San Juan, San Expedito. COMUNA 17: La Gran Ladera, Estoraques 1, Estoraques 2, Plaza Mercado Mutis, Héroes, Plazuela Real, Brisas del Mutis, Monterredondo, Conjunto Residencial Metrópolis II, Mutis. CORREGIMIENTO 1: Vijagual, San Pedro Bajo. CORREGIMIENTO 2: Santa Rita. CORREGIMIENTO 3: El Pedregal.
Se realizaron actividades de sencibilización de 1758 personas, sobre el control ético poblacional de caninos y felinos en el municipio de Bucaramanga.
Se capacitaron 1758 personas en tenencia responsable de animales de compañía y promoción, prevención y control de enfermedades zoonoticas, prevencion del maltrato animal y control ético poblacional, estas actividades fueron realizadas en, COMUNA 1: Villa Carmelo, Transición 3, Bavaria 2, Colorados, Villa Alegría, Villa Rosa, Institución Educativa Proposición Social sede D. COMUNA 2: Institución Educativa Promoción Social sede D, Transición, Villa Mercedes, Esperanza 2, Esperanza 3, La Juventud, Santa Rita. COMUNA 3: Miradores de la UIS. COMUNA 4: Granada. COMUNA 5: Asentamiento Humano Esperanza Sector 1, Campo Hermoso, Reserva la Inmaculada. COMUNA 6: Ricaurte. COMUNA 7: Plazuela Real.  COMUNA 9: Antonia Santos Sur. COMUNA 10: Conjunto Residencial Azalia, Conjunto Residencial San Lorenzo, Conjunto Residencial Asturias, Conjunto Residencial Reserva San Lorenzo. COMUNA 11: Campo Real, Conjunto Residencial Cárpatos, Conjunto Residencial Alameda, Delicias Altas, Ciudad Venecia, Conjunto Residencial Caledonia, Balcones del Sur, Conquistadores, Rocío, Conquistadores, Conjunto Residencial la Riviera, Conjunto Residencial Villa Sara, Luz de Salvación, Manuela Beltrán, Brisas del Palmar, Villas del Nogal, Conjunto Residencial Coaviconza, Toledo Plata, Granjas Julio Rincón parte Alta, Granjas Julio Rincón parte Baja. COMUNA 12: Terrazas, La Floresta. COMUNA 13: Álvarez, Mejoras Publicas, Pan de Azúcar, Conjunto Residencial Cajasan. COMUNA 14: Buena Vista, Buenos Aires, Albania. COMUNA 16: Portón del Tejar, Bosque del Cacique, Conjunto Residencial Cacique Imperial, San Expedito. COMUNA 17: La Gran Ladera, Estoraques 1, Estoraques 2, Plaza Mercado Mutis, Conjunto Residencial, Brisas del Mutis, Monterredondo, Conjunto Residencial Metrópolis II, Mutis. CORREGIMIENTO 1: Vijagual. CORREGIMIENTO 3: El Pedregal, Malaña.</t>
  </si>
  <si>
    <t>Se realizaron 9asistencias técnicas a IPS y EAPBS, 5 asistencias informativas / 3 asistencias de inspección / 1caso especial.
Se realizan cinco encuentros educativos  en temas : Paternidad en crisis, Primeros auxilios psicológicos.
Se realizan 82 seguimientos efectivos SIVIGILA, 25 de Violencias, 57 de Intento de suicidio.
Se atendieron 239 personas por línea espérame
Se realizaron 37 acompañamientos a casos en Riego alto.
Se realizan 9 encuentros educativos  en temas : Prevención del suicidio, Regulación emocional
Proyecto de vida
Se realiza un encuento de sensibilización con familias y población PPL (CARCEL DE HOMBRES)
Se realizan 8 encuentros de sensibilización con el tema violencia de género, prevención, rutas y signos de alarma.</t>
  </si>
  <si>
    <t>Se implementaron sesiones educativas sobre “Loncheras Saludables” dirigidas a niños, niñas y familias de los CDI y Hogares Infantiles Tomasa y Construyendo Sueños, así como en el Hogar Infantil Cajasan Bavaria. Las actividades se realizaron los días 11, 19, 27 y 28 de noviembre, promoviendo hábitos alimentarios saludables y el uso de menús orientadores.
Se realizaron acciones educativas en salud dirigidas a adolescentes, jóvenes y familias víctimas del conflicto en los barrios La Inmaculada (1/11), Nueva Colombia (8/11), Betania (8/11), Campo Madrid (15/11), Puente Nariño (15/11) y Claverianos (22/11), promoviendo estilos de vida saludables y prevención del consumo de sustancias psicoactivas. Adicionalmente, se desarrollaron sesiones sobre habilidades para la vida y manejo emocional con población víctima en Café Madrid (16/11), Galán (23/11) y Granjas de Provenza (30/11).
Se implementaron sesiones educativas sobre “Loncheras Saludables” dirigidas a niños, niñas y familias de los CDI y Hogares Infantiles Tomasa y Construyendo Sueños, así como en el Hogar Infantil Cajasan Bavaria. Las actividades se realizaron los días 11, 19, 27 y 28 de noviembre, promoviendo hábitos alimentarios saludables y el uso de menús orientadores. Tambien se realizaron sesiones educativas con padres de familia en las instituciones: I.E. Santander (5/11), Gustavo Cote (6/11), Campo Hermoso (7/11), Santo Ángel (11/11) y Club Unión (14/11), abordando prevención de enfermedades prevalentes en la infancia (IRA y EDA) y prácticas de lavado de manos.
Se acompañaron actividades en el marco del Desarrollo Inclusivo Basado en la Comunidad (DIBC) con cuidadores de personas con discapacidad, fortaleciendo capacidades para el autocuidado y el bienestar de esta población.
Se realizaron diálogos de saberes con los grupos étnicos del municipio, abordando salud pública con enfoque diferencial, desarrollando sesiones con la comunidad Inga (9/11) y con la comunidad Yupka (10/11).
Se implementó la estrategia COMBI en los barrios Estoraques (13/11 y 20/11) y San Francisco (19/11 y 30/11), promoviendo cambios conductuales frente a la prevención de enfermedades transmitidas por vectores.
Tambien se realizaron jornadas de movilización social para el lavado y cepillado de la pila con acciones informativas en salud en los barrios Bucaramanga (4, 5 y 6/11), Provenza (24, 25 y 26/11), Alfonso López (27, 28 y 29/11) y en la vereda El Pedregal (21/11), fomentando prácticas adecuadas de limpieza y prevención de criaderos.
Se desarrollaron tres jornadas de salud “Parque Te Cuides” en el Parque La Hormiga (8/11), Parque Centenario (15/11) y Parque Las Cigarras (22/11), promoviendo estilos de vida saludable y salud mental en la comunidad.
Se realizaron actividades educativas sobre tuberculosis y Hansen dirigidas a padres y cuidadores en instituciones educativas del área urbana, orientadas a signos, síntomas, medidas preventivas, tratamiento y reducción del estigma, destacando la participación de I.E. Fátima (4/11), I.E. Santander (5/11), I.E. La Libertad (6 y 28/11), Las Américas (6 y 7/11), Campo Hermoso (7/11), Rafael García Herreros (11/11), Promoción Social (12/11) y Club Unión (14/11).
Se desarrollaron tres encuentros con personas afectadas por Hansen los días 14, 21 y 28 de noviembre en la Casa Conservadora, orientados a la prevención de discapacidad, rehabilitación, inclusión social y disminución del estigma.
Se brindó acompañamiento técnico en la jornada nacional de vacunación, desarrollando acciones informativas sobre esquema PAI, mitos y cuidados postvacunación, para fortalecer la adherencia y coberturas en la comunidad.
Se realizaron sesiones educativas en el marco de “Maternidad Segura y Bonita” en los barrios La Juventud (15 y 29/11), San Rafael (28/11) y La Feria (16 y 30/11), dirigidas a gestantes y familias para la promoción del autocuidado y signos de alarma.
se ejecutaron acciones comunitarias para la prevención del embarazo en adolescentes en Kennedy (5/11), Café Madrid (6/11), La Juventud (15/11), La Feria (16/11), Monterredondo (22/11) y Estoraques (23/11), fortaleciendo la toma de decisiones informadas sobre salud sexual y reproductiva.
Se implementaron cinco “Zonas de Escucha” como estrategia comunitaria de prevención del suicidio y promoción de la salud mental en el Parque San Francisco (1/11), Parque Centenario (8/11), Parque Santander (15/11), Custodio García Rovira (22/11) y Parque Antonia Santos (29/11), facilitando espacios de orientación y contención emocional.</t>
  </si>
  <si>
    <t>Se realiza diseño y planeación de las bases (geozonas del Municipio de Bucaramanga) correspondientes al  Sistema de Emergencias Médicas (Secretaria de Salud - IPS privadas ) delperiodo comprendido entre 01 de noviembre y el 31 noviembre de 2025 para garantizar la capacidad instalada para la atención prehospitalaria del municipio de Bucaramanga. 
Se genera informe de total de atenciones registradas durante el periodo de Noviembre 01 al 30 de noviembre de 2025 (informe de archivo excel total de atenciones plataforma 
Se reciben  1453 solictudes de atencion del Sistema de Emergencia Medica de las cuales :
corresponden a *SOAT- 670, Atenciones de paciente enfermo con urgencia vital  5
TOTAL ATENCIONES EFECTIVAS 770</t>
  </si>
  <si>
    <t>Se realiza el pago de la  LMA de los meses de Enero a octubre.</t>
  </si>
  <si>
    <t>No inició la ejecución de actividades.</t>
  </si>
  <si>
    <t>Contribución de vigilancia a favor de la supertintendencia nacional de salud enero a octubre</t>
  </si>
  <si>
    <t xml:space="preserve">Se realizaron 4 visitas de inspección y vigilancial a 4  IPS del municipio de Bucaramanga. Salud Familiar IPS, Instituto del corazón, ICSA instituto clínica de salud, DESAN policlínica.
En este mes se realizaron 104 atenciones psicosociales en modalidad individual y familiar de las cuales se beneficiaron 85 personas. Tambien se aplicaron 8 fichas. 
Personas atendidas desde el componente de PAPSIVI, para población víctima del conflicto armado, los siguientes valores: Marzo: 11 personas, Abril: 70  personas, Mayo: 38  personas, Junio:38 personas, Julio: 36 personas, Agosto: 0 personas NUEVAS, Septiembre: 38 personas, Octubre: 71 personas, Noviembre: 0 personas, Total 302 personas. 
</t>
  </si>
  <si>
    <t>Se firmó  contrato 228, para dar inicio a su ejecución</t>
  </si>
  <si>
    <t>Se apoyó la elaboración de la minuta del convenio de asociación celebrado entre el municipio de Bucaramanga y la Corporación Acción y Progreso Sostenible CAPS. Igualmente, se apoyó la gestión de la firma del Acta de Inicio del convenio</t>
  </si>
  <si>
    <t>Se realizó recorrido en el parque Carlos Enrique Virviescas, con el fin de identificar las áreas de siembra de bambú y guadua existentes en estos sectores. Durante la visita de campo se evidenció una amplia extensión de cobertura vegetal correspondiente a estos cultivos, por lo que se procedió a realizar la medición de cada uno de los puntos identificados para determinar el área aproximada de las manchas presentes.De igual manera se en el mes de noviembre de 2025 se complementa el plan de restauración que incluye las siguientes actividades:MANEJO SILVICULTURAL DE GUADUALES Y BAMBUSALES EN EL CONTEXTO URBANO DE BUCARAMANGA, PLAN DE RENOVACIÓN Y REPOBLACIÓN, y ESTRATEGIAS DE EDUCACIÓN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</si>
</sst>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 #,##0.00;\-&quot;$&quot;\ #,##0.00"/>
    <numFmt numFmtId="8" formatCode="&quot;$&quot;\ #,##0.00;[Red]\-&quot;$&quot;\ #,##0.00"/>
    <numFmt numFmtId="44" formatCode="_-&quot;$&quot;\ * #,##0.00_-;\-&quot;$&quot;\ * #,##0.00_-;_-&quot;$&quot;\ * &quot;-&quot;??_-;_-@_-"/>
    <numFmt numFmtId="164" formatCode="_(&quot;$&quot;* #,##0.00_);_(&quot;$&quot;* \(#,##0.00\);_(&quot;$&quot;* &quot;-&quot;??_);_(@_)"/>
    <numFmt numFmtId="165" formatCode="&quot;$&quot;\ #,##0.00"/>
  </numFmts>
  <fonts count="20">
    <font>
      <sz val="11"/>
      <color theme="1"/>
      <name val="Aptos Narrow"/>
      <family val="2"/>
      <scheme val="minor"/>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2"/>
      <color theme="1"/>
      <name val="Aptos Narrow"/>
      <family val="2"/>
    </font>
    <font>
      <b/>
      <sz val="12"/>
      <color theme="0"/>
      <name val="Aptos Narrow"/>
      <family val="2"/>
    </font>
    <font>
      <b/>
      <sz val="12"/>
      <color theme="1"/>
      <name val="Aptos Narrow"/>
      <family val="2"/>
    </font>
    <font>
      <sz val="12"/>
      <color theme="1"/>
      <name val="Arial Narrow"/>
      <family val="2"/>
    </font>
    <font>
      <b/>
      <sz val="12"/>
      <color theme="0"/>
      <name val="Arial Narrow"/>
      <family val="2"/>
    </font>
    <font>
      <b/>
      <sz val="12"/>
      <color theme="1"/>
      <name val="Arial Narrow"/>
      <family val="2"/>
    </font>
    <font>
      <b/>
      <sz val="12"/>
      <color rgb="FF002060"/>
      <name val="Arial Narrow"/>
      <family val="2"/>
    </font>
    <font>
      <sz val="12"/>
      <name val="Arial Narrow"/>
      <family val="2"/>
    </font>
    <font>
      <b/>
      <sz val="12"/>
      <name val="Arial Narrow"/>
      <family val="2"/>
    </font>
    <font>
      <sz val="12"/>
      <name val="Aptos Narrow"/>
      <family val="2"/>
    </font>
    <font>
      <b/>
      <sz val="12"/>
      <name val="Aptos Narrow"/>
      <family val="2"/>
    </font>
    <font>
      <b/>
      <sz val="12"/>
      <color rgb="FF00B050"/>
      <name val="Aptos Narrow"/>
      <family val="2"/>
    </font>
    <font>
      <sz val="10"/>
      <color theme="1"/>
      <name val="Arial"/>
      <family val="2"/>
    </font>
    <font>
      <b/>
      <sz val="16"/>
      <name val="Aptos Narrow"/>
      <family val="2"/>
    </font>
    <font>
      <sz val="16"/>
      <color theme="1"/>
      <name val="Aptos Narrow"/>
      <family val="2"/>
    </font>
  </fonts>
  <fills count="6">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243">
    <xf numFmtId="0" fontId="0" fillId="0" borderId="0" xfId="0"/>
    <xf numFmtId="0" fontId="7" fillId="0" borderId="2" xfId="0" applyFont="1" applyBorder="1" applyAlignment="1">
      <alignment horizontal="center" vertical="center" wrapText="1"/>
    </xf>
    <xf numFmtId="0" fontId="6" fillId="2" borderId="19"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7" fillId="0" borderId="7" xfId="0" applyFont="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9" fillId="2" borderId="5" xfId="0" applyFont="1" applyFill="1" applyBorder="1" applyAlignment="1">
      <alignment horizontal="center" vertical="center" wrapText="1"/>
    </xf>
    <xf numFmtId="0" fontId="10" fillId="0" borderId="2" xfId="0" applyFont="1" applyBorder="1" applyAlignment="1">
      <alignment horizontal="center" vertical="center" wrapText="1"/>
    </xf>
    <xf numFmtId="0" fontId="9" fillId="2" borderId="19" xfId="0" applyFont="1" applyFill="1" applyBorder="1" applyAlignment="1">
      <alignment horizontal="center" vertical="center" wrapText="1"/>
    </xf>
    <xf numFmtId="9" fontId="9" fillId="2" borderId="19" xfId="1"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9" fontId="10" fillId="0" borderId="0" xfId="1" applyFont="1" applyAlignment="1">
      <alignment horizontal="center" vertical="center"/>
    </xf>
    <xf numFmtId="0" fontId="10" fillId="0" borderId="7" xfId="0" applyFont="1" applyBorder="1" applyAlignment="1">
      <alignment horizontal="center" vertical="center"/>
    </xf>
    <xf numFmtId="0" fontId="10" fillId="0" borderId="0" xfId="0" applyFont="1" applyAlignment="1">
      <alignment vertical="center" wrapText="1"/>
    </xf>
    <xf numFmtId="9" fontId="10" fillId="0" borderId="0" xfId="1" applyFont="1" applyAlignment="1">
      <alignment vertical="center" wrapText="1"/>
    </xf>
    <xf numFmtId="0" fontId="10" fillId="0" borderId="0" xfId="0" applyFont="1" applyAlignment="1">
      <alignment vertical="center"/>
    </xf>
    <xf numFmtId="0" fontId="10" fillId="0" borderId="7" xfId="0" applyFont="1" applyBorder="1" applyAlignment="1">
      <alignment vertical="center"/>
    </xf>
    <xf numFmtId="0" fontId="10" fillId="2" borderId="19"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1" xfId="0" applyFont="1" applyBorder="1" applyAlignment="1" applyProtection="1">
      <alignment horizontal="center" vertical="center" wrapText="1"/>
      <protection locked="0"/>
    </xf>
    <xf numFmtId="9" fontId="12" fillId="3" borderId="1" xfId="1" applyFont="1" applyFill="1" applyBorder="1" applyAlignment="1">
      <alignment horizontal="center" vertical="center" wrapText="1"/>
    </xf>
    <xf numFmtId="9" fontId="12" fillId="3" borderId="22" xfId="1" applyFont="1" applyFill="1" applyBorder="1" applyAlignment="1">
      <alignment horizontal="center" vertical="center" wrapText="1"/>
    </xf>
    <xf numFmtId="44" fontId="13" fillId="0" borderId="22" xfId="0" applyNumberFormat="1" applyFont="1" applyBorder="1" applyAlignment="1" applyProtection="1">
      <alignment horizontal="center" vertical="center" wrapText="1"/>
      <protection locked="0"/>
    </xf>
    <xf numFmtId="44" fontId="13" fillId="0" borderId="1" xfId="0" applyNumberFormat="1" applyFont="1" applyBorder="1" applyAlignment="1" applyProtection="1">
      <alignment horizontal="center" vertical="center"/>
      <protection locked="0"/>
    </xf>
    <xf numFmtId="9" fontId="12" fillId="0" borderId="21" xfId="1" applyFont="1" applyBorder="1" applyAlignment="1" applyProtection="1">
      <alignment horizontal="center" vertical="center" wrapText="1"/>
      <protection locked="0"/>
    </xf>
    <xf numFmtId="9" fontId="12" fillId="0" borderId="1" xfId="1" applyFont="1" applyBorder="1" applyAlignment="1" applyProtection="1">
      <alignment horizontal="center" vertical="center" wrapText="1"/>
      <protection locked="0"/>
    </xf>
    <xf numFmtId="9" fontId="12" fillId="0" borderId="22" xfId="1" applyFont="1" applyBorder="1" applyAlignment="1" applyProtection="1">
      <alignment horizontal="center" vertical="center" wrapText="1"/>
      <protection locked="0"/>
    </xf>
    <xf numFmtId="44" fontId="12" fillId="0" borderId="10" xfId="1" applyNumberFormat="1" applyFont="1" applyBorder="1" applyAlignment="1" applyProtection="1">
      <alignment horizontal="center" vertical="center" wrapText="1"/>
      <protection locked="0"/>
    </xf>
    <xf numFmtId="9" fontId="12" fillId="0" borderId="8" xfId="1" applyFont="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8" fillId="0" borderId="0" xfId="0" applyFont="1" applyAlignment="1">
      <alignment horizontal="center" vertical="center" wrapText="1"/>
    </xf>
    <xf numFmtId="9" fontId="12" fillId="4" borderId="1" xfId="1" applyFont="1" applyFill="1" applyBorder="1" applyAlignment="1">
      <alignment horizontal="center" vertical="center" wrapText="1"/>
    </xf>
    <xf numFmtId="0" fontId="8" fillId="0" borderId="0" xfId="0" applyFont="1" applyAlignment="1">
      <alignment horizontal="center" vertical="center"/>
    </xf>
    <xf numFmtId="0" fontId="8" fillId="0" borderId="11" xfId="0" applyFont="1" applyBorder="1" applyAlignment="1">
      <alignment horizontal="center" vertical="center"/>
    </xf>
    <xf numFmtId="44" fontId="12" fillId="0" borderId="21" xfId="1" applyNumberFormat="1" applyFont="1" applyBorder="1" applyAlignment="1" applyProtection="1">
      <alignment horizontal="center" vertical="center" wrapText="1"/>
      <protection locked="0"/>
    </xf>
    <xf numFmtId="10" fontId="8" fillId="0" borderId="0" xfId="0" applyNumberFormat="1" applyFont="1" applyAlignment="1">
      <alignment horizontal="center" vertical="center"/>
    </xf>
    <xf numFmtId="44" fontId="10" fillId="0" borderId="0" xfId="0" applyNumberFormat="1" applyFont="1" applyAlignment="1">
      <alignment horizontal="center" vertical="center"/>
    </xf>
    <xf numFmtId="44" fontId="10" fillId="0" borderId="0" xfId="2" applyFont="1" applyAlignment="1">
      <alignment horizontal="center" vertical="center"/>
    </xf>
    <xf numFmtId="2" fontId="12" fillId="0" borderId="21" xfId="0" applyNumberFormat="1" applyFont="1" applyBorder="1" applyAlignment="1" applyProtection="1">
      <alignment horizontal="center" vertical="center" wrapText="1"/>
      <protection locked="0"/>
    </xf>
    <xf numFmtId="164" fontId="10" fillId="0" borderId="0" xfId="0" applyNumberFormat="1" applyFont="1" applyAlignment="1">
      <alignment horizontal="center" vertical="center"/>
    </xf>
    <xf numFmtId="3" fontId="1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28"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justify" vertical="center" wrapText="1"/>
      <protection locked="0"/>
    </xf>
    <xf numFmtId="165" fontId="5" fillId="0" borderId="28"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5" fontId="5" fillId="0" borderId="1" xfId="0" applyNumberFormat="1" applyFont="1" applyBorder="1" applyAlignment="1" applyProtection="1">
      <alignment horizontal="center" vertical="center"/>
      <protection locked="0"/>
    </xf>
    <xf numFmtId="0" fontId="5" fillId="0" borderId="28" xfId="0" applyFont="1" applyBorder="1" applyAlignment="1">
      <alignment horizontal="center" vertical="center" wrapText="1"/>
    </xf>
    <xf numFmtId="1" fontId="5" fillId="0" borderId="1" xfId="0" applyNumberFormat="1" applyFont="1" applyBorder="1" applyAlignment="1" applyProtection="1">
      <alignment horizontal="center" vertical="center"/>
      <protection locked="0"/>
    </xf>
    <xf numFmtId="3" fontId="5" fillId="0" borderId="28" xfId="0" applyNumberFormat="1" applyFont="1" applyBorder="1" applyAlignment="1" applyProtection="1">
      <alignment horizontal="center" vertical="center" wrapText="1"/>
      <protection locked="0"/>
    </xf>
    <xf numFmtId="165" fontId="5" fillId="0" borderId="28" xfId="0" applyNumberFormat="1" applyFont="1" applyBorder="1" applyAlignment="1" applyProtection="1">
      <alignment horizontal="center" vertical="center"/>
      <protection locked="0"/>
    </xf>
    <xf numFmtId="3" fontId="5" fillId="4" borderId="28"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48" xfId="0" applyFont="1" applyBorder="1" applyAlignment="1">
      <alignment horizontal="center" vertical="center" wrapText="1"/>
    </xf>
    <xf numFmtId="1" fontId="5" fillId="0" borderId="47" xfId="0" applyNumberFormat="1" applyFont="1" applyBorder="1" applyAlignment="1" applyProtection="1">
      <alignment horizontal="center" vertical="center"/>
      <protection locked="0"/>
    </xf>
    <xf numFmtId="0" fontId="5" fillId="0" borderId="47" xfId="0" applyFont="1" applyBorder="1" applyAlignment="1" applyProtection="1">
      <alignment horizontal="justify" vertical="center" wrapText="1"/>
      <protection locked="0"/>
    </xf>
    <xf numFmtId="165" fontId="5" fillId="0" borderId="47" xfId="0" applyNumberFormat="1" applyFont="1" applyBorder="1" applyAlignment="1" applyProtection="1">
      <alignment horizontal="right" vertical="center"/>
      <protection locked="0"/>
    </xf>
    <xf numFmtId="0" fontId="5" fillId="0" borderId="47" xfId="0" applyFont="1" applyBorder="1" applyAlignment="1" applyProtection="1">
      <alignment horizontal="center" vertical="center"/>
      <protection locked="0"/>
    </xf>
    <xf numFmtId="165" fontId="5" fillId="0" borderId="47" xfId="0" applyNumberFormat="1" applyFont="1" applyBorder="1" applyAlignment="1" applyProtection="1">
      <alignment horizontal="center" vertical="center"/>
      <protection locked="0"/>
    </xf>
    <xf numFmtId="44" fontId="5" fillId="0" borderId="49" xfId="0" applyNumberFormat="1" applyFont="1" applyBorder="1" applyAlignment="1" applyProtection="1">
      <alignment horizontal="center" vertical="center"/>
      <protection locked="0"/>
    </xf>
    <xf numFmtId="44" fontId="5" fillId="0" borderId="47" xfId="0" applyNumberFormat="1" applyFont="1" applyBorder="1" applyAlignment="1" applyProtection="1">
      <alignment horizontal="center" vertical="center"/>
      <protection locked="0"/>
    </xf>
    <xf numFmtId="0" fontId="5" fillId="0" borderId="47" xfId="0" applyFont="1" applyBorder="1" applyAlignment="1">
      <alignment horizontal="center" vertical="center" wrapText="1"/>
    </xf>
    <xf numFmtId="8" fontId="7" fillId="0" borderId="0" xfId="0" applyNumberFormat="1" applyFont="1" applyAlignment="1">
      <alignment horizontal="center" vertical="center"/>
    </xf>
    <xf numFmtId="4" fontId="7" fillId="0" borderId="0" xfId="0" applyNumberFormat="1" applyFont="1" applyAlignment="1">
      <alignment horizontal="center" vertical="center"/>
    </xf>
    <xf numFmtId="165" fontId="7" fillId="0" borderId="0" xfId="0" applyNumberFormat="1" applyFont="1" applyAlignment="1">
      <alignment horizontal="center" vertical="center"/>
    </xf>
    <xf numFmtId="0" fontId="6" fillId="0" borderId="0" xfId="0" applyFont="1" applyAlignment="1">
      <alignment horizontal="center" vertical="center" wrapText="1"/>
    </xf>
    <xf numFmtId="3" fontId="12" fillId="0" borderId="21" xfId="0" applyNumberFormat="1" applyFont="1" applyBorder="1" applyAlignment="1" applyProtection="1">
      <alignment horizontal="center" vertical="center" wrapText="1"/>
      <protection locked="0"/>
    </xf>
    <xf numFmtId="1" fontId="12" fillId="3" borderId="21" xfId="0" applyNumberFormat="1" applyFont="1" applyFill="1" applyBorder="1" applyAlignment="1" applyProtection="1">
      <alignment horizontal="center" vertical="center" wrapText="1"/>
      <protection locked="0"/>
    </xf>
    <xf numFmtId="44" fontId="12" fillId="0" borderId="21" xfId="0" applyNumberFormat="1" applyFont="1" applyBorder="1" applyAlignment="1" applyProtection="1">
      <alignment horizontal="center" vertical="center" wrapText="1"/>
      <protection locked="0"/>
    </xf>
    <xf numFmtId="44" fontId="12" fillId="0" borderId="1" xfId="0" applyNumberFormat="1" applyFont="1" applyBorder="1" applyAlignment="1" applyProtection="1">
      <alignment horizontal="center" vertical="center" wrapText="1"/>
      <protection locked="0"/>
    </xf>
    <xf numFmtId="44" fontId="12" fillId="0" borderId="21" xfId="2" applyFont="1" applyBorder="1" applyAlignment="1" applyProtection="1">
      <alignment horizontal="center" vertical="center"/>
      <protection locked="0"/>
    </xf>
    <xf numFmtId="44" fontId="12" fillId="0" borderId="1" xfId="2" applyFont="1" applyBorder="1" applyAlignment="1" applyProtection="1">
      <alignment horizontal="center" vertical="center" wrapText="1"/>
      <protection locked="0"/>
    </xf>
    <xf numFmtId="44" fontId="8" fillId="0" borderId="1" xfId="2" applyFont="1" applyBorder="1" applyAlignment="1">
      <alignment horizontal="center" vertical="center"/>
    </xf>
    <xf numFmtId="44" fontId="12" fillId="0" borderId="22" xfId="2"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165" fontId="14" fillId="0" borderId="1" xfId="2" applyNumberFormat="1" applyFont="1" applyBorder="1" applyAlignment="1" applyProtection="1">
      <alignment horizontal="center" vertical="center" wrapText="1"/>
      <protection locked="0"/>
    </xf>
    <xf numFmtId="165" fontId="14" fillId="0" borderId="1" xfId="2" applyNumberFormat="1" applyFont="1" applyBorder="1" applyAlignment="1" applyProtection="1">
      <alignment horizontal="center" vertical="center"/>
      <protection locked="0"/>
    </xf>
    <xf numFmtId="165" fontId="15" fillId="0" borderId="22" xfId="2"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3" fontId="5" fillId="0" borderId="1" xfId="0" applyNumberFormat="1" applyFont="1" applyBorder="1" applyAlignment="1" applyProtection="1">
      <alignment horizontal="center" vertical="center"/>
      <protection locked="0"/>
    </xf>
    <xf numFmtId="7" fontId="7" fillId="0" borderId="0" xfId="0" applyNumberFormat="1" applyFont="1" applyAlignment="1" applyProtection="1">
      <alignment horizontal="center" vertical="center"/>
      <protection locked="0"/>
    </xf>
    <xf numFmtId="7" fontId="7" fillId="0" borderId="0" xfId="0" applyNumberFormat="1" applyFont="1" applyAlignment="1">
      <alignment horizontal="center" vertical="center"/>
    </xf>
    <xf numFmtId="0" fontId="6" fillId="2" borderId="19" xfId="0" applyFont="1" applyFill="1" applyBorder="1" applyAlignment="1">
      <alignment horizontal="center" vertical="center"/>
    </xf>
    <xf numFmtId="165" fontId="14" fillId="0" borderId="1" xfId="0" applyNumberFormat="1" applyFont="1" applyBorder="1" applyAlignment="1" applyProtection="1">
      <alignment horizontal="center" vertical="center"/>
      <protection locked="0"/>
    </xf>
    <xf numFmtId="165" fontId="14" fillId="0" borderId="28"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wrapText="1"/>
      <protection locked="0"/>
    </xf>
    <xf numFmtId="165" fontId="15" fillId="0" borderId="22" xfId="0" applyNumberFormat="1" applyFont="1" applyBorder="1" applyAlignment="1" applyProtection="1">
      <alignment horizontal="center" vertical="center" wrapText="1"/>
      <protection locked="0"/>
    </xf>
    <xf numFmtId="165" fontId="14" fillId="0" borderId="28" xfId="0" applyNumberFormat="1" applyFont="1" applyBorder="1" applyAlignment="1">
      <alignment horizontal="center" vertical="center" wrapText="1"/>
    </xf>
    <xf numFmtId="165" fontId="15" fillId="0" borderId="1" xfId="0" applyNumberFormat="1" applyFont="1" applyBorder="1" applyAlignment="1" applyProtection="1">
      <alignment horizontal="center" vertical="center" wrapText="1"/>
      <protection locked="0"/>
    </xf>
    <xf numFmtId="165" fontId="15" fillId="0" borderId="1" xfId="0" applyNumberFormat="1" applyFont="1" applyBorder="1" applyAlignment="1" applyProtection="1">
      <alignment horizontal="center" vertical="center"/>
      <protection locked="0"/>
    </xf>
    <xf numFmtId="9" fontId="14" fillId="0" borderId="21" xfId="1" applyFont="1" applyBorder="1" applyAlignment="1" applyProtection="1">
      <alignment horizontal="center" vertical="center" wrapText="1"/>
      <protection locked="0"/>
    </xf>
    <xf numFmtId="9" fontId="14" fillId="0" borderId="1" xfId="1" applyFont="1" applyBorder="1" applyAlignment="1" applyProtection="1">
      <alignment horizontal="center" vertical="center" wrapText="1"/>
      <protection locked="0"/>
    </xf>
    <xf numFmtId="9" fontId="14" fillId="0" borderId="22" xfId="1" applyFont="1" applyBorder="1" applyAlignment="1" applyProtection="1">
      <alignment horizontal="center" vertical="center" wrapText="1"/>
      <protection locked="0"/>
    </xf>
    <xf numFmtId="44" fontId="14" fillId="0" borderId="8"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28" xfId="0" applyFont="1" applyBorder="1" applyAlignment="1">
      <alignment horizontal="center" vertical="center" wrapText="1"/>
    </xf>
    <xf numFmtId="165" fontId="14" fillId="0" borderId="28" xfId="0" applyNumberFormat="1" applyFont="1" applyBorder="1" applyAlignment="1" applyProtection="1">
      <alignment horizontal="center" vertical="center"/>
      <protection locked="0"/>
    </xf>
    <xf numFmtId="165" fontId="15" fillId="0" borderId="22" xfId="0" applyNumberFormat="1" applyFont="1" applyBorder="1" applyAlignment="1" applyProtection="1">
      <alignment horizontal="center" vertical="center"/>
      <protection locked="0"/>
    </xf>
    <xf numFmtId="165" fontId="15" fillId="0" borderId="28" xfId="0" applyNumberFormat="1" applyFont="1" applyBorder="1" applyAlignment="1">
      <alignment horizontal="center" vertical="center" wrapText="1"/>
    </xf>
    <xf numFmtId="165" fontId="15" fillId="0" borderId="1" xfId="2" applyNumberFormat="1" applyFont="1" applyFill="1" applyBorder="1" applyAlignment="1" applyProtection="1">
      <alignment horizontal="center" vertical="center"/>
      <protection locked="0"/>
    </xf>
    <xf numFmtId="9" fontId="14" fillId="0" borderId="21" xfId="1" applyFont="1" applyBorder="1" applyAlignment="1" applyProtection="1">
      <alignment horizontal="center" vertical="center"/>
      <protection locked="0"/>
    </xf>
    <xf numFmtId="165" fontId="14" fillId="0" borderId="1" xfId="2" applyNumberFormat="1" applyFont="1" applyFill="1" applyBorder="1" applyAlignment="1" applyProtection="1">
      <alignment horizontal="center" vertical="center"/>
      <protection locked="0"/>
    </xf>
    <xf numFmtId="44" fontId="14" fillId="0" borderId="8" xfId="0" applyNumberFormat="1" applyFont="1" applyBorder="1" applyAlignment="1" applyProtection="1">
      <alignment horizontal="center" vertical="center"/>
      <protection locked="0"/>
    </xf>
    <xf numFmtId="9" fontId="14" fillId="0" borderId="1" xfId="1" applyFont="1" applyBorder="1" applyAlignment="1" applyProtection="1">
      <alignment horizontal="center" vertical="center"/>
      <protection locked="0"/>
    </xf>
    <xf numFmtId="9" fontId="14" fillId="0" borderId="22" xfId="1" applyFont="1" applyBorder="1" applyAlignment="1" applyProtection="1">
      <alignment horizontal="center" vertical="center"/>
      <protection locked="0"/>
    </xf>
    <xf numFmtId="0" fontId="5" fillId="0" borderId="48" xfId="0" applyFont="1" applyBorder="1" applyAlignment="1" applyProtection="1">
      <alignment horizontal="justify" vertical="center" wrapText="1"/>
      <protection locked="0"/>
    </xf>
    <xf numFmtId="0" fontId="5" fillId="0" borderId="48" xfId="0" applyFont="1" applyBorder="1" applyAlignment="1" applyProtection="1">
      <alignment horizontal="center" vertical="center" wrapText="1"/>
      <protection locked="0"/>
    </xf>
    <xf numFmtId="3" fontId="5" fillId="0" borderId="48" xfId="0" applyNumberFormat="1" applyFont="1" applyBorder="1" applyAlignment="1" applyProtection="1">
      <alignment horizontal="center" vertical="center" wrapText="1"/>
      <protection locked="0"/>
    </xf>
    <xf numFmtId="165" fontId="14" fillId="0" borderId="47" xfId="0" applyNumberFormat="1" applyFont="1" applyBorder="1" applyAlignment="1" applyProtection="1">
      <alignment horizontal="center" vertical="center"/>
      <protection locked="0"/>
    </xf>
    <xf numFmtId="165" fontId="14" fillId="0" borderId="48" xfId="0" applyNumberFormat="1" applyFont="1" applyBorder="1" applyAlignment="1" applyProtection="1">
      <alignment horizontal="center" vertical="center"/>
      <protection locked="0"/>
    </xf>
    <xf numFmtId="165" fontId="15" fillId="0" borderId="50" xfId="0" applyNumberFormat="1" applyFont="1" applyBorder="1" applyAlignment="1" applyProtection="1">
      <alignment horizontal="center" vertical="center"/>
      <protection locked="0"/>
    </xf>
    <xf numFmtId="165" fontId="14" fillId="0" borderId="48" xfId="0" applyNumberFormat="1" applyFont="1" applyBorder="1" applyAlignment="1">
      <alignment horizontal="center" vertical="center" wrapText="1"/>
    </xf>
    <xf numFmtId="165" fontId="15" fillId="0" borderId="47" xfId="0" applyNumberFormat="1" applyFont="1" applyBorder="1" applyAlignment="1" applyProtection="1">
      <alignment horizontal="center" vertical="center"/>
      <protection locked="0"/>
    </xf>
    <xf numFmtId="165" fontId="15" fillId="0" borderId="48" xfId="0" applyNumberFormat="1" applyFont="1" applyBorder="1" applyAlignment="1">
      <alignment horizontal="center" vertical="center" wrapText="1"/>
    </xf>
    <xf numFmtId="165" fontId="15" fillId="0" borderId="47" xfId="2" applyNumberFormat="1" applyFont="1" applyFill="1" applyBorder="1" applyAlignment="1" applyProtection="1">
      <alignment horizontal="center" vertical="center"/>
      <protection locked="0"/>
    </xf>
    <xf numFmtId="9" fontId="14" fillId="0" borderId="49" xfId="1" applyFont="1" applyBorder="1" applyAlignment="1" applyProtection="1">
      <alignment horizontal="center" vertical="center"/>
      <protection locked="0"/>
    </xf>
    <xf numFmtId="10" fontId="14" fillId="0" borderId="47" xfId="1" applyNumberFormat="1" applyFont="1" applyBorder="1" applyAlignment="1" applyProtection="1">
      <alignment horizontal="center" vertical="center"/>
      <protection locked="0"/>
    </xf>
    <xf numFmtId="9" fontId="14" fillId="0" borderId="50" xfId="1" applyFont="1" applyBorder="1" applyAlignment="1" applyProtection="1">
      <alignment horizontal="center" vertical="center"/>
      <protection locked="0"/>
    </xf>
    <xf numFmtId="165" fontId="14" fillId="0" borderId="47" xfId="2" applyNumberFormat="1" applyFont="1" applyFill="1" applyBorder="1" applyAlignment="1" applyProtection="1">
      <alignment horizontal="center" vertical="center"/>
      <protection locked="0"/>
    </xf>
    <xf numFmtId="44" fontId="14" fillId="0" borderId="51" xfId="0" applyNumberFormat="1" applyFont="1" applyBorder="1" applyAlignment="1" applyProtection="1">
      <alignment horizontal="center" vertical="center"/>
      <protection locked="0"/>
    </xf>
    <xf numFmtId="0" fontId="14" fillId="0" borderId="48" xfId="0" applyFont="1" applyBorder="1" applyAlignment="1">
      <alignment horizontal="center" vertical="center" wrapText="1"/>
    </xf>
    <xf numFmtId="44" fontId="14" fillId="0" borderId="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165" fontId="15" fillId="0" borderId="52" xfId="0" applyNumberFormat="1" applyFont="1" applyBorder="1" applyAlignment="1" applyProtection="1">
      <alignment horizontal="center" vertical="center" wrapText="1"/>
      <protection locked="0"/>
    </xf>
    <xf numFmtId="165" fontId="15" fillId="0" borderId="28" xfId="0" applyNumberFormat="1" applyFont="1" applyBorder="1" applyAlignment="1" applyProtection="1">
      <alignment horizontal="center" vertical="center" wrapText="1"/>
      <protection locked="0"/>
    </xf>
    <xf numFmtId="165" fontId="15" fillId="0" borderId="28" xfId="0" applyNumberFormat="1" applyFont="1" applyBorder="1" applyAlignment="1" applyProtection="1">
      <alignment horizontal="center" vertical="center"/>
      <protection locked="0"/>
    </xf>
    <xf numFmtId="9" fontId="14" fillId="0" borderId="53" xfId="1" applyFont="1" applyBorder="1" applyAlignment="1" applyProtection="1">
      <alignment horizontal="center" vertical="center" wrapText="1"/>
      <protection locked="0"/>
    </xf>
    <xf numFmtId="9" fontId="14" fillId="0" borderId="28" xfId="1" applyFont="1" applyBorder="1" applyAlignment="1" applyProtection="1">
      <alignment horizontal="center" vertical="center" wrapText="1"/>
      <protection locked="0"/>
    </xf>
    <xf numFmtId="9" fontId="14" fillId="0" borderId="52" xfId="1" applyFont="1" applyBorder="1" applyAlignment="1" applyProtection="1">
      <alignment horizontal="center" vertical="center" wrapText="1"/>
      <protection locked="0"/>
    </xf>
    <xf numFmtId="44" fontId="14" fillId="0" borderId="54" xfId="0" applyNumberFormat="1" applyFont="1" applyBorder="1" applyAlignment="1" applyProtection="1">
      <alignment horizontal="center" vertical="center" wrapText="1"/>
      <protection locked="0"/>
    </xf>
    <xf numFmtId="165" fontId="14" fillId="0" borderId="28" xfId="2" applyNumberFormat="1" applyFont="1" applyBorder="1" applyAlignment="1" applyProtection="1">
      <alignment horizontal="center" vertical="center" wrapText="1"/>
      <protection locked="0"/>
    </xf>
    <xf numFmtId="165" fontId="15" fillId="0" borderId="1" xfId="2" applyNumberFormat="1" applyFont="1" applyBorder="1" applyAlignment="1" applyProtection="1">
      <alignment horizontal="center" vertical="center"/>
      <protection locked="0"/>
    </xf>
    <xf numFmtId="165" fontId="14" fillId="0" borderId="28" xfId="2" applyNumberFormat="1" applyFont="1" applyBorder="1" applyAlignment="1" applyProtection="1">
      <alignment horizontal="center" vertical="center"/>
      <protection locked="0"/>
    </xf>
    <xf numFmtId="165" fontId="15" fillId="0" borderId="22" xfId="2" applyNumberFormat="1" applyFont="1" applyBorder="1" applyAlignment="1" applyProtection="1">
      <alignment horizontal="center" vertical="center"/>
      <protection locked="0"/>
    </xf>
    <xf numFmtId="3" fontId="5" fillId="3" borderId="28" xfId="0" applyNumberFormat="1" applyFont="1" applyFill="1" applyBorder="1" applyAlignment="1" applyProtection="1">
      <alignment horizontal="center" vertical="center" wrapText="1"/>
      <protection locked="0"/>
    </xf>
    <xf numFmtId="165" fontId="14" fillId="0" borderId="8" xfId="2" applyNumberFormat="1" applyFont="1" applyBorder="1" applyAlignment="1" applyProtection="1">
      <alignment horizontal="center" vertical="center"/>
      <protection locked="0"/>
    </xf>
    <xf numFmtId="165" fontId="14" fillId="0" borderId="10" xfId="2" applyNumberFormat="1" applyFont="1" applyFill="1" applyBorder="1" applyAlignment="1" applyProtection="1">
      <alignment horizontal="center" vertical="center"/>
      <protection locked="0"/>
    </xf>
    <xf numFmtId="165" fontId="14" fillId="0" borderId="28" xfId="2" applyNumberFormat="1" applyFont="1" applyBorder="1" applyAlignment="1">
      <alignment horizontal="center" vertical="center" wrapText="1"/>
    </xf>
    <xf numFmtId="165" fontId="15" fillId="0" borderId="28" xfId="2" applyNumberFormat="1" applyFont="1" applyFill="1" applyBorder="1" applyAlignment="1">
      <alignment horizontal="center" vertical="center" wrapText="1"/>
    </xf>
    <xf numFmtId="165" fontId="15" fillId="0" borderId="28" xfId="2" applyNumberFormat="1" applyFont="1" applyBorder="1" applyAlignment="1">
      <alignment horizontal="center" vertical="center" wrapText="1"/>
    </xf>
    <xf numFmtId="165" fontId="15" fillId="0" borderId="1" xfId="2" applyNumberFormat="1" applyFont="1" applyBorder="1" applyAlignment="1" applyProtection="1">
      <alignment horizontal="center" vertical="center" wrapText="1"/>
      <protection locked="0"/>
    </xf>
    <xf numFmtId="0" fontId="7" fillId="4" borderId="0" xfId="0" applyFont="1" applyFill="1" applyAlignment="1">
      <alignment horizontal="center" vertical="center"/>
    </xf>
    <xf numFmtId="0" fontId="17" fillId="0" borderId="0" xfId="0" applyFont="1"/>
    <xf numFmtId="165" fontId="7" fillId="0" borderId="0" xfId="2" applyNumberFormat="1" applyFont="1" applyBorder="1" applyAlignment="1" applyProtection="1">
      <alignment horizontal="center" vertical="center" wrapText="1"/>
      <protection locked="0"/>
    </xf>
    <xf numFmtId="0" fontId="16" fillId="0" borderId="0" xfId="0" applyFont="1" applyAlignment="1">
      <alignment horizontal="center" vertical="center"/>
    </xf>
    <xf numFmtId="7" fontId="16" fillId="0" borderId="0" xfId="0" applyNumberFormat="1" applyFont="1" applyAlignment="1">
      <alignment horizontal="center" vertical="center"/>
    </xf>
    <xf numFmtId="165" fontId="16" fillId="0" borderId="0" xfId="0" applyNumberFormat="1" applyFont="1" applyAlignment="1">
      <alignment horizontal="center" vertical="center"/>
    </xf>
    <xf numFmtId="165" fontId="5" fillId="0" borderId="0" xfId="2" applyNumberFormat="1" applyFont="1" applyFill="1" applyBorder="1" applyAlignment="1">
      <alignment horizontal="center" vertical="center"/>
    </xf>
    <xf numFmtId="0" fontId="12" fillId="0" borderId="21" xfId="0"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5" fillId="0" borderId="1" xfId="0" applyFont="1" applyBorder="1" applyAlignment="1" applyProtection="1">
      <alignment horizontal="justify" wrapText="1"/>
      <protection locked="0"/>
    </xf>
    <xf numFmtId="7" fontId="18" fillId="5" borderId="47" xfId="0" applyNumberFormat="1" applyFont="1" applyFill="1" applyBorder="1" applyAlignment="1" applyProtection="1">
      <alignment horizontal="center" vertical="center"/>
      <protection locked="0"/>
    </xf>
    <xf numFmtId="165" fontId="19" fillId="5" borderId="47" xfId="0" applyNumberFormat="1" applyFont="1" applyFill="1" applyBorder="1" applyAlignment="1" applyProtection="1">
      <alignment horizontal="center" vertical="center"/>
      <protection locked="0"/>
    </xf>
    <xf numFmtId="0" fontId="19" fillId="5" borderId="47" xfId="0" applyFont="1" applyFill="1" applyBorder="1" applyAlignment="1" applyProtection="1">
      <alignment horizontal="center" vertical="center"/>
      <protection locked="0"/>
    </xf>
    <xf numFmtId="7" fontId="15" fillId="0" borderId="55" xfId="0" applyNumberFormat="1" applyFont="1" applyBorder="1" applyAlignment="1" applyProtection="1">
      <alignment horizontal="center" vertical="center"/>
      <protection locked="0"/>
    </xf>
    <xf numFmtId="0" fontId="6" fillId="2" borderId="17"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8" xfId="0" applyFont="1" applyBorder="1" applyAlignment="1">
      <alignment horizontal="left" vertical="center"/>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9" fillId="2" borderId="1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9" fontId="9" fillId="2" borderId="4" xfId="1" applyFont="1" applyFill="1" applyBorder="1" applyAlignment="1">
      <alignment horizontal="center" vertical="center" wrapText="1"/>
    </xf>
    <xf numFmtId="9" fontId="9" fillId="2" borderId="3" xfId="1" applyFont="1" applyFill="1" applyBorder="1" applyAlignment="1">
      <alignment horizontal="center" vertical="center" wrapText="1"/>
    </xf>
    <xf numFmtId="9" fontId="9" fillId="2" borderId="13" xfId="1" applyFont="1" applyFill="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3" xfId="0" applyFont="1" applyBorder="1" applyAlignment="1">
      <alignment horizontal="center" vertical="center" wrapText="1"/>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38" xfId="0" applyFont="1" applyBorder="1" applyAlignment="1">
      <alignmen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8" xfId="0" applyFont="1" applyBorder="1" applyAlignment="1">
      <alignment horizontal="left" vertical="center"/>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cellXfs>
  <cellStyles count="3">
    <cellStyle name="Moneda" xfId="2" builtinId="4"/>
    <cellStyle name="Normal" xfId="0" builtinId="0"/>
    <cellStyle name="Porcentaje" xfId="1" builtinId="5"/>
  </cellStyles>
  <dxfs count="182">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strike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numFmt numFmtId="34" formatCode="_-&quot;$&quot;\ * #,##0.00_-;\-&quot;$&quot;\ * #,##0.00_-;_-&quot;$&quot;\ * &quot;-&quot;??_-;_-@_-"/>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Narrow"/>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Narrow"/>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Narrow"/>
        <scheme val="none"/>
      </font>
      <numFmt numFmtId="1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auto="1"/>
        <name val="Arial Narrow"/>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Narrow"/>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34" formatCode="_-&quot;$&quot;\ * #,##0.00_-;\-&quot;$&quot;\ * #,##0.00_-;_-&quot;$&quot;\ *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34" formatCode="_-&quot;$&quot;\ * #,##0.00_-;\-&quot;$&quot;\ * #,##0.00_-;_-&quot;$&quot;\ * &quot;-&quot;??_-;_-@_-"/>
      <alignment horizontal="center" vertical="center" textRotation="0" wrapText="0"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6"/>
        <color auto="1"/>
        <name val="Aptos Narrow"/>
        <family val="2"/>
        <scheme val="none"/>
      </font>
      <numFmt numFmtId="11" formatCode="&quot;$&quot;\ #,##0.00;\-&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6"/>
        <color auto="1"/>
        <name val="Aptos Narrow"/>
        <family val="2"/>
        <scheme val="none"/>
      </font>
      <numFmt numFmtId="11" formatCode="&quot;$&quot;\ #,##0.00;\-&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i val="0"/>
        <strike val="0"/>
        <condense val="0"/>
        <extend val="0"/>
        <outline val="0"/>
        <shadow val="0"/>
        <u val="none"/>
        <vertAlign val="baseline"/>
        <sz val="16"/>
        <color auto="1"/>
        <name val="Aptos Narrow"/>
        <family val="2"/>
        <scheme val="none"/>
      </font>
      <numFmt numFmtId="11" formatCode="&quot;$&quot;\ #,##0.00;\-&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6"/>
        <color theme="1"/>
        <name val="Aptos Narrow"/>
        <family val="2"/>
        <scheme val="none"/>
      </font>
      <numFmt numFmtId="165" formatCode="&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6"/>
        <color auto="1"/>
        <name val="Aptos Narrow"/>
        <family val="2"/>
        <scheme val="none"/>
      </font>
      <numFmt numFmtId="11" formatCode="&quot;$&quot;\ #,##0.00;\-&quot;$&quot;\ #,##0.00"/>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family val="2"/>
        <scheme val="none"/>
      </font>
      <numFmt numFmtId="165" formatCode="&quot;$&quot;\ #,##0.00"/>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numFmt numFmtId="165" formatCode="&quot;$&quot;\ #,##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family val="2"/>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family val="2"/>
        <scheme val="none"/>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Aptos Narrow"/>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ptos Narrow"/>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u val="none"/>
        <vertAlign val="baseline"/>
        <sz val="12"/>
        <color theme="1"/>
        <name val="Aptos Narrow"/>
        <scheme val="none"/>
      </font>
    </dxf>
    <dxf>
      <border outline="0">
        <bottom style="thin">
          <color rgb="FF000000"/>
        </bottom>
      </border>
    </dxf>
    <dxf>
      <font>
        <b val="0"/>
        <i val="0"/>
        <strike val="0"/>
        <condense val="0"/>
        <extend val="0"/>
        <outline val="0"/>
        <shadow val="0"/>
        <u val="none"/>
        <vertAlign val="baseline"/>
        <sz val="12"/>
        <color theme="1"/>
        <name val="Aptos Narrow"/>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ptos Narrow"/>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81"/>
    </tableStyle>
    <tableStyle name="Estilo de tabla 4" pivot="0" count="1" xr9:uid="{00000000-0011-0000-FFFF-FFFF03000000}">
      <tableStyleElement type="firstRowStripe" dxfId="1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4</xdr:row>
      <xdr:rowOff>38100</xdr:rowOff>
    </xdr:from>
    <xdr:to>
      <xdr:col>0</xdr:col>
      <xdr:colOff>1530350</xdr:colOff>
      <xdr:row>6</xdr:row>
      <xdr:rowOff>426081</xdr:rowOff>
    </xdr:to>
    <xdr:pic>
      <xdr:nvPicPr>
        <xdr:cNvPr id="2" name="Imagen 1">
          <a:extLst>
            <a:ext uri="{FF2B5EF4-FFF2-40B4-BE49-F238E27FC236}">
              <a16:creationId xmlns:a16="http://schemas.microsoft.com/office/drawing/2014/main" id="{86A8CCAD-0A38-4B2B-A0B9-86C9E87540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0050" y="38100"/>
          <a:ext cx="1130300" cy="1045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197532</xdr:rowOff>
    </xdr:to>
    <xdr:pic>
      <xdr:nvPicPr>
        <xdr:cNvPr id="3" name="Imagen 2">
          <a:extLst>
            <a:ext uri="{FF2B5EF4-FFF2-40B4-BE49-F238E27FC236}">
              <a16:creationId xmlns:a16="http://schemas.microsoft.com/office/drawing/2014/main" id="{C6042A6E-5D58-40F0-900E-05FC7CAF03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41">
          <cell r="T41">
            <v>1</v>
          </cell>
          <cell r="W41">
            <v>0.5</v>
          </cell>
          <cell r="AC41" t="str">
            <v>Acumulativa</v>
          </cell>
        </row>
        <row r="42">
          <cell r="T42">
            <v>50000</v>
          </cell>
          <cell r="W42">
            <v>8000</v>
          </cell>
          <cell r="AC42" t="str">
            <v>Acumulativa</v>
          </cell>
        </row>
        <row r="43">
          <cell r="T43">
            <v>24</v>
          </cell>
          <cell r="W43">
            <v>6</v>
          </cell>
          <cell r="AC43" t="str">
            <v>Acumulativa</v>
          </cell>
        </row>
        <row r="44">
          <cell r="T44">
            <v>40</v>
          </cell>
          <cell r="W44">
            <v>12</v>
          </cell>
          <cell r="AC44" t="str">
            <v>Acumulativa</v>
          </cell>
        </row>
        <row r="45">
          <cell r="T45">
            <v>1</v>
          </cell>
          <cell r="W45">
            <v>0.5</v>
          </cell>
          <cell r="AC45" t="str">
            <v>Acumulativa</v>
          </cell>
        </row>
        <row r="46">
          <cell r="T46">
            <v>986.23</v>
          </cell>
          <cell r="W46">
            <v>723.96</v>
          </cell>
          <cell r="AC46" t="str">
            <v>No Acumulativa</v>
          </cell>
        </row>
        <row r="47">
          <cell r="T47">
            <v>20</v>
          </cell>
          <cell r="W47">
            <v>5</v>
          </cell>
          <cell r="AC47" t="str">
            <v>Acumulativa</v>
          </cell>
        </row>
        <row r="48">
          <cell r="T48">
            <v>10</v>
          </cell>
          <cell r="W48">
            <v>3</v>
          </cell>
          <cell r="AC48" t="str">
            <v>Acumulativa</v>
          </cell>
        </row>
        <row r="49">
          <cell r="T49">
            <v>4</v>
          </cell>
          <cell r="W49">
            <v>1</v>
          </cell>
          <cell r="AC49" t="str">
            <v>Acumulativa</v>
          </cell>
        </row>
        <row r="50">
          <cell r="T50">
            <v>800</v>
          </cell>
          <cell r="W50">
            <v>210.12</v>
          </cell>
          <cell r="AC50" t="str">
            <v>Acumulativa</v>
          </cell>
        </row>
        <row r="51">
          <cell r="T51">
            <v>4</v>
          </cell>
          <cell r="W51">
            <v>1</v>
          </cell>
          <cell r="AC51" t="str">
            <v>Acumulativa</v>
          </cell>
        </row>
        <row r="52">
          <cell r="T52">
            <v>4</v>
          </cell>
          <cell r="W52">
            <v>1</v>
          </cell>
          <cell r="AC52" t="str">
            <v>Acumulativa</v>
          </cell>
        </row>
        <row r="53">
          <cell r="T53">
            <v>3</v>
          </cell>
          <cell r="W53">
            <v>3</v>
          </cell>
          <cell r="AC53" t="str">
            <v>No Acumulativa</v>
          </cell>
        </row>
        <row r="60">
          <cell r="T60">
            <v>1</v>
          </cell>
          <cell r="W60">
            <v>1</v>
          </cell>
          <cell r="AC60" t="str">
            <v>No Acumulativa</v>
          </cell>
        </row>
        <row r="61">
          <cell r="T61">
            <v>10000</v>
          </cell>
          <cell r="W61">
            <v>3353</v>
          </cell>
          <cell r="AC61" t="str">
            <v>Acumulativa</v>
          </cell>
        </row>
        <row r="62">
          <cell r="T62">
            <v>1</v>
          </cell>
          <cell r="W62">
            <v>0</v>
          </cell>
          <cell r="AC62" t="str">
            <v>Acumulativa</v>
          </cell>
        </row>
        <row r="63">
          <cell r="T63">
            <v>1</v>
          </cell>
          <cell r="W63">
            <v>0</v>
          </cell>
          <cell r="AC63" t="str">
            <v>Acumulativa</v>
          </cell>
        </row>
        <row r="68">
          <cell r="T68">
            <v>1</v>
          </cell>
          <cell r="W68">
            <v>1</v>
          </cell>
          <cell r="AC68" t="str">
            <v>No Acumulativa</v>
          </cell>
        </row>
        <row r="188">
          <cell r="T188">
            <v>2000</v>
          </cell>
          <cell r="W188">
            <v>553</v>
          </cell>
          <cell r="AC188" t="str">
            <v>Acumulativa</v>
          </cell>
        </row>
        <row r="189">
          <cell r="T189">
            <v>48</v>
          </cell>
          <cell r="W189">
            <v>14</v>
          </cell>
          <cell r="AC189" t="str">
            <v>Acumulativa</v>
          </cell>
        </row>
        <row r="190">
          <cell r="T190">
            <v>20000</v>
          </cell>
          <cell r="W190">
            <v>4500</v>
          </cell>
          <cell r="AC190" t="str">
            <v>Acumulativa</v>
          </cell>
        </row>
        <row r="191">
          <cell r="T191">
            <v>20</v>
          </cell>
          <cell r="W191">
            <v>5</v>
          </cell>
          <cell r="AC191" t="str">
            <v>Acumulativa</v>
          </cell>
        </row>
        <row r="192">
          <cell r="T192">
            <v>1</v>
          </cell>
          <cell r="W192">
            <v>1</v>
          </cell>
          <cell r="AC192" t="str">
            <v>No Acumulativa</v>
          </cell>
        </row>
        <row r="193">
          <cell r="T193">
            <v>10</v>
          </cell>
          <cell r="W193">
            <v>10</v>
          </cell>
          <cell r="AC193" t="str">
            <v>No Acumulativa</v>
          </cell>
        </row>
        <row r="194">
          <cell r="T194">
            <v>4</v>
          </cell>
          <cell r="W194">
            <v>1</v>
          </cell>
          <cell r="AC194" t="str">
            <v>Acumulativa</v>
          </cell>
        </row>
        <row r="195">
          <cell r="T195">
            <v>8000</v>
          </cell>
          <cell r="W195">
            <v>2000</v>
          </cell>
          <cell r="AC195" t="str">
            <v>Acumulativa</v>
          </cell>
        </row>
        <row r="196">
          <cell r="T196">
            <v>4</v>
          </cell>
          <cell r="W196">
            <v>1</v>
          </cell>
          <cell r="AC196" t="str">
            <v>Acumulativa</v>
          </cell>
        </row>
        <row r="197">
          <cell r="T197">
            <v>4</v>
          </cell>
          <cell r="W197">
            <v>1</v>
          </cell>
          <cell r="AC197" t="str">
            <v>Acumulativa</v>
          </cell>
        </row>
        <row r="198">
          <cell r="T198">
            <v>4</v>
          </cell>
          <cell r="W198">
            <v>1</v>
          </cell>
          <cell r="AC198" t="str">
            <v>Acumulativa</v>
          </cell>
        </row>
        <row r="199">
          <cell r="T199">
            <v>4</v>
          </cell>
          <cell r="W199">
            <v>1</v>
          </cell>
          <cell r="AC199" t="str">
            <v>Acumulativa</v>
          </cell>
        </row>
        <row r="200">
          <cell r="T200">
            <v>4</v>
          </cell>
          <cell r="W200">
            <v>1</v>
          </cell>
          <cell r="AC200" t="str">
            <v>Acumulativa</v>
          </cell>
        </row>
        <row r="201">
          <cell r="T201">
            <v>1</v>
          </cell>
          <cell r="W201">
            <v>1</v>
          </cell>
          <cell r="AC201" t="str">
            <v>No Acumulativa</v>
          </cell>
        </row>
        <row r="202">
          <cell r="T202">
            <v>20000</v>
          </cell>
          <cell r="W202">
            <v>4000</v>
          </cell>
          <cell r="AC202" t="str">
            <v>Acumulativa</v>
          </cell>
        </row>
        <row r="203">
          <cell r="T203">
            <v>281600</v>
          </cell>
          <cell r="W203">
            <v>274737</v>
          </cell>
          <cell r="AC203" t="str">
            <v>No Acumulativa</v>
          </cell>
        </row>
        <row r="204">
          <cell r="T204">
            <v>1</v>
          </cell>
          <cell r="W204">
            <v>0.1</v>
          </cell>
          <cell r="AC204" t="str">
            <v>Acumulativa</v>
          </cell>
        </row>
        <row r="205">
          <cell r="T205">
            <v>1</v>
          </cell>
          <cell r="W205">
            <v>0</v>
          </cell>
          <cell r="AC205" t="str">
            <v>Acumulativa</v>
          </cell>
        </row>
        <row r="206">
          <cell r="T206">
            <v>3</v>
          </cell>
          <cell r="W206">
            <v>1</v>
          </cell>
          <cell r="AC206" t="str">
            <v>Acumulativa</v>
          </cell>
        </row>
        <row r="207">
          <cell r="T207">
            <v>1</v>
          </cell>
          <cell r="W207">
            <v>0</v>
          </cell>
          <cell r="AC207" t="str">
            <v>Acumulativa</v>
          </cell>
        </row>
        <row r="280">
          <cell r="T280">
            <v>1</v>
          </cell>
          <cell r="W280">
            <v>1</v>
          </cell>
          <cell r="AC280" t="str">
            <v>No Acumulativa</v>
          </cell>
        </row>
        <row r="281">
          <cell r="T281">
            <v>1000</v>
          </cell>
          <cell r="W281">
            <v>300</v>
          </cell>
          <cell r="AC281" t="str">
            <v>Acumulativa</v>
          </cell>
        </row>
        <row r="282">
          <cell r="T282">
            <v>4</v>
          </cell>
          <cell r="W282">
            <v>2</v>
          </cell>
          <cell r="AC282" t="str">
            <v>Acumulativa</v>
          </cell>
        </row>
        <row r="283">
          <cell r="T283">
            <v>2</v>
          </cell>
          <cell r="W283">
            <v>0</v>
          </cell>
          <cell r="AC283" t="str">
            <v>Acumulativa</v>
          </cell>
        </row>
        <row r="292">
          <cell r="T292">
            <v>50</v>
          </cell>
          <cell r="W292">
            <v>3</v>
          </cell>
          <cell r="AC292" t="str">
            <v>Acumulativa</v>
          </cell>
        </row>
        <row r="293">
          <cell r="T293">
            <v>10</v>
          </cell>
          <cell r="W293">
            <v>1.5</v>
          </cell>
          <cell r="AC293" t="str">
            <v>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C81142-8322-4213-AB6B-9CAEE8049153}" name="Tabla13" displayName="Tabla13" ref="A10:BE57" totalsRowCount="1" headerRowDxfId="179" dataDxfId="177" totalsRowDxfId="175" headerRowBorderDxfId="178" tableBorderDxfId="176">
  <autoFilter ref="A10:BE56" xr:uid="{00000000-0009-0000-0100-000002000000}"/>
  <tableColumns count="57">
    <tableColumn id="1" xr3:uid="{0F2A0B68-68E5-4C8D-9E24-6A057026AED4}" name=" Consecutivo PDM" dataDxfId="174" totalsRowDxfId="173"/>
    <tableColumn id="2" xr3:uid="{C6824002-6D9A-42D0-A8D6-115415C207BA}" name="Linea Estratégica" dataDxfId="172" totalsRowDxfId="171"/>
    <tableColumn id="5" xr3:uid="{3B46C88D-0925-4BDE-9997-1D7D7AA37BD4}" name="Sector" dataDxfId="170" totalsRowDxfId="169"/>
    <tableColumn id="14" xr3:uid="{725B5021-7858-45D2-9E76-2901B0C3ADEF}" name="Cod. Programa" dataDxfId="168" totalsRowDxfId="167"/>
    <tableColumn id="15" xr3:uid="{4F9878D2-759C-426B-AD26-2426C02E0F78}" name="Programa" dataDxfId="166" totalsRowDxfId="165"/>
    <tableColumn id="16" xr3:uid="{2FDB7A63-EBA0-4758-8B87-8373D8B86FEF}" name="Cod. de Producto" dataDxfId="164" totalsRowDxfId="163"/>
    <tableColumn id="17" xr3:uid="{B71B8784-DD8E-4715-A29A-7CFB089314A6}" name="Meta de Producto" dataDxfId="162" totalsRowDxfId="161"/>
    <tableColumn id="28" xr3:uid="{B4DA75BA-38E9-459C-8B9A-59F7127E67EE}" name="Código BPIN" dataDxfId="160" totalsRowDxfId="159"/>
    <tableColumn id="29" xr3:uid="{3070493C-FF9C-4C8D-B877-8428E80B91FB}" name="Nombre del Proyecto" dataDxfId="158" totalsRowDxfId="157"/>
    <tableColumn id="30" xr3:uid="{5EC922B0-D7D7-4889-9B6C-7F7F8E8BA464}" name="Valor del Proyecto" dataDxfId="156" totalsRowDxfId="155"/>
    <tableColumn id="31" xr3:uid="{0D4A5230-5F7E-459D-B61A-1E1781B9F74A}" name="Valor Vigencia Proyecto" dataDxfId="154" totalsRowDxfId="153"/>
    <tableColumn id="32" xr3:uid="{FEA665FB-2F89-4F91-A98F-176578BFD8CB}" name="Comuna o Barrio Beneficiado" dataDxfId="152" totalsRowDxfId="151"/>
    <tableColumn id="33" xr3:uid="{ACB82E16-ABF1-453F-A6B8-2ED1383E50B2}" name="Población Beneficiada" dataDxfId="150" totalsRowDxfId="149"/>
    <tableColumn id="34" xr3:uid="{CE4D9843-BF69-43CC-81B4-42B7F423F377}" name="Número de Beneficiarios" dataDxfId="148" totalsRowDxfId="147"/>
    <tableColumn id="44" xr3:uid="{487E60B0-5621-4A79-89CA-5402326183B8}" name="Actividades Realizadas" dataDxfId="146" totalsRowDxfId="145"/>
    <tableColumn id="46" xr3:uid="{E92C8080-6F51-4E54-B075-91F8BFC903B8}" name="Recursos propios 2025" dataDxfId="144" totalsRowDxfId="143"/>
    <tableColumn id="47" xr3:uid="{4EEE33BF-E573-4159-8A90-FB2F3901BAD4}" name="SGP Educación 2025" dataDxfId="142" totalsRowDxfId="141"/>
    <tableColumn id="48" xr3:uid="{019939CF-441D-492F-81FA-4B25514C6CF2}" name="SGP Salud 2025" dataDxfId="140" totalsRowDxfId="139"/>
    <tableColumn id="36" xr3:uid="{8C35C1D5-8509-424F-B0E8-17A9F409BB0E}" name="SGP Deporte 2025" dataDxfId="138" totalsRowDxfId="137"/>
    <tableColumn id="35" xr3:uid="{5B55B15C-B18F-4DDF-8927-47E7A045B8F1}" name="SGP Cultura 2025" dataDxfId="136" totalsRowDxfId="135"/>
    <tableColumn id="13" xr3:uid="{552ADD94-FF86-4C8D-A6F2-7D78BEC6E690}" name="SGP Libre inversión 2025" dataDxfId="134" totalsRowDxfId="133"/>
    <tableColumn id="12" xr3:uid="{99F28E02-571A-4A1D-9372-F76710EC8E34}" name="SGP Libre destinación 2025" dataDxfId="132" totalsRowDxfId="131"/>
    <tableColumn id="11" xr3:uid="{3E3F9F54-303A-476C-AB3F-2B334FFF1C04}" name="SGP Alimentación escolar 2025" dataDxfId="130" totalsRowDxfId="129"/>
    <tableColumn id="10" xr3:uid="{14AF0D05-B70A-4AF0-90B2-E517572BF12A}" name="SGP Municipios río Magdalena 2025" dataDxfId="128" totalsRowDxfId="127"/>
    <tableColumn id="9" xr3:uid="{6CB56B7E-00BC-4E12-B5B8-4FB8ACE96CAA}" name="SGP APSB 2025" dataDxfId="126" totalsRowDxfId="125"/>
    <tableColumn id="8" xr3:uid="{31922715-ACDA-4E20-8AA7-A982927C1053}" name="Crédito 2025" dataDxfId="124" totalsRowDxfId="123"/>
    <tableColumn id="7" xr3:uid="{CDA7E686-17FC-4809-A91D-D9EE6F576E08}" name="Transferencias de capital - cofinanciación departamento 2025" dataDxfId="122" totalsRowDxfId="121"/>
    <tableColumn id="6" xr3:uid="{630C6C95-A43F-4DD5-99CE-F34366C5D101}" name="Transferencias de capital - cofinanciación nación 2025" dataDxfId="120" totalsRowDxfId="119"/>
    <tableColumn id="49" xr3:uid="{41CA898F-4200-4D20-AB98-81DA5A7D9F6E}" name="Otros 2025" dataDxfId="118" totalsRowDxfId="117"/>
    <tableColumn id="3" xr3:uid="{880CCE94-6F5F-4AD0-A0A7-B921C6A51499}" name="Recursos del Balance" dataDxfId="116" totalsRowDxfId="115"/>
    <tableColumn id="50" xr3:uid="{95ADDBA1-A4AB-4355-A51E-6C8CD2A98AAE}" name="Total 2025" totalsRowFunction="sum" dataDxfId="114" totalsRowDxfId="113">
      <calculatedColumnFormula>SUM(Tabla13[[#This Row],[Recursos propios 2025]:[Recursos del Balance]])</calculatedColumnFormula>
    </tableColumn>
    <tableColumn id="51" xr3:uid="{4CF43438-3F5C-41A6-B02E-F66D6F26C213}" name="Recursos propios 20252" dataDxfId="112" totalsRowDxfId="111"/>
    <tableColumn id="52" xr3:uid="{FA512C99-4E58-4CD2-8932-6D44BB7F7F2B}" name="SGP Educación 20253" dataDxfId="110" totalsRowDxfId="109"/>
    <tableColumn id="53" xr3:uid="{588D720B-D9CC-4BF4-8620-EA76550227F4}" name="SGP Salud 20254" dataDxfId="108" totalsRowDxfId="107"/>
    <tableColumn id="62" xr3:uid="{89C05E82-A435-4C81-ACD8-24CE0470DD37}" name="SGP Deporte 20255" dataDxfId="106" totalsRowDxfId="105"/>
    <tableColumn id="61" xr3:uid="{E552DC76-F5D1-484F-BEAA-3E5321389ACD}" name="SGP Cultura 20256" dataDxfId="104" totalsRowDxfId="103"/>
    <tableColumn id="45" xr3:uid="{4BBFCDBB-F146-457B-B488-B74C1D9347A7}" name="SGP Libre inversión 20257" dataDxfId="102" totalsRowDxfId="101"/>
    <tableColumn id="43" xr3:uid="{FC83CBF9-CBDA-4888-8560-B10018857918}" name="SGP Libre destinación 20258" dataDxfId="100" totalsRowDxfId="99"/>
    <tableColumn id="42" xr3:uid="{6F0254C5-99E5-4E96-B02B-A29E7531A70E}" name="SGP Alimentación escolar 20259" dataDxfId="98" totalsRowDxfId="97"/>
    <tableColumn id="41" xr3:uid="{46F52826-719D-4F14-9627-310833A45A68}" name="SGP Municipios río Magdalena 202510" dataDxfId="96" totalsRowDxfId="95"/>
    <tableColumn id="40" xr3:uid="{31B2BBB3-B7D3-4619-8339-AEAB9A86F59E}" name="SGP APSB 2025 " dataDxfId="94" totalsRowDxfId="93"/>
    <tableColumn id="39" xr3:uid="{608D17AC-84DA-4521-933B-FEEE860C70C5}" name="Crédito 20251" dataDxfId="92" totalsRowDxfId="91"/>
    <tableColumn id="38" xr3:uid="{21451058-5BA6-457A-8833-27E90BC40D89}" name="Transferencias de capital - cofinanciación departamento 20251" dataDxfId="90" totalsRowDxfId="89"/>
    <tableColumn id="37" xr3:uid="{7690B94B-750B-4513-BE69-C1FD722461AE}" name="Transferencias de capital - cofinanciación nación 20251" dataDxfId="88" totalsRowDxfId="87"/>
    <tableColumn id="54" xr3:uid="{32629359-2320-42A9-8972-BCEC0284B37E}" name="Otros 202515" dataDxfId="86" totalsRowDxfId="85"/>
    <tableColumn id="4" xr3:uid="{131AA051-52FC-4220-86AF-6787D6BD7024}" name="Recursos del Balance " dataDxfId="84" totalsRowDxfId="83"/>
    <tableColumn id="55" xr3:uid="{EEC24798-CCEC-4FA1-8C9C-CC48CB5FE4A3}" name="Total Recursos Comprometido 2025" totalsRowFunction="sum" dataDxfId="82" totalsRowDxfId="81">
      <calculatedColumnFormula>Tabla13[[#This Row],[Recursos propios 20252]]+Tabla13[[#This Row],[SGP Salud 20254]]+Tabla13[[#This Row],[Otros 202515]]+Tabla13[[#This Row],[Recursos del Balance ]]</calculatedColumnFormula>
    </tableColumn>
    <tableColumn id="20" xr3:uid="{B282DE81-1F1F-46EE-9BC2-14B912BD7700}" name="Total Recursos Obligados" totalsRowFunction="sum" dataDxfId="80" totalsRowDxfId="79"/>
    <tableColumn id="21" xr3:uid="{F69138BB-589D-4390-871F-46CDD138B02D}" name="Total Recursos Pagados" totalsRowFunction="sum" dataDxfId="78" totalsRowDxfId="77"/>
    <tableColumn id="56" xr3:uid="{5DDB1BBF-4DFA-450B-A213-3B2BECE0A62D}" name="Ejecución Recursos Comprometidos" dataDxfId="76" totalsRowDxfId="75">
      <calculatedColumnFormula>+Tabla13[[#This Row],[Total Recursos Comprometido 2025]]/Tabla13[[#This Row],[Total 2025]]</calculatedColumnFormula>
    </tableColumn>
    <tableColumn id="24" xr3:uid="{D2193840-E5CB-4A72-9E72-434E7FD59C15}" name="Ejecución Recursos Obligados" dataDxfId="74" totalsRowDxfId="73">
      <calculatedColumnFormula>+Tabla13[[#This Row],[Total Recursos Obligados]]/Tabla13[[#This Row],[Total 2025]]</calculatedColumnFormula>
    </tableColumn>
    <tableColumn id="23" xr3:uid="{63F13A8F-2B22-44D9-8DC7-4D101A49F435}" name="Ejecución Recursos Pagados" dataDxfId="72" totalsRowDxfId="71">
      <calculatedColumnFormula>+Tabla13[[#This Row],[Total Recursos Pagados]]/Tabla13[[#This Row],[Total 2025]]</calculatedColumnFormula>
    </tableColumn>
    <tableColumn id="18" xr3:uid="{342C7C86-B4B0-49FE-9D76-4C5950F27682}" name="Total Recursos Gestionados " dataDxfId="70" totalsRowDxfId="69"/>
    <tableColumn id="57" xr3:uid="{C8B071F8-6CD9-4041-BE87-9FF897A9B03F}" name="Nivel de Gestión" dataDxfId="68" totalsRowDxfId="67">
      <calculatedColumnFormula>IF(Tabla13[[#This Row],[Total Recursos Gestionados ]]=0,"_",IF(Tabla13[[#This Row],[Ejecución Recursos Comprometidos]]=0,100%,Tabla13[[#This Row],[Total Recursos Gestionados ]]/Tabla13[[#This Row],[Ejecución Recursos Comprometidos]]))</calculatedColumnFormula>
    </tableColumn>
    <tableColumn id="58" xr3:uid="{00564E12-E54B-41F0-9121-B7C205CD6B1A}" name="Dependencia" dataDxfId="66" totalsRowDxfId="65"/>
    <tableColumn id="59" xr3:uid="{EB9A0089-FFEF-474F-9C04-CF4BD4276A68}" name="Responsable" dataDxfId="64" totalsRowDxfId="63"/>
    <tableColumn id="60" xr3:uid="{F8383BFD-6A7E-4150-823D-F75CEDC98079}" name="ODS" dataDxfId="62" totalsRowDxfId="61"/>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10:BE54" totalsRowShown="0" headerRowDxfId="60" dataDxfId="58" headerRowBorderDxfId="59" tableBorderDxfId="57">
  <tableColumns count="57">
    <tableColumn id="1" xr3:uid="{00000000-0010-0000-0100-000001000000}" name=" Consecutivo PDM" dataDxfId="56"/>
    <tableColumn id="2" xr3:uid="{00000000-0010-0000-0100-000002000000}" name="Linea Estratégica" dataDxfId="55"/>
    <tableColumn id="5" xr3:uid="{00000000-0010-0000-0100-000005000000}" name="Sector" dataDxfId="54"/>
    <tableColumn id="14" xr3:uid="{00000000-0010-0000-0100-00000E000000}" name="Cod. Programa" dataDxfId="53"/>
    <tableColumn id="15" xr3:uid="{00000000-0010-0000-0100-00000F000000}" name="Programa" dataDxfId="52"/>
    <tableColumn id="16" xr3:uid="{00000000-0010-0000-0100-000010000000}" name="Cod. de Producto" dataDxfId="51"/>
    <tableColumn id="17" xr3:uid="{00000000-0010-0000-0100-000011000000}" name="Meta de Producto" dataDxfId="50"/>
    <tableColumn id="18" xr3:uid="{00000000-0010-0000-0100-000012000000}" name="Cod. Indicador de Producto" dataDxfId="49"/>
    <tableColumn id="19" xr3:uid="{00000000-0010-0000-0100-000013000000}" name="Indicador de Producto" dataDxfId="48"/>
    <tableColumn id="20" xr3:uid="{00000000-0010-0000-0100-000014000000}" name="LÍnea Base" dataDxfId="47"/>
    <tableColumn id="21" xr3:uid="{00000000-0010-0000-0100-000015000000}" name="Unidad de Medida2" dataDxfId="46"/>
    <tableColumn id="22" xr3:uid="{00000000-0010-0000-0100-000016000000}" name="Tipo de Meta" dataDxfId="45"/>
    <tableColumn id="23" xr3:uid="{00000000-0010-0000-0100-000017000000}" name="Meta Programada Cuatrienio3" dataDxfId="44"/>
    <tableColumn id="24" xr3:uid="{00000000-0010-0000-0100-000018000000}" name="Meta Programada Vigencia" dataDxfId="43"/>
    <tableColumn id="25" xr3:uid="{00000000-0010-0000-0100-000019000000}" name="Logro Vigencia" dataDxfId="30"/>
    <tableColumn id="41" xr3:uid="{00000000-0010-0000-0100-000029000000}" name="Porcentaje Avance Vigencia" dataDxfId="42">
      <calculatedColumnFormula>+Tabla1[[#This Row],[Logro Vigencia]]/Tabla1[[#This Row],[Meta Programada Vigencia]]</calculatedColumnFormula>
    </tableColumn>
    <tableColumn id="26" xr3:uid="{00000000-0010-0000-0100-00001A000000}" name="Porcentaje Avance VigenciaR" dataDxfId="41"/>
    <tableColumn id="46" xr3:uid="{00000000-0010-0000-0100-00002E000000}" name="Recursos propios" dataDxfId="29"/>
    <tableColumn id="47" xr3:uid="{00000000-0010-0000-0100-00002F000000}" name="SGP Educación" dataDxfId="28"/>
    <tableColumn id="48" xr3:uid="{00000000-0010-0000-0100-000030000000}" name="SGP Salud" dataDxfId="27"/>
    <tableColumn id="36" xr3:uid="{00000000-0010-0000-0100-000024000000}" name="SGP Deporte" dataDxfId="26"/>
    <tableColumn id="35" xr3:uid="{00000000-0010-0000-0100-000023000000}" name="SGP Cultura" dataDxfId="25"/>
    <tableColumn id="13" xr3:uid="{00000000-0010-0000-0100-00000D000000}" name="SGP Libre inversión" dataDxfId="24"/>
    <tableColumn id="12" xr3:uid="{00000000-0010-0000-0100-00000C000000}" name="SGP Libre destinación" dataDxfId="23"/>
    <tableColumn id="11" xr3:uid="{00000000-0010-0000-0100-00000B000000}" name="SGP Alimentación escolar" dataDxfId="22"/>
    <tableColumn id="9" xr3:uid="{00000000-0010-0000-0100-000009000000}" name="SGP APSB" dataDxfId="21"/>
    <tableColumn id="8" xr3:uid="{00000000-0010-0000-0100-000008000000}" name="Crédito" dataDxfId="20"/>
    <tableColumn id="7" xr3:uid="{00000000-0010-0000-0100-000007000000}" name="Transferencias de capital - cofinanciación departamento" dataDxfId="19"/>
    <tableColumn id="6" xr3:uid="{00000000-0010-0000-0100-000006000000}" name="Transferencias de capital - cofinanciación nación" dataDxfId="18"/>
    <tableColumn id="49" xr3:uid="{00000000-0010-0000-0100-000031000000}" name="Otros" dataDxfId="17"/>
    <tableColumn id="27" xr3:uid="{00000000-0010-0000-0100-00001B000000}" name="Recursos del Balance" dataDxfId="16"/>
    <tableColumn id="50" xr3:uid="{00000000-0010-0000-0100-000032000000}" name="Total 2025" dataDxfId="40">
      <calculatedColumnFormula>SUM(Tabla1[[#This Row],[Recursos propios]:[Recursos del Balance]])</calculatedColumnFormula>
    </tableColumn>
    <tableColumn id="51" xr3:uid="{00000000-0010-0000-0100-000033000000}" name="Recursos propios " dataDxfId="15" dataCellStyle="Moneda"/>
    <tableColumn id="52" xr3:uid="{00000000-0010-0000-0100-000034000000}" name="SGP Educación " dataDxfId="14" dataCellStyle="Moneda"/>
    <tableColumn id="53" xr3:uid="{00000000-0010-0000-0100-000035000000}" name="SGP Salud4" dataDxfId="13" dataCellStyle="Moneda"/>
    <tableColumn id="62" xr3:uid="{00000000-0010-0000-0100-00003E000000}" name="SGP Deporte5" dataDxfId="12" dataCellStyle="Moneda"/>
    <tableColumn id="61" xr3:uid="{00000000-0010-0000-0100-00003D000000}" name="SGP Cultura 6" dataDxfId="11" dataCellStyle="Moneda"/>
    <tableColumn id="45" xr3:uid="{00000000-0010-0000-0100-00002D000000}" name="SGP Libre inversión 7" dataDxfId="10" dataCellStyle="Moneda"/>
    <tableColumn id="43" xr3:uid="{00000000-0010-0000-0100-00002B000000}" name="SGP Libre destinación 8" dataDxfId="9" dataCellStyle="Moneda"/>
    <tableColumn id="42" xr3:uid="{00000000-0010-0000-0100-00002A000000}" name="SGP Alimentación escolar9" dataDxfId="8" dataCellStyle="Moneda"/>
    <tableColumn id="40" xr3:uid="{00000000-0010-0000-0100-000028000000}" name="SGP APSB11" dataDxfId="7" dataCellStyle="Moneda"/>
    <tableColumn id="39" xr3:uid="{00000000-0010-0000-0100-000027000000}" name="Crédito12" dataDxfId="6" dataCellStyle="Moneda"/>
    <tableColumn id="38" xr3:uid="{00000000-0010-0000-0100-000026000000}" name="Transferencias de capital - cofinanciación departamento 13" dataDxfId="5" dataCellStyle="Moneda"/>
    <tableColumn id="37" xr3:uid="{00000000-0010-0000-0100-000025000000}" name="Transferencias de capital - cofinanciación nación14" dataDxfId="4" dataCellStyle="Moneda"/>
    <tableColumn id="54" xr3:uid="{00000000-0010-0000-0100-000036000000}" name="Otros15" dataDxfId="3" dataCellStyle="Moneda"/>
    <tableColumn id="10" xr3:uid="{00000000-0010-0000-0100-00000A000000}" name="Recursos del Balance " dataDxfId="2"/>
    <tableColumn id="55" xr3:uid="{00000000-0010-0000-0100-000037000000}" name="Total Recursos Comprometido 2025" dataDxfId="39">
      <calculatedColumnFormula>SUM(Tabla1[[#This Row],[Recursos propios ]:[Recursos del Balance ]])</calculatedColumnFormula>
    </tableColumn>
    <tableColumn id="3" xr3:uid="{00000000-0010-0000-0100-000003000000}" name="Total Recursos Obligados" dataDxfId="1" dataCellStyle="Moneda"/>
    <tableColumn id="4" xr3:uid="{00000000-0010-0000-0100-000004000000}" name="Total Recursos Pagados" dataDxfId="0" dataCellStyle="Moneda"/>
    <tableColumn id="30" xr3:uid="{00000000-0010-0000-0100-00001E000000}" name="Ejecución Recursos Comprometidos" dataDxfId="38" dataCellStyle="Porcentaje">
      <calculatedColumnFormula>+Tabla1[[#This Row],[Total Recursos Comprometido 2025]]/Tabla1[[#This Row],[Total 2025]]</calculatedColumnFormula>
    </tableColumn>
    <tableColumn id="44" xr3:uid="{00000000-0010-0000-0100-00002C000000}" name="Ejecución Recursos Obligados" dataDxfId="37" dataCellStyle="Porcentaje">
      <calculatedColumnFormula>+Tabla1[[#This Row],[Total Recursos Obligados]]/Tabla1[[#This Row],[Total 2025]]</calculatedColumnFormula>
    </tableColumn>
    <tableColumn id="34" xr3:uid="{00000000-0010-0000-0100-000022000000}" name="Ejecución Recursos Pagados" dataDxfId="36" dataCellStyle="Porcentaje">
      <calculatedColumnFormula>+Tabla1[[#This Row],[Total Recursos Pagados]]/Tabla1[[#This Row],[Total 2025]]</calculatedColumnFormula>
    </tableColumn>
    <tableColumn id="31" xr3:uid="{00000000-0010-0000-0100-00001F000000}" name="Total Recursos Gestionados " dataDxfId="35"/>
    <tableColumn id="33" xr3:uid="{00000000-0010-0000-0100-000021000000}" name="Nivel de Gestión" dataDxfId="34" dataCellStyle="Porcentaje">
      <calculatedColumnFormula>+Tabla1[[#This Row],[Total Recursos Gestionados ]]/Tabla1[[#This Row],[Total Recursos Comprometido 2025]]</calculatedColumnFormula>
    </tableColumn>
    <tableColumn id="58" xr3:uid="{00000000-0010-0000-0100-00003A000000}" name="Dependencia" dataDxfId="33"/>
    <tableColumn id="59" xr3:uid="{00000000-0010-0000-0100-00003B000000}" name="Responsable" dataDxfId="32"/>
    <tableColumn id="60" xr3:uid="{00000000-0010-0000-0100-00003C000000}" name="ODS" dataDxfId="31"/>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A3CE-6AD0-42D4-9CFA-54B9C8D0302A}">
  <sheetPr>
    <tabColor theme="8" tint="-0.249977111117893"/>
  </sheetPr>
  <dimension ref="A1:BG73"/>
  <sheetViews>
    <sheetView topLeftCell="O10" zoomScale="30" zoomScaleNormal="30" workbookViewId="0">
      <selection activeCell="AV36" sqref="AV36"/>
    </sheetView>
  </sheetViews>
  <sheetFormatPr baseColWidth="10" defaultColWidth="11.25" defaultRowHeight="15.75"/>
  <cols>
    <col min="1" max="1" width="24" style="6" customWidth="1"/>
    <col min="2" max="2" width="36.25" style="6" customWidth="1"/>
    <col min="3" max="3" width="20.25" style="6" customWidth="1"/>
    <col min="4" max="4" width="19.25" style="6" customWidth="1"/>
    <col min="5" max="5" width="25.75" style="6" customWidth="1"/>
    <col min="6" max="6" width="21.75" style="6" customWidth="1"/>
    <col min="7" max="7" width="42.625" style="6" customWidth="1"/>
    <col min="8" max="8" width="21.75" style="6" hidden="1" customWidth="1"/>
    <col min="9" max="9" width="38.75" style="6" customWidth="1"/>
    <col min="10" max="10" width="26.25" style="6" hidden="1" customWidth="1"/>
    <col min="11" max="11" width="28.25" style="6" hidden="1" customWidth="1"/>
    <col min="12" max="12" width="34.25" style="6" hidden="1" customWidth="1"/>
    <col min="13" max="13" width="26.75" style="6" hidden="1" customWidth="1"/>
    <col min="14" max="14" width="28.75" style="6" hidden="1" customWidth="1"/>
    <col min="15" max="15" width="88.125" style="6" customWidth="1"/>
    <col min="16" max="16" width="22.25" style="6" customWidth="1"/>
    <col min="17" max="17" width="17.75" style="6" customWidth="1"/>
    <col min="18" max="18" width="31.625" style="6" customWidth="1"/>
    <col min="19" max="27" width="18.25" style="6" customWidth="1"/>
    <col min="28" max="28" width="26.25" style="6" customWidth="1"/>
    <col min="29" max="29" width="27.125" style="6" customWidth="1"/>
    <col min="30" max="30" width="29.625" style="6" customWidth="1"/>
    <col min="31" max="31" width="33.125" style="6" customWidth="1"/>
    <col min="32" max="32" width="24.25" style="6" customWidth="1"/>
    <col min="33" max="33" width="19" style="6" customWidth="1"/>
    <col min="34" max="34" width="31.625" style="6" customWidth="1"/>
    <col min="35" max="42" width="19" style="6" customWidth="1"/>
    <col min="43" max="43" width="26.75" style="6" customWidth="1"/>
    <col min="44" max="44" width="25.5" style="6" customWidth="1"/>
    <col min="45" max="45" width="30.375" style="6" customWidth="1"/>
    <col min="46" max="46" width="32.625" style="6" customWidth="1"/>
    <col min="47" max="47" width="38.75" style="6" customWidth="1"/>
    <col min="48" max="49" width="32.375" style="6" bestFit="1" customWidth="1"/>
    <col min="50" max="53" width="27.25" style="6" customWidth="1"/>
    <col min="54" max="54" width="25.75" style="6" customWidth="1"/>
    <col min="55" max="55" width="17.75" style="6" customWidth="1"/>
    <col min="56" max="56" width="19.75" style="163" customWidth="1"/>
    <col min="57" max="57" width="21.25" style="6" customWidth="1"/>
    <col min="58" max="58" width="22.75" style="6" bestFit="1" customWidth="1"/>
    <col min="59" max="59" width="33" style="6" bestFit="1" customWidth="1"/>
    <col min="60" max="60" width="28.75" style="6" bestFit="1" customWidth="1"/>
    <col min="61" max="61" width="58.25" style="6" bestFit="1" customWidth="1"/>
    <col min="62" max="62" width="26" style="6" bestFit="1" customWidth="1"/>
    <col min="63" max="63" width="24.25" style="6" bestFit="1" customWidth="1"/>
    <col min="64" max="64" width="35.25" style="6" bestFit="1" customWidth="1"/>
    <col min="65" max="65" width="30.25" style="6" bestFit="1" customWidth="1"/>
    <col min="66" max="66" width="31.25" style="6" bestFit="1" customWidth="1"/>
    <col min="67" max="67" width="38" style="6" bestFit="1" customWidth="1"/>
    <col min="68" max="68" width="40.25" style="6" bestFit="1" customWidth="1"/>
    <col min="69" max="69" width="43.25" style="6" bestFit="1" customWidth="1"/>
    <col min="70" max="70" width="48.75" style="6" bestFit="1" customWidth="1"/>
    <col min="71" max="71" width="39.25" style="6" bestFit="1" customWidth="1"/>
    <col min="72" max="72" width="26.75" style="6" bestFit="1" customWidth="1"/>
    <col min="73" max="73" width="47" style="6" bestFit="1" customWidth="1"/>
    <col min="74" max="74" width="40" style="6" bestFit="1" customWidth="1"/>
    <col min="75" max="75" width="83.75" style="6" bestFit="1" customWidth="1"/>
    <col min="76" max="76" width="21.25" style="6" bestFit="1" customWidth="1"/>
    <col min="77" max="77" width="31.25" style="6" bestFit="1" customWidth="1"/>
    <col min="78" max="78" width="27.25" style="6" bestFit="1" customWidth="1"/>
    <col min="79" max="79" width="56.75" style="6" bestFit="1" customWidth="1"/>
    <col min="80" max="80" width="24.25" style="6" bestFit="1" customWidth="1"/>
    <col min="81" max="81" width="22.75" style="6" bestFit="1" customWidth="1"/>
    <col min="82" max="82" width="33.75" style="6" bestFit="1" customWidth="1"/>
    <col min="83" max="83" width="29" style="6" bestFit="1" customWidth="1"/>
    <col min="84" max="84" width="29.75" style="6" bestFit="1" customWidth="1"/>
    <col min="85" max="85" width="36.25" style="6" bestFit="1" customWidth="1"/>
    <col min="86" max="86" width="38.75" style="6" bestFit="1" customWidth="1"/>
    <col min="87" max="87" width="42" style="6" bestFit="1" customWidth="1"/>
    <col min="88" max="88" width="47.25" style="6" bestFit="1" customWidth="1"/>
    <col min="89" max="89" width="37.75" style="6" bestFit="1" customWidth="1"/>
    <col min="90" max="90" width="25.25" style="6" bestFit="1" customWidth="1"/>
    <col min="91" max="91" width="45.25" style="6" bestFit="1" customWidth="1"/>
    <col min="92" max="92" width="38.25" style="6" bestFit="1" customWidth="1"/>
    <col min="93" max="93" width="82.25" style="6" bestFit="1" customWidth="1"/>
    <col min="94" max="94" width="22" style="6" bestFit="1" customWidth="1"/>
    <col min="95" max="95" width="32.25" style="6" bestFit="1" customWidth="1"/>
    <col min="96" max="96" width="28" style="6" bestFit="1" customWidth="1"/>
    <col min="97" max="97" width="57.25" style="6" bestFit="1" customWidth="1"/>
    <col min="98" max="98" width="25.25" style="6" bestFit="1" customWidth="1"/>
    <col min="99" max="99" width="23.25" style="6" bestFit="1" customWidth="1"/>
    <col min="100" max="100" width="34.25" style="6" bestFit="1" customWidth="1"/>
    <col min="101" max="101" width="29.25" style="6" bestFit="1" customWidth="1"/>
    <col min="102" max="102" width="30.25" style="6" bestFit="1" customWidth="1"/>
    <col min="103" max="103" width="37.25" style="6" bestFit="1" customWidth="1"/>
    <col min="104" max="104" width="39.25" style="6" bestFit="1" customWidth="1"/>
    <col min="105" max="105" width="42.25" style="6" bestFit="1" customWidth="1"/>
    <col min="106" max="106" width="48" style="6" bestFit="1" customWidth="1"/>
    <col min="107" max="107" width="38.25" style="6" bestFit="1" customWidth="1"/>
    <col min="108" max="108" width="25.75" style="6" bestFit="1" customWidth="1"/>
    <col min="109" max="109" width="46" style="6" bestFit="1" customWidth="1"/>
    <col min="110" max="110" width="39.25" style="6" bestFit="1" customWidth="1"/>
    <col min="111" max="111" width="82.75" style="6" bestFit="1" customWidth="1"/>
    <col min="112" max="112" width="20" style="6" bestFit="1" customWidth="1"/>
    <col min="113" max="113" width="30.25" style="6" bestFit="1" customWidth="1"/>
    <col min="114" max="114" width="26" style="6" bestFit="1" customWidth="1"/>
    <col min="115" max="115" width="55.25" style="6" bestFit="1" customWidth="1"/>
    <col min="116" max="116" width="23.25" style="6" bestFit="1" customWidth="1"/>
    <col min="117" max="117" width="21.25" style="6" bestFit="1" customWidth="1"/>
    <col min="118" max="118" width="32.25" style="6" bestFit="1" customWidth="1"/>
    <col min="119" max="119" width="27.75" style="6" bestFit="1" customWidth="1"/>
    <col min="120" max="120" width="28.25" style="6" bestFit="1" customWidth="1"/>
    <col min="121" max="121" width="35.25" style="6" bestFit="1" customWidth="1"/>
    <col min="122" max="122" width="37.25" style="6" bestFit="1" customWidth="1"/>
    <col min="123" max="123" width="40.25" style="6" bestFit="1" customWidth="1"/>
    <col min="124" max="124" width="46" style="6" bestFit="1" customWidth="1"/>
    <col min="125" max="125" width="36.25" style="6" bestFit="1" customWidth="1"/>
    <col min="126" max="126" width="24" style="6" bestFit="1" customWidth="1"/>
    <col min="127" max="127" width="44.25" style="6" bestFit="1" customWidth="1"/>
    <col min="128" max="128" width="37.25" style="6" bestFit="1" customWidth="1"/>
    <col min="129" max="129" width="80.75" style="6" bestFit="1" customWidth="1"/>
    <col min="130" max="130" width="37.25" style="6" bestFit="1" customWidth="1"/>
    <col min="131" max="131" width="22.75" style="6" bestFit="1" customWidth="1"/>
    <col min="132" max="132" width="33" style="6" bestFit="1" customWidth="1"/>
    <col min="133" max="133" width="28.75" style="6" bestFit="1" customWidth="1"/>
    <col min="134" max="134" width="58.25" style="6" bestFit="1" customWidth="1"/>
    <col min="135" max="135" width="26" style="6" bestFit="1" customWidth="1"/>
    <col min="136" max="136" width="24.25" style="6" bestFit="1" customWidth="1"/>
    <col min="137" max="137" width="35.25" style="6" bestFit="1" customWidth="1"/>
    <col min="138" max="138" width="30.25" style="6" bestFit="1" customWidth="1"/>
    <col min="139" max="139" width="31.25" style="6" bestFit="1" customWidth="1"/>
    <col min="140" max="140" width="38" style="6" bestFit="1" customWidth="1"/>
    <col min="141" max="141" width="40.25" style="6" bestFit="1" customWidth="1"/>
    <col min="142" max="142" width="43.25" style="6" bestFit="1" customWidth="1"/>
    <col min="143" max="143" width="48.75" style="6" bestFit="1" customWidth="1"/>
    <col min="144" max="144" width="39.25" style="6" bestFit="1" customWidth="1"/>
    <col min="145" max="145" width="26.75" style="6" bestFit="1" customWidth="1"/>
    <col min="146" max="146" width="47" style="6" bestFit="1" customWidth="1"/>
    <col min="147" max="147" width="40" style="6" bestFit="1" customWidth="1"/>
    <col min="148" max="148" width="83.75" style="6" bestFit="1" customWidth="1"/>
    <col min="149" max="149" width="21.25" style="6" bestFit="1" customWidth="1"/>
    <col min="150" max="150" width="31.25" style="6" bestFit="1" customWidth="1"/>
    <col min="151" max="151" width="27.25" style="6" bestFit="1" customWidth="1"/>
    <col min="152" max="152" width="56.75" style="6" bestFit="1" customWidth="1"/>
    <col min="153" max="153" width="24.25" style="6" bestFit="1" customWidth="1"/>
    <col min="154" max="154" width="22.75" style="6" bestFit="1" customWidth="1"/>
    <col min="155" max="155" width="33.75" style="6" bestFit="1" customWidth="1"/>
    <col min="156" max="156" width="29" style="6" bestFit="1" customWidth="1"/>
    <col min="157" max="157" width="29.75" style="6" bestFit="1" customWidth="1"/>
    <col min="158" max="158" width="36.25" style="6" bestFit="1" customWidth="1"/>
    <col min="159" max="159" width="38.75" style="6" bestFit="1" customWidth="1"/>
    <col min="160" max="160" width="42" style="6" bestFit="1" customWidth="1"/>
    <col min="161" max="161" width="47.25" style="6" bestFit="1" customWidth="1"/>
    <col min="162" max="162" width="37.75" style="6" bestFit="1" customWidth="1"/>
    <col min="163" max="163" width="25.25" style="6" bestFit="1" customWidth="1"/>
    <col min="164" max="164" width="45.25" style="6" bestFit="1" customWidth="1"/>
    <col min="165" max="165" width="38.25" style="6" bestFit="1" customWidth="1"/>
    <col min="166" max="166" width="82.25" style="6" bestFit="1" customWidth="1"/>
    <col min="167" max="167" width="22" style="6" bestFit="1" customWidth="1"/>
    <col min="168" max="168" width="32.25" style="6" bestFit="1" customWidth="1"/>
    <col min="169" max="169" width="28" style="6" bestFit="1" customWidth="1"/>
    <col min="170" max="170" width="57.25" style="6" bestFit="1" customWidth="1"/>
    <col min="171" max="171" width="25.25" style="6" bestFit="1" customWidth="1"/>
    <col min="172" max="172" width="23.25" style="6" bestFit="1" customWidth="1"/>
    <col min="173" max="173" width="34.25" style="6" bestFit="1" customWidth="1"/>
    <col min="174" max="174" width="29.25" style="6" bestFit="1" customWidth="1"/>
    <col min="175" max="175" width="30.25" style="6" bestFit="1" customWidth="1"/>
    <col min="176" max="176" width="37.25" style="6" bestFit="1" customWidth="1"/>
    <col min="177" max="177" width="39.25" style="6" bestFit="1" customWidth="1"/>
    <col min="178" max="178" width="42.25" style="6" bestFit="1" customWidth="1"/>
    <col min="179" max="179" width="48" style="6" bestFit="1" customWidth="1"/>
    <col min="180" max="180" width="38.25" style="6" bestFit="1" customWidth="1"/>
    <col min="181" max="181" width="25.75" style="6" bestFit="1" customWidth="1"/>
    <col min="182" max="182" width="46" style="6" bestFit="1" customWidth="1"/>
    <col min="183" max="183" width="39.25" style="6" bestFit="1" customWidth="1"/>
    <col min="184" max="184" width="82.75" style="6" bestFit="1" customWidth="1"/>
    <col min="185" max="185" width="20" style="6" bestFit="1" customWidth="1"/>
    <col min="186" max="186" width="30.25" style="6" bestFit="1" customWidth="1"/>
    <col min="187" max="187" width="26" style="6" bestFit="1" customWidth="1"/>
    <col min="188" max="188" width="55.25" style="6" bestFit="1" customWidth="1"/>
    <col min="189" max="189" width="23.25" style="6" bestFit="1" customWidth="1"/>
    <col min="190" max="190" width="21.25" style="6" bestFit="1" customWidth="1"/>
    <col min="191" max="191" width="32.25" style="6" bestFit="1" customWidth="1"/>
    <col min="192" max="192" width="27.75" style="6" bestFit="1" customWidth="1"/>
    <col min="193" max="193" width="28.25" style="6" bestFit="1" customWidth="1"/>
    <col min="194" max="194" width="35.25" style="6" bestFit="1" customWidth="1"/>
    <col min="195" max="195" width="37.25" style="6" bestFit="1" customWidth="1"/>
    <col min="196" max="196" width="40.25" style="6" bestFit="1" customWidth="1"/>
    <col min="197" max="197" width="46" style="6" bestFit="1" customWidth="1"/>
    <col min="198" max="198" width="36.25" style="6" bestFit="1" customWidth="1"/>
    <col min="199" max="199" width="24" style="6" bestFit="1" customWidth="1"/>
    <col min="200" max="200" width="44.25" style="6" bestFit="1" customWidth="1"/>
    <col min="201" max="201" width="37.25" style="6" bestFit="1" customWidth="1"/>
    <col min="202" max="202" width="80.75" style="6" bestFit="1" customWidth="1"/>
    <col min="203" max="203" width="37.25" style="6" bestFit="1" customWidth="1"/>
    <col min="204" max="204" width="22.75" style="6" bestFit="1" customWidth="1"/>
    <col min="205" max="205" width="33" style="6" bestFit="1" customWidth="1"/>
    <col min="206" max="206" width="28.75" style="6" bestFit="1" customWidth="1"/>
    <col min="207" max="207" width="58.25" style="6" bestFit="1" customWidth="1"/>
    <col min="208" max="208" width="26" style="6" bestFit="1" customWidth="1"/>
    <col min="209" max="209" width="24.25" style="6" bestFit="1" customWidth="1"/>
    <col min="210" max="210" width="35.25" style="6" bestFit="1" customWidth="1"/>
    <col min="211" max="211" width="30.25" style="6" bestFit="1" customWidth="1"/>
    <col min="212" max="212" width="31.25" style="6" bestFit="1" customWidth="1"/>
    <col min="213" max="213" width="38" style="6" bestFit="1" customWidth="1"/>
    <col min="214" max="214" width="40.25" style="6" bestFit="1" customWidth="1"/>
    <col min="215" max="215" width="43.25" style="6" bestFit="1" customWidth="1"/>
    <col min="216" max="216" width="48.75" style="6" bestFit="1" customWidth="1"/>
    <col min="217" max="217" width="39.25" style="6" bestFit="1" customWidth="1"/>
    <col min="218" max="218" width="26.75" style="6" bestFit="1" customWidth="1"/>
    <col min="219" max="219" width="47" style="6" bestFit="1" customWidth="1"/>
    <col min="220" max="220" width="40" style="6" bestFit="1" customWidth="1"/>
    <col min="221" max="221" width="83.75" style="6" bestFit="1" customWidth="1"/>
    <col min="222" max="222" width="21.25" style="6" bestFit="1" customWidth="1"/>
    <col min="223" max="223" width="31.25" style="6" bestFit="1" customWidth="1"/>
    <col min="224" max="224" width="27.25" style="6" bestFit="1" customWidth="1"/>
    <col min="225" max="225" width="56.75" style="6" bestFit="1" customWidth="1"/>
    <col min="226" max="226" width="24.25" style="6" bestFit="1" customWidth="1"/>
    <col min="227" max="227" width="22.75" style="6" bestFit="1" customWidth="1"/>
    <col min="228" max="228" width="33.75" style="6" bestFit="1" customWidth="1"/>
    <col min="229" max="229" width="29" style="6" bestFit="1" customWidth="1"/>
    <col min="230" max="230" width="29.75" style="6" bestFit="1" customWidth="1"/>
    <col min="231" max="231" width="36.25" style="6" bestFit="1" customWidth="1"/>
    <col min="232" max="232" width="38.75" style="6" bestFit="1" customWidth="1"/>
    <col min="233" max="233" width="42" style="6" bestFit="1" customWidth="1"/>
    <col min="234" max="234" width="47.25" style="6" bestFit="1" customWidth="1"/>
    <col min="235" max="235" width="37.75" style="6" bestFit="1" customWidth="1"/>
    <col min="236" max="236" width="25.25" style="6" bestFit="1" customWidth="1"/>
    <col min="237" max="237" width="45.25" style="6" bestFit="1" customWidth="1"/>
    <col min="238" max="238" width="38.25" style="6" bestFit="1" customWidth="1"/>
    <col min="239" max="239" width="82.25" style="6" bestFit="1" customWidth="1"/>
    <col min="240" max="240" width="22" style="6" bestFit="1" customWidth="1"/>
    <col min="241" max="241" width="32.25" style="6" bestFit="1" customWidth="1"/>
    <col min="242" max="242" width="28" style="6" bestFit="1" customWidth="1"/>
    <col min="243" max="243" width="57.25" style="6" bestFit="1" customWidth="1"/>
    <col min="244" max="244" width="25.25" style="6" bestFit="1" customWidth="1"/>
    <col min="245" max="245" width="23.25" style="6" bestFit="1" customWidth="1"/>
    <col min="246" max="246" width="34.25" style="6" bestFit="1" customWidth="1"/>
    <col min="247" max="247" width="29.25" style="6" bestFit="1" customWidth="1"/>
    <col min="248" max="248" width="30.25" style="6" bestFit="1" customWidth="1"/>
    <col min="249" max="249" width="37.25" style="6" bestFit="1" customWidth="1"/>
    <col min="250" max="250" width="39.25" style="6" bestFit="1" customWidth="1"/>
    <col min="251" max="251" width="42.25" style="6" bestFit="1" customWidth="1"/>
    <col min="252" max="252" width="48" style="6" bestFit="1" customWidth="1"/>
    <col min="253" max="253" width="38.25" style="6" bestFit="1" customWidth="1"/>
    <col min="254" max="254" width="25.75" style="6" bestFit="1" customWidth="1"/>
    <col min="255" max="255" width="46" style="6" bestFit="1" customWidth="1"/>
    <col min="256" max="256" width="39.25" style="6" bestFit="1" customWidth="1"/>
    <col min="257" max="257" width="82.75" style="6" bestFit="1" customWidth="1"/>
    <col min="258" max="258" width="20" style="6" bestFit="1" customWidth="1"/>
    <col min="259" max="259" width="30.25" style="6" bestFit="1" customWidth="1"/>
    <col min="260" max="260" width="26" style="6" bestFit="1" customWidth="1"/>
    <col min="261" max="261" width="55.25" style="6" bestFit="1" customWidth="1"/>
    <col min="262" max="262" width="23.25" style="6" bestFit="1" customWidth="1"/>
    <col min="263" max="263" width="21.25" style="6" bestFit="1" customWidth="1"/>
    <col min="264" max="264" width="32.25" style="6" bestFit="1" customWidth="1"/>
    <col min="265" max="265" width="27.75" style="6" bestFit="1" customWidth="1"/>
    <col min="266" max="266" width="28.25" style="6" bestFit="1" customWidth="1"/>
    <col min="267" max="267" width="35.25" style="6" bestFit="1" customWidth="1"/>
    <col min="268" max="268" width="37.25" style="6" bestFit="1" customWidth="1"/>
    <col min="269" max="269" width="40.25" style="6" bestFit="1" customWidth="1"/>
    <col min="270" max="270" width="46" style="6" bestFit="1" customWidth="1"/>
    <col min="271" max="271" width="36.25" style="6" bestFit="1" customWidth="1"/>
    <col min="272" max="272" width="24" style="6" bestFit="1" customWidth="1"/>
    <col min="273" max="273" width="44.25" style="6" bestFit="1" customWidth="1"/>
    <col min="274" max="274" width="37.25" style="6" bestFit="1" customWidth="1"/>
    <col min="275" max="275" width="80.75" style="6" bestFit="1" customWidth="1"/>
    <col min="276" max="276" width="37.25" style="6" bestFit="1" customWidth="1"/>
    <col min="277" max="277" width="22.75" style="6" bestFit="1" customWidth="1"/>
    <col min="278" max="278" width="33" style="6" bestFit="1" customWidth="1"/>
    <col min="279" max="279" width="28.75" style="6" bestFit="1" customWidth="1"/>
    <col min="280" max="280" width="58.25" style="6" bestFit="1" customWidth="1"/>
    <col min="281" max="281" width="26" style="6" bestFit="1" customWidth="1"/>
    <col min="282" max="282" width="24.25" style="6" bestFit="1" customWidth="1"/>
    <col min="283" max="283" width="35.25" style="6" bestFit="1" customWidth="1"/>
    <col min="284" max="284" width="30.25" style="6" bestFit="1" customWidth="1"/>
    <col min="285" max="285" width="31.25" style="6" bestFit="1" customWidth="1"/>
    <col min="286" max="286" width="38" style="6" bestFit="1" customWidth="1"/>
    <col min="287" max="287" width="40.25" style="6" bestFit="1" customWidth="1"/>
    <col min="288" max="288" width="43.25" style="6" bestFit="1" customWidth="1"/>
    <col min="289" max="289" width="48.75" style="6" bestFit="1" customWidth="1"/>
    <col min="290" max="290" width="39.25" style="6" bestFit="1" customWidth="1"/>
    <col min="291" max="291" width="26.75" style="6" bestFit="1" customWidth="1"/>
    <col min="292" max="292" width="47" style="6" bestFit="1" customWidth="1"/>
    <col min="293" max="293" width="40" style="6" bestFit="1" customWidth="1"/>
    <col min="294" max="294" width="83.75" style="6" bestFit="1" customWidth="1"/>
    <col min="295" max="295" width="21.25" style="6" bestFit="1" customWidth="1"/>
    <col min="296" max="296" width="31.25" style="6" bestFit="1" customWidth="1"/>
    <col min="297" max="297" width="27.25" style="6" bestFit="1" customWidth="1"/>
    <col min="298" max="298" width="56.75" style="6" bestFit="1" customWidth="1"/>
    <col min="299" max="299" width="24.25" style="6" bestFit="1" customWidth="1"/>
    <col min="300" max="300" width="22.75" style="6" bestFit="1" customWidth="1"/>
    <col min="301" max="301" width="33.75" style="6" bestFit="1" customWidth="1"/>
    <col min="302" max="302" width="29" style="6" bestFit="1" customWidth="1"/>
    <col min="303" max="303" width="29.75" style="6" bestFit="1" customWidth="1"/>
    <col min="304" max="304" width="36.25" style="6" bestFit="1" customWidth="1"/>
    <col min="305" max="305" width="38.75" style="6" bestFit="1" customWidth="1"/>
    <col min="306" max="306" width="42" style="6" bestFit="1" customWidth="1"/>
    <col min="307" max="307" width="47.25" style="6" bestFit="1" customWidth="1"/>
    <col min="308" max="308" width="37.75" style="6" bestFit="1" customWidth="1"/>
    <col min="309" max="309" width="25.25" style="6" bestFit="1" customWidth="1"/>
    <col min="310" max="310" width="45.25" style="6" bestFit="1" customWidth="1"/>
    <col min="311" max="311" width="38.25" style="6" bestFit="1" customWidth="1"/>
    <col min="312" max="312" width="82.25" style="6" bestFit="1" customWidth="1"/>
    <col min="313" max="313" width="22" style="6" bestFit="1" customWidth="1"/>
    <col min="314" max="314" width="32.25" style="6" bestFit="1" customWidth="1"/>
    <col min="315" max="315" width="28" style="6" bestFit="1" customWidth="1"/>
    <col min="316" max="316" width="57.25" style="6" bestFit="1" customWidth="1"/>
    <col min="317" max="317" width="25.25" style="6" bestFit="1" customWidth="1"/>
    <col min="318" max="318" width="23.25" style="6" bestFit="1" customWidth="1"/>
    <col min="319" max="319" width="34.25" style="6" bestFit="1" customWidth="1"/>
    <col min="320" max="320" width="29.25" style="6" bestFit="1" customWidth="1"/>
    <col min="321" max="321" width="30.25" style="6" bestFit="1" customWidth="1"/>
    <col min="322" max="322" width="37.25" style="6" bestFit="1" customWidth="1"/>
    <col min="323" max="323" width="39.25" style="6" bestFit="1" customWidth="1"/>
    <col min="324" max="324" width="42.25" style="6" bestFit="1" customWidth="1"/>
    <col min="325" max="325" width="48" style="6" bestFit="1" customWidth="1"/>
    <col min="326" max="326" width="38.25" style="6" bestFit="1" customWidth="1"/>
    <col min="327" max="327" width="25.75" style="6" bestFit="1" customWidth="1"/>
    <col min="328" max="328" width="46" style="6" bestFit="1" customWidth="1"/>
    <col min="329" max="329" width="39.25" style="6" bestFit="1" customWidth="1"/>
    <col min="330" max="330" width="82.75" style="6" bestFit="1" customWidth="1"/>
    <col min="331" max="331" width="20" style="6" bestFit="1" customWidth="1"/>
    <col min="332" max="332" width="30.25" style="6" bestFit="1" customWidth="1"/>
    <col min="333" max="333" width="26" style="6" bestFit="1" customWidth="1"/>
    <col min="334" max="334" width="55.25" style="6" bestFit="1" customWidth="1"/>
    <col min="335" max="335" width="23.25" style="6" bestFit="1" customWidth="1"/>
    <col min="336" max="336" width="21.25" style="6" bestFit="1" customWidth="1"/>
    <col min="337" max="337" width="32.25" style="6" bestFit="1" customWidth="1"/>
    <col min="338" max="338" width="27.75" style="6" bestFit="1" customWidth="1"/>
    <col min="339" max="339" width="28.25" style="6" bestFit="1" customWidth="1"/>
    <col min="340" max="340" width="35.25" style="6" bestFit="1" customWidth="1"/>
    <col min="341" max="341" width="37.25" style="6" bestFit="1" customWidth="1"/>
    <col min="342" max="342" width="40.25" style="6" bestFit="1" customWidth="1"/>
    <col min="343" max="343" width="46" style="6" bestFit="1" customWidth="1"/>
    <col min="344" max="344" width="36.25" style="6" bestFit="1" customWidth="1"/>
    <col min="345" max="345" width="24" style="6" bestFit="1" customWidth="1"/>
    <col min="346" max="346" width="44.25" style="6" bestFit="1" customWidth="1"/>
    <col min="347" max="347" width="37.25" style="6" bestFit="1" customWidth="1"/>
    <col min="348" max="348" width="80.75" style="6" bestFit="1" customWidth="1"/>
    <col min="349" max="349" width="37.25" style="6" bestFit="1" customWidth="1"/>
    <col min="350" max="16384" width="11.25" style="6"/>
  </cols>
  <sheetData>
    <row r="1" spans="1:57" ht="30" hidden="1" customHeight="1" thickTop="1">
      <c r="A1" s="179"/>
      <c r="B1" s="180"/>
      <c r="C1" s="185" t="s">
        <v>30</v>
      </c>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7"/>
      <c r="BC1" s="194" t="s">
        <v>31</v>
      </c>
      <c r="BD1" s="195"/>
      <c r="BE1" s="196"/>
    </row>
    <row r="2" spans="1:57" ht="30" hidden="1" customHeight="1">
      <c r="A2" s="181"/>
      <c r="B2" s="182"/>
      <c r="C2" s="188"/>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90"/>
      <c r="BC2" s="197" t="s">
        <v>260</v>
      </c>
      <c r="BD2" s="198"/>
      <c r="BE2" s="199"/>
    </row>
    <row r="3" spans="1:57" ht="30" hidden="1" customHeight="1">
      <c r="A3" s="181"/>
      <c r="B3" s="182"/>
      <c r="C3" s="188"/>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189"/>
      <c r="AZ3" s="189"/>
      <c r="BA3" s="189"/>
      <c r="BB3" s="190"/>
      <c r="BC3" s="197" t="s">
        <v>261</v>
      </c>
      <c r="BD3" s="198"/>
      <c r="BE3" s="199"/>
    </row>
    <row r="4" spans="1:57" ht="30" hidden="1" customHeight="1" thickBot="1">
      <c r="A4" s="183"/>
      <c r="B4" s="184"/>
      <c r="C4" s="191"/>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3"/>
      <c r="BC4" s="200" t="s">
        <v>262</v>
      </c>
      <c r="BD4" s="201"/>
      <c r="BE4" s="202"/>
    </row>
    <row r="5" spans="1:57" ht="23.25" customHeight="1">
      <c r="BE5" s="7"/>
    </row>
    <row r="6" spans="1:57" ht="28.5" customHeight="1" thickBot="1">
      <c r="B6" s="88" t="s">
        <v>28</v>
      </c>
      <c r="C6" s="8"/>
      <c r="D6" s="8"/>
      <c r="E6" s="8"/>
      <c r="F6" s="8"/>
      <c r="G6" s="8"/>
      <c r="H6" s="8"/>
      <c r="I6" s="8"/>
      <c r="J6" s="8"/>
      <c r="K6" s="8"/>
      <c r="L6" s="8"/>
      <c r="M6" s="8"/>
      <c r="N6" s="8"/>
      <c r="O6" s="9"/>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9"/>
      <c r="BD6" s="8"/>
      <c r="BE6" s="10"/>
    </row>
    <row r="7" spans="1:57" ht="37.35" customHeight="1" thickBot="1">
      <c r="B7" s="1">
        <v>2025</v>
      </c>
      <c r="C7" s="8"/>
      <c r="D7" s="8"/>
      <c r="E7" s="8"/>
      <c r="F7" s="8"/>
      <c r="G7" s="8"/>
      <c r="H7" s="8"/>
      <c r="I7" s="8"/>
      <c r="J7" s="8"/>
      <c r="K7" s="8"/>
      <c r="L7" s="8"/>
      <c r="M7" s="8"/>
      <c r="N7" s="8"/>
      <c r="O7" s="9"/>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9"/>
      <c r="BD7" s="8"/>
      <c r="BE7" s="10"/>
    </row>
    <row r="8" spans="1:57" ht="8.85" customHeight="1" thickBot="1">
      <c r="C8" s="9"/>
      <c r="D8" s="8"/>
      <c r="E8" s="8"/>
      <c r="F8" s="8"/>
      <c r="G8" s="8"/>
      <c r="H8" s="8"/>
      <c r="I8" s="8"/>
      <c r="J8" s="8"/>
      <c r="K8" s="8"/>
      <c r="L8" s="8"/>
      <c r="M8" s="8"/>
      <c r="N8" s="8"/>
      <c r="O8" s="9"/>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9"/>
      <c r="BD8" s="8"/>
      <c r="BE8" s="10"/>
    </row>
    <row r="9" spans="1:57" s="79" customFormat="1" ht="38.1" customHeight="1" thickBot="1">
      <c r="A9" s="171" t="s">
        <v>27</v>
      </c>
      <c r="B9" s="171"/>
      <c r="C9" s="171"/>
      <c r="D9" s="171"/>
      <c r="E9" s="171"/>
      <c r="F9" s="171"/>
      <c r="G9" s="171"/>
      <c r="H9" s="172" t="s">
        <v>25</v>
      </c>
      <c r="I9" s="173"/>
      <c r="J9" s="173"/>
      <c r="K9" s="173"/>
      <c r="L9" s="173"/>
      <c r="M9" s="173"/>
      <c r="N9" s="173"/>
      <c r="O9" s="174"/>
      <c r="P9" s="175" t="s">
        <v>24</v>
      </c>
      <c r="Q9" s="176"/>
      <c r="R9" s="176"/>
      <c r="S9" s="176"/>
      <c r="T9" s="176"/>
      <c r="U9" s="176"/>
      <c r="V9" s="176"/>
      <c r="W9" s="176"/>
      <c r="X9" s="176"/>
      <c r="Y9" s="176"/>
      <c r="Z9" s="176"/>
      <c r="AA9" s="176"/>
      <c r="AB9" s="176"/>
      <c r="AC9" s="176"/>
      <c r="AD9" s="177"/>
      <c r="AE9" s="178"/>
      <c r="AF9" s="172" t="s">
        <v>23</v>
      </c>
      <c r="AG9" s="173"/>
      <c r="AH9" s="173"/>
      <c r="AI9" s="173"/>
      <c r="AJ9" s="173"/>
      <c r="AK9" s="173"/>
      <c r="AL9" s="173"/>
      <c r="AM9" s="173"/>
      <c r="AN9" s="173"/>
      <c r="AO9" s="173"/>
      <c r="AP9" s="173"/>
      <c r="AQ9" s="173"/>
      <c r="AR9" s="173"/>
      <c r="AS9" s="173"/>
      <c r="AT9" s="173"/>
      <c r="AU9" s="173"/>
      <c r="AV9" s="173"/>
      <c r="AW9" s="173"/>
      <c r="AX9" s="172" t="s">
        <v>40</v>
      </c>
      <c r="AY9" s="173"/>
      <c r="AZ9" s="174"/>
      <c r="BA9" s="173" t="s">
        <v>41</v>
      </c>
      <c r="BB9" s="173"/>
      <c r="BC9" s="169" t="s">
        <v>22</v>
      </c>
      <c r="BD9" s="170"/>
      <c r="BE9" s="2"/>
    </row>
    <row r="10" spans="1:57" s="79" customFormat="1" ht="69.95" customHeight="1">
      <c r="A10" s="2" t="s">
        <v>20</v>
      </c>
      <c r="B10" s="2" t="s">
        <v>19</v>
      </c>
      <c r="C10" s="2" t="s">
        <v>18</v>
      </c>
      <c r="D10" s="2" t="s">
        <v>17</v>
      </c>
      <c r="E10" s="2" t="s">
        <v>16</v>
      </c>
      <c r="F10" s="2" t="s">
        <v>15</v>
      </c>
      <c r="G10" s="2" t="s">
        <v>14</v>
      </c>
      <c r="H10" s="2" t="s">
        <v>32</v>
      </c>
      <c r="I10" s="2" t="s">
        <v>8</v>
      </c>
      <c r="J10" s="2" t="s">
        <v>7</v>
      </c>
      <c r="K10" s="2" t="s">
        <v>6</v>
      </c>
      <c r="L10" s="2" t="s">
        <v>5</v>
      </c>
      <c r="M10" s="2" t="s">
        <v>4</v>
      </c>
      <c r="N10" s="2" t="s">
        <v>3</v>
      </c>
      <c r="O10" s="96" t="s">
        <v>2</v>
      </c>
      <c r="P10" s="2" t="s">
        <v>284</v>
      </c>
      <c r="Q10" s="2" t="s">
        <v>285</v>
      </c>
      <c r="R10" s="2" t="s">
        <v>286</v>
      </c>
      <c r="S10" s="2" t="s">
        <v>287</v>
      </c>
      <c r="T10" s="2" t="s">
        <v>288</v>
      </c>
      <c r="U10" s="2" t="s">
        <v>289</v>
      </c>
      <c r="V10" s="2" t="s">
        <v>290</v>
      </c>
      <c r="W10" s="2" t="s">
        <v>291</v>
      </c>
      <c r="X10" s="2" t="s">
        <v>292</v>
      </c>
      <c r="Y10" s="2" t="s">
        <v>293</v>
      </c>
      <c r="Z10" s="2" t="s">
        <v>294</v>
      </c>
      <c r="AA10" s="2" t="s">
        <v>295</v>
      </c>
      <c r="AB10" s="2" t="s">
        <v>296</v>
      </c>
      <c r="AC10" s="2" t="s">
        <v>297</v>
      </c>
      <c r="AD10" s="2" t="s">
        <v>56</v>
      </c>
      <c r="AE10" s="2" t="s">
        <v>267</v>
      </c>
      <c r="AF10" s="2" t="s">
        <v>299</v>
      </c>
      <c r="AG10" s="2" t="s">
        <v>300</v>
      </c>
      <c r="AH10" s="2" t="s">
        <v>301</v>
      </c>
      <c r="AI10" s="2" t="s">
        <v>302</v>
      </c>
      <c r="AJ10" s="2" t="s">
        <v>303</v>
      </c>
      <c r="AK10" s="2" t="s">
        <v>304</v>
      </c>
      <c r="AL10" s="2" t="s">
        <v>305</v>
      </c>
      <c r="AM10" s="2" t="s">
        <v>306</v>
      </c>
      <c r="AN10" s="2" t="s">
        <v>307</v>
      </c>
      <c r="AO10" s="2" t="s">
        <v>298</v>
      </c>
      <c r="AP10" s="2" t="s">
        <v>308</v>
      </c>
      <c r="AQ10" s="2" t="s">
        <v>309</v>
      </c>
      <c r="AR10" s="2" t="s">
        <v>310</v>
      </c>
      <c r="AS10" s="2" t="s">
        <v>311</v>
      </c>
      <c r="AT10" s="2" t="s">
        <v>281</v>
      </c>
      <c r="AU10" s="2" t="s">
        <v>282</v>
      </c>
      <c r="AV10" s="2" t="s">
        <v>33</v>
      </c>
      <c r="AW10" s="3" t="s">
        <v>34</v>
      </c>
      <c r="AX10" s="2" t="s">
        <v>39</v>
      </c>
      <c r="AY10" s="2" t="s">
        <v>37</v>
      </c>
      <c r="AZ10" s="2" t="s">
        <v>36</v>
      </c>
      <c r="BA10" s="4" t="s">
        <v>283</v>
      </c>
      <c r="BB10" s="3" t="s">
        <v>38</v>
      </c>
      <c r="BC10" s="2" t="s">
        <v>1</v>
      </c>
      <c r="BD10" s="2" t="s">
        <v>0</v>
      </c>
      <c r="BE10" s="5" t="s">
        <v>21</v>
      </c>
    </row>
    <row r="11" spans="1:57" s="11" customFormat="1" ht="120" customHeight="1">
      <c r="A11" s="54">
        <v>34</v>
      </c>
      <c r="B11" s="54" t="s">
        <v>57</v>
      </c>
      <c r="C11" s="54" t="s">
        <v>58</v>
      </c>
      <c r="D11" s="54" t="s">
        <v>60</v>
      </c>
      <c r="E11" s="54" t="s">
        <v>61</v>
      </c>
      <c r="F11" s="54" t="s">
        <v>62</v>
      </c>
      <c r="G11" s="54" t="s">
        <v>63</v>
      </c>
      <c r="H11" s="55">
        <v>2024680010165</v>
      </c>
      <c r="I11" s="56" t="s">
        <v>218</v>
      </c>
      <c r="J11" s="57">
        <f>8198899256.84867+1860900000</f>
        <v>10059799256.848671</v>
      </c>
      <c r="K11" s="57">
        <v>3881286785</v>
      </c>
      <c r="L11" s="58" t="s">
        <v>219</v>
      </c>
      <c r="M11" s="58" t="s">
        <v>220</v>
      </c>
      <c r="N11" s="55">
        <v>0</v>
      </c>
      <c r="O11" s="164" t="s">
        <v>317</v>
      </c>
      <c r="P11" s="97">
        <v>180000000</v>
      </c>
      <c r="Q11" s="98"/>
      <c r="R11" s="98"/>
      <c r="S11" s="98"/>
      <c r="T11" s="98"/>
      <c r="U11" s="98"/>
      <c r="V11" s="98"/>
      <c r="W11" s="98"/>
      <c r="X11" s="98"/>
      <c r="Y11" s="98"/>
      <c r="Z11" s="98"/>
      <c r="AA11" s="98"/>
      <c r="AB11" s="98"/>
      <c r="AC11" s="98"/>
      <c r="AD11" s="99"/>
      <c r="AE11" s="100">
        <f>SUM(Tabla13[[#This Row],[Recursos propios 2025]:[Recursos del Balance]])</f>
        <v>180000000</v>
      </c>
      <c r="AF11" s="101">
        <v>0</v>
      </c>
      <c r="AG11" s="101"/>
      <c r="AH11" s="101"/>
      <c r="AI11" s="101"/>
      <c r="AJ11" s="101"/>
      <c r="AK11" s="101"/>
      <c r="AL11" s="101"/>
      <c r="AM11" s="101"/>
      <c r="AN11" s="101"/>
      <c r="AO11" s="101"/>
      <c r="AP11" s="101"/>
      <c r="AQ11" s="101"/>
      <c r="AR11" s="101"/>
      <c r="AS11" s="101"/>
      <c r="AT11" s="99"/>
      <c r="AU11" s="102">
        <f>Tabla13[[#This Row],[Recursos propios 20252]]+Tabla13[[#This Row],[SGP Salud 20254]]+Tabla13[[#This Row],[Otros 202515]]+Tabla13[[#This Row],[Recursos del Balance ]]</f>
        <v>0</v>
      </c>
      <c r="AV11" s="103">
        <v>0</v>
      </c>
      <c r="AW11" s="103">
        <v>0</v>
      </c>
      <c r="AX11" s="104">
        <f>+Tabla13[[#This Row],[Total Recursos Comprometido 2025]]/Tabla13[[#This Row],[Total 2025]]</f>
        <v>0</v>
      </c>
      <c r="AY11" s="105">
        <f>+Tabla13[[#This Row],[Total Recursos Obligados]]/Tabla13[[#This Row],[Total 2025]]</f>
        <v>0</v>
      </c>
      <c r="AZ11" s="106">
        <f>+Tabla13[[#This Row],[Total Recursos Pagados]]/Tabla13[[#This Row],[Total 2025]]</f>
        <v>0</v>
      </c>
      <c r="BA11" s="97">
        <v>0</v>
      </c>
      <c r="BB11" s="107" t="str">
        <f>IF(Tabla13[[#This Row],[Total Recursos Gestionados ]]=0,"_",IF(Tabla13[[#This Row],[Ejecución Recursos Comprometidos]]=0,100%,Tabla13[[#This Row],[Total Recursos Gestionados ]]/Tabla13[[#This Row],[Ejecución Recursos Comprometidos]]))</f>
        <v>_</v>
      </c>
      <c r="BC11" s="108" t="s">
        <v>250</v>
      </c>
      <c r="BD11" s="109" t="s">
        <v>251</v>
      </c>
      <c r="BE11" s="108" t="s">
        <v>252</v>
      </c>
    </row>
    <row r="12" spans="1:57" s="12" customFormat="1" ht="123.6" customHeight="1">
      <c r="A12" s="61">
        <v>35</v>
      </c>
      <c r="B12" s="61" t="s">
        <v>57</v>
      </c>
      <c r="C12" s="61" t="s">
        <v>58</v>
      </c>
      <c r="D12" s="61" t="s">
        <v>60</v>
      </c>
      <c r="E12" s="61" t="s">
        <v>61</v>
      </c>
      <c r="F12" s="61" t="s">
        <v>66</v>
      </c>
      <c r="G12" s="61" t="s">
        <v>67</v>
      </c>
      <c r="H12" s="62">
        <v>2024680010165</v>
      </c>
      <c r="I12" s="56" t="s">
        <v>218</v>
      </c>
      <c r="J12" s="60">
        <v>10159799256.8487</v>
      </c>
      <c r="K12" s="60">
        <v>3881286785</v>
      </c>
      <c r="L12" s="58" t="s">
        <v>219</v>
      </c>
      <c r="M12" s="58" t="s">
        <v>220</v>
      </c>
      <c r="N12" s="63">
        <v>623881</v>
      </c>
      <c r="O12" s="59" t="s">
        <v>318</v>
      </c>
      <c r="P12" s="97">
        <v>1720386785</v>
      </c>
      <c r="Q12" s="110"/>
      <c r="R12" s="110"/>
      <c r="S12" s="110"/>
      <c r="T12" s="110"/>
      <c r="U12" s="110"/>
      <c r="V12" s="110"/>
      <c r="W12" s="110"/>
      <c r="X12" s="110"/>
      <c r="Y12" s="110"/>
      <c r="Z12" s="110"/>
      <c r="AA12" s="110"/>
      <c r="AB12" s="110"/>
      <c r="AC12" s="110"/>
      <c r="AD12" s="97">
        <v>1860900000</v>
      </c>
      <c r="AE12" s="111">
        <f>SUM(Tabla13[[#This Row],[Recursos propios 2025]:[Recursos del Balance]])</f>
        <v>3581286785</v>
      </c>
      <c r="AF12" s="101">
        <v>1399147449.3399999</v>
      </c>
      <c r="AG12" s="101"/>
      <c r="AH12" s="101"/>
      <c r="AI12" s="101"/>
      <c r="AJ12" s="101"/>
      <c r="AK12" s="101"/>
      <c r="AL12" s="101"/>
      <c r="AM12" s="101"/>
      <c r="AN12" s="101"/>
      <c r="AO12" s="101"/>
      <c r="AP12" s="101"/>
      <c r="AQ12" s="101"/>
      <c r="AR12" s="101"/>
      <c r="AS12" s="101"/>
      <c r="AT12" s="97">
        <v>392933333.33999997</v>
      </c>
      <c r="AU12" s="103">
        <f>Tabla13[[#This Row],[Recursos propios 20252]]+Tabla13[[#This Row],[SGP Salud 20254]]+Tabla13[[#This Row],[Otros 202515]]+Tabla13[[#This Row],[Recursos del Balance ]]</f>
        <v>1792080782.6799998</v>
      </c>
      <c r="AV12" s="112">
        <v>1155349618</v>
      </c>
      <c r="AW12" s="113">
        <v>1105032951.3400002</v>
      </c>
      <c r="AX12" s="114">
        <f>+Tabla13[[#This Row],[Total Recursos Comprometido 2025]]/Tabla13[[#This Row],[Total 2025]]</f>
        <v>0.50040136137268321</v>
      </c>
      <c r="AY12" s="105">
        <f>+Tabla13[[#This Row],[Total Recursos Obligados]]/Tabla13[[#This Row],[Total 2025]]</f>
        <v>0.32260739989858145</v>
      </c>
      <c r="AZ12" s="106">
        <f>+Tabla13[[#This Row],[Total Recursos Pagados]]/Tabla13[[#This Row],[Total 2025]]</f>
        <v>0.30855751512790397</v>
      </c>
      <c r="BA12" s="115">
        <v>0</v>
      </c>
      <c r="BB12" s="116" t="str">
        <f>IF(Tabla13[[#This Row],[Total Recursos Gestionados ]]=0,"_",IF(Tabla13[[#This Row],[Ejecución Recursos Comprometidos]]=0,100%,Tabla13[[#This Row],[Total Recursos Gestionados ]]/Tabla13[[#This Row],[Ejecución Recursos Comprometidos]]))</f>
        <v>_</v>
      </c>
      <c r="BC12" s="109" t="s">
        <v>250</v>
      </c>
      <c r="BD12" s="109" t="s">
        <v>251</v>
      </c>
      <c r="BE12" s="109" t="s">
        <v>252</v>
      </c>
    </row>
    <row r="13" spans="1:57" s="12" customFormat="1" ht="105" customHeight="1">
      <c r="A13" s="54">
        <v>36</v>
      </c>
      <c r="B13" s="54" t="s">
        <v>57</v>
      </c>
      <c r="C13" s="54" t="s">
        <v>58</v>
      </c>
      <c r="D13" s="54" t="s">
        <v>60</v>
      </c>
      <c r="E13" s="54" t="s">
        <v>61</v>
      </c>
      <c r="F13" s="54" t="s">
        <v>69</v>
      </c>
      <c r="G13" s="54" t="s">
        <v>70</v>
      </c>
      <c r="H13" s="55">
        <v>2024680010165</v>
      </c>
      <c r="I13" s="56" t="s">
        <v>218</v>
      </c>
      <c r="J13" s="57">
        <v>10159799256.8487</v>
      </c>
      <c r="K13" s="57">
        <v>3881286785</v>
      </c>
      <c r="L13" s="58" t="s">
        <v>219</v>
      </c>
      <c r="M13" s="58" t="s">
        <v>220</v>
      </c>
      <c r="N13" s="55">
        <v>0</v>
      </c>
      <c r="O13" s="59" t="s">
        <v>319</v>
      </c>
      <c r="P13" s="97">
        <v>120000000</v>
      </c>
      <c r="Q13" s="98"/>
      <c r="R13" s="98"/>
      <c r="S13" s="98"/>
      <c r="T13" s="98"/>
      <c r="U13" s="98"/>
      <c r="V13" s="98"/>
      <c r="W13" s="98"/>
      <c r="X13" s="98"/>
      <c r="Y13" s="98"/>
      <c r="Z13" s="98"/>
      <c r="AA13" s="98"/>
      <c r="AB13" s="98"/>
      <c r="AC13" s="98"/>
      <c r="AD13" s="99"/>
      <c r="AE13" s="100">
        <f>SUM(Tabla13[[#This Row],[Recursos propios 2025]:[Recursos del Balance]])</f>
        <v>120000000</v>
      </c>
      <c r="AF13" s="101">
        <v>0</v>
      </c>
      <c r="AG13" s="101"/>
      <c r="AH13" s="101"/>
      <c r="AI13" s="101"/>
      <c r="AJ13" s="101"/>
      <c r="AK13" s="101"/>
      <c r="AL13" s="101"/>
      <c r="AM13" s="101"/>
      <c r="AN13" s="101"/>
      <c r="AO13" s="101"/>
      <c r="AP13" s="101"/>
      <c r="AQ13" s="101"/>
      <c r="AR13" s="101"/>
      <c r="AS13" s="101"/>
      <c r="AT13" s="99"/>
      <c r="AU13" s="102">
        <f>Tabla13[[#This Row],[Recursos propios 20252]]+Tabla13[[#This Row],[SGP Salud 20254]]+Tabla13[[#This Row],[Otros 202515]]+Tabla13[[#This Row],[Recursos del Balance ]]</f>
        <v>0</v>
      </c>
      <c r="AV13" s="103">
        <v>0</v>
      </c>
      <c r="AW13" s="103">
        <v>0</v>
      </c>
      <c r="AX13" s="104">
        <f>+Tabla13[[#This Row],[Total Recursos Comprometido 2025]]/Tabla13[[#This Row],[Total 2025]]</f>
        <v>0</v>
      </c>
      <c r="AY13" s="105">
        <f>+Tabla13[[#This Row],[Total Recursos Obligados]]/Tabla13[[#This Row],[Total 2025]]</f>
        <v>0</v>
      </c>
      <c r="AZ13" s="106">
        <f>+Tabla13[[#This Row],[Total Recursos Pagados]]/Tabla13[[#This Row],[Total 2025]]</f>
        <v>0</v>
      </c>
      <c r="BA13" s="97">
        <v>0</v>
      </c>
      <c r="BB13" s="107" t="str">
        <f>IF(Tabla13[[#This Row],[Total Recursos Gestionados ]]=0,"_",IF(Tabla13[[#This Row],[Ejecución Recursos Comprometidos]]=0,100%,Tabla13[[#This Row],[Total Recursos Gestionados ]]/Tabla13[[#This Row],[Ejecución Recursos Comprometidos]]))</f>
        <v>_</v>
      </c>
      <c r="BC13" s="108" t="s">
        <v>250</v>
      </c>
      <c r="BD13" s="109" t="s">
        <v>251</v>
      </c>
      <c r="BE13" s="108" t="s">
        <v>252</v>
      </c>
    </row>
    <row r="14" spans="1:57" s="12" customFormat="1" ht="335.1" customHeight="1">
      <c r="A14" s="61">
        <v>37</v>
      </c>
      <c r="B14" s="61" t="s">
        <v>57</v>
      </c>
      <c r="C14" s="61" t="s">
        <v>59</v>
      </c>
      <c r="D14" s="61" t="s">
        <v>72</v>
      </c>
      <c r="E14" s="61" t="s">
        <v>73</v>
      </c>
      <c r="F14" s="61" t="s">
        <v>74</v>
      </c>
      <c r="G14" s="61" t="s">
        <v>75</v>
      </c>
      <c r="H14" s="62">
        <v>2024680010161</v>
      </c>
      <c r="I14" s="56" t="s">
        <v>221</v>
      </c>
      <c r="J14" s="60">
        <v>667071999.99896252</v>
      </c>
      <c r="K14" s="60">
        <v>322000000</v>
      </c>
      <c r="L14" s="58" t="s">
        <v>219</v>
      </c>
      <c r="M14" s="58" t="s">
        <v>220</v>
      </c>
      <c r="N14" s="63">
        <v>623881</v>
      </c>
      <c r="O14" s="59" t="s">
        <v>320</v>
      </c>
      <c r="P14" s="97">
        <v>80000000</v>
      </c>
      <c r="Q14" s="110"/>
      <c r="R14" s="110"/>
      <c r="S14" s="110"/>
      <c r="T14" s="110"/>
      <c r="U14" s="110"/>
      <c r="V14" s="110"/>
      <c r="W14" s="110"/>
      <c r="X14" s="110"/>
      <c r="Y14" s="110"/>
      <c r="Z14" s="110"/>
      <c r="AA14" s="110"/>
      <c r="AB14" s="110"/>
      <c r="AC14" s="110"/>
      <c r="AD14" s="97"/>
      <c r="AE14" s="111">
        <f>SUM(Tabla13[[#This Row],[Recursos propios 2025]:[Recursos del Balance]])</f>
        <v>80000000</v>
      </c>
      <c r="AF14" s="101">
        <v>74583333.329999998</v>
      </c>
      <c r="AG14" s="101"/>
      <c r="AH14" s="101"/>
      <c r="AI14" s="101"/>
      <c r="AJ14" s="101"/>
      <c r="AK14" s="101"/>
      <c r="AL14" s="101"/>
      <c r="AM14" s="101"/>
      <c r="AN14" s="101"/>
      <c r="AO14" s="101"/>
      <c r="AP14" s="101"/>
      <c r="AQ14" s="101"/>
      <c r="AR14" s="101"/>
      <c r="AS14" s="101"/>
      <c r="AT14" s="97"/>
      <c r="AU14" s="103">
        <f>Tabla13[[#This Row],[Recursos propios 20252]]+Tabla13[[#This Row],[SGP Salud 20254]]+Tabla13[[#This Row],[Otros 202515]]+Tabla13[[#This Row],[Recursos del Balance ]]</f>
        <v>74583333.329999998</v>
      </c>
      <c r="AV14" s="112">
        <v>51783333.329999998</v>
      </c>
      <c r="AW14" s="113">
        <v>51783333.329999998</v>
      </c>
      <c r="AX14" s="114">
        <f>+Tabla13[[#This Row],[Total Recursos Comprometido 2025]]/Tabla13[[#This Row],[Total 2025]]</f>
        <v>0.93229166662499996</v>
      </c>
      <c r="AY14" s="117">
        <f>+Tabla13[[#This Row],[Total Recursos Obligados]]/Tabla13[[#This Row],[Total 2025]]</f>
        <v>0.64729166662499993</v>
      </c>
      <c r="AZ14" s="118">
        <f>+Tabla13[[#This Row],[Total Recursos Pagados]]/Tabla13[[#This Row],[Total 2025]]</f>
        <v>0.64729166662499993</v>
      </c>
      <c r="BA14" s="115">
        <v>0</v>
      </c>
      <c r="BB14" s="116" t="str">
        <f>IF(Tabla13[[#This Row],[Total Recursos Gestionados ]]=0,"_",IF(Tabla13[[#This Row],[Ejecución Recursos Comprometidos]]=0,100%,Tabla13[[#This Row],[Total Recursos Gestionados ]]/Tabla13[[#This Row],[Ejecución Recursos Comprometidos]]))</f>
        <v>_</v>
      </c>
      <c r="BC14" s="109" t="s">
        <v>250</v>
      </c>
      <c r="BD14" s="109" t="s">
        <v>251</v>
      </c>
      <c r="BE14" s="109" t="s">
        <v>253</v>
      </c>
    </row>
    <row r="15" spans="1:57" s="12" customFormat="1" ht="128.44999999999999" customHeight="1">
      <c r="A15" s="54">
        <v>38</v>
      </c>
      <c r="B15" s="54" t="s">
        <v>57</v>
      </c>
      <c r="C15" s="54" t="s">
        <v>59</v>
      </c>
      <c r="D15" s="54" t="s">
        <v>72</v>
      </c>
      <c r="E15" s="54" t="s">
        <v>73</v>
      </c>
      <c r="F15" s="54" t="s">
        <v>77</v>
      </c>
      <c r="G15" s="54" t="s">
        <v>78</v>
      </c>
      <c r="H15" s="55">
        <v>2024680010161</v>
      </c>
      <c r="I15" s="56" t="s">
        <v>221</v>
      </c>
      <c r="J15" s="57">
        <v>667071999.99896252</v>
      </c>
      <c r="K15" s="57">
        <v>322000000</v>
      </c>
      <c r="L15" s="58" t="s">
        <v>219</v>
      </c>
      <c r="M15" s="58" t="s">
        <v>220</v>
      </c>
      <c r="N15" s="63">
        <v>623881</v>
      </c>
      <c r="O15" s="59" t="s">
        <v>321</v>
      </c>
      <c r="P15" s="97">
        <v>242000000</v>
      </c>
      <c r="Q15" s="98"/>
      <c r="R15" s="98"/>
      <c r="S15" s="98"/>
      <c r="T15" s="98"/>
      <c r="U15" s="98"/>
      <c r="V15" s="98"/>
      <c r="W15" s="98"/>
      <c r="X15" s="98"/>
      <c r="Y15" s="98"/>
      <c r="Z15" s="98"/>
      <c r="AA15" s="98"/>
      <c r="AB15" s="98"/>
      <c r="AC15" s="98"/>
      <c r="AD15" s="99"/>
      <c r="AE15" s="100">
        <f>SUM(Tabla13[[#This Row],[Recursos propios 2025]:[Recursos del Balance]])</f>
        <v>242000000</v>
      </c>
      <c r="AF15" s="101">
        <v>155250000</v>
      </c>
      <c r="AG15" s="101"/>
      <c r="AH15" s="101"/>
      <c r="AI15" s="101"/>
      <c r="AJ15" s="101"/>
      <c r="AK15" s="101"/>
      <c r="AL15" s="101"/>
      <c r="AM15" s="101"/>
      <c r="AN15" s="101"/>
      <c r="AO15" s="101"/>
      <c r="AP15" s="101"/>
      <c r="AQ15" s="101"/>
      <c r="AR15" s="101"/>
      <c r="AS15" s="101"/>
      <c r="AT15" s="99"/>
      <c r="AU15" s="102">
        <f>Tabla13[[#This Row],[Recursos propios 20252]]+Tabla13[[#This Row],[SGP Salud 20254]]+Tabla13[[#This Row],[Otros 202515]]+Tabla13[[#This Row],[Recursos del Balance ]]</f>
        <v>155250000</v>
      </c>
      <c r="AV15" s="103">
        <v>137916666.66</v>
      </c>
      <c r="AW15" s="103">
        <v>137916666.66</v>
      </c>
      <c r="AX15" s="104">
        <f>+Tabla13[[#This Row],[Total Recursos Comprometido 2025]]/Tabla13[[#This Row],[Total 2025]]</f>
        <v>0.64152892561983466</v>
      </c>
      <c r="AY15" s="105">
        <f>+Tabla13[[#This Row],[Total Recursos Obligados]]/Tabla13[[#This Row],[Total 2025]]</f>
        <v>0.56990358123966944</v>
      </c>
      <c r="AZ15" s="106">
        <f>+Tabla13[[#This Row],[Total Recursos Pagados]]/Tabla13[[#This Row],[Total 2025]]</f>
        <v>0.56990358123966944</v>
      </c>
      <c r="BA15" s="97">
        <v>0</v>
      </c>
      <c r="BB15" s="107" t="str">
        <f>IF(Tabla13[[#This Row],[Total Recursos Gestionados ]]=0,"_",IF(Tabla13[[#This Row],[Ejecución Recursos Comprometidos]]=0,100%,Tabla13[[#This Row],[Total Recursos Gestionados ]]/Tabla13[[#This Row],[Ejecución Recursos Comprometidos]]))</f>
        <v>_</v>
      </c>
      <c r="BC15" s="108" t="s">
        <v>250</v>
      </c>
      <c r="BD15" s="109" t="s">
        <v>251</v>
      </c>
      <c r="BE15" s="108" t="s">
        <v>253</v>
      </c>
    </row>
    <row r="16" spans="1:57" s="12" customFormat="1" ht="264" customHeight="1">
      <c r="A16" s="61">
        <v>39</v>
      </c>
      <c r="B16" s="61" t="s">
        <v>57</v>
      </c>
      <c r="C16" s="61" t="s">
        <v>59</v>
      </c>
      <c r="D16" s="61" t="s">
        <v>80</v>
      </c>
      <c r="E16" s="61" t="s">
        <v>81</v>
      </c>
      <c r="F16" s="61" t="s">
        <v>82</v>
      </c>
      <c r="G16" s="61" t="s">
        <v>83</v>
      </c>
      <c r="H16" s="62">
        <v>2024680010159</v>
      </c>
      <c r="I16" s="56" t="s">
        <v>222</v>
      </c>
      <c r="J16" s="60">
        <f>13832773311.6842+2176610000</f>
        <v>16009383311.6842</v>
      </c>
      <c r="K16" s="60">
        <f>3840000000.00425+2176610000</f>
        <v>6016610000.0042496</v>
      </c>
      <c r="L16" s="58" t="s">
        <v>219</v>
      </c>
      <c r="M16" s="58" t="s">
        <v>220</v>
      </c>
      <c r="N16" s="63">
        <v>623881</v>
      </c>
      <c r="O16" s="59" t="s">
        <v>322</v>
      </c>
      <c r="P16" s="97">
        <v>3420000000</v>
      </c>
      <c r="Q16" s="110"/>
      <c r="R16" s="110"/>
      <c r="S16" s="110"/>
      <c r="T16" s="110"/>
      <c r="U16" s="110"/>
      <c r="V16" s="110"/>
      <c r="W16" s="110"/>
      <c r="X16" s="110"/>
      <c r="Y16" s="110"/>
      <c r="Z16" s="110"/>
      <c r="AA16" s="110"/>
      <c r="AB16" s="110"/>
      <c r="AC16" s="110"/>
      <c r="AD16" s="97">
        <v>2000000000</v>
      </c>
      <c r="AE16" s="111">
        <f>SUM(Tabla13[[#This Row],[Recursos propios 2025]:[Recursos del Balance]])</f>
        <v>5420000000</v>
      </c>
      <c r="AF16" s="101">
        <v>800888900</v>
      </c>
      <c r="AG16" s="101"/>
      <c r="AH16" s="101"/>
      <c r="AI16" s="101"/>
      <c r="AJ16" s="101"/>
      <c r="AK16" s="101"/>
      <c r="AL16" s="101"/>
      <c r="AM16" s="101"/>
      <c r="AN16" s="101"/>
      <c r="AO16" s="101"/>
      <c r="AP16" s="101"/>
      <c r="AQ16" s="101"/>
      <c r="AR16" s="101"/>
      <c r="AS16" s="101"/>
      <c r="AT16" s="97"/>
      <c r="AU16" s="103">
        <f>Tabla13[[#This Row],[Recursos propios 20252]]+Tabla13[[#This Row],[SGP Salud 20254]]+Tabla13[[#This Row],[Otros 202515]]+Tabla13[[#This Row],[Recursos del Balance ]]</f>
        <v>800888900</v>
      </c>
      <c r="AV16" s="112">
        <v>0</v>
      </c>
      <c r="AW16" s="113">
        <v>0</v>
      </c>
      <c r="AX16" s="114">
        <f>+Tabla13[[#This Row],[Total Recursos Comprometido 2025]]/Tabla13[[#This Row],[Total 2025]]</f>
        <v>0.14776547970479706</v>
      </c>
      <c r="AY16" s="117">
        <f>+Tabla13[[#This Row],[Total Recursos Obligados]]/Tabla13[[#This Row],[Total 2025]]</f>
        <v>0</v>
      </c>
      <c r="AZ16" s="118">
        <f>+Tabla13[[#This Row],[Total Recursos Pagados]]/Tabla13[[#This Row],[Total 2025]]</f>
        <v>0</v>
      </c>
      <c r="BA16" s="115">
        <v>0</v>
      </c>
      <c r="BB16" s="116" t="str">
        <f>IF(Tabla13[[#This Row],[Total Recursos Gestionados ]]=0,"_",IF(Tabla13[[#This Row],[Ejecución Recursos Comprometidos]]=0,100%,Tabla13[[#This Row],[Total Recursos Gestionados ]]/Tabla13[[#This Row],[Ejecución Recursos Comprometidos]]))</f>
        <v>_</v>
      </c>
      <c r="BC16" s="109" t="s">
        <v>250</v>
      </c>
      <c r="BD16" s="109" t="s">
        <v>251</v>
      </c>
      <c r="BE16" s="109" t="s">
        <v>254</v>
      </c>
    </row>
    <row r="17" spans="1:57" s="12" customFormat="1" ht="233.45" customHeight="1">
      <c r="A17" s="54">
        <v>40</v>
      </c>
      <c r="B17" s="54" t="s">
        <v>57</v>
      </c>
      <c r="C17" s="54" t="s">
        <v>59</v>
      </c>
      <c r="D17" s="54" t="s">
        <v>80</v>
      </c>
      <c r="E17" s="54" t="s">
        <v>81</v>
      </c>
      <c r="F17" s="54" t="s">
        <v>87</v>
      </c>
      <c r="G17" s="54" t="s">
        <v>88</v>
      </c>
      <c r="H17" s="55">
        <v>2024680010159</v>
      </c>
      <c r="I17" s="56" t="s">
        <v>222</v>
      </c>
      <c r="J17" s="57">
        <v>16009383311.6842</v>
      </c>
      <c r="K17" s="57">
        <v>6016610000.0042496</v>
      </c>
      <c r="L17" s="58" t="s">
        <v>219</v>
      </c>
      <c r="M17" s="58" t="s">
        <v>220</v>
      </c>
      <c r="N17" s="63">
        <v>623881</v>
      </c>
      <c r="O17" s="59" t="s">
        <v>323</v>
      </c>
      <c r="P17" s="97">
        <v>120000000</v>
      </c>
      <c r="Q17" s="98"/>
      <c r="R17" s="98"/>
      <c r="S17" s="98"/>
      <c r="T17" s="98"/>
      <c r="U17" s="98"/>
      <c r="V17" s="98"/>
      <c r="W17" s="98"/>
      <c r="X17" s="98"/>
      <c r="Y17" s="98"/>
      <c r="Z17" s="98"/>
      <c r="AA17" s="98"/>
      <c r="AB17" s="98"/>
      <c r="AC17" s="98"/>
      <c r="AD17" s="99">
        <v>103860000</v>
      </c>
      <c r="AE17" s="100">
        <f>SUM(Tabla13[[#This Row],[Recursos propios 2025]:[Recursos del Balance]])</f>
        <v>223860000</v>
      </c>
      <c r="AF17" s="101">
        <v>105600000</v>
      </c>
      <c r="AG17" s="101"/>
      <c r="AH17" s="101"/>
      <c r="AI17" s="101"/>
      <c r="AJ17" s="101"/>
      <c r="AK17" s="101"/>
      <c r="AL17" s="101"/>
      <c r="AM17" s="101"/>
      <c r="AN17" s="101"/>
      <c r="AO17" s="101"/>
      <c r="AP17" s="101"/>
      <c r="AQ17" s="101"/>
      <c r="AR17" s="101"/>
      <c r="AS17" s="101"/>
      <c r="AT17" s="99">
        <v>54453333.329999998</v>
      </c>
      <c r="AU17" s="102">
        <f>Tabla13[[#This Row],[Recursos propios 20252]]+Tabla13[[#This Row],[SGP Salud 20254]]+Tabla13[[#This Row],[Otros 202515]]+Tabla13[[#This Row],[Recursos del Balance ]]</f>
        <v>160053333.32999998</v>
      </c>
      <c r="AV17" s="103">
        <v>135826666.67000002</v>
      </c>
      <c r="AW17" s="103">
        <v>135826666.67000002</v>
      </c>
      <c r="AX17" s="104">
        <f>+Tabla13[[#This Row],[Total Recursos Comprometido 2025]]/Tabla13[[#This Row],[Total 2025]]</f>
        <v>0.71497066617528804</v>
      </c>
      <c r="AY17" s="105">
        <f>+Tabla13[[#This Row],[Total Recursos Obligados]]/Tabla13[[#This Row],[Total 2025]]</f>
        <v>0.60674826529974102</v>
      </c>
      <c r="AZ17" s="106">
        <f>+Tabla13[[#This Row],[Total Recursos Pagados]]/Tabla13[[#This Row],[Total 2025]]</f>
        <v>0.60674826529974102</v>
      </c>
      <c r="BA17" s="97">
        <v>0</v>
      </c>
      <c r="BB17" s="107" t="str">
        <f>IF(Tabla13[[#This Row],[Total Recursos Gestionados ]]=0,"_",IF(Tabla13[[#This Row],[Ejecución Recursos Comprometidos]]=0,100%,Tabla13[[#This Row],[Total Recursos Gestionados ]]/Tabla13[[#This Row],[Ejecución Recursos Comprometidos]]))</f>
        <v>_</v>
      </c>
      <c r="BC17" s="108" t="s">
        <v>250</v>
      </c>
      <c r="BD17" s="109" t="s">
        <v>251</v>
      </c>
      <c r="BE17" s="108" t="s">
        <v>254</v>
      </c>
    </row>
    <row r="18" spans="1:57" s="12" customFormat="1" ht="93" customHeight="1">
      <c r="A18" s="61">
        <v>41</v>
      </c>
      <c r="B18" s="61" t="s">
        <v>57</v>
      </c>
      <c r="C18" s="61" t="s">
        <v>59</v>
      </c>
      <c r="D18" s="61" t="s">
        <v>80</v>
      </c>
      <c r="E18" s="61" t="s">
        <v>81</v>
      </c>
      <c r="F18" s="61" t="s">
        <v>90</v>
      </c>
      <c r="G18" s="61" t="s">
        <v>91</v>
      </c>
      <c r="H18" s="62">
        <v>2024680010159</v>
      </c>
      <c r="I18" s="56" t="s">
        <v>222</v>
      </c>
      <c r="J18" s="60">
        <v>16009383311.6842</v>
      </c>
      <c r="K18" s="60">
        <v>6016610000.0042496</v>
      </c>
      <c r="L18" s="58" t="s">
        <v>219</v>
      </c>
      <c r="M18" s="58" t="s">
        <v>220</v>
      </c>
      <c r="N18" s="63">
        <v>623881</v>
      </c>
      <c r="O18" s="59" t="s">
        <v>324</v>
      </c>
      <c r="P18" s="97">
        <v>150000000</v>
      </c>
      <c r="Q18" s="110"/>
      <c r="R18" s="110"/>
      <c r="S18" s="110"/>
      <c r="T18" s="110"/>
      <c r="U18" s="110"/>
      <c r="V18" s="110"/>
      <c r="W18" s="110"/>
      <c r="X18" s="110"/>
      <c r="Y18" s="110"/>
      <c r="Z18" s="110"/>
      <c r="AA18" s="110"/>
      <c r="AB18" s="110"/>
      <c r="AC18" s="110"/>
      <c r="AD18" s="97">
        <v>12750000</v>
      </c>
      <c r="AE18" s="111">
        <f>SUM(Tabla13[[#This Row],[Recursos propios 2025]:[Recursos del Balance]])</f>
        <v>162750000</v>
      </c>
      <c r="AF18" s="101">
        <v>118333333.37</v>
      </c>
      <c r="AG18" s="101"/>
      <c r="AH18" s="101"/>
      <c r="AI18" s="101"/>
      <c r="AJ18" s="101"/>
      <c r="AK18" s="101"/>
      <c r="AL18" s="101"/>
      <c r="AM18" s="101"/>
      <c r="AN18" s="101"/>
      <c r="AO18" s="101"/>
      <c r="AP18" s="101"/>
      <c r="AQ18" s="101"/>
      <c r="AR18" s="101"/>
      <c r="AS18" s="101"/>
      <c r="AT18" s="97">
        <v>7500000</v>
      </c>
      <c r="AU18" s="103">
        <f>Tabla13[[#This Row],[Recursos propios 20252]]+Tabla13[[#This Row],[SGP Salud 20254]]+Tabla13[[#This Row],[Otros 202515]]+Tabla13[[#This Row],[Recursos del Balance ]]</f>
        <v>125833333.37</v>
      </c>
      <c r="AV18" s="112">
        <v>104583333.33</v>
      </c>
      <c r="AW18" s="113">
        <v>104416666.66</v>
      </c>
      <c r="AX18" s="114">
        <f>+Tabla13[[#This Row],[Total Recursos Comprometido 2025]]/Tabla13[[#This Row],[Total 2025]]</f>
        <v>0.77316948307219668</v>
      </c>
      <c r="AY18" s="117">
        <f>+Tabla13[[#This Row],[Total Recursos Obligados]]/Tabla13[[#This Row],[Total 2025]]</f>
        <v>0.64260112645161294</v>
      </c>
      <c r="AZ18" s="118">
        <f>+Tabla13[[#This Row],[Total Recursos Pagados]]/Tabla13[[#This Row],[Total 2025]]</f>
        <v>0.64157706089093702</v>
      </c>
      <c r="BA18" s="115">
        <v>0</v>
      </c>
      <c r="BB18" s="116" t="str">
        <f>IF(Tabla13[[#This Row],[Total Recursos Gestionados ]]=0,"_",IF(Tabla13[[#This Row],[Ejecución Recursos Comprometidos]]=0,100%,Tabla13[[#This Row],[Total Recursos Gestionados ]]/Tabla13[[#This Row],[Ejecución Recursos Comprometidos]]))</f>
        <v>_</v>
      </c>
      <c r="BC18" s="109" t="s">
        <v>250</v>
      </c>
      <c r="BD18" s="109" t="s">
        <v>251</v>
      </c>
      <c r="BE18" s="109" t="s">
        <v>254</v>
      </c>
    </row>
    <row r="19" spans="1:57" s="12" customFormat="1" ht="311.10000000000002" customHeight="1">
      <c r="A19" s="54">
        <v>42</v>
      </c>
      <c r="B19" s="54" t="s">
        <v>57</v>
      </c>
      <c r="C19" s="54" t="s">
        <v>59</v>
      </c>
      <c r="D19" s="54" t="s">
        <v>93</v>
      </c>
      <c r="E19" s="54" t="s">
        <v>94</v>
      </c>
      <c r="F19" s="54" t="s">
        <v>95</v>
      </c>
      <c r="G19" s="54" t="s">
        <v>96</v>
      </c>
      <c r="H19" s="55">
        <v>2024680010162</v>
      </c>
      <c r="I19" s="56" t="s">
        <v>223</v>
      </c>
      <c r="J19" s="57">
        <v>24016344527.580002</v>
      </c>
      <c r="K19" s="57">
        <v>9009265401.2199993</v>
      </c>
      <c r="L19" s="58" t="s">
        <v>219</v>
      </c>
      <c r="M19" s="58" t="s">
        <v>220</v>
      </c>
      <c r="N19" s="63">
        <v>623881</v>
      </c>
      <c r="O19" s="59" t="s">
        <v>325</v>
      </c>
      <c r="P19" s="97">
        <v>364939077</v>
      </c>
      <c r="Q19" s="98"/>
      <c r="R19" s="98"/>
      <c r="S19" s="98"/>
      <c r="T19" s="98"/>
      <c r="U19" s="98"/>
      <c r="V19" s="98"/>
      <c r="W19" s="98"/>
      <c r="X19" s="98"/>
      <c r="Y19" s="98"/>
      <c r="Z19" s="98"/>
      <c r="AA19" s="98"/>
      <c r="AB19" s="98"/>
      <c r="AC19" s="98"/>
      <c r="AD19" s="99">
        <v>5000000</v>
      </c>
      <c r="AE19" s="100">
        <f>SUM(Tabla13[[#This Row],[Recursos propios 2025]:[Recursos del Balance]])</f>
        <v>369939077</v>
      </c>
      <c r="AF19" s="101">
        <v>294966666.67000002</v>
      </c>
      <c r="AG19" s="101"/>
      <c r="AH19" s="101"/>
      <c r="AI19" s="101"/>
      <c r="AJ19" s="101"/>
      <c r="AK19" s="101"/>
      <c r="AL19" s="101"/>
      <c r="AM19" s="101"/>
      <c r="AN19" s="101"/>
      <c r="AO19" s="101"/>
      <c r="AP19" s="101"/>
      <c r="AQ19" s="101"/>
      <c r="AR19" s="101"/>
      <c r="AS19" s="101"/>
      <c r="AT19" s="99">
        <v>0</v>
      </c>
      <c r="AU19" s="102">
        <f>Tabla13[[#This Row],[Recursos propios 20252]]+Tabla13[[#This Row],[SGP Salud 20254]]+Tabla13[[#This Row],[Otros 202515]]+Tabla13[[#This Row],[Recursos del Balance ]]</f>
        <v>294966666.67000002</v>
      </c>
      <c r="AV19" s="103">
        <v>242999999.99000001</v>
      </c>
      <c r="AW19" s="103">
        <v>242999999.99000001</v>
      </c>
      <c r="AX19" s="104">
        <f>+Tabla13[[#This Row],[Total Recursos Comprometido 2025]]/Tabla13[[#This Row],[Total 2025]]</f>
        <v>0.79733849438673932</v>
      </c>
      <c r="AY19" s="105">
        <f>+Tabla13[[#This Row],[Total Recursos Obligados]]/Tabla13[[#This Row],[Total 2025]]</f>
        <v>0.65686491397609237</v>
      </c>
      <c r="AZ19" s="106">
        <f>+Tabla13[[#This Row],[Total Recursos Pagados]]/Tabla13[[#This Row],[Total 2025]]</f>
        <v>0.65686491397609237</v>
      </c>
      <c r="BA19" s="97">
        <v>0</v>
      </c>
      <c r="BB19" s="107" t="str">
        <f>IF(Tabla13[[#This Row],[Total Recursos Gestionados ]]=0,"_",IF(Tabla13[[#This Row],[Ejecución Recursos Comprometidos]]=0,100%,Tabla13[[#This Row],[Total Recursos Gestionados ]]/Tabla13[[#This Row],[Ejecución Recursos Comprometidos]]))</f>
        <v>_</v>
      </c>
      <c r="BC19" s="108" t="s">
        <v>250</v>
      </c>
      <c r="BD19" s="109" t="s">
        <v>251</v>
      </c>
      <c r="BE19" s="108" t="s">
        <v>255</v>
      </c>
    </row>
    <row r="20" spans="1:57" s="12" customFormat="1" ht="117" customHeight="1">
      <c r="A20" s="61">
        <v>43</v>
      </c>
      <c r="B20" s="61" t="s">
        <v>57</v>
      </c>
      <c r="C20" s="61" t="s">
        <v>59</v>
      </c>
      <c r="D20" s="61" t="s">
        <v>93</v>
      </c>
      <c r="E20" s="61" t="s">
        <v>94</v>
      </c>
      <c r="F20" s="61" t="s">
        <v>98</v>
      </c>
      <c r="G20" s="61" t="s">
        <v>99</v>
      </c>
      <c r="H20" s="62">
        <v>2024680010162</v>
      </c>
      <c r="I20" s="56" t="s">
        <v>223</v>
      </c>
      <c r="J20" s="57">
        <v>24016344527.580002</v>
      </c>
      <c r="K20" s="57">
        <v>9009265401.2199993</v>
      </c>
      <c r="L20" s="58" t="s">
        <v>219</v>
      </c>
      <c r="M20" s="58" t="s">
        <v>220</v>
      </c>
      <c r="N20" s="63">
        <v>0</v>
      </c>
      <c r="O20" s="59" t="s">
        <v>326</v>
      </c>
      <c r="P20" s="97">
        <f>2450866842</f>
        <v>2450866842</v>
      </c>
      <c r="Q20" s="110"/>
      <c r="R20" s="110"/>
      <c r="S20" s="110"/>
      <c r="T20" s="110"/>
      <c r="U20" s="110"/>
      <c r="V20" s="110"/>
      <c r="W20" s="110"/>
      <c r="X20" s="110"/>
      <c r="Y20" s="110"/>
      <c r="Z20" s="110"/>
      <c r="AA20" s="110"/>
      <c r="AB20" s="110"/>
      <c r="AC20" s="110"/>
      <c r="AD20" s="97">
        <f>3248751104.36+140000000</f>
        <v>3388751104.3600001</v>
      </c>
      <c r="AE20" s="111">
        <f>SUM(Tabla13[[#This Row],[Recursos propios 2025]:[Recursos del Balance]])</f>
        <v>5839617946.3600006</v>
      </c>
      <c r="AF20" s="101">
        <v>1062104541.5</v>
      </c>
      <c r="AG20" s="101"/>
      <c r="AH20" s="101"/>
      <c r="AI20" s="101"/>
      <c r="AJ20" s="101"/>
      <c r="AK20" s="101"/>
      <c r="AL20" s="101"/>
      <c r="AM20" s="101"/>
      <c r="AN20" s="101"/>
      <c r="AO20" s="101"/>
      <c r="AP20" s="101"/>
      <c r="AQ20" s="101"/>
      <c r="AR20" s="101"/>
      <c r="AS20" s="101"/>
      <c r="AT20" s="97"/>
      <c r="AU20" s="103">
        <f>Tabla13[[#This Row],[Recursos propios 20252]]+Tabla13[[#This Row],[SGP Salud 20254]]+Tabla13[[#This Row],[Otros 202515]]+Tabla13[[#This Row],[Recursos del Balance ]]</f>
        <v>1062104541.5</v>
      </c>
      <c r="AV20" s="112">
        <v>0</v>
      </c>
      <c r="AW20" s="113">
        <v>0</v>
      </c>
      <c r="AX20" s="114">
        <f>+Tabla13[[#This Row],[Total Recursos Comprometido 2025]]/Tabla13[[#This Row],[Total 2025]]</f>
        <v>0.18187911456810971</v>
      </c>
      <c r="AY20" s="117">
        <f>+Tabla13[[#This Row],[Total Recursos Obligados]]/Tabla13[[#This Row],[Total 2025]]</f>
        <v>0</v>
      </c>
      <c r="AZ20" s="118">
        <f>+Tabla13[[#This Row],[Total Recursos Pagados]]/Tabla13[[#This Row],[Total 2025]]</f>
        <v>0</v>
      </c>
      <c r="BA20" s="115">
        <v>0</v>
      </c>
      <c r="BB20" s="116" t="str">
        <f>IF(Tabla13[[#This Row],[Total Recursos Gestionados ]]=0,"_",IF(Tabla13[[#This Row],[Ejecución Recursos Comprometidos]]=0,100%,Tabla13[[#This Row],[Total Recursos Gestionados ]]/Tabla13[[#This Row],[Ejecución Recursos Comprometidos]]))</f>
        <v>_</v>
      </c>
      <c r="BC20" s="109" t="s">
        <v>250</v>
      </c>
      <c r="BD20" s="109" t="s">
        <v>251</v>
      </c>
      <c r="BE20" s="109" t="s">
        <v>255</v>
      </c>
    </row>
    <row r="21" spans="1:57" s="12" customFormat="1" ht="205.5" customHeight="1">
      <c r="A21" s="54">
        <v>44</v>
      </c>
      <c r="B21" s="54" t="s">
        <v>57</v>
      </c>
      <c r="C21" s="54" t="s">
        <v>59</v>
      </c>
      <c r="D21" s="54" t="s">
        <v>93</v>
      </c>
      <c r="E21" s="54" t="s">
        <v>94</v>
      </c>
      <c r="F21" s="54" t="s">
        <v>101</v>
      </c>
      <c r="G21" s="54" t="s">
        <v>102</v>
      </c>
      <c r="H21" s="55">
        <v>2024680010162</v>
      </c>
      <c r="I21" s="56" t="s">
        <v>223</v>
      </c>
      <c r="J21" s="57">
        <v>24016344527.580002</v>
      </c>
      <c r="K21" s="57">
        <v>9009265401.2199993</v>
      </c>
      <c r="L21" s="58" t="s">
        <v>219</v>
      </c>
      <c r="M21" s="58" t="s">
        <v>220</v>
      </c>
      <c r="N21" s="63">
        <v>623881</v>
      </c>
      <c r="O21" s="59" t="s">
        <v>327</v>
      </c>
      <c r="P21" s="97">
        <v>50000000</v>
      </c>
      <c r="Q21" s="98"/>
      <c r="R21" s="98"/>
      <c r="S21" s="98"/>
      <c r="T21" s="98"/>
      <c r="U21" s="98"/>
      <c r="V21" s="98"/>
      <c r="W21" s="98"/>
      <c r="X21" s="98"/>
      <c r="Y21" s="98"/>
      <c r="Z21" s="98"/>
      <c r="AA21" s="98"/>
      <c r="AB21" s="98"/>
      <c r="AC21" s="98"/>
      <c r="AD21" s="99">
        <v>14000000</v>
      </c>
      <c r="AE21" s="100">
        <f>SUM(Tabla13[[#This Row],[Recursos propios 2025]:[Recursos del Balance]])</f>
        <v>64000000</v>
      </c>
      <c r="AF21" s="101">
        <v>47466666.670000002</v>
      </c>
      <c r="AG21" s="101"/>
      <c r="AH21" s="101"/>
      <c r="AI21" s="101"/>
      <c r="AJ21" s="101"/>
      <c r="AK21" s="101"/>
      <c r="AL21" s="101"/>
      <c r="AM21" s="101"/>
      <c r="AN21" s="101"/>
      <c r="AO21" s="101"/>
      <c r="AP21" s="101"/>
      <c r="AQ21" s="101"/>
      <c r="AR21" s="101"/>
      <c r="AS21" s="101"/>
      <c r="AT21" s="99">
        <v>11733333.33</v>
      </c>
      <c r="AU21" s="102">
        <f>Tabla13[[#This Row],[Recursos propios 20252]]+Tabla13[[#This Row],[SGP Salud 20254]]+Tabla13[[#This Row],[Otros 202515]]+Tabla13[[#This Row],[Recursos del Balance ]]</f>
        <v>59200000</v>
      </c>
      <c r="AV21" s="103">
        <v>48853333.329999998</v>
      </c>
      <c r="AW21" s="103">
        <v>48853333.329999998</v>
      </c>
      <c r="AX21" s="104">
        <f>+Tabla13[[#This Row],[Total Recursos Comprometido 2025]]/Tabla13[[#This Row],[Total 2025]]</f>
        <v>0.92500000000000004</v>
      </c>
      <c r="AY21" s="105">
        <f>+Tabla13[[#This Row],[Total Recursos Obligados]]/Tabla13[[#This Row],[Total 2025]]</f>
        <v>0.76333333328124997</v>
      </c>
      <c r="AZ21" s="106">
        <f>+Tabla13[[#This Row],[Total Recursos Pagados]]/Tabla13[[#This Row],[Total 2025]]</f>
        <v>0.76333333328124997</v>
      </c>
      <c r="BA21" s="97">
        <v>0</v>
      </c>
      <c r="BB21" s="107" t="str">
        <f>IF(Tabla13[[#This Row],[Total Recursos Gestionados ]]=0,"_",IF(Tabla13[[#This Row],[Ejecución Recursos Comprometidos]]=0,100%,Tabla13[[#This Row],[Total Recursos Gestionados ]]/Tabla13[[#This Row],[Ejecución Recursos Comprometidos]]))</f>
        <v>_</v>
      </c>
      <c r="BC21" s="108" t="s">
        <v>250</v>
      </c>
      <c r="BD21" s="109" t="s">
        <v>251</v>
      </c>
      <c r="BE21" s="108" t="s">
        <v>255</v>
      </c>
    </row>
    <row r="22" spans="1:57" s="12" customFormat="1" ht="308.10000000000002" customHeight="1">
      <c r="A22" s="61">
        <v>45</v>
      </c>
      <c r="B22" s="61" t="s">
        <v>57</v>
      </c>
      <c r="C22" s="61" t="s">
        <v>59</v>
      </c>
      <c r="D22" s="61" t="s">
        <v>104</v>
      </c>
      <c r="E22" s="61" t="s">
        <v>105</v>
      </c>
      <c r="F22" s="61" t="s">
        <v>106</v>
      </c>
      <c r="G22" s="61" t="s">
        <v>107</v>
      </c>
      <c r="H22" s="62">
        <v>2024680010160</v>
      </c>
      <c r="I22" s="56" t="s">
        <v>224</v>
      </c>
      <c r="J22" s="57">
        <v>2899633126.1500001</v>
      </c>
      <c r="K22" s="57">
        <v>855500000</v>
      </c>
      <c r="L22" s="58" t="s">
        <v>219</v>
      </c>
      <c r="M22" s="58" t="s">
        <v>220</v>
      </c>
      <c r="N22" s="63">
        <v>623881</v>
      </c>
      <c r="O22" s="59" t="s">
        <v>328</v>
      </c>
      <c r="P22" s="97">
        <v>838000000</v>
      </c>
      <c r="Q22" s="110"/>
      <c r="R22" s="110"/>
      <c r="S22" s="110"/>
      <c r="T22" s="110"/>
      <c r="U22" s="110"/>
      <c r="V22" s="110"/>
      <c r="W22" s="110"/>
      <c r="X22" s="110"/>
      <c r="Y22" s="110"/>
      <c r="Z22" s="110"/>
      <c r="AA22" s="110"/>
      <c r="AB22" s="110"/>
      <c r="AC22" s="110"/>
      <c r="AD22" s="97">
        <v>17500000</v>
      </c>
      <c r="AE22" s="111">
        <f>SUM(Tabla13[[#This Row],[Recursos propios 2025]:[Recursos del Balance]])</f>
        <v>855500000</v>
      </c>
      <c r="AF22" s="101">
        <v>451678207.67000002</v>
      </c>
      <c r="AG22" s="101"/>
      <c r="AH22" s="101"/>
      <c r="AI22" s="101"/>
      <c r="AJ22" s="101"/>
      <c r="AK22" s="101"/>
      <c r="AL22" s="101"/>
      <c r="AM22" s="101"/>
      <c r="AN22" s="101"/>
      <c r="AO22" s="101"/>
      <c r="AP22" s="101"/>
      <c r="AQ22" s="101"/>
      <c r="AR22" s="101"/>
      <c r="AS22" s="101"/>
      <c r="AT22" s="97">
        <v>0</v>
      </c>
      <c r="AU22" s="103">
        <f>Tabla13[[#This Row],[Recursos propios 20252]]+Tabla13[[#This Row],[SGP Salud 20254]]+Tabla13[[#This Row],[Otros 202515]]+Tabla13[[#This Row],[Recursos del Balance ]]</f>
        <v>451678207.67000002</v>
      </c>
      <c r="AV22" s="112">
        <v>359933333.32999998</v>
      </c>
      <c r="AW22" s="113">
        <v>354933333.32999998</v>
      </c>
      <c r="AX22" s="114">
        <f>+Tabla13[[#This Row],[Total Recursos Comprometido 2025]]/Tabla13[[#This Row],[Total 2025]]</f>
        <v>0.52796985116306261</v>
      </c>
      <c r="AY22" s="117">
        <f>+Tabla13[[#This Row],[Total Recursos Obligados]]/Tabla13[[#This Row],[Total 2025]]</f>
        <v>0.42072861873758033</v>
      </c>
      <c r="AZ22" s="118">
        <f>+Tabla13[[#This Row],[Total Recursos Pagados]]/Tabla13[[#This Row],[Total 2025]]</f>
        <v>0.41488408337814142</v>
      </c>
      <c r="BA22" s="115">
        <v>0</v>
      </c>
      <c r="BB22" s="116" t="str">
        <f>IF(Tabla13[[#This Row],[Total Recursos Gestionados ]]=0,"_",IF(Tabla13[[#This Row],[Ejecución Recursos Comprometidos]]=0,100%,Tabla13[[#This Row],[Total Recursos Gestionados ]]/Tabla13[[#This Row],[Ejecución Recursos Comprometidos]]))</f>
        <v>_</v>
      </c>
      <c r="BC22" s="109" t="s">
        <v>250</v>
      </c>
      <c r="BD22" s="109" t="s">
        <v>251</v>
      </c>
      <c r="BE22" s="109">
        <v>13</v>
      </c>
    </row>
    <row r="23" spans="1:57" s="12" customFormat="1" ht="279.60000000000002" customHeight="1">
      <c r="A23" s="54">
        <v>46</v>
      </c>
      <c r="B23" s="54" t="s">
        <v>57</v>
      </c>
      <c r="C23" s="54" t="s">
        <v>59</v>
      </c>
      <c r="D23" s="54" t="s">
        <v>109</v>
      </c>
      <c r="E23" s="54" t="s">
        <v>110</v>
      </c>
      <c r="F23" s="54" t="s">
        <v>111</v>
      </c>
      <c r="G23" s="54" t="s">
        <v>112</v>
      </c>
      <c r="H23" s="55">
        <v>2024680010158</v>
      </c>
      <c r="I23" s="56" t="s">
        <v>225</v>
      </c>
      <c r="J23" s="57">
        <v>3599303455.6700001</v>
      </c>
      <c r="K23" s="57">
        <v>1125333709.9099998</v>
      </c>
      <c r="L23" s="58" t="s">
        <v>219</v>
      </c>
      <c r="M23" s="58" t="s">
        <v>220</v>
      </c>
      <c r="N23" s="63">
        <f>4414+2544+3389</f>
        <v>10347</v>
      </c>
      <c r="O23" s="59" t="s">
        <v>329</v>
      </c>
      <c r="P23" s="97">
        <v>284467736</v>
      </c>
      <c r="Q23" s="98"/>
      <c r="R23" s="98"/>
      <c r="S23" s="98"/>
      <c r="T23" s="98"/>
      <c r="U23" s="98"/>
      <c r="V23" s="98"/>
      <c r="W23" s="98"/>
      <c r="X23" s="98"/>
      <c r="Y23" s="98"/>
      <c r="Z23" s="98"/>
      <c r="AA23" s="98"/>
      <c r="AB23" s="98"/>
      <c r="AC23" s="98"/>
      <c r="AD23" s="99">
        <v>840865973.90999997</v>
      </c>
      <c r="AE23" s="100">
        <f>SUM(Tabla13[[#This Row],[Recursos propios 2025]:[Recursos del Balance]])</f>
        <v>1125333709.9099998</v>
      </c>
      <c r="AF23" s="101">
        <v>277483333.32999998</v>
      </c>
      <c r="AG23" s="101"/>
      <c r="AH23" s="101"/>
      <c r="AI23" s="101"/>
      <c r="AJ23" s="101"/>
      <c r="AK23" s="101"/>
      <c r="AL23" s="101"/>
      <c r="AM23" s="101"/>
      <c r="AN23" s="101"/>
      <c r="AO23" s="101"/>
      <c r="AP23" s="101"/>
      <c r="AQ23" s="101"/>
      <c r="AR23" s="101"/>
      <c r="AS23" s="101"/>
      <c r="AT23" s="99">
        <v>831449988.65999997</v>
      </c>
      <c r="AU23" s="102">
        <f>Tabla13[[#This Row],[Recursos propios 20252]]+Tabla13[[#This Row],[SGP Salud 20254]]+Tabla13[[#This Row],[Otros 202515]]+Tabla13[[#This Row],[Recursos del Balance ]]</f>
        <v>1108933321.99</v>
      </c>
      <c r="AV23" s="103">
        <v>280180000.00999999</v>
      </c>
      <c r="AW23" s="103">
        <v>271013333.34000003</v>
      </c>
      <c r="AX23" s="104">
        <f>+Tabla13[[#This Row],[Total Recursos Comprometido 2025]]/Tabla13[[#This Row],[Total 2025]]</f>
        <v>0.98542620044563356</v>
      </c>
      <c r="AY23" s="105">
        <f>+Tabla13[[#This Row],[Total Recursos Obligados]]/Tabla13[[#This Row],[Total 2025]]</f>
        <v>0.24897503517637251</v>
      </c>
      <c r="AZ23" s="106">
        <f>+Tabla13[[#This Row],[Total Recursos Pagados]]/Tabla13[[#This Row],[Total 2025]]</f>
        <v>0.24082930330210645</v>
      </c>
      <c r="BA23" s="97">
        <v>0</v>
      </c>
      <c r="BB23" s="107" t="str">
        <f>IF(Tabla13[[#This Row],[Total Recursos Gestionados ]]=0,"_",IF(Tabla13[[#This Row],[Ejecución Recursos Comprometidos]]=0,100%,Tabla13[[#This Row],[Total Recursos Gestionados ]]/Tabla13[[#This Row],[Ejecución Recursos Comprometidos]]))</f>
        <v>_</v>
      </c>
      <c r="BC23" s="108" t="s">
        <v>250</v>
      </c>
      <c r="BD23" s="109" t="s">
        <v>251</v>
      </c>
      <c r="BE23" s="108">
        <v>11</v>
      </c>
    </row>
    <row r="24" spans="1:57" s="12" customFormat="1" ht="290.10000000000002" customHeight="1">
      <c r="A24" s="67">
        <v>53</v>
      </c>
      <c r="B24" s="67" t="s">
        <v>57</v>
      </c>
      <c r="C24" s="67" t="s">
        <v>114</v>
      </c>
      <c r="D24" s="67" t="s">
        <v>115</v>
      </c>
      <c r="E24" s="67" t="s">
        <v>116</v>
      </c>
      <c r="F24" s="67" t="s">
        <v>117</v>
      </c>
      <c r="G24" s="67" t="s">
        <v>118</v>
      </c>
      <c r="H24" s="68">
        <v>2024680010157</v>
      </c>
      <c r="I24" s="119" t="s">
        <v>226</v>
      </c>
      <c r="J24" s="72">
        <v>14940317969.27</v>
      </c>
      <c r="K24" s="72">
        <v>5393984997</v>
      </c>
      <c r="L24" s="120" t="s">
        <v>219</v>
      </c>
      <c r="M24" s="120" t="s">
        <v>220</v>
      </c>
      <c r="N24" s="121">
        <v>623881</v>
      </c>
      <c r="O24" s="69" t="s">
        <v>330</v>
      </c>
      <c r="P24" s="122">
        <v>2626975044</v>
      </c>
      <c r="Q24" s="123"/>
      <c r="R24" s="123"/>
      <c r="S24" s="123"/>
      <c r="T24" s="123"/>
      <c r="U24" s="123"/>
      <c r="V24" s="123"/>
      <c r="W24" s="123"/>
      <c r="X24" s="123"/>
      <c r="Y24" s="123"/>
      <c r="Z24" s="123"/>
      <c r="AA24" s="123"/>
      <c r="AB24" s="123"/>
      <c r="AC24" s="123"/>
      <c r="AD24" s="122">
        <v>107009953</v>
      </c>
      <c r="AE24" s="124">
        <f>SUM(Tabla13[[#This Row],[Recursos propios 2025]:[Recursos del Balance]])</f>
        <v>2733984997</v>
      </c>
      <c r="AF24" s="125">
        <v>1304061719.99</v>
      </c>
      <c r="AG24" s="125"/>
      <c r="AH24" s="125"/>
      <c r="AI24" s="125"/>
      <c r="AJ24" s="125"/>
      <c r="AK24" s="125"/>
      <c r="AL24" s="125"/>
      <c r="AM24" s="125"/>
      <c r="AN24" s="125"/>
      <c r="AO24" s="125"/>
      <c r="AP24" s="125"/>
      <c r="AQ24" s="125"/>
      <c r="AR24" s="125"/>
      <c r="AS24" s="125"/>
      <c r="AT24" s="122">
        <v>73053333.329999998</v>
      </c>
      <c r="AU24" s="126">
        <f>Tabla13[[#This Row],[Recursos propios 20252]]+Tabla13[[#This Row],[SGP Salud 20254]]+Tabla13[[#This Row],[Otros 202515]]+Tabla13[[#This Row],[Recursos del Balance ]]</f>
        <v>1377115053.3199999</v>
      </c>
      <c r="AV24" s="127">
        <v>1287575053.3299999</v>
      </c>
      <c r="AW24" s="128">
        <v>1271175053.3299999</v>
      </c>
      <c r="AX24" s="129">
        <f>+Tabla13[[#This Row],[Total Recursos Comprometido 2025]]/Tabla13[[#This Row],[Total 2025]]</f>
        <v>0.50370249099066289</v>
      </c>
      <c r="AY24" s="130">
        <f>+Tabla13[[#This Row],[Total Recursos Obligados]]/Tabla13[[#This Row],[Total 2025]]</f>
        <v>0.47095176262593075</v>
      </c>
      <c r="AZ24" s="131">
        <f>+Tabla13[[#This Row],[Total Recursos Pagados]]/Tabla13[[#This Row],[Total 2025]]</f>
        <v>0.46495319276618546</v>
      </c>
      <c r="BA24" s="132">
        <v>0</v>
      </c>
      <c r="BB24" s="133" t="str">
        <f>IF(Tabla13[[#This Row],[Total Recursos Gestionados ]]=0,"_",IF(Tabla13[[#This Row],[Ejecución Recursos Comprometidos]]=0,100%,Tabla13[[#This Row],[Total Recursos Gestionados ]]/Tabla13[[#This Row],[Ejecución Recursos Comprometidos]]))</f>
        <v>_</v>
      </c>
      <c r="BC24" s="134" t="s">
        <v>250</v>
      </c>
      <c r="BD24" s="134" t="s">
        <v>251</v>
      </c>
      <c r="BE24" s="134" t="s">
        <v>256</v>
      </c>
    </row>
    <row r="25" spans="1:57" s="136" customFormat="1" ht="225.6" customHeight="1">
      <c r="A25" s="54">
        <v>53</v>
      </c>
      <c r="B25" s="54" t="s">
        <v>57</v>
      </c>
      <c r="C25" s="54" t="s">
        <v>114</v>
      </c>
      <c r="D25" s="54" t="s">
        <v>115</v>
      </c>
      <c r="E25" s="54" t="s">
        <v>116</v>
      </c>
      <c r="F25" s="54" t="s">
        <v>117</v>
      </c>
      <c r="G25" s="54" t="s">
        <v>118</v>
      </c>
      <c r="H25" s="62">
        <v>202500000029791</v>
      </c>
      <c r="I25" s="59" t="s">
        <v>315</v>
      </c>
      <c r="J25" s="60">
        <v>6477913754.8699999</v>
      </c>
      <c r="K25" s="60">
        <v>1981062984.1500001</v>
      </c>
      <c r="L25" s="120" t="s">
        <v>219</v>
      </c>
      <c r="M25" s="120" t="s">
        <v>220</v>
      </c>
      <c r="N25" s="121">
        <v>623881</v>
      </c>
      <c r="O25" s="59" t="s">
        <v>331</v>
      </c>
      <c r="P25" s="97">
        <v>1981062984.1500001</v>
      </c>
      <c r="Q25" s="97"/>
      <c r="R25" s="97"/>
      <c r="S25" s="97"/>
      <c r="T25" s="97"/>
      <c r="U25" s="97"/>
      <c r="V25" s="97"/>
      <c r="W25" s="97"/>
      <c r="X25" s="97"/>
      <c r="Y25" s="97"/>
      <c r="Z25" s="97"/>
      <c r="AA25" s="97"/>
      <c r="AB25" s="97"/>
      <c r="AC25" s="97"/>
      <c r="AD25" s="97"/>
      <c r="AE25" s="103">
        <f>SUM(Tabla13[[#This Row],[Recursos propios 2025]:[Recursos del Balance]])</f>
        <v>1981062984.1500001</v>
      </c>
      <c r="AF25" s="97">
        <v>1135237791</v>
      </c>
      <c r="AG25" s="97"/>
      <c r="AH25" s="97"/>
      <c r="AI25" s="97"/>
      <c r="AJ25" s="97"/>
      <c r="AK25" s="97"/>
      <c r="AL25" s="97"/>
      <c r="AM25" s="97"/>
      <c r="AN25" s="97"/>
      <c r="AO25" s="97"/>
      <c r="AP25" s="97"/>
      <c r="AQ25" s="97"/>
      <c r="AR25" s="97"/>
      <c r="AS25" s="97"/>
      <c r="AT25" s="97"/>
      <c r="AU25" s="103">
        <f>Tabla13[[#This Row],[Recursos propios 20252]]+Tabla13[[#This Row],[SGP Salud 20254]]+Tabla13[[#This Row],[Otros 202515]]+Tabla13[[#This Row],[Recursos del Balance ]]</f>
        <v>1135237791</v>
      </c>
      <c r="AV25" s="103"/>
      <c r="AW25" s="113"/>
      <c r="AX25" s="129">
        <f>+Tabla13[[#This Row],[Total Recursos Comprometido 2025]]/Tabla13[[#This Row],[Total 2025]]</f>
        <v>0.57304477448862534</v>
      </c>
      <c r="AY25" s="130">
        <f>+Tabla13[[#This Row],[Total Recursos Obligados]]/Tabla13[[#This Row],[Total 2025]]</f>
        <v>0</v>
      </c>
      <c r="AZ25" s="131">
        <f>+Tabla13[[#This Row],[Total Recursos Pagados]]/Tabla13[[#This Row],[Total 2025]]</f>
        <v>0</v>
      </c>
      <c r="BA25" s="115"/>
      <c r="BB25" s="135" t="str">
        <f>IF(Tabla13[[#This Row],[Total Recursos Gestionados ]]=0,"_",IF(Tabla13[[#This Row],[Ejecución Recursos Comprometidos]]=0,100%,Tabla13[[#This Row],[Total Recursos Gestionados ]]/Tabla13[[#This Row],[Ejecución Recursos Comprometidos]]))</f>
        <v>_</v>
      </c>
      <c r="BC25" s="108"/>
      <c r="BD25" s="108"/>
      <c r="BE25" s="108"/>
    </row>
    <row r="26" spans="1:57" s="12" customFormat="1" ht="305.45" customHeight="1">
      <c r="A26" s="61">
        <v>54</v>
      </c>
      <c r="B26" s="61" t="s">
        <v>57</v>
      </c>
      <c r="C26" s="61" t="s">
        <v>114</v>
      </c>
      <c r="D26" s="61" t="s">
        <v>115</v>
      </c>
      <c r="E26" s="61" t="s">
        <v>116</v>
      </c>
      <c r="F26" s="61" t="s">
        <v>120</v>
      </c>
      <c r="G26" s="61" t="s">
        <v>121</v>
      </c>
      <c r="H26" s="55">
        <v>2024680010157</v>
      </c>
      <c r="I26" s="56" t="s">
        <v>226</v>
      </c>
      <c r="J26" s="64">
        <v>14940317969.27</v>
      </c>
      <c r="K26" s="64">
        <v>5393984997</v>
      </c>
      <c r="L26" s="58" t="s">
        <v>219</v>
      </c>
      <c r="M26" s="58" t="s">
        <v>220</v>
      </c>
      <c r="N26" s="55">
        <f>972+339+194</f>
        <v>1505</v>
      </c>
      <c r="O26" s="56" t="s">
        <v>332</v>
      </c>
      <c r="P26" s="110">
        <v>2200000000</v>
      </c>
      <c r="Q26" s="98"/>
      <c r="R26" s="98"/>
      <c r="S26" s="98"/>
      <c r="T26" s="98"/>
      <c r="U26" s="98"/>
      <c r="V26" s="98"/>
      <c r="W26" s="98"/>
      <c r="X26" s="98"/>
      <c r="Y26" s="98"/>
      <c r="Z26" s="98"/>
      <c r="AA26" s="98"/>
      <c r="AB26" s="98"/>
      <c r="AC26" s="98"/>
      <c r="AD26" s="98">
        <v>110000000</v>
      </c>
      <c r="AE26" s="137">
        <f>SUM(Tabla13[[#This Row],[Recursos propios 2025]:[Recursos del Balance]])</f>
        <v>2310000000</v>
      </c>
      <c r="AF26" s="101">
        <v>100000000</v>
      </c>
      <c r="AG26" s="101"/>
      <c r="AH26" s="101"/>
      <c r="AI26" s="101"/>
      <c r="AJ26" s="101"/>
      <c r="AK26" s="101"/>
      <c r="AL26" s="101"/>
      <c r="AM26" s="101"/>
      <c r="AN26" s="101"/>
      <c r="AO26" s="101"/>
      <c r="AP26" s="101"/>
      <c r="AQ26" s="101"/>
      <c r="AR26" s="101"/>
      <c r="AS26" s="101"/>
      <c r="AT26" s="98">
        <v>91666666.659999996</v>
      </c>
      <c r="AU26" s="138">
        <f>Tabla13[[#This Row],[Recursos propios 20252]]+Tabla13[[#This Row],[SGP Salud 20254]]+Tabla13[[#This Row],[Otros 202515]]+Tabla13[[#This Row],[Recursos del Balance ]]</f>
        <v>191666666.66</v>
      </c>
      <c r="AV26" s="139">
        <v>148214285.72</v>
      </c>
      <c r="AW26" s="139">
        <v>142857142.86000001</v>
      </c>
      <c r="AX26" s="140">
        <f>+Tabla13[[#This Row],[Total Recursos Comprometido 2025]]/Tabla13[[#This Row],[Total 2025]]</f>
        <v>8.2972582969696965E-2</v>
      </c>
      <c r="AY26" s="141">
        <f>+Tabla13[[#This Row],[Total Recursos Obligados]]/Tabla13[[#This Row],[Total 2025]]</f>
        <v>6.4162028450216443E-2</v>
      </c>
      <c r="AZ26" s="142">
        <f>+Tabla13[[#This Row],[Total Recursos Pagados]]/Tabla13[[#This Row],[Total 2025]]</f>
        <v>6.1842918987012996E-2</v>
      </c>
      <c r="BA26" s="110">
        <v>0</v>
      </c>
      <c r="BB26" s="143" t="str">
        <f>IF(Tabla13[[#This Row],[Total Recursos Gestionados ]]=0,"_",IF(Tabla13[[#This Row],[Ejecución Recursos Comprometidos]]=0,100%,Tabla13[[#This Row],[Total Recursos Gestionados ]]/Tabla13[[#This Row],[Ejecución Recursos Comprometidos]]))</f>
        <v>_</v>
      </c>
      <c r="BC26" s="109" t="s">
        <v>250</v>
      </c>
      <c r="BD26" s="109" t="s">
        <v>251</v>
      </c>
      <c r="BE26" s="109" t="s">
        <v>257</v>
      </c>
    </row>
    <row r="27" spans="1:57" s="12" customFormat="1" ht="174" customHeight="1">
      <c r="A27" s="61">
        <v>55</v>
      </c>
      <c r="B27" s="61" t="s">
        <v>57</v>
      </c>
      <c r="C27" s="61" t="s">
        <v>114</v>
      </c>
      <c r="D27" s="61" t="s">
        <v>115</v>
      </c>
      <c r="E27" s="61" t="s">
        <v>116</v>
      </c>
      <c r="F27" s="61" t="s">
        <v>124</v>
      </c>
      <c r="G27" s="61" t="s">
        <v>125</v>
      </c>
      <c r="H27" s="62">
        <v>2024680010157</v>
      </c>
      <c r="I27" s="56" t="s">
        <v>226</v>
      </c>
      <c r="J27" s="60">
        <v>14940317969.27</v>
      </c>
      <c r="K27" s="60">
        <v>5393984997</v>
      </c>
      <c r="L27" s="58" t="s">
        <v>219</v>
      </c>
      <c r="M27" s="58" t="s">
        <v>220</v>
      </c>
      <c r="N27" s="63">
        <v>0</v>
      </c>
      <c r="O27" s="59" t="s">
        <v>333</v>
      </c>
      <c r="P27" s="97">
        <v>100000000</v>
      </c>
      <c r="Q27" s="110"/>
      <c r="R27" s="110"/>
      <c r="S27" s="110"/>
      <c r="T27" s="110"/>
      <c r="U27" s="110"/>
      <c r="V27" s="110"/>
      <c r="W27" s="110"/>
      <c r="X27" s="110"/>
      <c r="Y27" s="110"/>
      <c r="Z27" s="110"/>
      <c r="AA27" s="110"/>
      <c r="AB27" s="110"/>
      <c r="AC27" s="110"/>
      <c r="AD27" s="97"/>
      <c r="AE27" s="111">
        <f>SUM(Tabla13[[#This Row],[Recursos propios 2025]:[Recursos del Balance]])</f>
        <v>100000000</v>
      </c>
      <c r="AF27" s="101">
        <v>0</v>
      </c>
      <c r="AG27" s="101"/>
      <c r="AH27" s="101"/>
      <c r="AI27" s="101"/>
      <c r="AJ27" s="101"/>
      <c r="AK27" s="101"/>
      <c r="AL27" s="101"/>
      <c r="AM27" s="101"/>
      <c r="AN27" s="101"/>
      <c r="AO27" s="101"/>
      <c r="AP27" s="101"/>
      <c r="AQ27" s="101"/>
      <c r="AR27" s="101"/>
      <c r="AS27" s="101"/>
      <c r="AT27" s="97"/>
      <c r="AU27" s="103">
        <f>Tabla13[[#This Row],[Recursos propios 20252]]+Tabla13[[#This Row],[SGP Salud 20254]]+Tabla13[[#This Row],[Otros 202515]]+Tabla13[[#This Row],[Recursos del Balance ]]</f>
        <v>0</v>
      </c>
      <c r="AV27" s="112">
        <v>0</v>
      </c>
      <c r="AW27" s="113">
        <v>0</v>
      </c>
      <c r="AX27" s="114">
        <f>+Tabla13[[#This Row],[Total Recursos Comprometido 2025]]/Tabla13[[#This Row],[Total 2025]]</f>
        <v>0</v>
      </c>
      <c r="AY27" s="117">
        <f>+Tabla13[[#This Row],[Total Recursos Obligados]]/Tabla13[[#This Row],[Total 2025]]</f>
        <v>0</v>
      </c>
      <c r="AZ27" s="118">
        <f>+Tabla13[[#This Row],[Total Recursos Pagados]]/Tabla13[[#This Row],[Total 2025]]</f>
        <v>0</v>
      </c>
      <c r="BA27" s="115">
        <v>0</v>
      </c>
      <c r="BB27" s="116" t="str">
        <f>IF(Tabla13[[#This Row],[Total Recursos Gestionados ]]=0,"_",IF(Tabla13[[#This Row],[Ejecución Recursos Comprometidos]]=0,100%,Tabla13[[#This Row],[Total Recursos Gestionados ]]/Tabla13[[#This Row],[Ejecución Recursos Comprometidos]]))</f>
        <v>_</v>
      </c>
      <c r="BC27" s="109" t="s">
        <v>250</v>
      </c>
      <c r="BD27" s="109" t="s">
        <v>251</v>
      </c>
      <c r="BE27" s="109" t="s">
        <v>258</v>
      </c>
    </row>
    <row r="28" spans="1:57" s="12" customFormat="1" ht="129.94999999999999" customHeight="1">
      <c r="A28" s="54">
        <v>56</v>
      </c>
      <c r="B28" s="54" t="s">
        <v>57</v>
      </c>
      <c r="C28" s="54" t="s">
        <v>114</v>
      </c>
      <c r="D28" s="54" t="s">
        <v>115</v>
      </c>
      <c r="E28" s="54" t="s">
        <v>116</v>
      </c>
      <c r="F28" s="54" t="s">
        <v>127</v>
      </c>
      <c r="G28" s="54" t="s">
        <v>128</v>
      </c>
      <c r="H28" s="55">
        <v>2024680010157</v>
      </c>
      <c r="I28" s="56" t="s">
        <v>226</v>
      </c>
      <c r="J28" s="60">
        <v>14940317969.27</v>
      </c>
      <c r="K28" s="60">
        <v>5393984997</v>
      </c>
      <c r="L28" s="58" t="s">
        <v>219</v>
      </c>
      <c r="M28" s="58" t="s">
        <v>220</v>
      </c>
      <c r="N28" s="55">
        <v>0</v>
      </c>
      <c r="O28" s="59" t="s">
        <v>334</v>
      </c>
      <c r="P28" s="97">
        <v>250000000</v>
      </c>
      <c r="Q28" s="98"/>
      <c r="R28" s="98"/>
      <c r="S28" s="98"/>
      <c r="T28" s="98"/>
      <c r="U28" s="98"/>
      <c r="V28" s="98"/>
      <c r="W28" s="98"/>
      <c r="X28" s="98"/>
      <c r="Y28" s="98"/>
      <c r="Z28" s="98"/>
      <c r="AA28" s="98"/>
      <c r="AB28" s="98"/>
      <c r="AC28" s="98"/>
      <c r="AD28" s="99"/>
      <c r="AE28" s="100">
        <f>SUM(Tabla13[[#This Row],[Recursos propios 2025]:[Recursos del Balance]])</f>
        <v>250000000</v>
      </c>
      <c r="AF28" s="101">
        <v>0</v>
      </c>
      <c r="AG28" s="101"/>
      <c r="AH28" s="101"/>
      <c r="AI28" s="101"/>
      <c r="AJ28" s="101"/>
      <c r="AK28" s="101"/>
      <c r="AL28" s="101"/>
      <c r="AM28" s="101"/>
      <c r="AN28" s="101"/>
      <c r="AO28" s="101"/>
      <c r="AP28" s="101"/>
      <c r="AQ28" s="101"/>
      <c r="AR28" s="101"/>
      <c r="AS28" s="101"/>
      <c r="AT28" s="99"/>
      <c r="AU28" s="102">
        <f>Tabla13[[#This Row],[Recursos propios 20252]]+Tabla13[[#This Row],[SGP Salud 20254]]+Tabla13[[#This Row],[Otros 202515]]+Tabla13[[#This Row],[Recursos del Balance ]]</f>
        <v>0</v>
      </c>
      <c r="AV28" s="103">
        <v>0</v>
      </c>
      <c r="AW28" s="103">
        <v>0</v>
      </c>
      <c r="AX28" s="104">
        <f>+Tabla13[[#This Row],[Total Recursos Comprometido 2025]]/Tabla13[[#This Row],[Total 2025]]</f>
        <v>0</v>
      </c>
      <c r="AY28" s="105">
        <f>+Tabla13[[#This Row],[Total Recursos Obligados]]/Tabla13[[#This Row],[Total 2025]]</f>
        <v>0</v>
      </c>
      <c r="AZ28" s="106">
        <f>+Tabla13[[#This Row],[Total Recursos Pagados]]/Tabla13[[#This Row],[Total 2025]]</f>
        <v>0</v>
      </c>
      <c r="BA28" s="97">
        <v>0</v>
      </c>
      <c r="BB28" s="107" t="str">
        <f>IF(Tabla13[[#This Row],[Total Recursos Gestionados ]]=0,"_",IF(Tabla13[[#This Row],[Ejecución Recursos Comprometidos]]=0,100%,Tabla13[[#This Row],[Total Recursos Gestionados ]]/Tabla13[[#This Row],[Ejecución Recursos Comprometidos]]))</f>
        <v>_</v>
      </c>
      <c r="BC28" s="108" t="s">
        <v>250</v>
      </c>
      <c r="BD28" s="109" t="s">
        <v>251</v>
      </c>
      <c r="BE28" s="108" t="s">
        <v>257</v>
      </c>
    </row>
    <row r="29" spans="1:57" s="12" customFormat="1" ht="95.45" customHeight="1">
      <c r="A29" s="61">
        <v>61</v>
      </c>
      <c r="B29" s="61" t="s">
        <v>57</v>
      </c>
      <c r="C29" s="61" t="s">
        <v>114</v>
      </c>
      <c r="D29" s="61" t="s">
        <v>115</v>
      </c>
      <c r="E29" s="61" t="s">
        <v>116</v>
      </c>
      <c r="F29" s="61" t="s">
        <v>124</v>
      </c>
      <c r="G29" s="61" t="s">
        <v>131</v>
      </c>
      <c r="H29" s="62">
        <v>2024680010240</v>
      </c>
      <c r="I29" s="56" t="s">
        <v>227</v>
      </c>
      <c r="J29" s="60">
        <v>10002955992.5</v>
      </c>
      <c r="K29" s="60">
        <v>2446676047</v>
      </c>
      <c r="L29" s="58"/>
      <c r="M29" s="58" t="s">
        <v>220</v>
      </c>
      <c r="N29" s="63">
        <v>623881</v>
      </c>
      <c r="O29" s="59" t="s">
        <v>312</v>
      </c>
      <c r="P29" s="97">
        <v>2446676047</v>
      </c>
      <c r="Q29" s="110"/>
      <c r="R29" s="110"/>
      <c r="S29" s="110"/>
      <c r="T29" s="110"/>
      <c r="U29" s="110"/>
      <c r="V29" s="110"/>
      <c r="W29" s="110"/>
      <c r="X29" s="110"/>
      <c r="Y29" s="110"/>
      <c r="Z29" s="110"/>
      <c r="AA29" s="110"/>
      <c r="AB29" s="110"/>
      <c r="AC29" s="110"/>
      <c r="AD29" s="97"/>
      <c r="AE29" s="111">
        <f>SUM(Tabla13[[#This Row],[Recursos propios 2025]:[Recursos del Balance]])</f>
        <v>2446676047</v>
      </c>
      <c r="AF29" s="101">
        <v>2339912004</v>
      </c>
      <c r="AG29" s="101"/>
      <c r="AH29" s="101"/>
      <c r="AI29" s="101"/>
      <c r="AJ29" s="101"/>
      <c r="AK29" s="101"/>
      <c r="AL29" s="101"/>
      <c r="AM29" s="101"/>
      <c r="AN29" s="101"/>
      <c r="AO29" s="101"/>
      <c r="AP29" s="101"/>
      <c r="AQ29" s="101"/>
      <c r="AR29" s="101"/>
      <c r="AS29" s="101"/>
      <c r="AT29" s="97"/>
      <c r="AU29" s="103">
        <f>Tabla13[[#This Row],[Recursos propios 20252]]+Tabla13[[#This Row],[SGP Salud 20254]]+Tabla13[[#This Row],[Otros 202515]]+Tabla13[[#This Row],[Recursos del Balance ]]</f>
        <v>2339912004</v>
      </c>
      <c r="AV29" s="112">
        <v>1559941336</v>
      </c>
      <c r="AW29" s="112">
        <v>1559941336</v>
      </c>
      <c r="AX29" s="114">
        <f>+Tabla13[[#This Row],[Total Recursos Comprometido 2025]]/Tabla13[[#This Row],[Total 2025]]</f>
        <v>0.9563636374619725</v>
      </c>
      <c r="AY29" s="117">
        <f>+Tabla13[[#This Row],[Total Recursos Obligados]]/Tabla13[[#This Row],[Total 2025]]</f>
        <v>0.63757575830798163</v>
      </c>
      <c r="AZ29" s="118">
        <f>+Tabla13[[#This Row],[Total Recursos Pagados]]/Tabla13[[#This Row],[Total 2025]]</f>
        <v>0.63757575830798163</v>
      </c>
      <c r="BA29" s="115">
        <v>0</v>
      </c>
      <c r="BB29" s="116" t="str">
        <f>IF(Tabla13[[#This Row],[Total Recursos Gestionados ]]=0,"_",IF(Tabla13[[#This Row],[Ejecución Recursos Comprometidos]]=0,100%,Tabla13[[#This Row],[Total Recursos Gestionados ]]/Tabla13[[#This Row],[Ejecución Recursos Comprometidos]]))</f>
        <v>_</v>
      </c>
      <c r="BC29" s="109" t="s">
        <v>250</v>
      </c>
      <c r="BD29" s="109" t="s">
        <v>251</v>
      </c>
      <c r="BE29" s="109" t="s">
        <v>256</v>
      </c>
    </row>
    <row r="30" spans="1:57" s="12" customFormat="1" ht="366" customHeight="1">
      <c r="A30" s="54">
        <v>180</v>
      </c>
      <c r="B30" s="54" t="s">
        <v>133</v>
      </c>
      <c r="C30" s="54" t="s">
        <v>134</v>
      </c>
      <c r="D30" s="54" t="s">
        <v>135</v>
      </c>
      <c r="E30" s="54" t="s">
        <v>136</v>
      </c>
      <c r="F30" s="54" t="s">
        <v>137</v>
      </c>
      <c r="G30" s="54" t="s">
        <v>138</v>
      </c>
      <c r="H30" s="55">
        <v>2024680010033</v>
      </c>
      <c r="I30" s="56" t="s">
        <v>228</v>
      </c>
      <c r="J30" s="57">
        <v>5223089620.7200003</v>
      </c>
      <c r="K30" s="57">
        <v>3105557376.0900002</v>
      </c>
      <c r="L30" s="58" t="s">
        <v>219</v>
      </c>
      <c r="M30" s="58" t="s">
        <v>220</v>
      </c>
      <c r="N30" s="63">
        <v>623881</v>
      </c>
      <c r="O30" s="59" t="s">
        <v>335</v>
      </c>
      <c r="P30" s="90">
        <v>350000000</v>
      </c>
      <c r="Q30" s="98"/>
      <c r="R30" s="144"/>
      <c r="S30" s="98"/>
      <c r="T30" s="98"/>
      <c r="U30" s="98"/>
      <c r="V30" s="98"/>
      <c r="W30" s="98"/>
      <c r="X30" s="98"/>
      <c r="Y30" s="98"/>
      <c r="Z30" s="98"/>
      <c r="AA30" s="98"/>
      <c r="AB30" s="98"/>
      <c r="AC30" s="144">
        <v>375000000</v>
      </c>
      <c r="AD30" s="89">
        <v>550000000.09000003</v>
      </c>
      <c r="AE30" s="91">
        <f>SUM(Tabla13[[#This Row],[Recursos propios 2025]:[Recursos del Balance]])</f>
        <v>1275000000.0900002</v>
      </c>
      <c r="AF30" s="90">
        <v>343399999.99000001</v>
      </c>
      <c r="AG30" s="90"/>
      <c r="AH30" s="90">
        <v>0</v>
      </c>
      <c r="AI30" s="90"/>
      <c r="AJ30" s="90"/>
      <c r="AK30" s="90"/>
      <c r="AL30" s="90"/>
      <c r="AM30" s="90"/>
      <c r="AN30" s="90"/>
      <c r="AO30" s="90"/>
      <c r="AP30" s="90"/>
      <c r="AQ30" s="90"/>
      <c r="AR30" s="90"/>
      <c r="AS30" s="90">
        <v>353333333.32999998</v>
      </c>
      <c r="AT30" s="90">
        <v>253166666.65000001</v>
      </c>
      <c r="AU30" s="145">
        <f>Tabla13[[#This Row],[Recursos propios 20252]]+Tabla13[[#This Row],[SGP Salud 20254]]+Tabla13[[#This Row],[Otros 202515]]+Tabla13[[#This Row],[Recursos del Balance ]]</f>
        <v>949899999.96999991</v>
      </c>
      <c r="AV30" s="113">
        <v>760303333.32000005</v>
      </c>
      <c r="AW30" s="145">
        <v>730636666.6500001</v>
      </c>
      <c r="AX30" s="104">
        <f>+Tabla13[[#This Row],[Total Recursos Comprometido 2025]]/Tabla13[[#This Row],[Total 2025]]</f>
        <v>0.74501960776701803</v>
      </c>
      <c r="AY30" s="105">
        <f>+Tabla13[[#This Row],[Total Recursos Obligados]]/Tabla13[[#This Row],[Total 2025]]</f>
        <v>0.5963163398167306</v>
      </c>
      <c r="AZ30" s="106">
        <f>+Tabla13[[#This Row],[Total Recursos Pagados]]/Tabla13[[#This Row],[Total 2025]]</f>
        <v>0.57304836595954955</v>
      </c>
      <c r="BA30" s="97">
        <v>0</v>
      </c>
      <c r="BB30" s="107" t="str">
        <f>IF(Tabla13[[#This Row],[Total Recursos Gestionados ]]=0,"_",IF(Tabla13[[#This Row],[Ejecución Recursos Comprometidos]]=0,100%,Tabla13[[#This Row],[Total Recursos Gestionados ]]/Tabla13[[#This Row],[Ejecución Recursos Comprometidos]]))</f>
        <v>_</v>
      </c>
      <c r="BC30" s="108" t="s">
        <v>250</v>
      </c>
      <c r="BD30" s="109" t="s">
        <v>251</v>
      </c>
      <c r="BE30" s="108">
        <v>3</v>
      </c>
    </row>
    <row r="31" spans="1:57" ht="180">
      <c r="A31" s="61">
        <v>181</v>
      </c>
      <c r="B31" s="61" t="s">
        <v>133</v>
      </c>
      <c r="C31" s="61" t="s">
        <v>134</v>
      </c>
      <c r="D31" s="61" t="s">
        <v>135</v>
      </c>
      <c r="E31" s="61" t="s">
        <v>136</v>
      </c>
      <c r="F31" s="61" t="s">
        <v>140</v>
      </c>
      <c r="G31" s="61" t="s">
        <v>141</v>
      </c>
      <c r="H31" s="62">
        <v>2024680010023</v>
      </c>
      <c r="I31" s="56" t="s">
        <v>229</v>
      </c>
      <c r="J31" s="60">
        <v>4359092208.1599998</v>
      </c>
      <c r="K31" s="60">
        <v>1377084882</v>
      </c>
      <c r="L31" s="58" t="s">
        <v>219</v>
      </c>
      <c r="M31" s="58" t="s">
        <v>220</v>
      </c>
      <c r="N31" s="63">
        <v>16792</v>
      </c>
      <c r="O31" s="59" t="s">
        <v>336</v>
      </c>
      <c r="P31" s="90">
        <v>16250000</v>
      </c>
      <c r="Q31" s="110"/>
      <c r="R31" s="146">
        <v>765417441</v>
      </c>
      <c r="S31" s="110"/>
      <c r="T31" s="110"/>
      <c r="U31" s="110"/>
      <c r="V31" s="110"/>
      <c r="W31" s="110"/>
      <c r="X31" s="110"/>
      <c r="Y31" s="110"/>
      <c r="Z31" s="110"/>
      <c r="AA31" s="110"/>
      <c r="AB31" s="110"/>
      <c r="AC31" s="146"/>
      <c r="AD31" s="90">
        <f>745417441-150000000</f>
        <v>595417441</v>
      </c>
      <c r="AE31" s="147">
        <f>SUM(Tabla13[[#This Row],[Recursos propios 2025]:[Recursos del Balance]])</f>
        <v>1377084882</v>
      </c>
      <c r="AF31" s="90">
        <v>16250000</v>
      </c>
      <c r="AG31" s="90"/>
      <c r="AH31" s="90">
        <v>670361370.00999999</v>
      </c>
      <c r="AI31" s="90"/>
      <c r="AJ31" s="90"/>
      <c r="AK31" s="90"/>
      <c r="AL31" s="90"/>
      <c r="AM31" s="90"/>
      <c r="AN31" s="90"/>
      <c r="AO31" s="90"/>
      <c r="AP31" s="90"/>
      <c r="AQ31" s="90"/>
      <c r="AR31" s="90"/>
      <c r="AS31" s="90"/>
      <c r="AT31" s="90">
        <v>470328630</v>
      </c>
      <c r="AU31" s="145">
        <f>Tabla13[[#This Row],[Recursos propios 20252]]+Tabla13[[#This Row],[SGP Salud 20254]]+Tabla13[[#This Row],[Otros 202515]]+Tabla13[[#This Row],[Recursos del Balance ]]</f>
        <v>1156940000.01</v>
      </c>
      <c r="AV31" s="113">
        <v>956396666.67999995</v>
      </c>
      <c r="AW31" s="145">
        <v>924730000.00999999</v>
      </c>
      <c r="AX31" s="114">
        <f>+Tabla13[[#This Row],[Total Recursos Comprometido 2025]]/Tabla13[[#This Row],[Total 2025]]</f>
        <v>0.84013702795845524</v>
      </c>
      <c r="AY31" s="117">
        <f>+Tabla13[[#This Row],[Total Recursos Obligados]]/Tabla13[[#This Row],[Total 2025]]</f>
        <v>0.69450814483634704</v>
      </c>
      <c r="AZ31" s="118">
        <f>+Tabla13[[#This Row],[Total Recursos Pagados]]/Tabla13[[#This Row],[Total 2025]]</f>
        <v>0.67151270927248474</v>
      </c>
      <c r="BA31" s="115">
        <v>0</v>
      </c>
      <c r="BB31" s="116" t="str">
        <f>IF(Tabla13[[#This Row],[Total Recursos Gestionados ]]=0,"_",IF(Tabla13[[#This Row],[Ejecución Recursos Comprometidos]]=0,100%,Tabla13[[#This Row],[Total Recursos Gestionados ]]/Tabla13[[#This Row],[Ejecución Recursos Comprometidos]]))</f>
        <v>_</v>
      </c>
      <c r="BC31" s="109" t="s">
        <v>250</v>
      </c>
      <c r="BD31" s="109" t="s">
        <v>251</v>
      </c>
      <c r="BE31" s="109">
        <v>3</v>
      </c>
    </row>
    <row r="32" spans="1:57" ht="275.45" customHeight="1">
      <c r="A32" s="54">
        <v>182</v>
      </c>
      <c r="B32" s="54" t="s">
        <v>133</v>
      </c>
      <c r="C32" s="54" t="s">
        <v>134</v>
      </c>
      <c r="D32" s="54" t="s">
        <v>135</v>
      </c>
      <c r="E32" s="54" t="s">
        <v>136</v>
      </c>
      <c r="F32" s="54" t="s">
        <v>143</v>
      </c>
      <c r="G32" s="54" t="s">
        <v>144</v>
      </c>
      <c r="H32" s="55">
        <v>2024680010011</v>
      </c>
      <c r="I32" s="56" t="s">
        <v>230</v>
      </c>
      <c r="J32" s="57">
        <v>7143964489.5600004</v>
      </c>
      <c r="K32" s="57">
        <v>2400507426.6700001</v>
      </c>
      <c r="L32" s="58" t="s">
        <v>219</v>
      </c>
      <c r="M32" s="58" t="s">
        <v>220</v>
      </c>
      <c r="N32" s="63">
        <v>623881</v>
      </c>
      <c r="O32" s="59" t="s">
        <v>337</v>
      </c>
      <c r="P32" s="90">
        <v>850000000</v>
      </c>
      <c r="Q32" s="98"/>
      <c r="R32" s="144"/>
      <c r="S32" s="98"/>
      <c r="T32" s="98"/>
      <c r="U32" s="98"/>
      <c r="V32" s="98"/>
      <c r="W32" s="98"/>
      <c r="X32" s="98"/>
      <c r="Y32" s="98"/>
      <c r="Z32" s="98"/>
      <c r="AA32" s="98"/>
      <c r="AB32" s="98"/>
      <c r="AC32" s="144"/>
      <c r="AD32" s="89">
        <v>1550507426.6700001</v>
      </c>
      <c r="AE32" s="91">
        <f>SUM(Tabla13[[#This Row],[Recursos propios 2025]:[Recursos del Balance]])</f>
        <v>2400507426.6700001</v>
      </c>
      <c r="AF32" s="90">
        <v>815033333.35000002</v>
      </c>
      <c r="AG32" s="90"/>
      <c r="AH32" s="90"/>
      <c r="AI32" s="90"/>
      <c r="AJ32" s="90"/>
      <c r="AK32" s="90"/>
      <c r="AL32" s="90"/>
      <c r="AM32" s="90"/>
      <c r="AN32" s="90"/>
      <c r="AO32" s="90"/>
      <c r="AP32" s="90"/>
      <c r="AQ32" s="90"/>
      <c r="AR32" s="90"/>
      <c r="AS32" s="90"/>
      <c r="AT32" s="90">
        <v>736505645.63</v>
      </c>
      <c r="AU32" s="145">
        <f>Tabla13[[#This Row],[Recursos propios 20252]]+Tabla13[[#This Row],[SGP Salud 20254]]+Tabla13[[#This Row],[Otros 202515]]+Tabla13[[#This Row],[Recursos del Balance ]]</f>
        <v>1551538978.98</v>
      </c>
      <c r="AV32" s="145">
        <v>987865734.66999996</v>
      </c>
      <c r="AW32" s="145">
        <v>958732401.34000003</v>
      </c>
      <c r="AX32" s="104">
        <f>+Tabla13[[#This Row],[Total Recursos Comprometido 2025]]/Tabla13[[#This Row],[Total 2025]]</f>
        <v>0.64633792078381747</v>
      </c>
      <c r="AY32" s="105">
        <f>+Tabla13[[#This Row],[Total Recursos Obligados]]/Tabla13[[#This Row],[Total 2025]]</f>
        <v>0.41152371523398029</v>
      </c>
      <c r="AZ32" s="106">
        <f>+Tabla13[[#This Row],[Total Recursos Pagados]]/Tabla13[[#This Row],[Total 2025]]</f>
        <v>0.39938739230228504</v>
      </c>
      <c r="BA32" s="97">
        <v>0</v>
      </c>
      <c r="BB32" s="107" t="str">
        <f>IF(Tabla13[[#This Row],[Total Recursos Gestionados ]]=0,"_",IF(Tabla13[[#This Row],[Ejecución Recursos Comprometidos]]=0,100%,Tabla13[[#This Row],[Total Recursos Gestionados ]]/Tabla13[[#This Row],[Ejecución Recursos Comprometidos]]))</f>
        <v>_</v>
      </c>
      <c r="BC32" s="108" t="s">
        <v>250</v>
      </c>
      <c r="BD32" s="109" t="s">
        <v>251</v>
      </c>
      <c r="BE32" s="108">
        <v>3</v>
      </c>
    </row>
    <row r="33" spans="1:57" ht="321" customHeight="1">
      <c r="A33" s="61">
        <v>183</v>
      </c>
      <c r="B33" s="61" t="s">
        <v>133</v>
      </c>
      <c r="C33" s="61" t="s">
        <v>134</v>
      </c>
      <c r="D33" s="61" t="s">
        <v>146</v>
      </c>
      <c r="E33" s="61" t="s">
        <v>147</v>
      </c>
      <c r="F33" s="61" t="s">
        <v>148</v>
      </c>
      <c r="G33" s="61" t="s">
        <v>149</v>
      </c>
      <c r="H33" s="62">
        <v>2024680010018</v>
      </c>
      <c r="I33" s="56" t="s">
        <v>231</v>
      </c>
      <c r="J33" s="60">
        <v>4344126293.3299999</v>
      </c>
      <c r="K33" s="60">
        <v>1580448568.96</v>
      </c>
      <c r="L33" s="58" t="s">
        <v>219</v>
      </c>
      <c r="M33" s="58" t="s">
        <v>220</v>
      </c>
      <c r="N33" s="65">
        <v>113486</v>
      </c>
      <c r="O33" s="59" t="s">
        <v>338</v>
      </c>
      <c r="P33" s="90"/>
      <c r="Q33" s="110"/>
      <c r="R33" s="146">
        <v>200000000</v>
      </c>
      <c r="S33" s="110"/>
      <c r="T33" s="110"/>
      <c r="U33" s="110"/>
      <c r="V33" s="110"/>
      <c r="W33" s="110"/>
      <c r="X33" s="110"/>
      <c r="Y33" s="110"/>
      <c r="Z33" s="110"/>
      <c r="AA33" s="110"/>
      <c r="AB33" s="110"/>
      <c r="AC33" s="146"/>
      <c r="AD33" s="90">
        <v>945000000</v>
      </c>
      <c r="AE33" s="147">
        <f>SUM(Tabla13[[#This Row],[Recursos propios 2025]:[Recursos del Balance]])</f>
        <v>1145000000</v>
      </c>
      <c r="AF33" s="90">
        <v>0</v>
      </c>
      <c r="AG33" s="90"/>
      <c r="AH33" s="90">
        <v>194600000</v>
      </c>
      <c r="AI33" s="90"/>
      <c r="AJ33" s="90"/>
      <c r="AK33" s="90"/>
      <c r="AL33" s="90"/>
      <c r="AM33" s="90"/>
      <c r="AN33" s="90"/>
      <c r="AO33" s="90"/>
      <c r="AP33" s="90"/>
      <c r="AQ33" s="90"/>
      <c r="AR33" s="90"/>
      <c r="AS33" s="90"/>
      <c r="AT33" s="90">
        <v>109799999.98</v>
      </c>
      <c r="AU33" s="145">
        <f>Tabla13[[#This Row],[Recursos propios 20252]]+Tabla13[[#This Row],[SGP Salud 20254]]+Tabla13[[#This Row],[Otros 202515]]+Tabla13[[#This Row],[Recursos del Balance ]]</f>
        <v>304399999.98000002</v>
      </c>
      <c r="AV33" s="145">
        <v>243593333.33000001</v>
      </c>
      <c r="AW33" s="145">
        <v>224560000</v>
      </c>
      <c r="AX33" s="114">
        <f>+Tabla13[[#This Row],[Total Recursos Comprometido 2025]]/Tabla13[[#This Row],[Total 2025]]</f>
        <v>0.26585152836681225</v>
      </c>
      <c r="AY33" s="117">
        <f>+Tabla13[[#This Row],[Total Recursos Obligados]]/Tabla13[[#This Row],[Total 2025]]</f>
        <v>0.2127452692838428</v>
      </c>
      <c r="AZ33" s="118">
        <f>+Tabla13[[#This Row],[Total Recursos Pagados]]/Tabla13[[#This Row],[Total 2025]]</f>
        <v>0.19612227074235808</v>
      </c>
      <c r="BA33" s="115">
        <v>0</v>
      </c>
      <c r="BB33" s="116" t="str">
        <f>IF(Tabla13[[#This Row],[Total Recursos Gestionados ]]=0,"_",IF(Tabla13[[#This Row],[Ejecución Recursos Comprometidos]]=0,100%,Tabla13[[#This Row],[Total Recursos Gestionados ]]/Tabla13[[#This Row],[Ejecución Recursos Comprometidos]]))</f>
        <v>_</v>
      </c>
      <c r="BC33" s="109" t="s">
        <v>250</v>
      </c>
      <c r="BD33" s="109" t="s">
        <v>251</v>
      </c>
      <c r="BE33" s="109">
        <v>3</v>
      </c>
    </row>
    <row r="34" spans="1:57" ht="45">
      <c r="A34" s="54">
        <v>184</v>
      </c>
      <c r="B34" s="54" t="s">
        <v>133</v>
      </c>
      <c r="C34" s="54" t="s">
        <v>134</v>
      </c>
      <c r="D34" s="54" t="s">
        <v>146</v>
      </c>
      <c r="E34" s="54" t="s">
        <v>147</v>
      </c>
      <c r="F34" s="54" t="s">
        <v>151</v>
      </c>
      <c r="G34" s="54" t="s">
        <v>152</v>
      </c>
      <c r="H34" s="55">
        <v>2024680010018</v>
      </c>
      <c r="I34" s="56" t="s">
        <v>231</v>
      </c>
      <c r="J34" s="57">
        <v>4344126293.3299999</v>
      </c>
      <c r="K34" s="57">
        <v>1580448568.96</v>
      </c>
      <c r="L34" s="58" t="s">
        <v>219</v>
      </c>
      <c r="M34" s="58" t="s">
        <v>220</v>
      </c>
      <c r="N34" s="148">
        <v>113486</v>
      </c>
      <c r="O34" s="59" t="s">
        <v>339</v>
      </c>
      <c r="P34" s="90"/>
      <c r="Q34" s="98"/>
      <c r="R34" s="144">
        <v>120000000</v>
      </c>
      <c r="S34" s="98"/>
      <c r="T34" s="98"/>
      <c r="U34" s="98"/>
      <c r="V34" s="98"/>
      <c r="W34" s="98"/>
      <c r="X34" s="98"/>
      <c r="Y34" s="98"/>
      <c r="Z34" s="98"/>
      <c r="AA34" s="98"/>
      <c r="AB34" s="98"/>
      <c r="AC34" s="144"/>
      <c r="AD34" s="89">
        <v>315448568.95999998</v>
      </c>
      <c r="AE34" s="91">
        <f>SUM(Tabla13[[#This Row],[Recursos propios 2025]:[Recursos del Balance]])</f>
        <v>435448568.95999998</v>
      </c>
      <c r="AF34" s="90">
        <v>0</v>
      </c>
      <c r="AG34" s="90"/>
      <c r="AH34" s="90">
        <v>70000000</v>
      </c>
      <c r="AI34" s="90"/>
      <c r="AJ34" s="90"/>
      <c r="AK34" s="90"/>
      <c r="AL34" s="90"/>
      <c r="AM34" s="90"/>
      <c r="AN34" s="90"/>
      <c r="AO34" s="90"/>
      <c r="AP34" s="90"/>
      <c r="AQ34" s="90"/>
      <c r="AR34" s="90"/>
      <c r="AS34" s="90"/>
      <c r="AT34" s="90">
        <v>176115000</v>
      </c>
      <c r="AU34" s="145">
        <f>Tabla13[[#This Row],[Recursos propios 20252]]+Tabla13[[#This Row],[SGP Salud 20254]]+Tabla13[[#This Row],[Otros 202515]]+Tabla13[[#This Row],[Recursos del Balance ]]</f>
        <v>246115000</v>
      </c>
      <c r="AV34" s="145">
        <v>38906049.210000001</v>
      </c>
      <c r="AW34" s="145">
        <v>38906049.210000001</v>
      </c>
      <c r="AX34" s="104">
        <f>+Tabla13[[#This Row],[Total Recursos Comprometido 2025]]/Tabla13[[#This Row],[Total 2025]]</f>
        <v>0.56519878016319292</v>
      </c>
      <c r="AY34" s="105">
        <f>+Tabla13[[#This Row],[Total Recursos Obligados]]/Tabla13[[#This Row],[Total 2025]]</f>
        <v>8.9347059522829397E-2</v>
      </c>
      <c r="AZ34" s="106">
        <f>+Tabla13[[#This Row],[Total Recursos Pagados]]/Tabla13[[#This Row],[Total 2025]]</f>
        <v>8.9347059522829397E-2</v>
      </c>
      <c r="BA34" s="97">
        <v>0</v>
      </c>
      <c r="BB34" s="107" t="str">
        <f>IF(Tabla13[[#This Row],[Total Recursos Gestionados ]]=0,"_",IF(Tabla13[[#This Row],[Ejecución Recursos Comprometidos]]=0,100%,Tabla13[[#This Row],[Total Recursos Gestionados ]]/Tabla13[[#This Row],[Ejecución Recursos Comprometidos]]))</f>
        <v>_</v>
      </c>
      <c r="BC34" s="108" t="s">
        <v>250</v>
      </c>
      <c r="BD34" s="109" t="s">
        <v>251</v>
      </c>
      <c r="BE34" s="108">
        <v>3</v>
      </c>
    </row>
    <row r="35" spans="1:57" ht="374.25" customHeight="1">
      <c r="A35" s="61">
        <v>185</v>
      </c>
      <c r="B35" s="61" t="s">
        <v>133</v>
      </c>
      <c r="C35" s="61" t="s">
        <v>134</v>
      </c>
      <c r="D35" s="61" t="s">
        <v>146</v>
      </c>
      <c r="E35" s="61" t="s">
        <v>147</v>
      </c>
      <c r="F35" s="61" t="s">
        <v>154</v>
      </c>
      <c r="G35" s="61" t="s">
        <v>155</v>
      </c>
      <c r="H35" s="62">
        <v>2024680010016</v>
      </c>
      <c r="I35" s="56" t="s">
        <v>232</v>
      </c>
      <c r="J35" s="60">
        <v>7470097629.1499996</v>
      </c>
      <c r="K35" s="60">
        <v>2683396364</v>
      </c>
      <c r="L35" s="58" t="s">
        <v>219</v>
      </c>
      <c r="M35" s="58" t="s">
        <v>266</v>
      </c>
      <c r="N35" s="65">
        <v>33592</v>
      </c>
      <c r="O35" s="59" t="s">
        <v>340</v>
      </c>
      <c r="P35" s="90"/>
      <c r="Q35" s="110"/>
      <c r="R35" s="146">
        <v>1087500000</v>
      </c>
      <c r="S35" s="110"/>
      <c r="T35" s="110"/>
      <c r="U35" s="110"/>
      <c r="V35" s="110"/>
      <c r="W35" s="110"/>
      <c r="X35" s="110"/>
      <c r="Y35" s="110"/>
      <c r="Z35" s="110"/>
      <c r="AA35" s="110"/>
      <c r="AB35" s="110"/>
      <c r="AC35" s="146"/>
      <c r="AD35" s="90">
        <f>854396364</f>
        <v>854396364</v>
      </c>
      <c r="AE35" s="147">
        <f>SUM(Tabla13[[#This Row],[Recursos propios 2025]:[Recursos del Balance]])</f>
        <v>1941896364</v>
      </c>
      <c r="AF35" s="90"/>
      <c r="AG35" s="90"/>
      <c r="AH35" s="90">
        <v>973720302.66999996</v>
      </c>
      <c r="AI35" s="90"/>
      <c r="AJ35" s="90"/>
      <c r="AK35" s="90"/>
      <c r="AL35" s="90"/>
      <c r="AM35" s="90"/>
      <c r="AN35" s="90"/>
      <c r="AO35" s="90"/>
      <c r="AP35" s="90"/>
      <c r="AQ35" s="90"/>
      <c r="AR35" s="90"/>
      <c r="AS35" s="90"/>
      <c r="AT35" s="90">
        <v>513013030.63999999</v>
      </c>
      <c r="AU35" s="145">
        <f>Tabla13[[#This Row],[Recursos propios 20252]]+Tabla13[[#This Row],[SGP Salud 20254]]+Tabla13[[#This Row],[Otros 202515]]+Tabla13[[#This Row],[Recursos del Balance ]]</f>
        <v>1486733333.3099999</v>
      </c>
      <c r="AV35" s="145">
        <v>1138640000</v>
      </c>
      <c r="AW35" s="145">
        <v>1075956666.6700001</v>
      </c>
      <c r="AX35" s="114">
        <f>+Tabla13[[#This Row],[Total Recursos Comprometido 2025]]/Tabla13[[#This Row],[Total 2025]]</f>
        <v>0.76560899998162824</v>
      </c>
      <c r="AY35" s="117">
        <f>+Tabla13[[#This Row],[Total Recursos Obligados]]/Tabla13[[#This Row],[Total 2025]]</f>
        <v>0.58635466913104539</v>
      </c>
      <c r="AZ35" s="118">
        <f>+Tabla13[[#This Row],[Total Recursos Pagados]]/Tabla13[[#This Row],[Total 2025]]</f>
        <v>0.55407522595783598</v>
      </c>
      <c r="BA35" s="115">
        <v>0</v>
      </c>
      <c r="BB35" s="116" t="str">
        <f>IF(Tabla13[[#This Row],[Total Recursos Gestionados ]]=0,"_",IF(Tabla13[[#This Row],[Ejecución Recursos Comprometidos]]=0,100%,Tabla13[[#This Row],[Total Recursos Gestionados ]]/Tabla13[[#This Row],[Ejecución Recursos Comprometidos]]))</f>
        <v>_</v>
      </c>
      <c r="BC35" s="109" t="s">
        <v>250</v>
      </c>
      <c r="BD35" s="109" t="s">
        <v>251</v>
      </c>
      <c r="BE35" s="109">
        <v>3</v>
      </c>
    </row>
    <row r="36" spans="1:57" ht="150">
      <c r="A36" s="54">
        <v>186</v>
      </c>
      <c r="B36" s="54" t="s">
        <v>133</v>
      </c>
      <c r="C36" s="54" t="s">
        <v>134</v>
      </c>
      <c r="D36" s="54" t="s">
        <v>146</v>
      </c>
      <c r="E36" s="54" t="s">
        <v>147</v>
      </c>
      <c r="F36" s="54" t="s">
        <v>157</v>
      </c>
      <c r="G36" s="54" t="s">
        <v>158</v>
      </c>
      <c r="H36" s="55">
        <v>2024680010019</v>
      </c>
      <c r="I36" s="56" t="s">
        <v>233</v>
      </c>
      <c r="J36" s="57">
        <v>7161797731.3800001</v>
      </c>
      <c r="K36" s="57">
        <v>2907679301.5900002</v>
      </c>
      <c r="L36" s="58" t="s">
        <v>219</v>
      </c>
      <c r="M36" s="58" t="s">
        <v>220</v>
      </c>
      <c r="N36" s="55">
        <v>5998</v>
      </c>
      <c r="O36" s="59" t="s">
        <v>341</v>
      </c>
      <c r="P36" s="90"/>
      <c r="Q36" s="98"/>
      <c r="R36" s="144">
        <f>430500000</f>
        <v>430500000</v>
      </c>
      <c r="S36" s="98"/>
      <c r="T36" s="98"/>
      <c r="U36" s="98"/>
      <c r="V36" s="98"/>
      <c r="W36" s="98"/>
      <c r="X36" s="98"/>
      <c r="Y36" s="98"/>
      <c r="Z36" s="98"/>
      <c r="AA36" s="98"/>
      <c r="AB36" s="98">
        <v>320000000</v>
      </c>
      <c r="AC36" s="144"/>
      <c r="AD36" s="89">
        <v>350000000</v>
      </c>
      <c r="AE36" s="91">
        <f>SUM(Tabla13[[#This Row],[Recursos propios 2025]:[Recursos del Balance]])</f>
        <v>1100500000</v>
      </c>
      <c r="AF36" s="90"/>
      <c r="AG36" s="90"/>
      <c r="AH36" s="90">
        <v>293560000.00999999</v>
      </c>
      <c r="AI36" s="90"/>
      <c r="AJ36" s="90"/>
      <c r="AK36" s="90"/>
      <c r="AL36" s="90"/>
      <c r="AM36" s="90"/>
      <c r="AN36" s="90"/>
      <c r="AO36" s="90"/>
      <c r="AP36" s="90"/>
      <c r="AQ36" s="90"/>
      <c r="AR36" s="90">
        <v>229543599.66999999</v>
      </c>
      <c r="AS36" s="90"/>
      <c r="AT36" s="90">
        <v>83066666.659999996</v>
      </c>
      <c r="AU36" s="145">
        <f>Tabla13[[#This Row],[SGP Salud 20254]]+Tabla13[[#This Row],[Recursos del Balance ]]+Tabla13[[#This Row],[Transferencias de capital - cofinanciación nación 20251]]</f>
        <v>606170266.33999991</v>
      </c>
      <c r="AV36" s="145">
        <v>392923333.32999998</v>
      </c>
      <c r="AW36" s="145">
        <v>386523333.32999998</v>
      </c>
      <c r="AX36" s="104">
        <f>+Tabla13[[#This Row],[Total Recursos Comprometido 2025]]/Tabla13[[#This Row],[Total 2025]]</f>
        <v>0.55081350871422075</v>
      </c>
      <c r="AY36" s="105">
        <f>+Tabla13[[#This Row],[Total Recursos Obligados]]/Tabla13[[#This Row],[Total 2025]]</f>
        <v>0.35704073905497502</v>
      </c>
      <c r="AZ36" s="106">
        <f>+Tabla13[[#This Row],[Total Recursos Pagados]]/Tabla13[[#This Row],[Total 2025]]</f>
        <v>0.35122520066333485</v>
      </c>
      <c r="BA36" s="97">
        <v>0</v>
      </c>
      <c r="BB36" s="107" t="str">
        <f>IF(Tabla13[[#This Row],[Total Recursos Gestionados ]]=0,"_",IF(Tabla13[[#This Row],[Ejecución Recursos Comprometidos]]=0,100%,Tabla13[[#This Row],[Total Recursos Gestionados ]]/Tabla13[[#This Row],[Ejecución Recursos Comprometidos]]))</f>
        <v>_</v>
      </c>
      <c r="BC36" s="108" t="s">
        <v>250</v>
      </c>
      <c r="BD36" s="109" t="s">
        <v>251</v>
      </c>
      <c r="BE36" s="108">
        <v>3</v>
      </c>
    </row>
    <row r="37" spans="1:57" ht="75">
      <c r="A37" s="61">
        <v>187</v>
      </c>
      <c r="B37" s="61" t="s">
        <v>133</v>
      </c>
      <c r="C37" s="61" t="s">
        <v>134</v>
      </c>
      <c r="D37" s="61" t="s">
        <v>146</v>
      </c>
      <c r="E37" s="61" t="s">
        <v>147</v>
      </c>
      <c r="F37" s="61" t="s">
        <v>160</v>
      </c>
      <c r="G37" s="61" t="s">
        <v>161</v>
      </c>
      <c r="H37" s="62">
        <v>2024680010016</v>
      </c>
      <c r="I37" s="56" t="s">
        <v>234</v>
      </c>
      <c r="J37" s="60">
        <v>7470097629.1499996</v>
      </c>
      <c r="K37" s="60">
        <v>2683396364</v>
      </c>
      <c r="L37" s="58" t="s">
        <v>219</v>
      </c>
      <c r="M37" s="58" t="s">
        <v>235</v>
      </c>
      <c r="N37" s="63">
        <v>1784</v>
      </c>
      <c r="O37" s="59" t="s">
        <v>342</v>
      </c>
      <c r="P37" s="90">
        <v>440000000</v>
      </c>
      <c r="Q37" s="110"/>
      <c r="R37" s="146"/>
      <c r="S37" s="110"/>
      <c r="T37" s="110"/>
      <c r="U37" s="110"/>
      <c r="V37" s="110"/>
      <c r="W37" s="110"/>
      <c r="X37" s="110"/>
      <c r="Y37" s="110"/>
      <c r="Z37" s="110"/>
      <c r="AA37" s="110"/>
      <c r="AB37" s="110"/>
      <c r="AC37" s="146"/>
      <c r="AD37" s="90"/>
      <c r="AE37" s="147">
        <f>SUM(Tabla13[[#This Row],[Recursos propios 2025]:[Recursos del Balance]])</f>
        <v>440000000</v>
      </c>
      <c r="AF37" s="90">
        <v>337746000</v>
      </c>
      <c r="AG37" s="90"/>
      <c r="AH37" s="90"/>
      <c r="AI37" s="90"/>
      <c r="AJ37" s="90"/>
      <c r="AK37" s="90"/>
      <c r="AL37" s="90"/>
      <c r="AM37" s="90"/>
      <c r="AN37" s="90"/>
      <c r="AO37" s="90"/>
      <c r="AP37" s="90"/>
      <c r="AQ37" s="90"/>
      <c r="AR37" s="90"/>
      <c r="AS37" s="90"/>
      <c r="AT37" s="90"/>
      <c r="AU37" s="145">
        <f>Tabla13[[#This Row],[Recursos propios 20252]]+Tabla13[[#This Row],[SGP Salud 20254]]+Tabla13[[#This Row],[Otros 202515]]+Tabla13[[#This Row],[Recursos del Balance ]]</f>
        <v>337746000</v>
      </c>
      <c r="AV37" s="145">
        <v>197412537</v>
      </c>
      <c r="AW37" s="145">
        <v>197412537</v>
      </c>
      <c r="AX37" s="114">
        <f>+Tabla13[[#This Row],[Total Recursos Comprometido 2025]]/Tabla13[[#This Row],[Total 2025]]</f>
        <v>0.76760454545454548</v>
      </c>
      <c r="AY37" s="117">
        <f>+Tabla13[[#This Row],[Total Recursos Obligados]]/Tabla13[[#This Row],[Total 2025]]</f>
        <v>0.4486648568181818</v>
      </c>
      <c r="AZ37" s="118">
        <f>+Tabla13[[#This Row],[Total Recursos Pagados]]/Tabla13[[#This Row],[Total 2025]]</f>
        <v>0.4486648568181818</v>
      </c>
      <c r="BA37" s="115">
        <v>0</v>
      </c>
      <c r="BB37" s="116" t="str">
        <f>IF(Tabla13[[#This Row],[Total Recursos Gestionados ]]=0,"_",IF(Tabla13[[#This Row],[Ejecución Recursos Comprometidos]]=0,100%,Tabla13[[#This Row],[Total Recursos Gestionados ]]/Tabla13[[#This Row],[Ejecución Recursos Comprometidos]]))</f>
        <v>_</v>
      </c>
      <c r="BC37" s="109" t="s">
        <v>250</v>
      </c>
      <c r="BD37" s="109" t="s">
        <v>251</v>
      </c>
      <c r="BE37" s="109">
        <v>3</v>
      </c>
    </row>
    <row r="38" spans="1:57" ht="348" customHeight="1">
      <c r="A38" s="54">
        <v>188</v>
      </c>
      <c r="B38" s="54" t="s">
        <v>133</v>
      </c>
      <c r="C38" s="54" t="s">
        <v>134</v>
      </c>
      <c r="D38" s="54" t="s">
        <v>146</v>
      </c>
      <c r="E38" s="54" t="s">
        <v>147</v>
      </c>
      <c r="F38" s="54" t="s">
        <v>163</v>
      </c>
      <c r="G38" s="54" t="s">
        <v>164</v>
      </c>
      <c r="H38" s="55">
        <v>2024680010024</v>
      </c>
      <c r="I38" s="56" t="s">
        <v>236</v>
      </c>
      <c r="J38" s="57">
        <v>4398723872.6800003</v>
      </c>
      <c r="K38" s="57">
        <v>1511664052.6700001</v>
      </c>
      <c r="L38" s="58" t="s">
        <v>219</v>
      </c>
      <c r="M38" s="58" t="s">
        <v>220</v>
      </c>
      <c r="N38" s="63">
        <v>15254</v>
      </c>
      <c r="O38" s="59" t="s">
        <v>343</v>
      </c>
      <c r="P38" s="90">
        <v>300000000</v>
      </c>
      <c r="Q38" s="98"/>
      <c r="R38" s="144">
        <v>300000000</v>
      </c>
      <c r="S38" s="98"/>
      <c r="T38" s="98"/>
      <c r="U38" s="98"/>
      <c r="V38" s="98"/>
      <c r="W38" s="98"/>
      <c r="X38" s="98"/>
      <c r="Y38" s="98"/>
      <c r="Z38" s="98"/>
      <c r="AA38" s="98"/>
      <c r="AB38" s="98"/>
      <c r="AC38" s="144"/>
      <c r="AD38" s="89">
        <v>811664052.66999996</v>
      </c>
      <c r="AE38" s="91">
        <f>SUM(Tabla13[[#This Row],[Recursos propios 2025]:[Recursos del Balance]])</f>
        <v>1411664052.6700001</v>
      </c>
      <c r="AF38" s="90">
        <v>283066666.64999998</v>
      </c>
      <c r="AG38" s="90"/>
      <c r="AH38" s="90">
        <v>279099999.98000002</v>
      </c>
      <c r="AI38" s="90"/>
      <c r="AJ38" s="90"/>
      <c r="AK38" s="90"/>
      <c r="AL38" s="90"/>
      <c r="AM38" s="90"/>
      <c r="AN38" s="90"/>
      <c r="AO38" s="90"/>
      <c r="AP38" s="90"/>
      <c r="AQ38" s="90"/>
      <c r="AR38" s="90"/>
      <c r="AS38" s="90"/>
      <c r="AT38" s="90">
        <v>112900000</v>
      </c>
      <c r="AU38" s="145">
        <f>Tabla13[[#This Row],[Recursos propios 20252]]+Tabla13[[#This Row],[SGP Salud 20254]]+Tabla13[[#This Row],[Otros 202515]]+Tabla13[[#This Row],[Recursos del Balance ]]</f>
        <v>675066666.63</v>
      </c>
      <c r="AV38" s="113">
        <v>391406666.66000003</v>
      </c>
      <c r="AW38" s="145">
        <v>355033333.32999998</v>
      </c>
      <c r="AX38" s="104">
        <f>+Tabla13[[#This Row],[Total Recursos Comprometido 2025]]/Tabla13[[#This Row],[Total 2025]]</f>
        <v>0.47820631640593886</v>
      </c>
      <c r="AY38" s="105">
        <f>+Tabla13[[#This Row],[Total Recursos Obligados]]/Tabla13[[#This Row],[Total 2025]]</f>
        <v>0.27726615685913331</v>
      </c>
      <c r="AZ38" s="106">
        <f>+Tabla13[[#This Row],[Total Recursos Pagados]]/Tabla13[[#This Row],[Total 2025]]</f>
        <v>0.25149987538359092</v>
      </c>
      <c r="BA38" s="97">
        <v>0</v>
      </c>
      <c r="BB38" s="107" t="str">
        <f>IF(Tabla13[[#This Row],[Total Recursos Gestionados ]]=0,"_",IF(Tabla13[[#This Row],[Ejecución Recursos Comprometidos]]=0,100%,Tabla13[[#This Row],[Total Recursos Gestionados ]]/Tabla13[[#This Row],[Ejecución Recursos Comprometidos]]))</f>
        <v>_</v>
      </c>
      <c r="BC38" s="108" t="s">
        <v>250</v>
      </c>
      <c r="BD38" s="109" t="s">
        <v>251</v>
      </c>
      <c r="BE38" s="108">
        <v>3</v>
      </c>
    </row>
    <row r="39" spans="1:57" ht="231" customHeight="1">
      <c r="A39" s="61">
        <v>189</v>
      </c>
      <c r="B39" s="61" t="s">
        <v>133</v>
      </c>
      <c r="C39" s="61" t="s">
        <v>134</v>
      </c>
      <c r="D39" s="61" t="s">
        <v>146</v>
      </c>
      <c r="E39" s="61" t="s">
        <v>147</v>
      </c>
      <c r="F39" s="61" t="s">
        <v>166</v>
      </c>
      <c r="G39" s="61" t="s">
        <v>167</v>
      </c>
      <c r="H39" s="62">
        <v>2024680010190</v>
      </c>
      <c r="I39" s="56" t="s">
        <v>237</v>
      </c>
      <c r="J39" s="60">
        <v>12009907477.129999</v>
      </c>
      <c r="K39" s="60">
        <v>4357267057.8100004</v>
      </c>
      <c r="L39" s="58" t="s">
        <v>219</v>
      </c>
      <c r="M39" s="58" t="s">
        <v>220</v>
      </c>
      <c r="N39" s="63">
        <v>623881</v>
      </c>
      <c r="O39" s="59" t="s">
        <v>344</v>
      </c>
      <c r="P39" s="90">
        <v>1697272258</v>
      </c>
      <c r="Q39" s="110"/>
      <c r="R39" s="146">
        <v>230176762</v>
      </c>
      <c r="S39" s="110"/>
      <c r="T39" s="110"/>
      <c r="U39" s="110"/>
      <c r="V39" s="110"/>
      <c r="W39" s="110"/>
      <c r="X39" s="110"/>
      <c r="Y39" s="110"/>
      <c r="Z39" s="110"/>
      <c r="AA39" s="110"/>
      <c r="AB39" s="110"/>
      <c r="AC39" s="146"/>
      <c r="AD39" s="90">
        <v>2429818038.8099999</v>
      </c>
      <c r="AE39" s="147">
        <f>SUM(Tabla13[[#This Row],[Recursos propios 2025]:[Recursos del Balance]])</f>
        <v>4357267058.8099995</v>
      </c>
      <c r="AF39" s="90">
        <v>1422374994</v>
      </c>
      <c r="AG39" s="90"/>
      <c r="AH39" s="90">
        <v>176400000</v>
      </c>
      <c r="AI39" s="90"/>
      <c r="AJ39" s="90"/>
      <c r="AK39" s="90"/>
      <c r="AL39" s="90"/>
      <c r="AM39" s="90"/>
      <c r="AN39" s="90"/>
      <c r="AO39" s="90"/>
      <c r="AP39" s="90"/>
      <c r="AQ39" s="90"/>
      <c r="AR39" s="90"/>
      <c r="AS39" s="90"/>
      <c r="AT39" s="90">
        <v>1521562865.0799999</v>
      </c>
      <c r="AU39" s="145">
        <f>Tabla13[[#This Row],[Recursos propios 20252]]+Tabla13[[#This Row],[SGP Salud 20254]]+Tabla13[[#This Row],[Otros 202515]]+Tabla13[[#This Row],[Recursos del Balance ]]</f>
        <v>3120337859.0799999</v>
      </c>
      <c r="AV39" s="113">
        <v>2098832047.6299999</v>
      </c>
      <c r="AW39" s="145">
        <v>2060646714.3</v>
      </c>
      <c r="AX39" s="114">
        <f>+Tabla13[[#This Row],[Total Recursos Comprometido 2025]]/Tabla13[[#This Row],[Total 2025]]</f>
        <v>0.71612270190576433</v>
      </c>
      <c r="AY39" s="117">
        <f>+Tabla13[[#This Row],[Total Recursos Obligados]]/Tabla13[[#This Row],[Total 2025]]</f>
        <v>0.48168542788451574</v>
      </c>
      <c r="AZ39" s="118">
        <f>+Tabla13[[#This Row],[Total Recursos Pagados]]/Tabla13[[#This Row],[Total 2025]]</f>
        <v>0.47292183069971783</v>
      </c>
      <c r="BA39" s="115">
        <v>0</v>
      </c>
      <c r="BB39" s="116" t="str">
        <f>IF(Tabla13[[#This Row],[Total Recursos Gestionados ]]=0,"_",IF(Tabla13[[#This Row],[Ejecución Recursos Comprometidos]]=0,100%,Tabla13[[#This Row],[Total Recursos Gestionados ]]/Tabla13[[#This Row],[Ejecución Recursos Comprometidos]]))</f>
        <v>_</v>
      </c>
      <c r="BC39" s="109" t="s">
        <v>250</v>
      </c>
      <c r="BD39" s="109" t="s">
        <v>251</v>
      </c>
      <c r="BE39" s="109">
        <v>3</v>
      </c>
    </row>
    <row r="40" spans="1:57" ht="409.5">
      <c r="A40" s="54">
        <v>190</v>
      </c>
      <c r="B40" s="54" t="s">
        <v>133</v>
      </c>
      <c r="C40" s="54" t="s">
        <v>134</v>
      </c>
      <c r="D40" s="54" t="s">
        <v>146</v>
      </c>
      <c r="E40" s="54" t="s">
        <v>147</v>
      </c>
      <c r="F40" s="54" t="s">
        <v>169</v>
      </c>
      <c r="G40" s="54" t="s">
        <v>170</v>
      </c>
      <c r="H40" s="55">
        <v>2024680010019</v>
      </c>
      <c r="I40" s="56" t="s">
        <v>233</v>
      </c>
      <c r="J40" s="57">
        <v>7161797731.3800001</v>
      </c>
      <c r="K40" s="57">
        <v>2907679301.5900002</v>
      </c>
      <c r="L40" s="58" t="s">
        <v>219</v>
      </c>
      <c r="M40" s="58" t="s">
        <v>220</v>
      </c>
      <c r="N40" s="63">
        <v>17801</v>
      </c>
      <c r="O40" s="59" t="s">
        <v>345</v>
      </c>
      <c r="P40" s="90"/>
      <c r="Q40" s="98"/>
      <c r="R40" s="144">
        <v>200000000</v>
      </c>
      <c r="S40" s="98"/>
      <c r="T40" s="98"/>
      <c r="U40" s="98"/>
      <c r="V40" s="98"/>
      <c r="W40" s="98"/>
      <c r="X40" s="98"/>
      <c r="Y40" s="98"/>
      <c r="Z40" s="98"/>
      <c r="AA40" s="98"/>
      <c r="AB40" s="98"/>
      <c r="AC40" s="144"/>
      <c r="AD40" s="89">
        <f>1757179301.59-150000000</f>
        <v>1607179301.5899999</v>
      </c>
      <c r="AE40" s="91">
        <f>SUM(Tabla13[[#This Row],[Recursos propios 2025]:[Recursos del Balance]])</f>
        <v>1807179301.5899999</v>
      </c>
      <c r="AF40" s="90"/>
      <c r="AG40" s="90"/>
      <c r="AH40" s="90">
        <v>200000000</v>
      </c>
      <c r="AI40" s="90"/>
      <c r="AJ40" s="90"/>
      <c r="AK40" s="90"/>
      <c r="AL40" s="90"/>
      <c r="AM40" s="90"/>
      <c r="AN40" s="90"/>
      <c r="AO40" s="90"/>
      <c r="AP40" s="90"/>
      <c r="AQ40" s="90"/>
      <c r="AR40" s="90"/>
      <c r="AS40" s="90"/>
      <c r="AT40" s="90">
        <f>696915412.99-202.8</f>
        <v>696915210.19000006</v>
      </c>
      <c r="AU40" s="145">
        <f>Tabla13[[#This Row],[SGP Salud 20254]]+Tabla13[[#This Row],[Recursos del Balance ]]</f>
        <v>896915210.19000006</v>
      </c>
      <c r="AV40" s="145">
        <v>803911876.87</v>
      </c>
      <c r="AW40" s="145">
        <v>795461876.87</v>
      </c>
      <c r="AX40" s="104">
        <f>+Tabla13[[#This Row],[Total Recursos Comprometido 2025]]/Tabla13[[#This Row],[Total 2025]]</f>
        <v>0.49630670813951466</v>
      </c>
      <c r="AY40" s="105">
        <f>+Tabla13[[#This Row],[Total Recursos Obligados]]/Tabla13[[#This Row],[Total 2025]]</f>
        <v>0.4448434508754604</v>
      </c>
      <c r="AZ40" s="106">
        <f>+Tabla13[[#This Row],[Total Recursos Pagados]]/Tabla13[[#This Row],[Total 2025]]</f>
        <v>0.44016765584363071</v>
      </c>
      <c r="BA40" s="97">
        <v>0</v>
      </c>
      <c r="BB40" s="107" t="str">
        <f>IF(Tabla13[[#This Row],[Total Recursos Gestionados ]]=0,"_",IF(Tabla13[[#This Row],[Ejecución Recursos Comprometidos]]=0,100%,Tabla13[[#This Row],[Total Recursos Gestionados ]]/Tabla13[[#This Row],[Ejecución Recursos Comprometidos]]))</f>
        <v>_</v>
      </c>
      <c r="BC40" s="108" t="s">
        <v>250</v>
      </c>
      <c r="BD40" s="109" t="s">
        <v>251</v>
      </c>
      <c r="BE40" s="108">
        <v>3</v>
      </c>
    </row>
    <row r="41" spans="1:57" ht="304.5" customHeight="1">
      <c r="A41" s="61">
        <v>191</v>
      </c>
      <c r="B41" s="61" t="s">
        <v>133</v>
      </c>
      <c r="C41" s="61" t="s">
        <v>134</v>
      </c>
      <c r="D41" s="61" t="s">
        <v>146</v>
      </c>
      <c r="E41" s="61" t="s">
        <v>147</v>
      </c>
      <c r="F41" s="61" t="s">
        <v>172</v>
      </c>
      <c r="G41" s="61" t="s">
        <v>173</v>
      </c>
      <c r="H41" s="62">
        <v>2024680010017</v>
      </c>
      <c r="I41" s="56" t="s">
        <v>238</v>
      </c>
      <c r="J41" s="60">
        <v>3988008137</v>
      </c>
      <c r="K41" s="60">
        <v>1814294000</v>
      </c>
      <c r="L41" s="58" t="s">
        <v>219</v>
      </c>
      <c r="M41" s="58" t="s">
        <v>220</v>
      </c>
      <c r="N41" s="63">
        <v>12334</v>
      </c>
      <c r="O41" s="59" t="s">
        <v>346</v>
      </c>
      <c r="P41" s="90">
        <v>684294000</v>
      </c>
      <c r="Q41" s="110"/>
      <c r="R41" s="146">
        <v>300000000</v>
      </c>
      <c r="S41" s="110"/>
      <c r="T41" s="110"/>
      <c r="U41" s="110"/>
      <c r="V41" s="110"/>
      <c r="W41" s="110"/>
      <c r="X41" s="110"/>
      <c r="Y41" s="110"/>
      <c r="Z41" s="110"/>
      <c r="AA41" s="110"/>
      <c r="AB41" s="110"/>
      <c r="AC41" s="146"/>
      <c r="AD41" s="90">
        <v>830000000</v>
      </c>
      <c r="AE41" s="147">
        <f>SUM(Tabla13[[#This Row],[Recursos propios 2025]:[Recursos del Balance]])</f>
        <v>1814294000</v>
      </c>
      <c r="AF41" s="90">
        <v>590009999.99000001</v>
      </c>
      <c r="AG41" s="90"/>
      <c r="AH41" s="90">
        <v>298390707</v>
      </c>
      <c r="AI41" s="90"/>
      <c r="AJ41" s="90"/>
      <c r="AK41" s="90"/>
      <c r="AL41" s="90"/>
      <c r="AM41" s="90"/>
      <c r="AN41" s="90"/>
      <c r="AO41" s="90"/>
      <c r="AP41" s="90"/>
      <c r="AQ41" s="90"/>
      <c r="AR41" s="90"/>
      <c r="AS41" s="90"/>
      <c r="AT41" s="90"/>
      <c r="AU41" s="145">
        <f>Tabla13[[#This Row],[Recursos propios 20252]]+Tabla13[[#This Row],[SGP Salud 20254]]+Tabla13[[#This Row],[Otros 202515]]+Tabla13[[#This Row],[Recursos del Balance ]]</f>
        <v>888400706.99000001</v>
      </c>
      <c r="AV41" s="113">
        <v>452913333.35000002</v>
      </c>
      <c r="AW41" s="145">
        <v>452913333.35000002</v>
      </c>
      <c r="AX41" s="114">
        <f>+Tabla13[[#This Row],[Total Recursos Comprometido 2025]]/Tabla13[[#This Row],[Total 2025]]</f>
        <v>0.48966744474159096</v>
      </c>
      <c r="AY41" s="117">
        <f>+Tabla13[[#This Row],[Total Recursos Obligados]]/Tabla13[[#This Row],[Total 2025]]</f>
        <v>0.24963613027987747</v>
      </c>
      <c r="AZ41" s="118">
        <f>+Tabla13[[#This Row],[Total Recursos Pagados]]/Tabla13[[#This Row],[Total 2025]]</f>
        <v>0.24963613027987747</v>
      </c>
      <c r="BA41" s="115">
        <v>0</v>
      </c>
      <c r="BB41" s="116" t="str">
        <f>IF(Tabla13[[#This Row],[Total Recursos Gestionados ]]=0,"_",IF(Tabla13[[#This Row],[Ejecución Recursos Comprometidos]]=0,100%,Tabla13[[#This Row],[Total Recursos Gestionados ]]/Tabla13[[#This Row],[Ejecución Recursos Comprometidos]]))</f>
        <v>_</v>
      </c>
      <c r="BC41" s="109" t="s">
        <v>250</v>
      </c>
      <c r="BD41" s="109" t="s">
        <v>251</v>
      </c>
      <c r="BE41" s="109">
        <v>3</v>
      </c>
    </row>
    <row r="42" spans="1:57" ht="254.25" customHeight="1">
      <c r="A42" s="54">
        <v>192</v>
      </c>
      <c r="B42" s="54" t="s">
        <v>133</v>
      </c>
      <c r="C42" s="54" t="s">
        <v>134</v>
      </c>
      <c r="D42" s="54" t="s">
        <v>146</v>
      </c>
      <c r="E42" s="54" t="s">
        <v>147</v>
      </c>
      <c r="F42" s="54" t="s">
        <v>175</v>
      </c>
      <c r="G42" s="54" t="s">
        <v>176</v>
      </c>
      <c r="H42" s="55">
        <v>2024680010021</v>
      </c>
      <c r="I42" s="56" t="s">
        <v>239</v>
      </c>
      <c r="J42" s="57">
        <v>4353136151.1000004</v>
      </c>
      <c r="K42" s="57">
        <v>1378000000</v>
      </c>
      <c r="L42" s="58" t="s">
        <v>219</v>
      </c>
      <c r="M42" s="58" t="s">
        <v>220</v>
      </c>
      <c r="N42" s="148">
        <v>15520</v>
      </c>
      <c r="O42" s="59" t="s">
        <v>347</v>
      </c>
      <c r="P42" s="90">
        <v>54000000</v>
      </c>
      <c r="Q42" s="98"/>
      <c r="R42" s="144">
        <v>700000000</v>
      </c>
      <c r="S42" s="98"/>
      <c r="T42" s="98"/>
      <c r="U42" s="98"/>
      <c r="V42" s="98"/>
      <c r="W42" s="98"/>
      <c r="X42" s="98"/>
      <c r="Y42" s="98"/>
      <c r="Z42" s="98"/>
      <c r="AA42" s="98"/>
      <c r="AB42" s="98"/>
      <c r="AC42" s="144"/>
      <c r="AD42" s="89">
        <f>324000000+300000000</f>
        <v>624000000</v>
      </c>
      <c r="AE42" s="91">
        <f>SUM(Tabla13[[#This Row],[Recursos propios 2025]:[Recursos del Balance]])</f>
        <v>1378000000</v>
      </c>
      <c r="AF42" s="90">
        <v>54000000</v>
      </c>
      <c r="AG42" s="90"/>
      <c r="AH42" s="90">
        <v>658600000</v>
      </c>
      <c r="AI42" s="90"/>
      <c r="AJ42" s="90"/>
      <c r="AK42" s="90"/>
      <c r="AL42" s="90"/>
      <c r="AM42" s="90"/>
      <c r="AN42" s="90"/>
      <c r="AO42" s="90"/>
      <c r="AP42" s="90"/>
      <c r="AQ42" s="90"/>
      <c r="AR42" s="90"/>
      <c r="AS42" s="90"/>
      <c r="AT42" s="90">
        <v>182776666.66</v>
      </c>
      <c r="AU42" s="145">
        <f>Tabla13[[#This Row],[Recursos propios 20252]]+Tabla13[[#This Row],[SGP Salud 20254]]+Tabla13[[#This Row],[Otros 202515]]+Tabla13[[#This Row],[Recursos del Balance ]]</f>
        <v>895376666.65999997</v>
      </c>
      <c r="AV42" s="145">
        <v>744496666.66999996</v>
      </c>
      <c r="AW42" s="145">
        <v>729136666.66999996</v>
      </c>
      <c r="AX42" s="104">
        <f>+Tabla13[[#This Row],[Total Recursos Comprometido 2025]]/Tabla13[[#This Row],[Total 2025]]</f>
        <v>0.64976536042089983</v>
      </c>
      <c r="AY42" s="105">
        <f>+Tabla13[[#This Row],[Total Recursos Obligados]]/Tabla13[[#This Row],[Total 2025]]</f>
        <v>0.54027334301161101</v>
      </c>
      <c r="AZ42" s="106">
        <f>+Tabla13[[#This Row],[Total Recursos Pagados]]/Tabla13[[#This Row],[Total 2025]]</f>
        <v>0.52912675375181417</v>
      </c>
      <c r="BA42" s="97">
        <v>0</v>
      </c>
      <c r="BB42" s="107" t="str">
        <f>IF(Tabla13[[#This Row],[Total Recursos Gestionados ]]=0,"_",IF(Tabla13[[#This Row],[Ejecución Recursos Comprometidos]]=0,100%,Tabla13[[#This Row],[Total Recursos Gestionados ]]/Tabla13[[#This Row],[Ejecución Recursos Comprometidos]]))</f>
        <v>_</v>
      </c>
      <c r="BC42" s="108" t="s">
        <v>250</v>
      </c>
      <c r="BD42" s="109" t="s">
        <v>251</v>
      </c>
      <c r="BE42" s="108">
        <v>3</v>
      </c>
    </row>
    <row r="43" spans="1:57" ht="409.5">
      <c r="A43" s="61">
        <v>193</v>
      </c>
      <c r="B43" s="61" t="s">
        <v>133</v>
      </c>
      <c r="C43" s="61" t="s">
        <v>134</v>
      </c>
      <c r="D43" s="61" t="s">
        <v>146</v>
      </c>
      <c r="E43" s="61" t="s">
        <v>147</v>
      </c>
      <c r="F43" s="61" t="s">
        <v>178</v>
      </c>
      <c r="G43" s="61" t="s">
        <v>179</v>
      </c>
      <c r="H43" s="62">
        <v>2024680010020</v>
      </c>
      <c r="I43" s="56" t="s">
        <v>240</v>
      </c>
      <c r="J43" s="60">
        <v>10983525629.85</v>
      </c>
      <c r="K43" s="60">
        <v>4024560000</v>
      </c>
      <c r="L43" s="58" t="s">
        <v>219</v>
      </c>
      <c r="M43" s="58" t="s">
        <v>220</v>
      </c>
      <c r="N43" s="65">
        <v>20289</v>
      </c>
      <c r="O43" s="59" t="s">
        <v>348</v>
      </c>
      <c r="P43" s="90">
        <v>0</v>
      </c>
      <c r="Q43" s="110">
        <v>0</v>
      </c>
      <c r="R43" s="146">
        <v>2944715000</v>
      </c>
      <c r="S43" s="110"/>
      <c r="T43" s="110"/>
      <c r="U43" s="110"/>
      <c r="V43" s="110"/>
      <c r="W43" s="110"/>
      <c r="X43" s="110"/>
      <c r="Y43" s="110"/>
      <c r="Z43" s="110"/>
      <c r="AA43" s="110"/>
      <c r="AB43" s="110"/>
      <c r="AC43" s="146"/>
      <c r="AD43" s="90">
        <v>1079845000</v>
      </c>
      <c r="AE43" s="147">
        <f>SUM(Tabla13[[#This Row],[Recursos propios 2025]:[Recursos del Balance]])</f>
        <v>4024560000</v>
      </c>
      <c r="AF43" s="90">
        <v>0</v>
      </c>
      <c r="AG43" s="90"/>
      <c r="AH43" s="90">
        <v>2944715000.00002</v>
      </c>
      <c r="AI43" s="90"/>
      <c r="AJ43" s="90"/>
      <c r="AK43" s="90"/>
      <c r="AL43" s="90"/>
      <c r="AM43" s="90"/>
      <c r="AN43" s="90"/>
      <c r="AO43" s="90"/>
      <c r="AP43" s="90"/>
      <c r="AQ43" s="90"/>
      <c r="AR43" s="90"/>
      <c r="AS43" s="90"/>
      <c r="AT43" s="90">
        <v>79845000</v>
      </c>
      <c r="AU43" s="145">
        <f>Tabla13[[#This Row],[Recursos propios 20252]]+Tabla13[[#This Row],[SGP Salud 20254]]+Tabla13[[#This Row],[Otros 202515]]+Tabla13[[#This Row],[Recursos del Balance ]]</f>
        <v>3024560000.00002</v>
      </c>
      <c r="AV43" s="145">
        <v>555310816.83000004</v>
      </c>
      <c r="AW43" s="145">
        <v>555310816.83000004</v>
      </c>
      <c r="AX43" s="114">
        <f>+Tabla13[[#This Row],[Total Recursos Comprometido 2025]]/Tabla13[[#This Row],[Total 2025]]</f>
        <v>0.75152563261574434</v>
      </c>
      <c r="AY43" s="117">
        <f>+Tabla13[[#This Row],[Total Recursos Obligados]]/Tabla13[[#This Row],[Total 2025]]</f>
        <v>0.1379805039134713</v>
      </c>
      <c r="AZ43" s="118">
        <f>+Tabla13[[#This Row],[Total Recursos Pagados]]/Tabla13[[#This Row],[Total 2025]]</f>
        <v>0.1379805039134713</v>
      </c>
      <c r="BA43" s="115">
        <v>0</v>
      </c>
      <c r="BB43" s="116" t="str">
        <f>IF(Tabla13[[#This Row],[Total Recursos Gestionados ]]=0,"_",IF(Tabla13[[#This Row],[Ejecución Recursos Comprometidos]]=0,100%,Tabla13[[#This Row],[Total Recursos Gestionados ]]/Tabla13[[#This Row],[Ejecución Recursos Comprometidos]]))</f>
        <v>_</v>
      </c>
      <c r="BC43" s="109" t="s">
        <v>250</v>
      </c>
      <c r="BD43" s="109" t="s">
        <v>251</v>
      </c>
      <c r="BE43" s="109">
        <v>3</v>
      </c>
    </row>
    <row r="44" spans="1:57" ht="192.75" customHeight="1">
      <c r="A44" s="54">
        <v>194</v>
      </c>
      <c r="B44" s="54" t="s">
        <v>133</v>
      </c>
      <c r="C44" s="54" t="s">
        <v>134</v>
      </c>
      <c r="D44" s="54" t="s">
        <v>146</v>
      </c>
      <c r="E44" s="54" t="s">
        <v>147</v>
      </c>
      <c r="F44" s="54" t="s">
        <v>181</v>
      </c>
      <c r="G44" s="54" t="s">
        <v>182</v>
      </c>
      <c r="H44" s="55">
        <v>2024680010022</v>
      </c>
      <c r="I44" s="56" t="s">
        <v>241</v>
      </c>
      <c r="J44" s="57">
        <v>2320248386.9200001</v>
      </c>
      <c r="K44" s="57">
        <v>800000000</v>
      </c>
      <c r="L44" s="58" t="s">
        <v>219</v>
      </c>
      <c r="M44" s="58" t="s">
        <v>220</v>
      </c>
      <c r="N44" s="55">
        <v>6913</v>
      </c>
      <c r="O44" s="59" t="s">
        <v>349</v>
      </c>
      <c r="P44" s="90">
        <v>300000000</v>
      </c>
      <c r="Q44" s="98"/>
      <c r="R44" s="144">
        <v>300000000</v>
      </c>
      <c r="S44" s="98"/>
      <c r="T44" s="98"/>
      <c r="U44" s="98"/>
      <c r="V44" s="98"/>
      <c r="W44" s="98"/>
      <c r="X44" s="98"/>
      <c r="Y44" s="98"/>
      <c r="Z44" s="98"/>
      <c r="AA44" s="98"/>
      <c r="AB44" s="98"/>
      <c r="AC44" s="144"/>
      <c r="AD44" s="89">
        <v>200000000</v>
      </c>
      <c r="AE44" s="91">
        <f>SUM(Tabla13[[#This Row],[Recursos propios 2025]:[Recursos del Balance]])</f>
        <v>800000000</v>
      </c>
      <c r="AF44" s="90">
        <v>244699999.66999999</v>
      </c>
      <c r="AG44" s="90"/>
      <c r="AH44" s="90">
        <v>261066666.66999999</v>
      </c>
      <c r="AI44" s="90"/>
      <c r="AJ44" s="90"/>
      <c r="AK44" s="90"/>
      <c r="AL44" s="90"/>
      <c r="AM44" s="90"/>
      <c r="AN44" s="90"/>
      <c r="AO44" s="90"/>
      <c r="AP44" s="90"/>
      <c r="AQ44" s="90"/>
      <c r="AR44" s="90"/>
      <c r="AS44" s="90"/>
      <c r="AT44" s="90">
        <v>50766666.659999996</v>
      </c>
      <c r="AU44" s="145">
        <f>Tabla13[[#This Row],[Recursos propios 20252]]+Tabla13[[#This Row],[SGP Salud 20254]]+Tabla13[[#This Row],[Otros 202515]]+Tabla13[[#This Row],[Recursos del Balance ]]</f>
        <v>556533333</v>
      </c>
      <c r="AV44" s="145">
        <v>435086666.55000001</v>
      </c>
      <c r="AW44" s="145">
        <v>423086666.65999997</v>
      </c>
      <c r="AX44" s="104">
        <f>+Tabla13[[#This Row],[Total Recursos Comprometido 2025]]/Tabla13[[#This Row],[Total 2025]]</f>
        <v>0.69566666624999995</v>
      </c>
      <c r="AY44" s="105">
        <f>+Tabla13[[#This Row],[Total Recursos Obligados]]/Tabla13[[#This Row],[Total 2025]]</f>
        <v>0.54385833318749999</v>
      </c>
      <c r="AZ44" s="106">
        <f>+Tabla13[[#This Row],[Total Recursos Pagados]]/Tabla13[[#This Row],[Total 2025]]</f>
        <v>0.52885833332499999</v>
      </c>
      <c r="BA44" s="97">
        <v>0</v>
      </c>
      <c r="BB44" s="107" t="str">
        <f>IF(Tabla13[[#This Row],[Total Recursos Gestionados ]]=0,"_",IF(Tabla13[[#This Row],[Ejecución Recursos Comprometidos]]=0,100%,Tabla13[[#This Row],[Total Recursos Gestionados ]]/Tabla13[[#This Row],[Ejecución Recursos Comprometidos]]))</f>
        <v>_</v>
      </c>
      <c r="BC44" s="108" t="s">
        <v>250</v>
      </c>
      <c r="BD44" s="109" t="s">
        <v>251</v>
      </c>
      <c r="BE44" s="108">
        <v>3</v>
      </c>
    </row>
    <row r="45" spans="1:57" ht="75">
      <c r="A45" s="61">
        <v>195</v>
      </c>
      <c r="B45" s="61" t="s">
        <v>133</v>
      </c>
      <c r="C45" s="61" t="s">
        <v>134</v>
      </c>
      <c r="D45" s="61" t="s">
        <v>184</v>
      </c>
      <c r="E45" s="61" t="s">
        <v>185</v>
      </c>
      <c r="F45" s="61" t="s">
        <v>186</v>
      </c>
      <c r="G45" s="61" t="s">
        <v>187</v>
      </c>
      <c r="H45" s="62">
        <v>2024680010044</v>
      </c>
      <c r="I45" s="56" t="s">
        <v>242</v>
      </c>
      <c r="J45" s="60">
        <v>1458739464544.8501</v>
      </c>
      <c r="K45" s="60">
        <v>466818881680.65002</v>
      </c>
      <c r="L45" s="58" t="s">
        <v>219</v>
      </c>
      <c r="M45" s="58" t="s">
        <v>243</v>
      </c>
      <c r="N45" s="63">
        <v>283501</v>
      </c>
      <c r="O45" s="59" t="s">
        <v>350</v>
      </c>
      <c r="P45" s="90">
        <v>9917711290</v>
      </c>
      <c r="Q45" s="110"/>
      <c r="R45" s="146">
        <v>142761815495</v>
      </c>
      <c r="S45" s="110"/>
      <c r="T45" s="110"/>
      <c r="U45" s="110"/>
      <c r="V45" s="110"/>
      <c r="W45" s="110"/>
      <c r="X45" s="110"/>
      <c r="Y45" s="110"/>
      <c r="Z45" s="110"/>
      <c r="AA45" s="110"/>
      <c r="AB45" s="110"/>
      <c r="AC45" s="146">
        <v>287872670902</v>
      </c>
      <c r="AD45" s="90">
        <v>26205657637.900002</v>
      </c>
      <c r="AE45" s="147">
        <f>SUM(Tabla13[[#This Row],[Recursos propios 2025]:[Recursos del Balance]])</f>
        <v>466757855324.90002</v>
      </c>
      <c r="AF45" s="90">
        <v>9950303288.9300003</v>
      </c>
      <c r="AG45" s="90"/>
      <c r="AH45" s="90">
        <v>128217232529.10001</v>
      </c>
      <c r="AI45" s="90"/>
      <c r="AJ45" s="90"/>
      <c r="AK45" s="90"/>
      <c r="AL45" s="90"/>
      <c r="AM45" s="90"/>
      <c r="AN45" s="90"/>
      <c r="AO45" s="90"/>
      <c r="AP45" s="90"/>
      <c r="AQ45" s="90"/>
      <c r="AR45" s="90"/>
      <c r="AS45" s="90">
        <v>270892069346.25</v>
      </c>
      <c r="AT45" s="90">
        <v>26205657637.900002</v>
      </c>
      <c r="AU45" s="145">
        <f>Tabla13[[#This Row],[Recursos propios 20252]]+Tabla13[[#This Row],[SGP Salud 20254]]+Tabla13[[#This Row],[Otros 202515]]+Tabla13[[#This Row],[Recursos del Balance ]]</f>
        <v>435265262802.18005</v>
      </c>
      <c r="AV45" s="145">
        <v>435265262802.17999</v>
      </c>
      <c r="AW45" s="145">
        <v>435265262802.17999</v>
      </c>
      <c r="AX45" s="114">
        <f>+Tabla13[[#This Row],[Total Recursos Comprometido 2025]]/Tabla13[[#This Row],[Total 2025]]</f>
        <v>0.93252905727575031</v>
      </c>
      <c r="AY45" s="117">
        <f>+Tabla13[[#This Row],[Total Recursos Obligados]]/Tabla13[[#This Row],[Total 2025]]</f>
        <v>0.9325290572757502</v>
      </c>
      <c r="AZ45" s="118">
        <f>+Tabla13[[#This Row],[Total Recursos Pagados]]/Tabla13[[#This Row],[Total 2025]]</f>
        <v>0.9325290572757502</v>
      </c>
      <c r="BA45" s="115">
        <v>0</v>
      </c>
      <c r="BB45" s="116" t="str">
        <f>IF(Tabla13[[#This Row],[Total Recursos Gestionados ]]=0,"_",IF(Tabla13[[#This Row],[Ejecución Recursos Comprometidos]]=0,100%,Tabla13[[#This Row],[Total Recursos Gestionados ]]/Tabla13[[#This Row],[Ejecución Recursos Comprometidos]]))</f>
        <v>_</v>
      </c>
      <c r="BC45" s="109" t="s">
        <v>250</v>
      </c>
      <c r="BD45" s="109" t="s">
        <v>251</v>
      </c>
      <c r="BE45" s="109">
        <v>3</v>
      </c>
    </row>
    <row r="46" spans="1:57" ht="90">
      <c r="A46" s="61">
        <v>196</v>
      </c>
      <c r="B46" s="61" t="s">
        <v>133</v>
      </c>
      <c r="C46" s="61" t="s">
        <v>134</v>
      </c>
      <c r="D46" s="61" t="s">
        <v>184</v>
      </c>
      <c r="E46" s="61" t="s">
        <v>185</v>
      </c>
      <c r="F46" s="61" t="s">
        <v>189</v>
      </c>
      <c r="G46" s="61" t="s">
        <v>190</v>
      </c>
      <c r="H46" s="68">
        <v>202500000030931</v>
      </c>
      <c r="I46" s="59" t="s">
        <v>313</v>
      </c>
      <c r="J46" s="72">
        <v>515820106</v>
      </c>
      <c r="K46" s="72">
        <v>515820106</v>
      </c>
      <c r="L46" s="58" t="s">
        <v>219</v>
      </c>
      <c r="M46" s="92" t="s">
        <v>220</v>
      </c>
      <c r="N46" s="93">
        <v>0</v>
      </c>
      <c r="O46" s="59" t="s">
        <v>245</v>
      </c>
      <c r="P46" s="115"/>
      <c r="Q46" s="97"/>
      <c r="R46" s="115"/>
      <c r="S46" s="97"/>
      <c r="T46" s="97"/>
      <c r="U46" s="97"/>
      <c r="V46" s="97"/>
      <c r="W46" s="97"/>
      <c r="X46" s="97"/>
      <c r="Y46" s="97"/>
      <c r="Z46" s="97"/>
      <c r="AA46" s="97"/>
      <c r="AB46" s="97"/>
      <c r="AC46" s="115">
        <v>515820106</v>
      </c>
      <c r="AD46" s="149"/>
      <c r="AE46" s="113">
        <f>SUM(Tabla13[[#This Row],[Recursos propios 2025]:[Recursos del Balance]])</f>
        <v>515820106</v>
      </c>
      <c r="AF46" s="150">
        <v>0</v>
      </c>
      <c r="AG46" s="115"/>
      <c r="AH46" s="115">
        <v>0</v>
      </c>
      <c r="AI46" s="90"/>
      <c r="AJ46" s="90"/>
      <c r="AK46" s="90"/>
      <c r="AL46" s="90"/>
      <c r="AM46" s="90"/>
      <c r="AN46" s="90"/>
      <c r="AO46" s="90"/>
      <c r="AP46" s="90"/>
      <c r="AQ46" s="90"/>
      <c r="AR46" s="90"/>
      <c r="AS46" s="115">
        <v>515820106</v>
      </c>
      <c r="AT46" s="149">
        <v>0</v>
      </c>
      <c r="AU46" s="145">
        <f>Tabla13[[#This Row],[Recursos propios 20252]]+Tabla13[[#This Row],[SGP Salud 20254]]+Tabla13[[#This Row],[Otros 202515]]+Tabla13[[#This Row],[Recursos del Balance ]]</f>
        <v>515820106</v>
      </c>
      <c r="AV46" s="145">
        <v>0</v>
      </c>
      <c r="AW46" s="145">
        <v>0</v>
      </c>
      <c r="AX46" s="114">
        <f>+Tabla13[[#This Row],[Total Recursos Comprometido 2025]]/Tabla13[[#This Row],[Total 2025]]</f>
        <v>1</v>
      </c>
      <c r="AY46" s="117">
        <f>+Tabla13[[#This Row],[Total Recursos Obligados]]/Tabla13[[#This Row],[Total 2025]]</f>
        <v>0</v>
      </c>
      <c r="AZ46" s="118">
        <f>+Tabla13[[#This Row],[Total Recursos Pagados]]/Tabla13[[#This Row],[Total 2025]]</f>
        <v>0</v>
      </c>
      <c r="BA46" s="115"/>
      <c r="BB46" s="135" t="str">
        <f>IF(Tabla13[[#This Row],[Total Recursos Gestionados ]]=0,"_",IF(Tabla13[[#This Row],[Ejecución Recursos Comprometidos]]=0,100%,Tabla13[[#This Row],[Total Recursos Gestionados ]]/Tabla13[[#This Row],[Ejecución Recursos Comprometidos]]))</f>
        <v>_</v>
      </c>
      <c r="BC46" s="108"/>
      <c r="BD46" s="109"/>
      <c r="BE46" s="108"/>
    </row>
    <row r="47" spans="1:57" ht="45">
      <c r="A47" s="54">
        <v>196</v>
      </c>
      <c r="B47" s="54" t="s">
        <v>133</v>
      </c>
      <c r="C47" s="54" t="s">
        <v>134</v>
      </c>
      <c r="D47" s="54" t="s">
        <v>184</v>
      </c>
      <c r="E47" s="54" t="s">
        <v>185</v>
      </c>
      <c r="F47" s="54" t="s">
        <v>189</v>
      </c>
      <c r="G47" s="54" t="s">
        <v>190</v>
      </c>
      <c r="H47" s="55">
        <v>20246800100242</v>
      </c>
      <c r="I47" s="56" t="s">
        <v>244</v>
      </c>
      <c r="J47" s="57">
        <v>15041462313</v>
      </c>
      <c r="K47" s="57">
        <v>15041462313</v>
      </c>
      <c r="L47" s="58" t="s">
        <v>219</v>
      </c>
      <c r="M47" s="58" t="s">
        <v>220</v>
      </c>
      <c r="N47" s="55">
        <v>0</v>
      </c>
      <c r="O47" s="59" t="s">
        <v>245</v>
      </c>
      <c r="P47" s="90">
        <v>0</v>
      </c>
      <c r="Q47" s="98"/>
      <c r="R47" s="144">
        <v>0</v>
      </c>
      <c r="S47" s="98"/>
      <c r="T47" s="98"/>
      <c r="U47" s="98"/>
      <c r="V47" s="98"/>
      <c r="W47" s="98"/>
      <c r="X47" s="98"/>
      <c r="Y47" s="98"/>
      <c r="Z47" s="98"/>
      <c r="AA47" s="98"/>
      <c r="AB47" s="98"/>
      <c r="AC47" s="144">
        <v>15041462313</v>
      </c>
      <c r="AD47" s="89"/>
      <c r="AE47" s="91">
        <f>SUM(Tabla13[[#This Row],[Recursos propios 2025]:[Recursos del Balance]])</f>
        <v>15041462313</v>
      </c>
      <c r="AF47" s="90">
        <v>0</v>
      </c>
      <c r="AG47" s="90"/>
      <c r="AH47" s="90">
        <v>0</v>
      </c>
      <c r="AI47" s="90"/>
      <c r="AJ47" s="90"/>
      <c r="AK47" s="90"/>
      <c r="AL47" s="90"/>
      <c r="AM47" s="90"/>
      <c r="AN47" s="90"/>
      <c r="AO47" s="90"/>
      <c r="AP47" s="90"/>
      <c r="AQ47" s="90"/>
      <c r="AR47" s="90"/>
      <c r="AS47" s="90"/>
      <c r="AT47" s="90"/>
      <c r="AU47" s="145">
        <f>Tabla13[[#This Row],[Recursos propios 20252]]+Tabla13[[#This Row],[SGP Salud 20254]]+Tabla13[[#This Row],[Otros 202515]]+Tabla13[[#This Row],[Recursos del Balance ]]</f>
        <v>0</v>
      </c>
      <c r="AV47" s="145">
        <v>0</v>
      </c>
      <c r="AW47" s="145">
        <v>0</v>
      </c>
      <c r="AX47" s="104">
        <f>+Tabla13[[#This Row],[Total Recursos Comprometido 2025]]/Tabla13[[#This Row],[Total 2025]]</f>
        <v>0</v>
      </c>
      <c r="AY47" s="105">
        <f>+Tabla13[[#This Row],[Total Recursos Obligados]]/Tabla13[[#This Row],[Total 2025]]</f>
        <v>0</v>
      </c>
      <c r="AZ47" s="106">
        <f>+Tabla13[[#This Row],[Total Recursos Pagados]]/Tabla13[[#This Row],[Total 2025]]</f>
        <v>0</v>
      </c>
      <c r="BA47" s="97">
        <v>0</v>
      </c>
      <c r="BB47" s="107" t="str">
        <f>IF(Tabla13[[#This Row],[Total Recursos Gestionados ]]=0,"_",IF(Tabla13[[#This Row],[Ejecución Recursos Comprometidos]]=0,100%,Tabla13[[#This Row],[Total Recursos Gestionados ]]/Tabla13[[#This Row],[Ejecución Recursos Comprometidos]]))</f>
        <v>_</v>
      </c>
      <c r="BC47" s="108" t="s">
        <v>250</v>
      </c>
      <c r="BD47" s="109" t="s">
        <v>251</v>
      </c>
      <c r="BE47" s="108">
        <v>3</v>
      </c>
    </row>
    <row r="48" spans="1:57" ht="45">
      <c r="A48" s="61">
        <v>197</v>
      </c>
      <c r="B48" s="61" t="s">
        <v>133</v>
      </c>
      <c r="C48" s="61" t="s">
        <v>134</v>
      </c>
      <c r="D48" s="61" t="s">
        <v>184</v>
      </c>
      <c r="E48" s="61" t="s">
        <v>185</v>
      </c>
      <c r="F48" s="61" t="s">
        <v>192</v>
      </c>
      <c r="G48" s="61" t="s">
        <v>193</v>
      </c>
      <c r="H48" s="62"/>
      <c r="I48" s="56"/>
      <c r="J48" s="60">
        <v>0</v>
      </c>
      <c r="K48" s="60">
        <v>0</v>
      </c>
      <c r="L48" s="58"/>
      <c r="M48" s="58" t="s">
        <v>220</v>
      </c>
      <c r="N48" s="63">
        <v>0</v>
      </c>
      <c r="O48" s="59" t="s">
        <v>351</v>
      </c>
      <c r="P48" s="90"/>
      <c r="Q48" s="110"/>
      <c r="R48" s="146"/>
      <c r="S48" s="110"/>
      <c r="T48" s="110"/>
      <c r="U48" s="110"/>
      <c r="V48" s="110"/>
      <c r="W48" s="110"/>
      <c r="X48" s="110"/>
      <c r="Y48" s="110"/>
      <c r="Z48" s="110"/>
      <c r="AA48" s="110"/>
      <c r="AB48" s="110"/>
      <c r="AC48" s="146"/>
      <c r="AD48" s="90"/>
      <c r="AE48" s="147">
        <f>SUM(Tabla13[[#This Row],[Recursos propios 2025]:[Recursos del Balance]])</f>
        <v>0</v>
      </c>
      <c r="AF48" s="90"/>
      <c r="AG48" s="90"/>
      <c r="AH48" s="90"/>
      <c r="AI48" s="90"/>
      <c r="AJ48" s="90"/>
      <c r="AK48" s="90"/>
      <c r="AL48" s="90"/>
      <c r="AM48" s="90"/>
      <c r="AN48" s="90"/>
      <c r="AO48" s="90"/>
      <c r="AP48" s="90"/>
      <c r="AQ48" s="90"/>
      <c r="AR48" s="90"/>
      <c r="AS48" s="90"/>
      <c r="AT48" s="90"/>
      <c r="AU48" s="145">
        <f>Tabla13[[#This Row],[Recursos propios 20252]]+Tabla13[[#This Row],[SGP Salud 20254]]+Tabla13[[#This Row],[Otros 202515]]+Tabla13[[#This Row],[Recursos del Balance ]]</f>
        <v>0</v>
      </c>
      <c r="AV48" s="145"/>
      <c r="AW48" s="145"/>
      <c r="AX48" s="114"/>
      <c r="AY48" s="117"/>
      <c r="AZ48" s="118"/>
      <c r="BA48" s="115"/>
      <c r="BB48" s="116" t="str">
        <f>IF(Tabla13[[#This Row],[Total Recursos Gestionados ]]=0,"_",IF(Tabla13[[#This Row],[Ejecución Recursos Comprometidos]]=0,100%,Tabla13[[#This Row],[Total Recursos Gestionados ]]/Tabla13[[#This Row],[Ejecución Recursos Comprometidos]]))</f>
        <v>_</v>
      </c>
      <c r="BC48" s="109" t="s">
        <v>250</v>
      </c>
      <c r="BD48" s="109" t="s">
        <v>251</v>
      </c>
      <c r="BE48" s="109">
        <v>3</v>
      </c>
    </row>
    <row r="49" spans="1:59" ht="120">
      <c r="A49" s="54">
        <v>198</v>
      </c>
      <c r="B49" s="54" t="s">
        <v>133</v>
      </c>
      <c r="C49" s="54" t="s">
        <v>134</v>
      </c>
      <c r="D49" s="54" t="s">
        <v>184</v>
      </c>
      <c r="E49" s="54" t="s">
        <v>185</v>
      </c>
      <c r="F49" s="54" t="s">
        <v>195</v>
      </c>
      <c r="G49" s="54" t="s">
        <v>196</v>
      </c>
      <c r="H49" s="55">
        <v>2024680010238</v>
      </c>
      <c r="I49" s="56" t="s">
        <v>246</v>
      </c>
      <c r="J49" s="57">
        <v>1500000000</v>
      </c>
      <c r="K49" s="57">
        <v>500000000</v>
      </c>
      <c r="L49" s="58" t="s">
        <v>219</v>
      </c>
      <c r="M49" s="58" t="s">
        <v>220</v>
      </c>
      <c r="N49" s="55">
        <v>0</v>
      </c>
      <c r="O49" s="59" t="s">
        <v>316</v>
      </c>
      <c r="P49" s="90">
        <v>500000000</v>
      </c>
      <c r="Q49" s="98"/>
      <c r="R49" s="144">
        <v>0</v>
      </c>
      <c r="S49" s="98"/>
      <c r="T49" s="98"/>
      <c r="U49" s="98"/>
      <c r="V49" s="98"/>
      <c r="W49" s="98"/>
      <c r="X49" s="98"/>
      <c r="Y49" s="98"/>
      <c r="Z49" s="98"/>
      <c r="AA49" s="98"/>
      <c r="AB49" s="98"/>
      <c r="AC49" s="144">
        <v>0</v>
      </c>
      <c r="AD49" s="89"/>
      <c r="AE49" s="91">
        <f>SUM(Tabla13[[#This Row],[Recursos propios 2025]:[Recursos del Balance]])</f>
        <v>500000000</v>
      </c>
      <c r="AF49" s="90">
        <v>500000000</v>
      </c>
      <c r="AG49" s="90"/>
      <c r="AH49" s="90">
        <v>0</v>
      </c>
      <c r="AI49" s="90"/>
      <c r="AJ49" s="90"/>
      <c r="AK49" s="90"/>
      <c r="AL49" s="90"/>
      <c r="AM49" s="90"/>
      <c r="AN49" s="90"/>
      <c r="AO49" s="90"/>
      <c r="AP49" s="90"/>
      <c r="AQ49" s="90"/>
      <c r="AR49" s="90"/>
      <c r="AS49" s="90">
        <v>0</v>
      </c>
      <c r="AT49" s="90"/>
      <c r="AU49" s="145">
        <f>Tabla13[[#This Row],[Recursos propios 20252]]+Tabla13[[#This Row],[SGP Salud 20254]]+Tabla13[[#This Row],[Otros 202515]]+Tabla13[[#This Row],[Recursos del Balance ]]</f>
        <v>500000000</v>
      </c>
      <c r="AV49" s="145">
        <v>250000000</v>
      </c>
      <c r="AW49" s="145">
        <v>250000000</v>
      </c>
      <c r="AX49" s="104">
        <f>+Tabla13[[#This Row],[Total Recursos Comprometido 2025]]/Tabla13[[#This Row],[Total 2025]]</f>
        <v>1</v>
      </c>
      <c r="AY49" s="105">
        <f>+Tabla13[[#This Row],[Total Recursos Obligados]]/Tabla13[[#This Row],[Total 2025]]</f>
        <v>0.5</v>
      </c>
      <c r="AZ49" s="106">
        <f>+Tabla13[[#This Row],[Total Recursos Pagados]]/Tabla13[[#This Row],[Total 2025]]</f>
        <v>0.5</v>
      </c>
      <c r="BA49" s="97">
        <v>0</v>
      </c>
      <c r="BB49" s="107" t="str">
        <f>IF(Tabla13[[#This Row],[Total Recursos Gestionados ]]=0,"_",IF(Tabla13[[#This Row],[Ejecución Recursos Comprometidos]]=0,100%,Tabla13[[#This Row],[Total Recursos Gestionados ]]/Tabla13[[#This Row],[Ejecución Recursos Comprometidos]]))</f>
        <v>_</v>
      </c>
      <c r="BC49" s="108" t="s">
        <v>250</v>
      </c>
      <c r="BD49" s="109" t="s">
        <v>251</v>
      </c>
      <c r="BE49" s="108">
        <v>3</v>
      </c>
    </row>
    <row r="50" spans="1:59" ht="45">
      <c r="A50" s="61">
        <v>199</v>
      </c>
      <c r="B50" s="61" t="s">
        <v>133</v>
      </c>
      <c r="C50" s="61" t="s">
        <v>134</v>
      </c>
      <c r="D50" s="61" t="s">
        <v>184</v>
      </c>
      <c r="E50" s="61" t="s">
        <v>185</v>
      </c>
      <c r="F50" s="61" t="s">
        <v>198</v>
      </c>
      <c r="G50" s="61" t="s">
        <v>199</v>
      </c>
      <c r="H50" s="62">
        <v>20246800100239</v>
      </c>
      <c r="I50" s="56" t="s">
        <v>247</v>
      </c>
      <c r="J50" s="60">
        <v>52276470</v>
      </c>
      <c r="K50" s="60">
        <v>52276470</v>
      </c>
      <c r="L50" s="58" t="s">
        <v>219</v>
      </c>
      <c r="M50" s="58" t="s">
        <v>220</v>
      </c>
      <c r="N50" s="63">
        <v>0</v>
      </c>
      <c r="O50" s="66" t="s">
        <v>245</v>
      </c>
      <c r="P50" s="90"/>
      <c r="Q50" s="110"/>
      <c r="R50" s="146"/>
      <c r="S50" s="110"/>
      <c r="T50" s="110"/>
      <c r="U50" s="110"/>
      <c r="V50" s="110"/>
      <c r="W50" s="110"/>
      <c r="X50" s="110"/>
      <c r="Y50" s="110"/>
      <c r="Z50" s="110"/>
      <c r="AA50" s="110"/>
      <c r="AB50" s="110"/>
      <c r="AC50" s="146">
        <v>52276470</v>
      </c>
      <c r="AD50" s="90"/>
      <c r="AE50" s="147">
        <f>SUM(Tabla13[[#This Row],[Recursos propios 2025]:[Recursos del Balance]])</f>
        <v>52276470</v>
      </c>
      <c r="AF50" s="90">
        <v>0</v>
      </c>
      <c r="AG50" s="90"/>
      <c r="AH50" s="90">
        <v>0</v>
      </c>
      <c r="AI50" s="90"/>
      <c r="AJ50" s="90"/>
      <c r="AK50" s="90"/>
      <c r="AL50" s="90"/>
      <c r="AM50" s="90"/>
      <c r="AN50" s="90"/>
      <c r="AO50" s="90"/>
      <c r="AP50" s="90"/>
      <c r="AQ50" s="90"/>
      <c r="AR50" s="90"/>
      <c r="AS50" s="90">
        <v>0</v>
      </c>
      <c r="AT50" s="90"/>
      <c r="AU50" s="145">
        <f>Tabla13[[#This Row],[Recursos propios 20252]]+Tabla13[[#This Row],[SGP Salud 20254]]+Tabla13[[#This Row],[Otros 202515]]+Tabla13[[#This Row],[Recursos del Balance ]]</f>
        <v>0</v>
      </c>
      <c r="AV50" s="145">
        <v>0</v>
      </c>
      <c r="AW50" s="145">
        <v>0</v>
      </c>
      <c r="AX50" s="114">
        <f>+Tabla13[[#This Row],[Total Recursos Comprometido 2025]]/Tabla13[[#This Row],[Total 2025]]</f>
        <v>0</v>
      </c>
      <c r="AY50" s="117">
        <f>+Tabla13[[#This Row],[Total Recursos Obligados]]/Tabla13[[#This Row],[Total 2025]]</f>
        <v>0</v>
      </c>
      <c r="AZ50" s="118">
        <f>+Tabla13[[#This Row],[Total Recursos Pagados]]/Tabla13[[#This Row],[Total 2025]]</f>
        <v>0</v>
      </c>
      <c r="BA50" s="115">
        <v>0</v>
      </c>
      <c r="BB50" s="116" t="str">
        <f>IF(Tabla13[[#This Row],[Total Recursos Gestionados ]]=0,"_",IF(Tabla13[[#This Row],[Ejecución Recursos Comprometidos]]=0,100%,Tabla13[[#This Row],[Total Recursos Gestionados ]]/Tabla13[[#This Row],[Ejecución Recursos Comprometidos]]))</f>
        <v>_</v>
      </c>
      <c r="BC50" s="109" t="s">
        <v>250</v>
      </c>
      <c r="BD50" s="109" t="s">
        <v>251</v>
      </c>
      <c r="BE50" s="109">
        <v>3</v>
      </c>
    </row>
    <row r="51" spans="1:59" ht="90">
      <c r="A51" s="54">
        <v>272</v>
      </c>
      <c r="B51" s="54" t="s">
        <v>133</v>
      </c>
      <c r="C51" s="54" t="s">
        <v>134</v>
      </c>
      <c r="D51" s="54" t="s">
        <v>135</v>
      </c>
      <c r="E51" s="54" t="s">
        <v>136</v>
      </c>
      <c r="F51" s="54" t="s">
        <v>201</v>
      </c>
      <c r="G51" s="54" t="s">
        <v>202</v>
      </c>
      <c r="H51" s="55">
        <v>2024680010033</v>
      </c>
      <c r="I51" s="56" t="s">
        <v>228</v>
      </c>
      <c r="J51" s="57">
        <v>5223089620.7200003</v>
      </c>
      <c r="K51" s="57">
        <v>3105557376.0900002</v>
      </c>
      <c r="L51" s="58" t="s">
        <v>219</v>
      </c>
      <c r="M51" s="58" t="s">
        <v>220</v>
      </c>
      <c r="N51" s="63">
        <v>623881</v>
      </c>
      <c r="O51" s="59" t="s">
        <v>352</v>
      </c>
      <c r="P51" s="90"/>
      <c r="Q51" s="98"/>
      <c r="R51" s="144"/>
      <c r="S51" s="98"/>
      <c r="T51" s="98"/>
      <c r="U51" s="98"/>
      <c r="V51" s="98"/>
      <c r="W51" s="98"/>
      <c r="X51" s="98"/>
      <c r="Y51" s="98"/>
      <c r="Z51" s="98"/>
      <c r="AA51" s="98"/>
      <c r="AB51" s="98"/>
      <c r="AC51" s="144">
        <v>1830557376</v>
      </c>
      <c r="AD51" s="89"/>
      <c r="AE51" s="91">
        <f>SUM(Tabla13[[#This Row],[Recursos propios 2025]:[Recursos del Balance]])</f>
        <v>1830557376</v>
      </c>
      <c r="AF51" s="90">
        <v>0</v>
      </c>
      <c r="AG51" s="90"/>
      <c r="AH51" s="90">
        <v>0</v>
      </c>
      <c r="AI51" s="90"/>
      <c r="AJ51" s="90"/>
      <c r="AK51" s="90"/>
      <c r="AL51" s="90"/>
      <c r="AM51" s="90"/>
      <c r="AN51" s="90"/>
      <c r="AO51" s="90"/>
      <c r="AP51" s="90"/>
      <c r="AQ51" s="90"/>
      <c r="AR51" s="90"/>
      <c r="AS51" s="90">
        <v>1678010928</v>
      </c>
      <c r="AT51" s="90"/>
      <c r="AU51" s="145">
        <f>Tabla13[[#This Row],[Recursos propios 20252]]+Tabla13[[#This Row],[SGP Salud 20254]]+Tabla13[[#This Row],[Otros 202515]]+Tabla13[[#This Row],[Recursos del Balance ]]</f>
        <v>1678010928</v>
      </c>
      <c r="AV51" s="145">
        <v>1678010928</v>
      </c>
      <c r="AW51" s="145">
        <v>1678010928</v>
      </c>
      <c r="AX51" s="104">
        <f>+Tabla13[[#This Row],[Total Recursos Comprometido 2025]]/Tabla13[[#This Row],[Total 2025]]</f>
        <v>0.91666666666666663</v>
      </c>
      <c r="AY51" s="105">
        <f>+Tabla13[[#This Row],[Total Recursos Obligados]]/Tabla13[[#This Row],[Total 2025]]</f>
        <v>0.91666666666666663</v>
      </c>
      <c r="AZ51" s="106">
        <f>+Tabla13[[#This Row],[Total Recursos Pagados]]/Tabla13[[#This Row],[Total 2025]]</f>
        <v>0.91666666666666663</v>
      </c>
      <c r="BA51" s="97">
        <v>0</v>
      </c>
      <c r="BB51" s="107" t="str">
        <f>IF(Tabla13[[#This Row],[Total Recursos Gestionados ]]=0,"_",IF(Tabla13[[#This Row],[Ejecución Recursos Comprometidos]]=0,100%,Tabla13[[#This Row],[Total Recursos Gestionados ]]/Tabla13[[#This Row],[Ejecución Recursos Comprometidos]]))</f>
        <v>_</v>
      </c>
      <c r="BC51" s="108" t="s">
        <v>250</v>
      </c>
      <c r="BD51" s="109" t="s">
        <v>251</v>
      </c>
      <c r="BE51" s="108">
        <v>3</v>
      </c>
    </row>
    <row r="52" spans="1:59" ht="181.5" customHeight="1">
      <c r="A52" s="61">
        <v>273</v>
      </c>
      <c r="B52" s="61" t="s">
        <v>133</v>
      </c>
      <c r="C52" s="61" t="s">
        <v>134</v>
      </c>
      <c r="D52" s="61" t="s">
        <v>146</v>
      </c>
      <c r="E52" s="61" t="s">
        <v>147</v>
      </c>
      <c r="F52" s="61" t="s">
        <v>204</v>
      </c>
      <c r="G52" s="61" t="s">
        <v>205</v>
      </c>
      <c r="H52" s="62">
        <v>2024680010016</v>
      </c>
      <c r="I52" s="56" t="s">
        <v>234</v>
      </c>
      <c r="J52" s="60">
        <v>7470097629.1499996</v>
      </c>
      <c r="K52" s="60">
        <v>2683396364</v>
      </c>
      <c r="L52" s="58" t="s">
        <v>219</v>
      </c>
      <c r="M52" s="58" t="s">
        <v>248</v>
      </c>
      <c r="N52" s="63">
        <v>302</v>
      </c>
      <c r="O52" s="59" t="s">
        <v>353</v>
      </c>
      <c r="P52" s="90">
        <v>180000000</v>
      </c>
      <c r="Q52" s="110"/>
      <c r="R52" s="146"/>
      <c r="S52" s="110"/>
      <c r="T52" s="110"/>
      <c r="U52" s="110"/>
      <c r="V52" s="110"/>
      <c r="W52" s="110"/>
      <c r="X52" s="110"/>
      <c r="Y52" s="110"/>
      <c r="Z52" s="110"/>
      <c r="AA52" s="110"/>
      <c r="AB52" s="110"/>
      <c r="AC52" s="146"/>
      <c r="AD52" s="90">
        <v>121500000</v>
      </c>
      <c r="AE52" s="147">
        <f>SUM(Tabla13[[#This Row],[Recursos propios 2025]:[Recursos del Balance]])</f>
        <v>301500000</v>
      </c>
      <c r="AF52" s="151">
        <v>175500000</v>
      </c>
      <c r="AG52" s="151"/>
      <c r="AH52" s="151"/>
      <c r="AI52" s="151"/>
      <c r="AJ52" s="151"/>
      <c r="AK52" s="151"/>
      <c r="AL52" s="151"/>
      <c r="AM52" s="151"/>
      <c r="AN52" s="151"/>
      <c r="AO52" s="151"/>
      <c r="AP52" s="151"/>
      <c r="AQ52" s="151"/>
      <c r="AR52" s="151"/>
      <c r="AS52" s="151"/>
      <c r="AT52" s="90">
        <v>47666666.649999999</v>
      </c>
      <c r="AU52" s="145">
        <f>Tabla13[[#This Row],[Recursos propios 20252]]+Tabla13[[#This Row],[SGP Salud 20254]]+Tabla13[[#This Row],[Otros 202515]]+Tabla13[[#This Row],[Recursos del Balance ]]</f>
        <v>223166666.65000001</v>
      </c>
      <c r="AV52" s="152">
        <v>177966666.66999999</v>
      </c>
      <c r="AW52" s="153">
        <v>177966666.66999999</v>
      </c>
      <c r="AX52" s="114">
        <f>+Tabla13[[#This Row],[Total Recursos Comprometido 2025]]/Tabla13[[#This Row],[Total 2025]]</f>
        <v>0.74018794908789387</v>
      </c>
      <c r="AY52" s="117">
        <f>+Tabla13[[#This Row],[Total Recursos Obligados]]/Tabla13[[#This Row],[Total 2025]]</f>
        <v>0.59027086789386396</v>
      </c>
      <c r="AZ52" s="118">
        <f>+Tabla13[[#This Row],[Total Recursos Pagados]]/Tabla13[[#This Row],[Total 2025]]</f>
        <v>0.59027086789386396</v>
      </c>
      <c r="BA52" s="115">
        <v>0</v>
      </c>
      <c r="BB52" s="116" t="str">
        <f>IF(Tabla13[[#This Row],[Total Recursos Gestionados ]]=0,"_",IF(Tabla13[[#This Row],[Ejecución Recursos Comprometidos]]=0,100%,Tabla13[[#This Row],[Total Recursos Gestionados ]]/Tabla13[[#This Row],[Ejecución Recursos Comprometidos]]))</f>
        <v>_</v>
      </c>
      <c r="BC52" s="109" t="s">
        <v>250</v>
      </c>
      <c r="BD52" s="109" t="s">
        <v>251</v>
      </c>
      <c r="BE52" s="109">
        <v>3</v>
      </c>
    </row>
    <row r="53" spans="1:59" ht="90">
      <c r="A53" s="54">
        <v>274</v>
      </c>
      <c r="B53" s="54" t="s">
        <v>133</v>
      </c>
      <c r="C53" s="54" t="s">
        <v>134</v>
      </c>
      <c r="D53" s="54" t="s">
        <v>146</v>
      </c>
      <c r="E53" s="54" t="s">
        <v>147</v>
      </c>
      <c r="F53" s="54" t="s">
        <v>163</v>
      </c>
      <c r="G53" s="54" t="s">
        <v>207</v>
      </c>
      <c r="H53" s="55">
        <v>2024680010024</v>
      </c>
      <c r="I53" s="56" t="s">
        <v>236</v>
      </c>
      <c r="J53" s="57">
        <v>4398723872.6800003</v>
      </c>
      <c r="K53" s="57">
        <v>1511664052.6700001</v>
      </c>
      <c r="L53" s="58" t="s">
        <v>219</v>
      </c>
      <c r="M53" s="58" t="s">
        <v>220</v>
      </c>
      <c r="N53" s="55">
        <v>0</v>
      </c>
      <c r="O53" s="59" t="s">
        <v>354</v>
      </c>
      <c r="P53" s="90">
        <v>0</v>
      </c>
      <c r="Q53" s="98"/>
      <c r="R53" s="144">
        <v>0</v>
      </c>
      <c r="S53" s="98"/>
      <c r="T53" s="98"/>
      <c r="U53" s="98"/>
      <c r="V53" s="98"/>
      <c r="W53" s="98"/>
      <c r="X53" s="98"/>
      <c r="Y53" s="98"/>
      <c r="Z53" s="98"/>
      <c r="AA53" s="98"/>
      <c r="AB53" s="98"/>
      <c r="AC53" s="144"/>
      <c r="AD53" s="89">
        <v>100000000</v>
      </c>
      <c r="AE53" s="91">
        <f>SUM(Tabla13[[#This Row],[Recursos propios 2025]:[Recursos del Balance]])</f>
        <v>100000000</v>
      </c>
      <c r="AF53" s="151">
        <v>0</v>
      </c>
      <c r="AG53" s="151"/>
      <c r="AH53" s="151">
        <v>0</v>
      </c>
      <c r="AI53" s="151"/>
      <c r="AJ53" s="151"/>
      <c r="AK53" s="151"/>
      <c r="AL53" s="151"/>
      <c r="AM53" s="151"/>
      <c r="AN53" s="151"/>
      <c r="AO53" s="151"/>
      <c r="AP53" s="151"/>
      <c r="AQ53" s="151"/>
      <c r="AR53" s="151"/>
      <c r="AS53" s="151"/>
      <c r="AT53" s="89">
        <v>99015140</v>
      </c>
      <c r="AU53" s="154">
        <f>Tabla13[[#This Row],[Recursos propios 20252]]+Tabla13[[#This Row],[SGP Salud 20254]]+Tabla13[[#This Row],[Otros 202515]]+Tabla13[[#This Row],[Recursos del Balance ]]</f>
        <v>99015140</v>
      </c>
      <c r="AV53" s="145">
        <v>0</v>
      </c>
      <c r="AW53" s="145">
        <v>0</v>
      </c>
      <c r="AX53" s="104">
        <f>+Tabla13[[#This Row],[Total Recursos Comprometido 2025]]/Tabla13[[#This Row],[Total 2025]]</f>
        <v>0.99015140000000001</v>
      </c>
      <c r="AY53" s="105">
        <f>+Tabla13[[#This Row],[Total Recursos Obligados]]/Tabla13[[#This Row],[Total 2025]]</f>
        <v>0</v>
      </c>
      <c r="AZ53" s="106">
        <f>+Tabla13[[#This Row],[Total Recursos Pagados]]/Tabla13[[#This Row],[Total 2025]]</f>
        <v>0</v>
      </c>
      <c r="BA53" s="97">
        <v>0</v>
      </c>
      <c r="BB53" s="107" t="str">
        <f>IF(Tabla13[[#This Row],[Total Recursos Gestionados ]]=0,"_",IF(Tabla13[[#This Row],[Ejecución Recursos Comprometidos]]=0,100%,Tabla13[[#This Row],[Total Recursos Gestionados ]]/Tabla13[[#This Row],[Ejecución Recursos Comprometidos]]))</f>
        <v>_</v>
      </c>
      <c r="BC53" s="108" t="s">
        <v>250</v>
      </c>
      <c r="BD53" s="109" t="s">
        <v>251</v>
      </c>
      <c r="BE53" s="108">
        <v>3</v>
      </c>
    </row>
    <row r="54" spans="1:59" ht="75">
      <c r="A54" s="61">
        <v>275</v>
      </c>
      <c r="B54" s="61" t="s">
        <v>133</v>
      </c>
      <c r="C54" s="61" t="s">
        <v>134</v>
      </c>
      <c r="D54" s="61" t="s">
        <v>184</v>
      </c>
      <c r="E54" s="61" t="s">
        <v>185</v>
      </c>
      <c r="F54" s="61" t="s">
        <v>210</v>
      </c>
      <c r="G54" s="61" t="s">
        <v>211</v>
      </c>
      <c r="H54" s="62">
        <v>20246800100241</v>
      </c>
      <c r="I54" s="56" t="s">
        <v>249</v>
      </c>
      <c r="J54" s="60">
        <v>1500000000</v>
      </c>
      <c r="K54" s="60">
        <v>1500000000</v>
      </c>
      <c r="L54" s="58" t="s">
        <v>219</v>
      </c>
      <c r="M54" s="58" t="s">
        <v>220</v>
      </c>
      <c r="N54" s="63">
        <v>0</v>
      </c>
      <c r="O54" s="59" t="s">
        <v>245</v>
      </c>
      <c r="P54" s="90">
        <v>0</v>
      </c>
      <c r="Q54" s="110"/>
      <c r="R54" s="146">
        <v>0</v>
      </c>
      <c r="S54" s="110"/>
      <c r="T54" s="110"/>
      <c r="U54" s="110"/>
      <c r="V54" s="110"/>
      <c r="W54" s="110"/>
      <c r="X54" s="110"/>
      <c r="Y54" s="110"/>
      <c r="Z54" s="110"/>
      <c r="AA54" s="110"/>
      <c r="AB54" s="110"/>
      <c r="AC54" s="146">
        <v>1500000000</v>
      </c>
      <c r="AD54" s="90"/>
      <c r="AE54" s="147">
        <f>SUM(Tabla13[[#This Row],[Recursos propios 2025]:[Recursos del Balance]])</f>
        <v>1500000000</v>
      </c>
      <c r="AF54" s="151">
        <v>0</v>
      </c>
      <c r="AG54" s="151"/>
      <c r="AH54" s="151">
        <v>0</v>
      </c>
      <c r="AI54" s="151"/>
      <c r="AJ54" s="151"/>
      <c r="AK54" s="151"/>
      <c r="AL54" s="151"/>
      <c r="AM54" s="151"/>
      <c r="AN54" s="151"/>
      <c r="AO54" s="151"/>
      <c r="AP54" s="151"/>
      <c r="AQ54" s="151"/>
      <c r="AR54" s="151"/>
      <c r="AS54" s="151">
        <v>0</v>
      </c>
      <c r="AT54" s="90">
        <v>0</v>
      </c>
      <c r="AU54" s="145">
        <f>Tabla13[[#This Row],[Recursos propios 20252]]+Tabla13[[#This Row],[SGP Salud 20254]]+Tabla13[[#This Row],[Otros 202515]]+Tabla13[[#This Row],[Recursos del Balance ]]</f>
        <v>0</v>
      </c>
      <c r="AV54" s="153">
        <v>0</v>
      </c>
      <c r="AW54" s="113">
        <v>0</v>
      </c>
      <c r="AX54" s="114">
        <f>+Tabla13[[#This Row],[Total Recursos Comprometido 2025]]/Tabla13[[#This Row],[Total 2025]]</f>
        <v>0</v>
      </c>
      <c r="AY54" s="117">
        <f>+Tabla13[[#This Row],[Total Recursos Obligados]]/Tabla13[[#This Row],[Total 2025]]</f>
        <v>0</v>
      </c>
      <c r="AZ54" s="118">
        <f>+Tabla13[[#This Row],[Total Recursos Pagados]]/Tabla13[[#This Row],[Total 2025]]</f>
        <v>0</v>
      </c>
      <c r="BA54" s="115">
        <v>0</v>
      </c>
      <c r="BB54" s="116" t="str">
        <f>IF(Tabla13[[#This Row],[Total Recursos Gestionados ]]=0,"_",IF(Tabla13[[#This Row],[Ejecución Recursos Comprometidos]]=0,100%,Tabla13[[#This Row],[Total Recursos Gestionados ]]/Tabla13[[#This Row],[Ejecución Recursos Comprometidos]]))</f>
        <v>_</v>
      </c>
      <c r="BC54" s="109" t="s">
        <v>250</v>
      </c>
      <c r="BD54" s="109" t="s">
        <v>251</v>
      </c>
      <c r="BE54" s="109">
        <v>3</v>
      </c>
    </row>
    <row r="55" spans="1:59" ht="160.5" customHeight="1">
      <c r="A55" s="54">
        <v>284</v>
      </c>
      <c r="B55" s="54" t="s">
        <v>57</v>
      </c>
      <c r="C55" s="54" t="s">
        <v>59</v>
      </c>
      <c r="D55" s="54" t="s">
        <v>93</v>
      </c>
      <c r="E55" s="54" t="s">
        <v>94</v>
      </c>
      <c r="F55" s="54" t="s">
        <v>98</v>
      </c>
      <c r="G55" s="54" t="s">
        <v>213</v>
      </c>
      <c r="H55" s="55">
        <v>2024680010162</v>
      </c>
      <c r="I55" s="56" t="s">
        <v>223</v>
      </c>
      <c r="J55" s="57">
        <v>24016344527.580002</v>
      </c>
      <c r="K55" s="57">
        <v>9009265401.2199993</v>
      </c>
      <c r="L55" s="58" t="s">
        <v>219</v>
      </c>
      <c r="M55" s="58" t="s">
        <v>220</v>
      </c>
      <c r="N55" s="55">
        <v>0</v>
      </c>
      <c r="O55" s="59" t="s">
        <v>355</v>
      </c>
      <c r="P55" s="97">
        <v>100000000</v>
      </c>
      <c r="Q55" s="98"/>
      <c r="R55" s="98"/>
      <c r="S55" s="98"/>
      <c r="T55" s="98"/>
      <c r="U55" s="98"/>
      <c r="V55" s="98"/>
      <c r="W55" s="98"/>
      <c r="X55" s="98"/>
      <c r="Y55" s="98"/>
      <c r="Z55" s="98"/>
      <c r="AA55" s="98"/>
      <c r="AB55" s="98"/>
      <c r="AC55" s="98"/>
      <c r="AD55" s="99">
        <v>2635708377.8600001</v>
      </c>
      <c r="AE55" s="100">
        <f>SUM(Tabla13[[#This Row],[Recursos propios 2025]:[Recursos del Balance]])</f>
        <v>2735708377.8600001</v>
      </c>
      <c r="AF55" s="101">
        <v>100000000</v>
      </c>
      <c r="AG55" s="101"/>
      <c r="AH55" s="101"/>
      <c r="AI55" s="101"/>
      <c r="AJ55" s="101"/>
      <c r="AK55" s="101"/>
      <c r="AL55" s="101"/>
      <c r="AM55" s="101"/>
      <c r="AN55" s="101"/>
      <c r="AO55" s="101"/>
      <c r="AP55" s="101"/>
      <c r="AQ55" s="101"/>
      <c r="AR55" s="101"/>
      <c r="AS55" s="101"/>
      <c r="AT55" s="99"/>
      <c r="AU55" s="102">
        <f>Tabla13[[#This Row],[Recursos propios 20252]]+Tabla13[[#This Row],[SGP Salud 20254]]+Tabla13[[#This Row],[Otros 202515]]+Tabla13[[#This Row],[Recursos del Balance ]]</f>
        <v>100000000</v>
      </c>
      <c r="AV55" s="103">
        <v>0</v>
      </c>
      <c r="AW55" s="103">
        <v>0</v>
      </c>
      <c r="AX55" s="104">
        <f>+Tabla13[[#This Row],[Total Recursos Comprometido 2025]]/Tabla13[[#This Row],[Total 2025]]</f>
        <v>3.655360374274421E-2</v>
      </c>
      <c r="AY55" s="105">
        <f>+Tabla13[[#This Row],[Total Recursos Obligados]]/Tabla13[[#This Row],[Total 2025]]</f>
        <v>0</v>
      </c>
      <c r="AZ55" s="106">
        <f>+Tabla13[[#This Row],[Total Recursos Pagados]]/Tabla13[[#This Row],[Total 2025]]</f>
        <v>0</v>
      </c>
      <c r="BA55" s="97">
        <v>0</v>
      </c>
      <c r="BB55" s="107" t="str">
        <f>IF(Tabla13[[#This Row],[Total Recursos Gestionados ]]=0,"_",IF(Tabla13[[#This Row],[Ejecución Recursos Comprometidos]]=0,100%,Tabla13[[#This Row],[Total Recursos Gestionados ]]/Tabla13[[#This Row],[Ejecución Recursos Comprometidos]]))</f>
        <v>_</v>
      </c>
      <c r="BC55" s="108" t="s">
        <v>250</v>
      </c>
      <c r="BD55" s="109" t="s">
        <v>251</v>
      </c>
      <c r="BE55" s="108" t="s">
        <v>259</v>
      </c>
    </row>
    <row r="56" spans="1:59" ht="195.6" customHeight="1">
      <c r="A56" s="61">
        <v>285</v>
      </c>
      <c r="B56" s="61" t="s">
        <v>57</v>
      </c>
      <c r="C56" s="61" t="s">
        <v>59</v>
      </c>
      <c r="D56" s="61" t="s">
        <v>80</v>
      </c>
      <c r="E56" s="61" t="s">
        <v>81</v>
      </c>
      <c r="F56" s="61" t="s">
        <v>215</v>
      </c>
      <c r="G56" s="61" t="s">
        <v>216</v>
      </c>
      <c r="H56" s="62">
        <v>2024680010159</v>
      </c>
      <c r="I56" s="56" t="s">
        <v>222</v>
      </c>
      <c r="J56" s="60">
        <v>16009383311.6842</v>
      </c>
      <c r="K56" s="60">
        <v>6016610000.0042496</v>
      </c>
      <c r="L56" s="58" t="s">
        <v>219</v>
      </c>
      <c r="M56" s="58" t="s">
        <v>220</v>
      </c>
      <c r="N56" s="63">
        <v>623881</v>
      </c>
      <c r="O56" s="59" t="s">
        <v>356</v>
      </c>
      <c r="P56" s="97">
        <v>150000000</v>
      </c>
      <c r="Q56" s="110"/>
      <c r="R56" s="110"/>
      <c r="S56" s="110"/>
      <c r="T56" s="110"/>
      <c r="U56" s="110"/>
      <c r="V56" s="110"/>
      <c r="W56" s="110"/>
      <c r="X56" s="110"/>
      <c r="Y56" s="110"/>
      <c r="Z56" s="110"/>
      <c r="AA56" s="110"/>
      <c r="AB56" s="110"/>
      <c r="AC56" s="110"/>
      <c r="AD56" s="97">
        <v>60000000</v>
      </c>
      <c r="AE56" s="111">
        <f>SUM(Tabla13[[#This Row],[Recursos propios 2025]:[Recursos del Balance]])</f>
        <v>210000000</v>
      </c>
      <c r="AF56" s="101">
        <v>132666666.63</v>
      </c>
      <c r="AG56" s="101"/>
      <c r="AH56" s="101"/>
      <c r="AI56" s="101"/>
      <c r="AJ56" s="101"/>
      <c r="AK56" s="101"/>
      <c r="AL56" s="101"/>
      <c r="AM56" s="101"/>
      <c r="AN56" s="101"/>
      <c r="AO56" s="101"/>
      <c r="AP56" s="101"/>
      <c r="AQ56" s="101"/>
      <c r="AR56" s="101"/>
      <c r="AS56" s="101"/>
      <c r="AT56" s="97">
        <v>53333333.329999998</v>
      </c>
      <c r="AU56" s="103">
        <v>185999999.95999998</v>
      </c>
      <c r="AV56" s="112">
        <v>144266666.67000002</v>
      </c>
      <c r="AW56" s="113">
        <v>144266666.67000002</v>
      </c>
      <c r="AX56" s="114">
        <f>+Tabla13[[#This Row],[Total Recursos Comprometido 2025]]/Tabla13[[#This Row],[Total 2025]]</f>
        <v>0.88571428552380937</v>
      </c>
      <c r="AY56" s="117">
        <f>+Tabla13[[#This Row],[Total Recursos Obligados]]/Tabla13[[#This Row],[Total 2025]]</f>
        <v>0.68698412700000011</v>
      </c>
      <c r="AZ56" s="118">
        <f>+Tabla13[[#This Row],[Total Recursos Pagados]]/Tabla13[[#This Row],[Total 2025]]</f>
        <v>0.68698412700000011</v>
      </c>
      <c r="BA56" s="115">
        <v>0</v>
      </c>
      <c r="BB56" s="116" t="str">
        <f>IF(Tabla13[[#This Row],[Total Recursos Gestionados ]]=0,"_",IF(Tabla13[[#This Row],[Ejecución Recursos Comprometidos]]=0,100%,Tabla13[[#This Row],[Total Recursos Gestionados ]]/Tabla13[[#This Row],[Ejecución Recursos Comprometidos]]))</f>
        <v>_</v>
      </c>
      <c r="BC56" s="109" t="s">
        <v>250</v>
      </c>
      <c r="BD56" s="109" t="s">
        <v>251</v>
      </c>
      <c r="BE56" s="109" t="s">
        <v>254</v>
      </c>
    </row>
    <row r="57" spans="1:59" ht="20.25">
      <c r="A57" s="67"/>
      <c r="B57" s="67"/>
      <c r="C57" s="67"/>
      <c r="D57" s="67"/>
      <c r="E57" s="67"/>
      <c r="F57" s="67"/>
      <c r="G57" s="67"/>
      <c r="H57" s="68"/>
      <c r="I57" s="69"/>
      <c r="J57" s="70"/>
      <c r="K57" s="70"/>
      <c r="L57" s="71"/>
      <c r="M57" s="71"/>
      <c r="N57" s="71"/>
      <c r="O57" s="69"/>
      <c r="P57" s="72"/>
      <c r="Q57" s="72"/>
      <c r="R57" s="72"/>
      <c r="S57" s="72"/>
      <c r="T57" s="72"/>
      <c r="U57" s="72"/>
      <c r="V57" s="72"/>
      <c r="W57" s="72"/>
      <c r="X57" s="72"/>
      <c r="Y57" s="72"/>
      <c r="Z57" s="72"/>
      <c r="AA57" s="72"/>
      <c r="AB57" s="72"/>
      <c r="AC57" s="72"/>
      <c r="AD57" s="71"/>
      <c r="AE57" s="165">
        <f>SUBTOTAL(109,Tabla13[Total 2025])</f>
        <v>543339593168.96997</v>
      </c>
      <c r="AF57" s="166"/>
      <c r="AG57" s="166"/>
      <c r="AH57" s="166"/>
      <c r="AI57" s="166"/>
      <c r="AJ57" s="166"/>
      <c r="AK57" s="166"/>
      <c r="AL57" s="166"/>
      <c r="AM57" s="166"/>
      <c r="AN57" s="166"/>
      <c r="AO57" s="166"/>
      <c r="AP57" s="166"/>
      <c r="AQ57" s="166"/>
      <c r="AR57" s="166"/>
      <c r="AS57" s="166"/>
      <c r="AT57" s="167"/>
      <c r="AU57" s="165">
        <f>SUBTOTAL(109,Tabla13[Total Recursos Comprometido 2025])</f>
        <v>466393513599.45013</v>
      </c>
      <c r="AV57" s="165">
        <f>SUBTOTAL(109,Tabla13[Total Recursos Obligados])</f>
        <v>453226663085.31995</v>
      </c>
      <c r="AW57" s="165">
        <f>SUBTOTAL(109,Tabla13[Total Recursos Pagados])</f>
        <v>452851303942.57996</v>
      </c>
      <c r="AX57" s="73"/>
      <c r="AY57" s="74"/>
      <c r="AZ57" s="74"/>
      <c r="BA57" s="72"/>
      <c r="BB57" s="74"/>
      <c r="BC57" s="75"/>
      <c r="BD57" s="67"/>
      <c r="BE57" s="75"/>
    </row>
    <row r="58" spans="1:59">
      <c r="P58" s="155"/>
      <c r="AC58" s="156"/>
    </row>
    <row r="59" spans="1:59">
      <c r="AC59" s="76"/>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row>
    <row r="60" spans="1:59">
      <c r="AD60" s="7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row>
    <row r="61" spans="1:59">
      <c r="J61" s="78"/>
      <c r="K61" s="78"/>
      <c r="AC61" s="157"/>
      <c r="AE61" s="94"/>
      <c r="AF61" s="78"/>
      <c r="AU61" s="158"/>
      <c r="AV61" s="159"/>
      <c r="AW61" s="159"/>
    </row>
    <row r="62" spans="1:59">
      <c r="AF62" s="78"/>
      <c r="AU62" s="158"/>
      <c r="AV62" s="159"/>
      <c r="AW62" s="160"/>
    </row>
    <row r="63" spans="1:59">
      <c r="J63" s="77"/>
      <c r="AU63" s="158"/>
      <c r="AV63" s="159"/>
      <c r="AW63" s="160"/>
    </row>
    <row r="64" spans="1:59">
      <c r="J64" s="78"/>
      <c r="AC64" s="78"/>
      <c r="AU64" s="158"/>
      <c r="AV64" s="159"/>
      <c r="AW64" s="159"/>
    </row>
    <row r="65" spans="10:49">
      <c r="J65" s="78"/>
      <c r="R65" s="77"/>
      <c r="AU65" s="158"/>
      <c r="AV65" s="159"/>
      <c r="AW65" s="159"/>
    </row>
    <row r="66" spans="10:49">
      <c r="AH66" s="161"/>
      <c r="AU66" s="158"/>
      <c r="AV66" s="159"/>
      <c r="AW66" s="159"/>
    </row>
    <row r="67" spans="10:49">
      <c r="AC67" s="78"/>
      <c r="AE67" s="94"/>
      <c r="AF67" s="94"/>
      <c r="AG67" s="94"/>
      <c r="AH67" s="94"/>
      <c r="AI67" s="94"/>
      <c r="AJ67" s="94"/>
      <c r="AK67" s="94"/>
      <c r="AL67" s="94"/>
      <c r="AM67" s="94"/>
      <c r="AN67" s="94"/>
      <c r="AO67" s="94"/>
      <c r="AP67" s="94"/>
      <c r="AQ67" s="94"/>
      <c r="AR67" s="94"/>
      <c r="AS67" s="94"/>
      <c r="AT67" s="94"/>
      <c r="AU67" s="94"/>
      <c r="AV67" s="95"/>
      <c r="AW67" s="95"/>
    </row>
    <row r="68" spans="10:49">
      <c r="J68" s="76"/>
      <c r="AE68" s="94"/>
      <c r="AF68" s="94"/>
      <c r="AG68" s="94"/>
      <c r="AH68" s="94"/>
      <c r="AI68" s="94"/>
      <c r="AJ68" s="94"/>
      <c r="AK68" s="94"/>
      <c r="AL68" s="94"/>
      <c r="AM68" s="94"/>
      <c r="AN68" s="94"/>
      <c r="AO68" s="94"/>
      <c r="AP68" s="94"/>
      <c r="AQ68" s="94"/>
      <c r="AR68" s="94"/>
      <c r="AS68" s="94"/>
      <c r="AT68" s="94"/>
      <c r="AU68" s="94"/>
      <c r="AV68" s="95"/>
    </row>
    <row r="69" spans="10:49">
      <c r="J69" s="76"/>
      <c r="AC69" s="78"/>
      <c r="AE69" s="94"/>
      <c r="AF69" s="94"/>
      <c r="AG69" s="94"/>
      <c r="AH69" s="94"/>
      <c r="AI69" s="94"/>
      <c r="AJ69" s="94"/>
      <c r="AK69" s="94"/>
      <c r="AL69" s="94"/>
      <c r="AM69" s="94"/>
      <c r="AN69" s="94"/>
      <c r="AO69" s="94"/>
      <c r="AP69" s="94"/>
      <c r="AQ69" s="94"/>
      <c r="AR69" s="94"/>
      <c r="AS69" s="94"/>
      <c r="AT69" s="94"/>
      <c r="AU69" s="94"/>
      <c r="AV69" s="95"/>
    </row>
    <row r="70" spans="10:49">
      <c r="AE70" s="94"/>
      <c r="AF70" s="94"/>
      <c r="AG70" s="94"/>
      <c r="AH70" s="94"/>
      <c r="AI70" s="94"/>
      <c r="AJ70" s="94"/>
      <c r="AK70" s="94"/>
      <c r="AL70" s="94"/>
      <c r="AM70" s="94"/>
      <c r="AN70" s="94"/>
      <c r="AO70" s="94"/>
      <c r="AP70" s="94"/>
      <c r="AQ70" s="94"/>
      <c r="AR70" s="94"/>
      <c r="AS70" s="94"/>
      <c r="AT70" s="94"/>
      <c r="AU70" s="94"/>
    </row>
    <row r="71" spans="10:49">
      <c r="AE71" s="94"/>
      <c r="AF71" s="94"/>
      <c r="AG71" s="94"/>
      <c r="AH71" s="94"/>
      <c r="AI71" s="94"/>
      <c r="AJ71" s="94"/>
      <c r="AK71" s="94"/>
      <c r="AL71" s="94"/>
      <c r="AM71" s="94"/>
      <c r="AN71" s="94"/>
      <c r="AO71" s="94"/>
      <c r="AP71" s="94"/>
      <c r="AQ71" s="94"/>
      <c r="AR71" s="94"/>
      <c r="AS71" s="94"/>
      <c r="AT71" s="94"/>
      <c r="AU71" s="94"/>
    </row>
    <row r="72" spans="10:49">
      <c r="AE72" s="94"/>
      <c r="AF72" s="94"/>
      <c r="AG72" s="94"/>
      <c r="AH72" s="94"/>
      <c r="AI72" s="94"/>
      <c r="AJ72" s="94"/>
      <c r="AK72" s="94"/>
      <c r="AL72" s="94"/>
      <c r="AM72" s="94"/>
      <c r="AN72" s="94"/>
      <c r="AO72" s="94"/>
      <c r="AP72" s="94"/>
      <c r="AQ72" s="94"/>
      <c r="AR72" s="94"/>
      <c r="AS72" s="94"/>
      <c r="AT72" s="94"/>
      <c r="AU72" s="94"/>
    </row>
    <row r="73" spans="10:49">
      <c r="AE73" s="94"/>
      <c r="AF73" s="94"/>
      <c r="AG73" s="94"/>
      <c r="AH73" s="94"/>
      <c r="AI73" s="94"/>
      <c r="AJ73" s="94"/>
      <c r="AK73" s="94"/>
      <c r="AL73" s="94"/>
      <c r="AM73" s="94"/>
      <c r="AN73" s="94"/>
      <c r="AO73" s="94"/>
      <c r="AP73" s="94"/>
      <c r="AQ73" s="94"/>
      <c r="AR73" s="94"/>
      <c r="AS73" s="94"/>
      <c r="AT73" s="94"/>
      <c r="AU73" s="94"/>
    </row>
  </sheetData>
  <sheetProtection formatCells="0" formatColumns="0" formatRows="0" insertRows="0" autoFilter="0"/>
  <mergeCells count="13">
    <mergeCell ref="A1:B4"/>
    <mergeCell ref="C1:BB4"/>
    <mergeCell ref="BC1:BE1"/>
    <mergeCell ref="BC2:BE2"/>
    <mergeCell ref="BC3:BE3"/>
    <mergeCell ref="BC4:BE4"/>
    <mergeCell ref="BC9:BD9"/>
    <mergeCell ref="A9:G9"/>
    <mergeCell ref="H9:O9"/>
    <mergeCell ref="P9:AE9"/>
    <mergeCell ref="AF9:AW9"/>
    <mergeCell ref="AX9:AZ9"/>
    <mergeCell ref="BA9:BB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BE62"/>
  <sheetViews>
    <sheetView tabSelected="1" zoomScale="60" zoomScaleNormal="60" workbookViewId="0">
      <selection activeCell="A11" sqref="A11"/>
    </sheetView>
  </sheetViews>
  <sheetFormatPr baseColWidth="10" defaultColWidth="11.25" defaultRowHeight="15.75"/>
  <cols>
    <col min="1" max="1" width="19" style="20" customWidth="1"/>
    <col min="2" max="2" width="26.75" style="20" customWidth="1"/>
    <col min="3" max="3" width="20.25" style="20" customWidth="1"/>
    <col min="4" max="4" width="19.25" style="20" customWidth="1"/>
    <col min="5" max="5" width="40.375" style="20" customWidth="1"/>
    <col min="6" max="6" width="19.25" style="20" customWidth="1"/>
    <col min="7" max="7" width="69" style="20" customWidth="1"/>
    <col min="8" max="8" width="19.25" style="20" customWidth="1"/>
    <col min="9" max="9" width="69" style="20" customWidth="1"/>
    <col min="10" max="10" width="12.375" style="20" customWidth="1"/>
    <col min="11" max="11" width="16.25" style="20" customWidth="1"/>
    <col min="12" max="12" width="20" style="20" customWidth="1"/>
    <col min="13" max="14" width="23.25" style="20" customWidth="1"/>
    <col min="15" max="16" width="18.75" style="20" customWidth="1"/>
    <col min="17" max="17" width="19.25" style="48" hidden="1" customWidth="1"/>
    <col min="18" max="31" width="27.25" style="20" customWidth="1"/>
    <col min="32" max="32" width="35.75" style="20" customWidth="1"/>
    <col min="33" max="46" width="27.25" style="20" customWidth="1"/>
    <col min="47" max="47" width="33.125" style="20" customWidth="1"/>
    <col min="48" max="48" width="31" style="20" customWidth="1"/>
    <col min="49" max="49" width="32.25" style="20" customWidth="1"/>
    <col min="50" max="52" width="22.75" style="22" customWidth="1"/>
    <col min="53" max="53" width="27.25" style="20" customWidth="1"/>
    <col min="54" max="54" width="31.75" style="20" customWidth="1"/>
    <col min="55" max="55" width="20.25" style="20" customWidth="1"/>
    <col min="56" max="56" width="19.75" style="20" customWidth="1"/>
    <col min="57" max="57" width="21.25" style="20" customWidth="1"/>
    <col min="58" max="58" width="22.75" style="20" bestFit="1" customWidth="1"/>
    <col min="59" max="59" width="33" style="20" bestFit="1" customWidth="1"/>
    <col min="60" max="60" width="28.75" style="20" bestFit="1" customWidth="1"/>
    <col min="61" max="61" width="58.25" style="20" bestFit="1" customWidth="1"/>
    <col min="62" max="62" width="26" style="20" bestFit="1" customWidth="1"/>
    <col min="63" max="63" width="24.25" style="20" bestFit="1" customWidth="1"/>
    <col min="64" max="64" width="35.25" style="20" bestFit="1" customWidth="1"/>
    <col min="65" max="65" width="30.25" style="20" bestFit="1" customWidth="1"/>
    <col min="66" max="66" width="31.25" style="20" bestFit="1" customWidth="1"/>
    <col min="67" max="67" width="38" style="20" bestFit="1" customWidth="1"/>
    <col min="68" max="68" width="40.25" style="20" bestFit="1" customWidth="1"/>
    <col min="69" max="69" width="43.25" style="20" bestFit="1" customWidth="1"/>
    <col min="70" max="70" width="48.75" style="20" bestFit="1" customWidth="1"/>
    <col min="71" max="71" width="39.25" style="20" bestFit="1" customWidth="1"/>
    <col min="72" max="72" width="26.75" style="20" bestFit="1" customWidth="1"/>
    <col min="73" max="73" width="47" style="20" bestFit="1" customWidth="1"/>
    <col min="74" max="74" width="40" style="20" bestFit="1" customWidth="1"/>
    <col min="75" max="75" width="83.75" style="20" bestFit="1" customWidth="1"/>
    <col min="76" max="76" width="21.25" style="20" bestFit="1" customWidth="1"/>
    <col min="77" max="77" width="31.25" style="20" bestFit="1" customWidth="1"/>
    <col min="78" max="78" width="27.25" style="20" bestFit="1" customWidth="1"/>
    <col min="79" max="79" width="56.75" style="20" bestFit="1" customWidth="1"/>
    <col min="80" max="80" width="24.25" style="20" bestFit="1" customWidth="1"/>
    <col min="81" max="81" width="22.75" style="20" bestFit="1" customWidth="1"/>
    <col min="82" max="82" width="33.75" style="20" bestFit="1" customWidth="1"/>
    <col min="83" max="83" width="29" style="20" bestFit="1" customWidth="1"/>
    <col min="84" max="84" width="29.75" style="20" bestFit="1" customWidth="1"/>
    <col min="85" max="85" width="36.25" style="20" bestFit="1" customWidth="1"/>
    <col min="86" max="86" width="38.75" style="20" bestFit="1" customWidth="1"/>
    <col min="87" max="87" width="42" style="20" bestFit="1" customWidth="1"/>
    <col min="88" max="88" width="47.25" style="20" bestFit="1" customWidth="1"/>
    <col min="89" max="89" width="37.75" style="20" bestFit="1" customWidth="1"/>
    <col min="90" max="90" width="25.25" style="20" bestFit="1" customWidth="1"/>
    <col min="91" max="91" width="45.25" style="20" bestFit="1" customWidth="1"/>
    <col min="92" max="92" width="38.25" style="20" bestFit="1" customWidth="1"/>
    <col min="93" max="93" width="82.25" style="20" bestFit="1" customWidth="1"/>
    <col min="94" max="94" width="22" style="20" bestFit="1" customWidth="1"/>
    <col min="95" max="95" width="32.25" style="20" bestFit="1" customWidth="1"/>
    <col min="96" max="96" width="28" style="20" bestFit="1" customWidth="1"/>
    <col min="97" max="97" width="57.25" style="20" bestFit="1" customWidth="1"/>
    <col min="98" max="98" width="25.25" style="20" bestFit="1" customWidth="1"/>
    <col min="99" max="99" width="23.25" style="20" bestFit="1" customWidth="1"/>
    <col min="100" max="100" width="34.25" style="20" bestFit="1" customWidth="1"/>
    <col min="101" max="101" width="29.25" style="20" bestFit="1" customWidth="1"/>
    <col min="102" max="102" width="30.25" style="20" bestFit="1" customWidth="1"/>
    <col min="103" max="103" width="37.25" style="20" bestFit="1" customWidth="1"/>
    <col min="104" max="104" width="39.25" style="20" bestFit="1" customWidth="1"/>
    <col min="105" max="105" width="42.25" style="20" bestFit="1" customWidth="1"/>
    <col min="106" max="106" width="48" style="20" bestFit="1" customWidth="1"/>
    <col min="107" max="107" width="38.25" style="20" bestFit="1" customWidth="1"/>
    <col min="108" max="108" width="25.75" style="20" bestFit="1" customWidth="1"/>
    <col min="109" max="109" width="46" style="20" bestFit="1" customWidth="1"/>
    <col min="110" max="110" width="39.25" style="20" bestFit="1" customWidth="1"/>
    <col min="111" max="111" width="82.75" style="20" bestFit="1" customWidth="1"/>
    <col min="112" max="112" width="20" style="20" bestFit="1" customWidth="1"/>
    <col min="113" max="113" width="30.25" style="20" bestFit="1" customWidth="1"/>
    <col min="114" max="114" width="26" style="20" bestFit="1" customWidth="1"/>
    <col min="115" max="115" width="55.25" style="20" bestFit="1" customWidth="1"/>
    <col min="116" max="116" width="23.25" style="20" bestFit="1" customWidth="1"/>
    <col min="117" max="117" width="21.25" style="20" bestFit="1" customWidth="1"/>
    <col min="118" max="118" width="32.25" style="20" bestFit="1" customWidth="1"/>
    <col min="119" max="119" width="27.75" style="20" bestFit="1" customWidth="1"/>
    <col min="120" max="120" width="28.25" style="20" bestFit="1" customWidth="1"/>
    <col min="121" max="121" width="35.25" style="20" bestFit="1" customWidth="1"/>
    <col min="122" max="122" width="37.25" style="20" bestFit="1" customWidth="1"/>
    <col min="123" max="123" width="40.25" style="20" bestFit="1" customWidth="1"/>
    <col min="124" max="124" width="46" style="20" bestFit="1" customWidth="1"/>
    <col min="125" max="125" width="36.25" style="20" bestFit="1" customWidth="1"/>
    <col min="126" max="126" width="24" style="20" bestFit="1" customWidth="1"/>
    <col min="127" max="127" width="44.25" style="20" bestFit="1" customWidth="1"/>
    <col min="128" max="128" width="37.25" style="20" bestFit="1" customWidth="1"/>
    <col min="129" max="129" width="80.75" style="20" bestFit="1" customWidth="1"/>
    <col min="130" max="130" width="37.25" style="20" bestFit="1" customWidth="1"/>
    <col min="131" max="131" width="22.75" style="20" bestFit="1" customWidth="1"/>
    <col min="132" max="132" width="33" style="20" bestFit="1" customWidth="1"/>
    <col min="133" max="133" width="28.75" style="20" bestFit="1" customWidth="1"/>
    <col min="134" max="134" width="58.25" style="20" bestFit="1" customWidth="1"/>
    <col min="135" max="135" width="26" style="20" bestFit="1" customWidth="1"/>
    <col min="136" max="136" width="24.25" style="20" bestFit="1" customWidth="1"/>
    <col min="137" max="137" width="35.25" style="20" bestFit="1" customWidth="1"/>
    <col min="138" max="138" width="30.25" style="20" bestFit="1" customWidth="1"/>
    <col min="139" max="139" width="31.25" style="20" bestFit="1" customWidth="1"/>
    <col min="140" max="140" width="38" style="20" bestFit="1" customWidth="1"/>
    <col min="141" max="141" width="40.25" style="20" bestFit="1" customWidth="1"/>
    <col min="142" max="142" width="43.25" style="20" bestFit="1" customWidth="1"/>
    <col min="143" max="143" width="48.75" style="20" bestFit="1" customWidth="1"/>
    <col min="144" max="144" width="39.25" style="20" bestFit="1" customWidth="1"/>
    <col min="145" max="145" width="26.75" style="20" bestFit="1" customWidth="1"/>
    <col min="146" max="146" width="47" style="20" bestFit="1" customWidth="1"/>
    <col min="147" max="147" width="40" style="20" bestFit="1" customWidth="1"/>
    <col min="148" max="148" width="83.75" style="20" bestFit="1" customWidth="1"/>
    <col min="149" max="149" width="21.25" style="20" bestFit="1" customWidth="1"/>
    <col min="150" max="150" width="31.25" style="20" bestFit="1" customWidth="1"/>
    <col min="151" max="151" width="27.25" style="20" bestFit="1" customWidth="1"/>
    <col min="152" max="152" width="56.75" style="20" bestFit="1" customWidth="1"/>
    <col min="153" max="153" width="24.25" style="20" bestFit="1" customWidth="1"/>
    <col min="154" max="154" width="22.75" style="20" bestFit="1" customWidth="1"/>
    <col min="155" max="155" width="33.75" style="20" bestFit="1" customWidth="1"/>
    <col min="156" max="156" width="29" style="20" bestFit="1" customWidth="1"/>
    <col min="157" max="157" width="29.75" style="20" bestFit="1" customWidth="1"/>
    <col min="158" max="158" width="36.25" style="20" bestFit="1" customWidth="1"/>
    <col min="159" max="159" width="38.75" style="20" bestFit="1" customWidth="1"/>
    <col min="160" max="160" width="42" style="20" bestFit="1" customWidth="1"/>
    <col min="161" max="161" width="47.25" style="20" bestFit="1" customWidth="1"/>
    <col min="162" max="162" width="37.75" style="20" bestFit="1" customWidth="1"/>
    <col min="163" max="163" width="25.25" style="20" bestFit="1" customWidth="1"/>
    <col min="164" max="164" width="45.25" style="20" bestFit="1" customWidth="1"/>
    <col min="165" max="165" width="38.25" style="20" bestFit="1" customWidth="1"/>
    <col min="166" max="166" width="82.25" style="20" bestFit="1" customWidth="1"/>
    <col min="167" max="167" width="22" style="20" bestFit="1" customWidth="1"/>
    <col min="168" max="168" width="32.25" style="20" bestFit="1" customWidth="1"/>
    <col min="169" max="169" width="28" style="20" bestFit="1" customWidth="1"/>
    <col min="170" max="170" width="57.25" style="20" bestFit="1" customWidth="1"/>
    <col min="171" max="171" width="25.25" style="20" bestFit="1" customWidth="1"/>
    <col min="172" max="172" width="23.25" style="20" bestFit="1" customWidth="1"/>
    <col min="173" max="173" width="34.25" style="20" bestFit="1" customWidth="1"/>
    <col min="174" max="174" width="29.25" style="20" bestFit="1" customWidth="1"/>
    <col min="175" max="175" width="30.25" style="20" bestFit="1" customWidth="1"/>
    <col min="176" max="176" width="37.25" style="20" bestFit="1" customWidth="1"/>
    <col min="177" max="177" width="39.25" style="20" bestFit="1" customWidth="1"/>
    <col min="178" max="178" width="42.25" style="20" bestFit="1" customWidth="1"/>
    <col min="179" max="179" width="48" style="20" bestFit="1" customWidth="1"/>
    <col min="180" max="180" width="38.25" style="20" bestFit="1" customWidth="1"/>
    <col min="181" max="181" width="25.75" style="20" bestFit="1" customWidth="1"/>
    <col min="182" max="182" width="46" style="20" bestFit="1" customWidth="1"/>
    <col min="183" max="183" width="39.25" style="20" bestFit="1" customWidth="1"/>
    <col min="184" max="184" width="82.75" style="20" bestFit="1" customWidth="1"/>
    <col min="185" max="185" width="20" style="20" bestFit="1" customWidth="1"/>
    <col min="186" max="186" width="30.25" style="20" bestFit="1" customWidth="1"/>
    <col min="187" max="187" width="26" style="20" bestFit="1" customWidth="1"/>
    <col min="188" max="188" width="55.25" style="20" bestFit="1" customWidth="1"/>
    <col min="189" max="189" width="23.25" style="20" bestFit="1" customWidth="1"/>
    <col min="190" max="190" width="21.25" style="20" bestFit="1" customWidth="1"/>
    <col min="191" max="191" width="32.25" style="20" bestFit="1" customWidth="1"/>
    <col min="192" max="192" width="27.75" style="20" bestFit="1" customWidth="1"/>
    <col min="193" max="193" width="28.25" style="20" bestFit="1" customWidth="1"/>
    <col min="194" max="194" width="35.25" style="20" bestFit="1" customWidth="1"/>
    <col min="195" max="195" width="37.25" style="20" bestFit="1" customWidth="1"/>
    <col min="196" max="196" width="40.25" style="20" bestFit="1" customWidth="1"/>
    <col min="197" max="197" width="46" style="20" bestFit="1" customWidth="1"/>
    <col min="198" max="198" width="36.25" style="20" bestFit="1" customWidth="1"/>
    <col min="199" max="199" width="24" style="20" bestFit="1" customWidth="1"/>
    <col min="200" max="200" width="44.25" style="20" bestFit="1" customWidth="1"/>
    <col min="201" max="201" width="37.25" style="20" bestFit="1" customWidth="1"/>
    <col min="202" max="202" width="80.75" style="20" bestFit="1" customWidth="1"/>
    <col min="203" max="203" width="37.25" style="20" bestFit="1" customWidth="1"/>
    <col min="204" max="204" width="22.75" style="20" bestFit="1" customWidth="1"/>
    <col min="205" max="205" width="33" style="20" bestFit="1" customWidth="1"/>
    <col min="206" max="206" width="28.75" style="20" bestFit="1" customWidth="1"/>
    <col min="207" max="207" width="58.25" style="20" bestFit="1" customWidth="1"/>
    <col min="208" max="208" width="26" style="20" bestFit="1" customWidth="1"/>
    <col min="209" max="209" width="24.25" style="20" bestFit="1" customWidth="1"/>
    <col min="210" max="210" width="35.25" style="20" bestFit="1" customWidth="1"/>
    <col min="211" max="211" width="30.25" style="20" bestFit="1" customWidth="1"/>
    <col min="212" max="212" width="31.25" style="20" bestFit="1" customWidth="1"/>
    <col min="213" max="213" width="38" style="20" bestFit="1" customWidth="1"/>
    <col min="214" max="214" width="40.25" style="20" bestFit="1" customWidth="1"/>
    <col min="215" max="215" width="43.25" style="20" bestFit="1" customWidth="1"/>
    <col min="216" max="216" width="48.75" style="20" bestFit="1" customWidth="1"/>
    <col min="217" max="217" width="39.25" style="20" bestFit="1" customWidth="1"/>
    <col min="218" max="218" width="26.75" style="20" bestFit="1" customWidth="1"/>
    <col min="219" max="219" width="47" style="20" bestFit="1" customWidth="1"/>
    <col min="220" max="220" width="40" style="20" bestFit="1" customWidth="1"/>
    <col min="221" max="221" width="83.75" style="20" bestFit="1" customWidth="1"/>
    <col min="222" max="222" width="21.25" style="20" bestFit="1" customWidth="1"/>
    <col min="223" max="223" width="31.25" style="20" bestFit="1" customWidth="1"/>
    <col min="224" max="224" width="27.25" style="20" bestFit="1" customWidth="1"/>
    <col min="225" max="225" width="56.75" style="20" bestFit="1" customWidth="1"/>
    <col min="226" max="226" width="24.25" style="20" bestFit="1" customWidth="1"/>
    <col min="227" max="227" width="22.75" style="20" bestFit="1" customWidth="1"/>
    <col min="228" max="228" width="33.75" style="20" bestFit="1" customWidth="1"/>
    <col min="229" max="229" width="29" style="20" bestFit="1" customWidth="1"/>
    <col min="230" max="230" width="29.75" style="20" bestFit="1" customWidth="1"/>
    <col min="231" max="231" width="36.25" style="20" bestFit="1" customWidth="1"/>
    <col min="232" max="232" width="38.75" style="20" bestFit="1" customWidth="1"/>
    <col min="233" max="233" width="42" style="20" bestFit="1" customWidth="1"/>
    <col min="234" max="234" width="47.25" style="20" bestFit="1" customWidth="1"/>
    <col min="235" max="235" width="37.75" style="20" bestFit="1" customWidth="1"/>
    <col min="236" max="236" width="25.25" style="20" bestFit="1" customWidth="1"/>
    <col min="237" max="237" width="45.25" style="20" bestFit="1" customWidth="1"/>
    <col min="238" max="238" width="38.25" style="20" bestFit="1" customWidth="1"/>
    <col min="239" max="239" width="82.25" style="20" bestFit="1" customWidth="1"/>
    <col min="240" max="240" width="22" style="20" bestFit="1" customWidth="1"/>
    <col min="241" max="241" width="32.25" style="20" bestFit="1" customWidth="1"/>
    <col min="242" max="242" width="28" style="20" bestFit="1" customWidth="1"/>
    <col min="243" max="243" width="57.25" style="20" bestFit="1" customWidth="1"/>
    <col min="244" max="244" width="25.25" style="20" bestFit="1" customWidth="1"/>
    <col min="245" max="245" width="23.25" style="20" bestFit="1" customWidth="1"/>
    <col min="246" max="246" width="34.25" style="20" bestFit="1" customWidth="1"/>
    <col min="247" max="247" width="29.25" style="20" bestFit="1" customWidth="1"/>
    <col min="248" max="248" width="30.25" style="20" bestFit="1" customWidth="1"/>
    <col min="249" max="249" width="37.25" style="20" bestFit="1" customWidth="1"/>
    <col min="250" max="250" width="39.25" style="20" bestFit="1" customWidth="1"/>
    <col min="251" max="251" width="42.25" style="20" bestFit="1" customWidth="1"/>
    <col min="252" max="252" width="48" style="20" bestFit="1" customWidth="1"/>
    <col min="253" max="253" width="38.25" style="20" bestFit="1" customWidth="1"/>
    <col min="254" max="254" width="25.75" style="20" bestFit="1" customWidth="1"/>
    <col min="255" max="255" width="46" style="20" bestFit="1" customWidth="1"/>
    <col min="256" max="256" width="39.25" style="20" bestFit="1" customWidth="1"/>
    <col min="257" max="257" width="82.75" style="20" bestFit="1" customWidth="1"/>
    <col min="258" max="258" width="20" style="20" bestFit="1" customWidth="1"/>
    <col min="259" max="259" width="30.25" style="20" bestFit="1" customWidth="1"/>
    <col min="260" max="260" width="26" style="20" bestFit="1" customWidth="1"/>
    <col min="261" max="261" width="55.25" style="20" bestFit="1" customWidth="1"/>
    <col min="262" max="262" width="23.25" style="20" bestFit="1" customWidth="1"/>
    <col min="263" max="263" width="21.25" style="20" bestFit="1" customWidth="1"/>
    <col min="264" max="264" width="32.25" style="20" bestFit="1" customWidth="1"/>
    <col min="265" max="265" width="27.75" style="20" bestFit="1" customWidth="1"/>
    <col min="266" max="266" width="28.25" style="20" bestFit="1" customWidth="1"/>
    <col min="267" max="267" width="35.25" style="20" bestFit="1" customWidth="1"/>
    <col min="268" max="268" width="37.25" style="20" bestFit="1" customWidth="1"/>
    <col min="269" max="269" width="40.25" style="20" bestFit="1" customWidth="1"/>
    <col min="270" max="270" width="46" style="20" bestFit="1" customWidth="1"/>
    <col min="271" max="271" width="36.25" style="20" bestFit="1" customWidth="1"/>
    <col min="272" max="272" width="24" style="20" bestFit="1" customWidth="1"/>
    <col min="273" max="273" width="44.25" style="20" bestFit="1" customWidth="1"/>
    <col min="274" max="274" width="37.25" style="20" bestFit="1" customWidth="1"/>
    <col min="275" max="275" width="80.75" style="20" bestFit="1" customWidth="1"/>
    <col min="276" max="276" width="37.25" style="20" bestFit="1" customWidth="1"/>
    <col min="277" max="277" width="22.75" style="20" bestFit="1" customWidth="1"/>
    <col min="278" max="278" width="33" style="20" bestFit="1" customWidth="1"/>
    <col min="279" max="279" width="28.75" style="20" bestFit="1" customWidth="1"/>
    <col min="280" max="280" width="58.25" style="20" bestFit="1" customWidth="1"/>
    <col min="281" max="281" width="26" style="20" bestFit="1" customWidth="1"/>
    <col min="282" max="282" width="24.25" style="20" bestFit="1" customWidth="1"/>
    <col min="283" max="283" width="35.25" style="20" bestFit="1" customWidth="1"/>
    <col min="284" max="284" width="30.25" style="20" bestFit="1" customWidth="1"/>
    <col min="285" max="285" width="31.25" style="20" bestFit="1" customWidth="1"/>
    <col min="286" max="286" width="38" style="20" bestFit="1" customWidth="1"/>
    <col min="287" max="287" width="40.25" style="20" bestFit="1" customWidth="1"/>
    <col min="288" max="288" width="43.25" style="20" bestFit="1" customWidth="1"/>
    <col min="289" max="289" width="48.75" style="20" bestFit="1" customWidth="1"/>
    <col min="290" max="290" width="39.25" style="20" bestFit="1" customWidth="1"/>
    <col min="291" max="291" width="26.75" style="20" bestFit="1" customWidth="1"/>
    <col min="292" max="292" width="47" style="20" bestFit="1" customWidth="1"/>
    <col min="293" max="293" width="40" style="20" bestFit="1" customWidth="1"/>
    <col min="294" max="294" width="83.75" style="20" bestFit="1" customWidth="1"/>
    <col min="295" max="295" width="21.25" style="20" bestFit="1" customWidth="1"/>
    <col min="296" max="296" width="31.25" style="20" bestFit="1" customWidth="1"/>
    <col min="297" max="297" width="27.25" style="20" bestFit="1" customWidth="1"/>
    <col min="298" max="298" width="56.75" style="20" bestFit="1" customWidth="1"/>
    <col min="299" max="299" width="24.25" style="20" bestFit="1" customWidth="1"/>
    <col min="300" max="300" width="22.75" style="20" bestFit="1" customWidth="1"/>
    <col min="301" max="301" width="33.75" style="20" bestFit="1" customWidth="1"/>
    <col min="302" max="302" width="29" style="20" bestFit="1" customWidth="1"/>
    <col min="303" max="303" width="29.75" style="20" bestFit="1" customWidth="1"/>
    <col min="304" max="304" width="36.25" style="20" bestFit="1" customWidth="1"/>
    <col min="305" max="305" width="38.75" style="20" bestFit="1" customWidth="1"/>
    <col min="306" max="306" width="42" style="20" bestFit="1" customWidth="1"/>
    <col min="307" max="307" width="47.25" style="20" bestFit="1" customWidth="1"/>
    <col min="308" max="308" width="37.75" style="20" bestFit="1" customWidth="1"/>
    <col min="309" max="309" width="25.25" style="20" bestFit="1" customWidth="1"/>
    <col min="310" max="310" width="45.25" style="20" bestFit="1" customWidth="1"/>
    <col min="311" max="311" width="38.25" style="20" bestFit="1" customWidth="1"/>
    <col min="312" max="312" width="82.25" style="20" bestFit="1" customWidth="1"/>
    <col min="313" max="313" width="22" style="20" bestFit="1" customWidth="1"/>
    <col min="314" max="314" width="32.25" style="20" bestFit="1" customWidth="1"/>
    <col min="315" max="315" width="28" style="20" bestFit="1" customWidth="1"/>
    <col min="316" max="316" width="57.25" style="20" bestFit="1" customWidth="1"/>
    <col min="317" max="317" width="25.25" style="20" bestFit="1" customWidth="1"/>
    <col min="318" max="318" width="23.25" style="20" bestFit="1" customWidth="1"/>
    <col min="319" max="319" width="34.25" style="20" bestFit="1" customWidth="1"/>
    <col min="320" max="320" width="29.25" style="20" bestFit="1" customWidth="1"/>
    <col min="321" max="321" width="30.25" style="20" bestFit="1" customWidth="1"/>
    <col min="322" max="322" width="37.25" style="20" bestFit="1" customWidth="1"/>
    <col min="323" max="323" width="39.25" style="20" bestFit="1" customWidth="1"/>
    <col min="324" max="324" width="42.25" style="20" bestFit="1" customWidth="1"/>
    <col min="325" max="325" width="48" style="20" bestFit="1" customWidth="1"/>
    <col min="326" max="326" width="38.25" style="20" bestFit="1" customWidth="1"/>
    <col min="327" max="327" width="25.75" style="20" bestFit="1" customWidth="1"/>
    <col min="328" max="328" width="46" style="20" bestFit="1" customWidth="1"/>
    <col min="329" max="329" width="39.25" style="20" bestFit="1" customWidth="1"/>
    <col min="330" max="330" width="82.75" style="20" bestFit="1" customWidth="1"/>
    <col min="331" max="331" width="20" style="20" bestFit="1" customWidth="1"/>
    <col min="332" max="332" width="30.25" style="20" bestFit="1" customWidth="1"/>
    <col min="333" max="333" width="26" style="20" bestFit="1" customWidth="1"/>
    <col min="334" max="334" width="55.25" style="20" bestFit="1" customWidth="1"/>
    <col min="335" max="335" width="23.25" style="20" bestFit="1" customWidth="1"/>
    <col min="336" max="336" width="21.25" style="20" bestFit="1" customWidth="1"/>
    <col min="337" max="337" width="32.25" style="20" bestFit="1" customWidth="1"/>
    <col min="338" max="338" width="27.75" style="20" bestFit="1" customWidth="1"/>
    <col min="339" max="339" width="28.25" style="20" bestFit="1" customWidth="1"/>
    <col min="340" max="340" width="35.25" style="20" bestFit="1" customWidth="1"/>
    <col min="341" max="341" width="37.25" style="20" bestFit="1" customWidth="1"/>
    <col min="342" max="342" width="40.25" style="20" bestFit="1" customWidth="1"/>
    <col min="343" max="343" width="46" style="20" bestFit="1" customWidth="1"/>
    <col min="344" max="344" width="36.25" style="20" bestFit="1" customWidth="1"/>
    <col min="345" max="345" width="24" style="20" bestFit="1" customWidth="1"/>
    <col min="346" max="346" width="44.25" style="20" bestFit="1" customWidth="1"/>
    <col min="347" max="347" width="37.25" style="20" bestFit="1" customWidth="1"/>
    <col min="348" max="348" width="80.75" style="20" bestFit="1" customWidth="1"/>
    <col min="349" max="349" width="37.25" style="20" bestFit="1" customWidth="1"/>
    <col min="350" max="16384" width="11.25" style="20"/>
  </cols>
  <sheetData>
    <row r="1" spans="1:57" ht="30" customHeight="1" thickTop="1">
      <c r="A1" s="213"/>
      <c r="B1" s="214"/>
      <c r="C1" s="222" t="s">
        <v>30</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4"/>
      <c r="BC1" s="231" t="s">
        <v>31</v>
      </c>
      <c r="BD1" s="232"/>
      <c r="BE1" s="233"/>
    </row>
    <row r="2" spans="1:57" ht="30" customHeight="1">
      <c r="A2" s="215"/>
      <c r="B2" s="216"/>
      <c r="C2" s="225"/>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7"/>
      <c r="BC2" s="234" t="s">
        <v>260</v>
      </c>
      <c r="BD2" s="235"/>
      <c r="BE2" s="236"/>
    </row>
    <row r="3" spans="1:57" ht="30" customHeight="1">
      <c r="A3" s="215"/>
      <c r="B3" s="216"/>
      <c r="C3" s="225"/>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7"/>
      <c r="BC3" s="237" t="s">
        <v>261</v>
      </c>
      <c r="BD3" s="238"/>
      <c r="BE3" s="239"/>
    </row>
    <row r="4" spans="1:57" ht="30" customHeight="1" thickBot="1">
      <c r="A4" s="217"/>
      <c r="B4" s="218"/>
      <c r="C4" s="228"/>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30"/>
      <c r="BC4" s="240" t="s">
        <v>263</v>
      </c>
      <c r="BD4" s="241"/>
      <c r="BE4" s="242"/>
    </row>
    <row r="5" spans="1:57" ht="23.25" customHeight="1" thickTop="1">
      <c r="Q5" s="20"/>
      <c r="BE5" s="23"/>
    </row>
    <row r="6" spans="1:57" ht="28.5" customHeight="1" thickBot="1">
      <c r="B6" s="13" t="s">
        <v>28</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5"/>
      <c r="AY6" s="25"/>
      <c r="AZ6" s="25"/>
      <c r="BA6" s="24"/>
      <c r="BB6" s="24"/>
      <c r="BC6" s="26"/>
      <c r="BD6" s="26"/>
      <c r="BE6" s="27"/>
    </row>
    <row r="7" spans="1:57" ht="37.15" customHeight="1" thickBot="1">
      <c r="B7" s="14">
        <v>2025</v>
      </c>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5"/>
      <c r="AY7" s="25"/>
      <c r="AZ7" s="25"/>
      <c r="BA7" s="24"/>
      <c r="BB7" s="24"/>
      <c r="BC7" s="26"/>
      <c r="BD7" s="26"/>
      <c r="BE7" s="27"/>
    </row>
    <row r="8" spans="1:57" ht="8.65" customHeight="1" thickBot="1">
      <c r="C8" s="26"/>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5"/>
      <c r="AY8" s="25"/>
      <c r="AZ8" s="25"/>
      <c r="BA8" s="24"/>
      <c r="BB8" s="24"/>
      <c r="BC8" s="26"/>
      <c r="BD8" s="26"/>
      <c r="BE8" s="27"/>
    </row>
    <row r="9" spans="1:57" s="21" customFormat="1" ht="37.9" customHeight="1" thickBot="1">
      <c r="A9" s="205" t="s">
        <v>27</v>
      </c>
      <c r="B9" s="205"/>
      <c r="C9" s="205"/>
      <c r="D9" s="205"/>
      <c r="E9" s="205"/>
      <c r="F9" s="205"/>
      <c r="G9" s="205"/>
      <c r="H9" s="205"/>
      <c r="I9" s="205"/>
      <c r="J9" s="205"/>
      <c r="K9" s="205"/>
      <c r="L9" s="205"/>
      <c r="M9" s="205"/>
      <c r="N9" s="205"/>
      <c r="O9" s="206" t="s">
        <v>26</v>
      </c>
      <c r="P9" s="207"/>
      <c r="Q9" s="208"/>
      <c r="R9" s="209" t="s">
        <v>24</v>
      </c>
      <c r="S9" s="210"/>
      <c r="T9" s="210"/>
      <c r="U9" s="210"/>
      <c r="V9" s="210"/>
      <c r="W9" s="210"/>
      <c r="X9" s="210"/>
      <c r="Y9" s="210"/>
      <c r="Z9" s="210"/>
      <c r="AA9" s="210"/>
      <c r="AB9" s="210"/>
      <c r="AC9" s="210"/>
      <c r="AD9" s="210"/>
      <c r="AE9" s="211"/>
      <c r="AF9" s="212"/>
      <c r="AG9" s="206" t="s">
        <v>23</v>
      </c>
      <c r="AH9" s="207"/>
      <c r="AI9" s="207"/>
      <c r="AJ9" s="207"/>
      <c r="AK9" s="207"/>
      <c r="AL9" s="207"/>
      <c r="AM9" s="207"/>
      <c r="AN9" s="207"/>
      <c r="AO9" s="207"/>
      <c r="AP9" s="207"/>
      <c r="AQ9" s="207"/>
      <c r="AR9" s="207"/>
      <c r="AS9" s="207"/>
      <c r="AT9" s="207"/>
      <c r="AU9" s="207"/>
      <c r="AV9" s="207"/>
      <c r="AW9" s="208"/>
      <c r="AX9" s="219" t="s">
        <v>40</v>
      </c>
      <c r="AY9" s="220"/>
      <c r="AZ9" s="221"/>
      <c r="BA9" s="207" t="s">
        <v>41</v>
      </c>
      <c r="BB9" s="207"/>
      <c r="BC9" s="203" t="s">
        <v>22</v>
      </c>
      <c r="BD9" s="204"/>
      <c r="BE9" s="28"/>
    </row>
    <row r="10" spans="1:57" s="21" customFormat="1" ht="57" customHeight="1">
      <c r="A10" s="15" t="s">
        <v>20</v>
      </c>
      <c r="B10" s="15" t="s">
        <v>19</v>
      </c>
      <c r="C10" s="15" t="s">
        <v>18</v>
      </c>
      <c r="D10" s="15" t="s">
        <v>17</v>
      </c>
      <c r="E10" s="15" t="s">
        <v>16</v>
      </c>
      <c r="F10" s="15" t="s">
        <v>15</v>
      </c>
      <c r="G10" s="15" t="s">
        <v>14</v>
      </c>
      <c r="H10" s="15" t="s">
        <v>13</v>
      </c>
      <c r="I10" s="15" t="s">
        <v>12</v>
      </c>
      <c r="J10" s="15" t="s">
        <v>29</v>
      </c>
      <c r="K10" s="15" t="s">
        <v>264</v>
      </c>
      <c r="L10" s="15" t="s">
        <v>11</v>
      </c>
      <c r="M10" s="15" t="s">
        <v>265</v>
      </c>
      <c r="N10" s="15" t="s">
        <v>10</v>
      </c>
      <c r="O10" s="15" t="s">
        <v>35</v>
      </c>
      <c r="P10" s="15" t="s">
        <v>9</v>
      </c>
      <c r="Q10" s="15" t="s">
        <v>55</v>
      </c>
      <c r="R10" s="15" t="s">
        <v>42</v>
      </c>
      <c r="S10" s="15" t="s">
        <v>43</v>
      </c>
      <c r="T10" s="15" t="s">
        <v>44</v>
      </c>
      <c r="U10" s="15" t="s">
        <v>45</v>
      </c>
      <c r="V10" s="15" t="s">
        <v>46</v>
      </c>
      <c r="W10" s="15" t="s">
        <v>47</v>
      </c>
      <c r="X10" s="15" t="s">
        <v>48</v>
      </c>
      <c r="Y10" s="15" t="s">
        <v>49</v>
      </c>
      <c r="Z10" s="15" t="s">
        <v>50</v>
      </c>
      <c r="AA10" s="15" t="s">
        <v>51</v>
      </c>
      <c r="AB10" s="15" t="s">
        <v>52</v>
      </c>
      <c r="AC10" s="15" t="s">
        <v>53</v>
      </c>
      <c r="AD10" s="15" t="s">
        <v>54</v>
      </c>
      <c r="AE10" s="15" t="s">
        <v>56</v>
      </c>
      <c r="AF10" s="15" t="s">
        <v>267</v>
      </c>
      <c r="AG10" s="15" t="s">
        <v>270</v>
      </c>
      <c r="AH10" s="15" t="s">
        <v>271</v>
      </c>
      <c r="AI10" s="15" t="s">
        <v>268</v>
      </c>
      <c r="AJ10" s="15" t="s">
        <v>269</v>
      </c>
      <c r="AK10" s="15" t="s">
        <v>272</v>
      </c>
      <c r="AL10" s="15" t="s">
        <v>273</v>
      </c>
      <c r="AM10" s="15" t="s">
        <v>274</v>
      </c>
      <c r="AN10" s="15" t="s">
        <v>275</v>
      </c>
      <c r="AO10" s="15" t="s">
        <v>276</v>
      </c>
      <c r="AP10" s="15" t="s">
        <v>277</v>
      </c>
      <c r="AQ10" s="15" t="s">
        <v>278</v>
      </c>
      <c r="AR10" s="15" t="s">
        <v>279</v>
      </c>
      <c r="AS10" s="15" t="s">
        <v>280</v>
      </c>
      <c r="AT10" s="15" t="s">
        <v>281</v>
      </c>
      <c r="AU10" s="15" t="s">
        <v>282</v>
      </c>
      <c r="AV10" s="15" t="s">
        <v>33</v>
      </c>
      <c r="AW10" s="15" t="s">
        <v>34</v>
      </c>
      <c r="AX10" s="16" t="s">
        <v>39</v>
      </c>
      <c r="AY10" s="16" t="s">
        <v>37</v>
      </c>
      <c r="AZ10" s="16" t="s">
        <v>36</v>
      </c>
      <c r="BA10" s="17" t="s">
        <v>283</v>
      </c>
      <c r="BB10" s="18" t="s">
        <v>38</v>
      </c>
      <c r="BC10" s="15" t="s">
        <v>1</v>
      </c>
      <c r="BD10" s="15" t="s">
        <v>0</v>
      </c>
      <c r="BE10" s="19" t="s">
        <v>21</v>
      </c>
    </row>
    <row r="11" spans="1:57" s="43" customFormat="1" ht="31.5">
      <c r="A11" s="29">
        <v>34</v>
      </c>
      <c r="B11" s="29" t="s">
        <v>57</v>
      </c>
      <c r="C11" s="29" t="s">
        <v>58</v>
      </c>
      <c r="D11" s="29" t="s">
        <v>60</v>
      </c>
      <c r="E11" s="29" t="s">
        <v>61</v>
      </c>
      <c r="F11" s="29" t="s">
        <v>62</v>
      </c>
      <c r="G11" s="29" t="s">
        <v>63</v>
      </c>
      <c r="H11" s="29">
        <v>450106000</v>
      </c>
      <c r="I11" s="29" t="s">
        <v>64</v>
      </c>
      <c r="J11" s="29">
        <v>1</v>
      </c>
      <c r="K11" s="29" t="s">
        <v>65</v>
      </c>
      <c r="L11" s="29" t="str">
        <f>+'[1]Plan Indicativo'!AC41</f>
        <v>Acumulativa</v>
      </c>
      <c r="M11" s="29">
        <f>+'[1]Plan Indicativo'!T41</f>
        <v>1</v>
      </c>
      <c r="N11" s="29">
        <f>+'[1]Plan Indicativo'!W41</f>
        <v>0.5</v>
      </c>
      <c r="O11" s="30">
        <v>0.5</v>
      </c>
      <c r="P11" s="31">
        <f>+Tabla1[[#This Row],[Logro Vigencia]]/Tabla1[[#This Row],[Meta Programada Vigencia]]</f>
        <v>1</v>
      </c>
      <c r="Q11" s="32"/>
      <c r="R11" s="82">
        <v>180000000</v>
      </c>
      <c r="S11" s="83"/>
      <c r="T11" s="83">
        <v>0</v>
      </c>
      <c r="U11" s="83"/>
      <c r="V11" s="83"/>
      <c r="W11" s="83"/>
      <c r="X11" s="83"/>
      <c r="Y11" s="83"/>
      <c r="Z11" s="83"/>
      <c r="AA11" s="83"/>
      <c r="AB11" s="83"/>
      <c r="AC11" s="83" t="s">
        <v>314</v>
      </c>
      <c r="AD11" s="83">
        <v>0</v>
      </c>
      <c r="AE11" s="83">
        <v>0</v>
      </c>
      <c r="AF11" s="33">
        <f>SUM(Tabla1[[#This Row],[Recursos propios]:[Recursos del Balance]])</f>
        <v>180000000</v>
      </c>
      <c r="AG11" s="84">
        <v>179098232</v>
      </c>
      <c r="AH11" s="85"/>
      <c r="AI11" s="85">
        <v>0</v>
      </c>
      <c r="AJ11" s="85"/>
      <c r="AK11" s="85"/>
      <c r="AL11" s="85"/>
      <c r="AM11" s="85"/>
      <c r="AN11" s="85"/>
      <c r="AO11" s="85"/>
      <c r="AP11" s="85"/>
      <c r="AQ11" s="85"/>
      <c r="AR11" s="85">
        <v>0</v>
      </c>
      <c r="AS11" s="85">
        <v>0</v>
      </c>
      <c r="AT11" s="83">
        <v>0</v>
      </c>
      <c r="AU11" s="34">
        <f>SUM(Tabla1[[#This Row],[Recursos propios ]:[Recursos del Balance ]])</f>
        <v>179098232</v>
      </c>
      <c r="AV11" s="86">
        <v>0</v>
      </c>
      <c r="AW11" s="87">
        <v>0</v>
      </c>
      <c r="AX11" s="35">
        <f>+Tabla1[[#This Row],[Total Recursos Comprometido 2025]]/Tabla1[[#This Row],[Total 2025]]</f>
        <v>0.99499017777777776</v>
      </c>
      <c r="AY11" s="36">
        <f>+Tabla1[[#This Row],[Total Recursos Obligados]]/Tabla1[[#This Row],[Total 2025]]</f>
        <v>0</v>
      </c>
      <c r="AZ11" s="37">
        <f>+Tabla1[[#This Row],[Total Recursos Pagados]]/Tabla1[[#This Row],[Total 2025]]</f>
        <v>0</v>
      </c>
      <c r="BA11" s="38">
        <v>0</v>
      </c>
      <c r="BB11" s="39">
        <f>+Tabla1[[#This Row],[Total Recursos Gestionados ]]/Tabla1[[#This Row],[Total Recursos Comprometido 2025]]</f>
        <v>0</v>
      </c>
      <c r="BC11" s="40" t="s">
        <v>250</v>
      </c>
      <c r="BD11" s="41" t="s">
        <v>251</v>
      </c>
      <c r="BE11" s="42" t="s">
        <v>252</v>
      </c>
    </row>
    <row r="12" spans="1:57" s="45" customFormat="1" ht="56.1" customHeight="1">
      <c r="A12" s="29">
        <v>35</v>
      </c>
      <c r="B12" s="29" t="s">
        <v>57</v>
      </c>
      <c r="C12" s="29" t="s">
        <v>58</v>
      </c>
      <c r="D12" s="29" t="s">
        <v>60</v>
      </c>
      <c r="E12" s="29" t="s">
        <v>61</v>
      </c>
      <c r="F12" s="29" t="s">
        <v>66</v>
      </c>
      <c r="G12" s="29" t="s">
        <v>67</v>
      </c>
      <c r="H12" s="29">
        <v>450106100</v>
      </c>
      <c r="I12" s="29" t="s">
        <v>68</v>
      </c>
      <c r="J12" s="29">
        <v>20000</v>
      </c>
      <c r="K12" s="29" t="s">
        <v>65</v>
      </c>
      <c r="L12" s="29" t="str">
        <f>+'[1]Plan Indicativo'!AC42</f>
        <v>Acumulativa</v>
      </c>
      <c r="M12" s="29">
        <f>+'[1]Plan Indicativo'!T42</f>
        <v>50000</v>
      </c>
      <c r="N12" s="29">
        <f>+'[1]Plan Indicativo'!W42</f>
        <v>8000</v>
      </c>
      <c r="O12" s="162">
        <v>6946</v>
      </c>
      <c r="P12" s="44">
        <f>+Tabla1[[#This Row],[Logro Vigencia]]/Tabla1[[#This Row],[Meta Programada Vigencia]]</f>
        <v>0.86824999999999997</v>
      </c>
      <c r="Q12" s="32"/>
      <c r="R12" s="82">
        <v>1720386785</v>
      </c>
      <c r="S12" s="83"/>
      <c r="T12" s="83">
        <v>0</v>
      </c>
      <c r="U12" s="83"/>
      <c r="V12" s="83"/>
      <c r="W12" s="83"/>
      <c r="X12" s="83"/>
      <c r="Y12" s="83"/>
      <c r="Z12" s="83"/>
      <c r="AA12" s="83"/>
      <c r="AB12" s="83"/>
      <c r="AC12" s="83">
        <v>0</v>
      </c>
      <c r="AD12" s="83">
        <v>0</v>
      </c>
      <c r="AE12" s="83">
        <v>1860900000</v>
      </c>
      <c r="AF12" s="33">
        <f>SUM(Tabla1[[#This Row],[Recursos propios]:[Recursos del Balance]])</f>
        <v>3581286785</v>
      </c>
      <c r="AG12" s="84">
        <v>1538295638</v>
      </c>
      <c r="AH12" s="85"/>
      <c r="AI12" s="85">
        <v>0</v>
      </c>
      <c r="AJ12" s="85"/>
      <c r="AK12" s="85"/>
      <c r="AL12" s="85"/>
      <c r="AM12" s="85"/>
      <c r="AN12" s="85"/>
      <c r="AO12" s="85"/>
      <c r="AP12" s="85"/>
      <c r="AQ12" s="85"/>
      <c r="AR12" s="85">
        <v>0</v>
      </c>
      <c r="AS12" s="85">
        <v>0</v>
      </c>
      <c r="AT12" s="83">
        <v>1328941784.99</v>
      </c>
      <c r="AU12" s="34">
        <f>SUM(Tabla1[[#This Row],[Recursos propios ]:[Recursos del Balance ]])</f>
        <v>2867237422.9899998</v>
      </c>
      <c r="AV12" s="86">
        <v>1695651638</v>
      </c>
      <c r="AW12" s="87">
        <v>1320172951.3299999</v>
      </c>
      <c r="AX12" s="35">
        <f>+Tabla1[[#This Row],[Total Recursos Comprometido 2025]]/Tabla1[[#This Row],[Total 2025]]</f>
        <v>0.80061653677087463</v>
      </c>
      <c r="AY12" s="36">
        <f>+Tabla1[[#This Row],[Total Recursos Obligados]]/Tabla1[[#This Row],[Total 2025]]</f>
        <v>0.47347552424512129</v>
      </c>
      <c r="AZ12" s="37">
        <f>+Tabla1[[#This Row],[Total Recursos Pagados]]/Tabla1[[#This Row],[Total 2025]]</f>
        <v>0.36863089458779547</v>
      </c>
      <c r="BA12" s="38">
        <v>0</v>
      </c>
      <c r="BB12" s="39">
        <f>+Tabla1[[#This Row],[Total Recursos Gestionados ]]/Tabla1[[#This Row],[Total Recursos Comprometido 2025]]</f>
        <v>0</v>
      </c>
      <c r="BC12" s="40" t="s">
        <v>250</v>
      </c>
      <c r="BD12" s="41" t="s">
        <v>251</v>
      </c>
      <c r="BE12" s="42" t="s">
        <v>252</v>
      </c>
    </row>
    <row r="13" spans="1:57" s="45" customFormat="1" ht="56.1" customHeight="1">
      <c r="A13" s="29">
        <v>36</v>
      </c>
      <c r="B13" s="29" t="s">
        <v>57</v>
      </c>
      <c r="C13" s="29" t="s">
        <v>58</v>
      </c>
      <c r="D13" s="29" t="s">
        <v>60</v>
      </c>
      <c r="E13" s="29" t="s">
        <v>61</v>
      </c>
      <c r="F13" s="29" t="s">
        <v>69</v>
      </c>
      <c r="G13" s="29" t="s">
        <v>70</v>
      </c>
      <c r="H13" s="29">
        <v>450106300</v>
      </c>
      <c r="I13" s="29" t="s">
        <v>71</v>
      </c>
      <c r="J13" s="29">
        <v>0</v>
      </c>
      <c r="K13" s="29" t="s">
        <v>65</v>
      </c>
      <c r="L13" s="29" t="str">
        <f>+'[1]Plan Indicativo'!AC43</f>
        <v>Acumulativa</v>
      </c>
      <c r="M13" s="29">
        <f>+'[1]Plan Indicativo'!T43</f>
        <v>24</v>
      </c>
      <c r="N13" s="29">
        <f>+'[1]Plan Indicativo'!W43</f>
        <v>6</v>
      </c>
      <c r="O13" s="30">
        <v>0</v>
      </c>
      <c r="P13" s="31">
        <f>+Tabla1[[#This Row],[Logro Vigencia]]/Tabla1[[#This Row],[Meta Programada Vigencia]]</f>
        <v>0</v>
      </c>
      <c r="Q13" s="32"/>
      <c r="R13" s="82">
        <v>120000000</v>
      </c>
      <c r="S13" s="83"/>
      <c r="T13" s="83">
        <v>0</v>
      </c>
      <c r="U13" s="83"/>
      <c r="V13" s="83"/>
      <c r="W13" s="83"/>
      <c r="X13" s="83"/>
      <c r="Y13" s="83"/>
      <c r="Z13" s="83"/>
      <c r="AA13" s="83"/>
      <c r="AB13" s="83"/>
      <c r="AC13" s="83">
        <v>0</v>
      </c>
      <c r="AD13" s="83">
        <v>0</v>
      </c>
      <c r="AE13" s="83">
        <v>0</v>
      </c>
      <c r="AF13" s="33">
        <f>SUM(Tabla1[[#This Row],[Recursos propios]:[Recursos del Balance]])</f>
        <v>120000000</v>
      </c>
      <c r="AG13" s="84">
        <v>70000000</v>
      </c>
      <c r="AH13" s="85"/>
      <c r="AI13" s="85">
        <v>0</v>
      </c>
      <c r="AJ13" s="85"/>
      <c r="AK13" s="85"/>
      <c r="AL13" s="85"/>
      <c r="AM13" s="85"/>
      <c r="AN13" s="85"/>
      <c r="AO13" s="85"/>
      <c r="AP13" s="85"/>
      <c r="AQ13" s="85"/>
      <c r="AR13" s="85">
        <v>0</v>
      </c>
      <c r="AS13" s="85">
        <v>0</v>
      </c>
      <c r="AT13" s="83">
        <v>0</v>
      </c>
      <c r="AU13" s="34">
        <f>SUM(Tabla1[[#This Row],[Recursos propios ]:[Recursos del Balance ]])</f>
        <v>70000000</v>
      </c>
      <c r="AV13" s="86">
        <v>17500000</v>
      </c>
      <c r="AW13" s="87">
        <v>0</v>
      </c>
      <c r="AX13" s="35">
        <f>+Tabla1[[#This Row],[Total Recursos Comprometido 2025]]/Tabla1[[#This Row],[Total 2025]]</f>
        <v>0.58333333333333337</v>
      </c>
      <c r="AY13" s="36">
        <f>+Tabla1[[#This Row],[Total Recursos Obligados]]/Tabla1[[#This Row],[Total 2025]]</f>
        <v>0.14583333333333334</v>
      </c>
      <c r="AZ13" s="37">
        <f>+Tabla1[[#This Row],[Total Recursos Pagados]]/Tabla1[[#This Row],[Total 2025]]</f>
        <v>0</v>
      </c>
      <c r="BA13" s="38">
        <v>0</v>
      </c>
      <c r="BB13" s="39">
        <f>+Tabla1[[#This Row],[Total Recursos Gestionados ]]/Tabla1[[#This Row],[Total Recursos Comprometido 2025]]</f>
        <v>0</v>
      </c>
      <c r="BC13" s="40" t="s">
        <v>250</v>
      </c>
      <c r="BD13" s="41" t="s">
        <v>251</v>
      </c>
      <c r="BE13" s="42" t="s">
        <v>252</v>
      </c>
    </row>
    <row r="14" spans="1:57" s="45" customFormat="1" ht="56.1" customHeight="1">
      <c r="A14" s="29">
        <v>37</v>
      </c>
      <c r="B14" s="29" t="s">
        <v>57</v>
      </c>
      <c r="C14" s="29" t="s">
        <v>59</v>
      </c>
      <c r="D14" s="29" t="s">
        <v>72</v>
      </c>
      <c r="E14" s="29" t="s">
        <v>73</v>
      </c>
      <c r="F14" s="29" t="s">
        <v>74</v>
      </c>
      <c r="G14" s="29" t="s">
        <v>75</v>
      </c>
      <c r="H14" s="29">
        <v>320100300</v>
      </c>
      <c r="I14" s="29" t="s">
        <v>76</v>
      </c>
      <c r="J14" s="29">
        <v>28</v>
      </c>
      <c r="K14" s="29" t="s">
        <v>65</v>
      </c>
      <c r="L14" s="29" t="str">
        <f>+'[1]Plan Indicativo'!AC44</f>
        <v>Acumulativa</v>
      </c>
      <c r="M14" s="29">
        <f>+'[1]Plan Indicativo'!T44</f>
        <v>40</v>
      </c>
      <c r="N14" s="29">
        <f>+'[1]Plan Indicativo'!W44</f>
        <v>12</v>
      </c>
      <c r="O14" s="51">
        <v>12</v>
      </c>
      <c r="P14" s="44">
        <f>+Tabla1[[#This Row],[Logro Vigencia]]/Tabla1[[#This Row],[Meta Programada Vigencia]]</f>
        <v>1</v>
      </c>
      <c r="Q14" s="32"/>
      <c r="R14" s="82">
        <v>80000000</v>
      </c>
      <c r="S14" s="83"/>
      <c r="T14" s="83">
        <v>0</v>
      </c>
      <c r="U14" s="83"/>
      <c r="V14" s="83"/>
      <c r="W14" s="83"/>
      <c r="X14" s="83"/>
      <c r="Y14" s="83"/>
      <c r="Z14" s="83"/>
      <c r="AA14" s="83"/>
      <c r="AB14" s="83"/>
      <c r="AC14" s="83">
        <v>0</v>
      </c>
      <c r="AD14" s="83">
        <v>0</v>
      </c>
      <c r="AE14" s="83">
        <v>0</v>
      </c>
      <c r="AF14" s="33">
        <f>SUM(Tabla1[[#This Row],[Recursos propios]:[Recursos del Balance]])</f>
        <v>80000000</v>
      </c>
      <c r="AG14" s="84">
        <v>74583333.329999998</v>
      </c>
      <c r="AH14" s="85"/>
      <c r="AI14" s="85">
        <v>0</v>
      </c>
      <c r="AJ14" s="85"/>
      <c r="AK14" s="85"/>
      <c r="AL14" s="85"/>
      <c r="AM14" s="85"/>
      <c r="AN14" s="85"/>
      <c r="AO14" s="85"/>
      <c r="AP14" s="85"/>
      <c r="AQ14" s="85"/>
      <c r="AR14" s="85">
        <v>0</v>
      </c>
      <c r="AS14" s="85">
        <v>0</v>
      </c>
      <c r="AT14" s="83">
        <v>0</v>
      </c>
      <c r="AU14" s="34">
        <f>SUM(Tabla1[[#This Row],[Recursos propios ]:[Recursos del Balance ]])</f>
        <v>74583333.329999998</v>
      </c>
      <c r="AV14" s="86">
        <v>74583333.329999998</v>
      </c>
      <c r="AW14" s="87">
        <v>74583333.329999998</v>
      </c>
      <c r="AX14" s="35">
        <f>+Tabla1[[#This Row],[Total Recursos Comprometido 2025]]/Tabla1[[#This Row],[Total 2025]]</f>
        <v>0.93229166662499996</v>
      </c>
      <c r="AY14" s="36">
        <f>+Tabla1[[#This Row],[Total Recursos Obligados]]/Tabla1[[#This Row],[Total 2025]]</f>
        <v>0.93229166662499996</v>
      </c>
      <c r="AZ14" s="37">
        <f>+Tabla1[[#This Row],[Total Recursos Pagados]]/Tabla1[[#This Row],[Total 2025]]</f>
        <v>0.93229166662499996</v>
      </c>
      <c r="BA14" s="38">
        <v>0</v>
      </c>
      <c r="BB14" s="39">
        <f>+Tabla1[[#This Row],[Total Recursos Gestionados ]]/Tabla1[[#This Row],[Total Recursos Comprometido 2025]]</f>
        <v>0</v>
      </c>
      <c r="BC14" s="40" t="s">
        <v>250</v>
      </c>
      <c r="BD14" s="41" t="s">
        <v>251</v>
      </c>
      <c r="BE14" s="42" t="s">
        <v>253</v>
      </c>
    </row>
    <row r="15" spans="1:57" s="45" customFormat="1" ht="56.1" customHeight="1">
      <c r="A15" s="29">
        <v>38</v>
      </c>
      <c r="B15" s="29" t="s">
        <v>57</v>
      </c>
      <c r="C15" s="29" t="s">
        <v>59</v>
      </c>
      <c r="D15" s="29" t="s">
        <v>72</v>
      </c>
      <c r="E15" s="29" t="s">
        <v>73</v>
      </c>
      <c r="F15" s="29" t="s">
        <v>77</v>
      </c>
      <c r="G15" s="29" t="s">
        <v>78</v>
      </c>
      <c r="H15" s="29">
        <v>320100200</v>
      </c>
      <c r="I15" s="29" t="s">
        <v>79</v>
      </c>
      <c r="J15" s="29">
        <v>0</v>
      </c>
      <c r="K15" s="29" t="s">
        <v>65</v>
      </c>
      <c r="L15" s="29" t="str">
        <f>+'[1]Plan Indicativo'!AC45</f>
        <v>Acumulativa</v>
      </c>
      <c r="M15" s="29">
        <f>+'[1]Plan Indicativo'!T45</f>
        <v>1</v>
      </c>
      <c r="N15" s="29">
        <f>+'[1]Plan Indicativo'!W45</f>
        <v>0.5</v>
      </c>
      <c r="O15" s="51">
        <v>0.5</v>
      </c>
      <c r="P15" s="31">
        <f>+Tabla1[[#This Row],[Logro Vigencia]]/Tabla1[[#This Row],[Meta Programada Vigencia]]</f>
        <v>1</v>
      </c>
      <c r="Q15" s="32"/>
      <c r="R15" s="82">
        <v>242000000</v>
      </c>
      <c r="S15" s="83"/>
      <c r="T15" s="83">
        <v>0</v>
      </c>
      <c r="U15" s="83"/>
      <c r="V15" s="83"/>
      <c r="W15" s="83"/>
      <c r="X15" s="83"/>
      <c r="Y15" s="83"/>
      <c r="Z15" s="83"/>
      <c r="AA15" s="83"/>
      <c r="AB15" s="83"/>
      <c r="AC15" s="83">
        <v>0</v>
      </c>
      <c r="AD15" s="83">
        <v>0</v>
      </c>
      <c r="AE15" s="83">
        <v>0</v>
      </c>
      <c r="AF15" s="33">
        <f>SUM(Tabla1[[#This Row],[Recursos propios]:[Recursos del Balance]])</f>
        <v>242000000</v>
      </c>
      <c r="AG15" s="84">
        <v>156083333.33000001</v>
      </c>
      <c r="AH15" s="85"/>
      <c r="AI15" s="85">
        <v>0</v>
      </c>
      <c r="AJ15" s="85"/>
      <c r="AK15" s="85"/>
      <c r="AL15" s="85"/>
      <c r="AM15" s="85"/>
      <c r="AN15" s="85"/>
      <c r="AO15" s="85"/>
      <c r="AP15" s="85"/>
      <c r="AQ15" s="85"/>
      <c r="AR15" s="85">
        <v>0</v>
      </c>
      <c r="AS15" s="85">
        <v>0</v>
      </c>
      <c r="AT15" s="83">
        <v>0</v>
      </c>
      <c r="AU15" s="34">
        <f>SUM(Tabla1[[#This Row],[Recursos propios ]:[Recursos del Balance ]])</f>
        <v>156083333.33000001</v>
      </c>
      <c r="AV15" s="86">
        <v>156083333.33000001</v>
      </c>
      <c r="AW15" s="87">
        <v>156083333.33000001</v>
      </c>
      <c r="AX15" s="35">
        <f>+Tabla1[[#This Row],[Total Recursos Comprometido 2025]]/Tabla1[[#This Row],[Total 2025]]</f>
        <v>0.64497245177685958</v>
      </c>
      <c r="AY15" s="36">
        <f>+Tabla1[[#This Row],[Total Recursos Obligados]]/Tabla1[[#This Row],[Total 2025]]</f>
        <v>0.64497245177685958</v>
      </c>
      <c r="AZ15" s="37">
        <f>+Tabla1[[#This Row],[Total Recursos Pagados]]/Tabla1[[#This Row],[Total 2025]]</f>
        <v>0.64497245177685958</v>
      </c>
      <c r="BA15" s="38">
        <v>0</v>
      </c>
      <c r="BB15" s="39">
        <f>+Tabla1[[#This Row],[Total Recursos Gestionados ]]/Tabla1[[#This Row],[Total Recursos Comprometido 2025]]</f>
        <v>0</v>
      </c>
      <c r="BC15" s="40" t="s">
        <v>250</v>
      </c>
      <c r="BD15" s="41" t="s">
        <v>251</v>
      </c>
      <c r="BE15" s="42" t="s">
        <v>253</v>
      </c>
    </row>
    <row r="16" spans="1:57" s="45" customFormat="1" ht="56.1" customHeight="1">
      <c r="A16" s="29">
        <v>39</v>
      </c>
      <c r="B16" s="29" t="s">
        <v>57</v>
      </c>
      <c r="C16" s="29" t="s">
        <v>59</v>
      </c>
      <c r="D16" s="29" t="s">
        <v>80</v>
      </c>
      <c r="E16" s="29" t="s">
        <v>81</v>
      </c>
      <c r="F16" s="29" t="s">
        <v>82</v>
      </c>
      <c r="G16" s="29" t="s">
        <v>83</v>
      </c>
      <c r="H16" s="29">
        <v>320204300</v>
      </c>
      <c r="I16" s="29" t="s">
        <v>84</v>
      </c>
      <c r="J16" s="29" t="s">
        <v>85</v>
      </c>
      <c r="K16" s="29" t="s">
        <v>86</v>
      </c>
      <c r="L16" s="29" t="str">
        <f>+'[1]Plan Indicativo'!AC46</f>
        <v>No Acumulativa</v>
      </c>
      <c r="M16" s="29">
        <f>+'[1]Plan Indicativo'!T46</f>
        <v>986.23</v>
      </c>
      <c r="N16" s="29">
        <f>+'[1]Plan Indicativo'!W46</f>
        <v>723.96</v>
      </c>
      <c r="O16" s="30">
        <v>723.96</v>
      </c>
      <c r="P16" s="44">
        <f>+Tabla1[[#This Row],[Logro Vigencia]]/Tabla1[[#This Row],[Meta Programada Vigencia]]</f>
        <v>1</v>
      </c>
      <c r="Q16" s="32"/>
      <c r="R16" s="82">
        <v>3420000000</v>
      </c>
      <c r="S16" s="83"/>
      <c r="T16" s="83">
        <v>0</v>
      </c>
      <c r="U16" s="83"/>
      <c r="V16" s="83"/>
      <c r="W16" s="83"/>
      <c r="X16" s="83"/>
      <c r="Y16" s="83"/>
      <c r="Z16" s="83"/>
      <c r="AA16" s="83"/>
      <c r="AB16" s="83"/>
      <c r="AC16" s="83">
        <v>0</v>
      </c>
      <c r="AD16" s="83">
        <v>0</v>
      </c>
      <c r="AE16" s="83">
        <v>2000000000</v>
      </c>
      <c r="AF16" s="33">
        <f>SUM(Tabla1[[#This Row],[Recursos propios]:[Recursos del Balance]])</f>
        <v>5420000000</v>
      </c>
      <c r="AG16" s="84">
        <v>800888900</v>
      </c>
      <c r="AH16" s="85"/>
      <c r="AI16" s="85">
        <v>0</v>
      </c>
      <c r="AJ16" s="85"/>
      <c r="AK16" s="85"/>
      <c r="AL16" s="85"/>
      <c r="AM16" s="85"/>
      <c r="AN16" s="85"/>
      <c r="AO16" s="85"/>
      <c r="AP16" s="85"/>
      <c r="AQ16" s="85"/>
      <c r="AR16" s="85">
        <v>0</v>
      </c>
      <c r="AS16" s="85">
        <v>0</v>
      </c>
      <c r="AT16" s="83">
        <v>0</v>
      </c>
      <c r="AU16" s="34">
        <f>SUM(Tabla1[[#This Row],[Recursos propios ]:[Recursos del Balance ]])</f>
        <v>800888900</v>
      </c>
      <c r="AV16" s="86">
        <v>352243200</v>
      </c>
      <c r="AW16" s="87">
        <v>352243200</v>
      </c>
      <c r="AX16" s="35">
        <f>+Tabla1[[#This Row],[Total Recursos Comprometido 2025]]/Tabla1[[#This Row],[Total 2025]]</f>
        <v>0.14776547970479706</v>
      </c>
      <c r="AY16" s="36">
        <f>+Tabla1[[#This Row],[Total Recursos Obligados]]/Tabla1[[#This Row],[Total 2025]]</f>
        <v>6.4989520295202954E-2</v>
      </c>
      <c r="AZ16" s="37">
        <f>+Tabla1[[#This Row],[Total Recursos Pagados]]/Tabla1[[#This Row],[Total 2025]]</f>
        <v>6.4989520295202954E-2</v>
      </c>
      <c r="BA16" s="38">
        <v>0</v>
      </c>
      <c r="BB16" s="39">
        <f>+Tabla1[[#This Row],[Total Recursos Gestionados ]]/Tabla1[[#This Row],[Total Recursos Comprometido 2025]]</f>
        <v>0</v>
      </c>
      <c r="BC16" s="40" t="s">
        <v>250</v>
      </c>
      <c r="BD16" s="41" t="s">
        <v>251</v>
      </c>
      <c r="BE16" s="42" t="s">
        <v>254</v>
      </c>
    </row>
    <row r="17" spans="1:57" s="45" customFormat="1" ht="56.1" customHeight="1">
      <c r="A17" s="29">
        <v>40</v>
      </c>
      <c r="B17" s="29" t="s">
        <v>57</v>
      </c>
      <c r="C17" s="29" t="s">
        <v>59</v>
      </c>
      <c r="D17" s="29" t="s">
        <v>80</v>
      </c>
      <c r="E17" s="29" t="s">
        <v>81</v>
      </c>
      <c r="F17" s="29" t="s">
        <v>87</v>
      </c>
      <c r="G17" s="29" t="s">
        <v>88</v>
      </c>
      <c r="H17" s="29">
        <v>320204900</v>
      </c>
      <c r="I17" s="29" t="s">
        <v>89</v>
      </c>
      <c r="J17" s="29">
        <v>0</v>
      </c>
      <c r="K17" s="29" t="s">
        <v>86</v>
      </c>
      <c r="L17" s="29" t="str">
        <f>+'[1]Plan Indicativo'!AC47</f>
        <v>Acumulativa</v>
      </c>
      <c r="M17" s="29">
        <f>+'[1]Plan Indicativo'!T47</f>
        <v>20</v>
      </c>
      <c r="N17" s="29">
        <f>+'[1]Plan Indicativo'!W47</f>
        <v>5</v>
      </c>
      <c r="O17" s="30">
        <v>8.3800000000000008</v>
      </c>
      <c r="P17" s="31">
        <f>+Tabla1[[#This Row],[Logro Vigencia]]/Tabla1[[#This Row],[Meta Programada Vigencia]]</f>
        <v>1.6760000000000002</v>
      </c>
      <c r="Q17" s="32"/>
      <c r="R17" s="82">
        <v>120000000</v>
      </c>
      <c r="S17" s="83"/>
      <c r="T17" s="83">
        <v>0</v>
      </c>
      <c r="U17" s="83"/>
      <c r="V17" s="83"/>
      <c r="W17" s="83"/>
      <c r="X17" s="83"/>
      <c r="Y17" s="83"/>
      <c r="Z17" s="83"/>
      <c r="AA17" s="83"/>
      <c r="AB17" s="83"/>
      <c r="AC17" s="83">
        <v>0</v>
      </c>
      <c r="AD17" s="83">
        <v>0</v>
      </c>
      <c r="AE17" s="83">
        <v>103860000</v>
      </c>
      <c r="AF17" s="33">
        <f>SUM(Tabla1[[#This Row],[Recursos propios]:[Recursos del Balance]])</f>
        <v>223860000</v>
      </c>
      <c r="AG17" s="84">
        <v>105600000</v>
      </c>
      <c r="AH17" s="85"/>
      <c r="AI17" s="85">
        <v>0</v>
      </c>
      <c r="AJ17" s="85"/>
      <c r="AK17" s="85"/>
      <c r="AL17" s="85"/>
      <c r="AM17" s="85"/>
      <c r="AN17" s="85"/>
      <c r="AO17" s="85"/>
      <c r="AP17" s="85"/>
      <c r="AQ17" s="85"/>
      <c r="AR17" s="85">
        <v>0</v>
      </c>
      <c r="AS17" s="85">
        <v>0</v>
      </c>
      <c r="AT17" s="83">
        <v>54453333.329999998</v>
      </c>
      <c r="AU17" s="34">
        <f>SUM(Tabla1[[#This Row],[Recursos propios ]:[Recursos del Balance ]])</f>
        <v>160053333.32999998</v>
      </c>
      <c r="AV17" s="86">
        <v>160053333.32999998</v>
      </c>
      <c r="AW17" s="87">
        <v>160053333.32999998</v>
      </c>
      <c r="AX17" s="35">
        <f>+Tabla1[[#This Row],[Total Recursos Comprometido 2025]]/Tabla1[[#This Row],[Total 2025]]</f>
        <v>0.71497066617528804</v>
      </c>
      <c r="AY17" s="36">
        <f>+Tabla1[[#This Row],[Total Recursos Obligados]]/Tabla1[[#This Row],[Total 2025]]</f>
        <v>0.71497066617528804</v>
      </c>
      <c r="AZ17" s="37">
        <f>+Tabla1[[#This Row],[Total Recursos Pagados]]/Tabla1[[#This Row],[Total 2025]]</f>
        <v>0.71497066617528804</v>
      </c>
      <c r="BA17" s="38">
        <v>0</v>
      </c>
      <c r="BB17" s="39">
        <f>+Tabla1[[#This Row],[Total Recursos Gestionados ]]/Tabla1[[#This Row],[Total Recursos Comprometido 2025]]</f>
        <v>0</v>
      </c>
      <c r="BC17" s="40" t="s">
        <v>250</v>
      </c>
      <c r="BD17" s="41" t="s">
        <v>251</v>
      </c>
      <c r="BE17" s="42" t="s">
        <v>254</v>
      </c>
    </row>
    <row r="18" spans="1:57" s="45" customFormat="1" ht="56.1" customHeight="1">
      <c r="A18" s="29">
        <v>41</v>
      </c>
      <c r="B18" s="29" t="s">
        <v>57</v>
      </c>
      <c r="C18" s="29" t="s">
        <v>59</v>
      </c>
      <c r="D18" s="29" t="s">
        <v>80</v>
      </c>
      <c r="E18" s="29" t="s">
        <v>81</v>
      </c>
      <c r="F18" s="29" t="s">
        <v>90</v>
      </c>
      <c r="G18" s="29" t="s">
        <v>91</v>
      </c>
      <c r="H18" s="29">
        <v>320204500</v>
      </c>
      <c r="I18" s="29" t="s">
        <v>92</v>
      </c>
      <c r="J18" s="29">
        <v>0</v>
      </c>
      <c r="K18" s="29" t="s">
        <v>86</v>
      </c>
      <c r="L18" s="29" t="str">
        <f>+'[1]Plan Indicativo'!AC48</f>
        <v>Acumulativa</v>
      </c>
      <c r="M18" s="29">
        <f>+'[1]Plan Indicativo'!T48</f>
        <v>10</v>
      </c>
      <c r="N18" s="29">
        <f>+'[1]Plan Indicativo'!W48</f>
        <v>3</v>
      </c>
      <c r="O18" s="30">
        <v>6.1</v>
      </c>
      <c r="P18" s="44">
        <f>+Tabla1[[#This Row],[Logro Vigencia]]/Tabla1[[#This Row],[Meta Programada Vigencia]]</f>
        <v>2.0333333333333332</v>
      </c>
      <c r="Q18" s="32"/>
      <c r="R18" s="82">
        <v>150000000</v>
      </c>
      <c r="S18" s="83"/>
      <c r="T18" s="83">
        <v>0</v>
      </c>
      <c r="U18" s="83"/>
      <c r="V18" s="83"/>
      <c r="W18" s="83"/>
      <c r="X18" s="83"/>
      <c r="Y18" s="83"/>
      <c r="Z18" s="83"/>
      <c r="AA18" s="83"/>
      <c r="AB18" s="83"/>
      <c r="AC18" s="83">
        <v>0</v>
      </c>
      <c r="AD18" s="83">
        <v>0</v>
      </c>
      <c r="AE18" s="83">
        <v>12750000</v>
      </c>
      <c r="AF18" s="33">
        <f>SUM(Tabla1[[#This Row],[Recursos propios]:[Recursos del Balance]])</f>
        <v>162750000</v>
      </c>
      <c r="AG18" s="84">
        <v>118333333.37</v>
      </c>
      <c r="AH18" s="85"/>
      <c r="AI18" s="85">
        <v>0</v>
      </c>
      <c r="AJ18" s="85"/>
      <c r="AK18" s="85"/>
      <c r="AL18" s="85"/>
      <c r="AM18" s="85"/>
      <c r="AN18" s="85"/>
      <c r="AO18" s="85"/>
      <c r="AP18" s="85"/>
      <c r="AQ18" s="85"/>
      <c r="AR18" s="85">
        <v>0</v>
      </c>
      <c r="AS18" s="85">
        <v>0</v>
      </c>
      <c r="AT18" s="83">
        <v>7500000</v>
      </c>
      <c r="AU18" s="34">
        <f>SUM(Tabla1[[#This Row],[Recursos propios ]:[Recursos del Balance ]])</f>
        <v>125833333.37</v>
      </c>
      <c r="AV18" s="86">
        <v>125833333.37</v>
      </c>
      <c r="AW18" s="87">
        <v>125666666.7</v>
      </c>
      <c r="AX18" s="35">
        <f>+Tabla1[[#This Row],[Total Recursos Comprometido 2025]]/Tabla1[[#This Row],[Total 2025]]</f>
        <v>0.77316948307219668</v>
      </c>
      <c r="AY18" s="36">
        <f>+Tabla1[[#This Row],[Total Recursos Obligados]]/Tabla1[[#This Row],[Total 2025]]</f>
        <v>0.77316948307219668</v>
      </c>
      <c r="AZ18" s="37">
        <f>+Tabla1[[#This Row],[Total Recursos Pagados]]/Tabla1[[#This Row],[Total 2025]]</f>
        <v>0.77214541751152077</v>
      </c>
      <c r="BA18" s="38">
        <v>0</v>
      </c>
      <c r="BB18" s="39">
        <f>+Tabla1[[#This Row],[Total Recursos Gestionados ]]/Tabla1[[#This Row],[Total Recursos Comprometido 2025]]</f>
        <v>0</v>
      </c>
      <c r="BC18" s="40" t="s">
        <v>250</v>
      </c>
      <c r="BD18" s="41" t="s">
        <v>251</v>
      </c>
      <c r="BE18" s="42" t="s">
        <v>254</v>
      </c>
    </row>
    <row r="19" spans="1:57" s="45" customFormat="1" ht="56.1" customHeight="1">
      <c r="A19" s="29">
        <v>42</v>
      </c>
      <c r="B19" s="29" t="s">
        <v>57</v>
      </c>
      <c r="C19" s="29" t="s">
        <v>59</v>
      </c>
      <c r="D19" s="29" t="s">
        <v>93</v>
      </c>
      <c r="E19" s="29" t="s">
        <v>94</v>
      </c>
      <c r="F19" s="29" t="s">
        <v>95</v>
      </c>
      <c r="G19" s="29" t="s">
        <v>96</v>
      </c>
      <c r="H19" s="29">
        <v>320303400</v>
      </c>
      <c r="I19" s="29" t="s">
        <v>97</v>
      </c>
      <c r="J19" s="29">
        <v>0</v>
      </c>
      <c r="K19" s="29" t="s">
        <v>65</v>
      </c>
      <c r="L19" s="29" t="str">
        <f>+'[1]Plan Indicativo'!AC49</f>
        <v>Acumulativa</v>
      </c>
      <c r="M19" s="29">
        <f>+'[1]Plan Indicativo'!T49</f>
        <v>4</v>
      </c>
      <c r="N19" s="29">
        <f>+'[1]Plan Indicativo'!W49</f>
        <v>1</v>
      </c>
      <c r="O19" s="30">
        <v>1</v>
      </c>
      <c r="P19" s="31">
        <f>+Tabla1[[#This Row],[Logro Vigencia]]/Tabla1[[#This Row],[Meta Programada Vigencia]]</f>
        <v>1</v>
      </c>
      <c r="Q19" s="32"/>
      <c r="R19" s="82">
        <v>364939077</v>
      </c>
      <c r="S19" s="83"/>
      <c r="T19" s="83">
        <v>0</v>
      </c>
      <c r="U19" s="83"/>
      <c r="V19" s="83"/>
      <c r="W19" s="83"/>
      <c r="X19" s="83"/>
      <c r="Y19" s="83"/>
      <c r="Z19" s="83"/>
      <c r="AA19" s="83"/>
      <c r="AB19" s="83"/>
      <c r="AC19" s="83">
        <v>0</v>
      </c>
      <c r="AD19" s="83">
        <v>0</v>
      </c>
      <c r="AE19" s="83">
        <v>5000000</v>
      </c>
      <c r="AF19" s="33">
        <f>SUM(Tabla1[[#This Row],[Recursos propios]:[Recursos del Balance]])</f>
        <v>369939077</v>
      </c>
      <c r="AG19" s="84">
        <v>296133333.33999997</v>
      </c>
      <c r="AH19" s="85"/>
      <c r="AI19" s="85">
        <v>0</v>
      </c>
      <c r="AJ19" s="85"/>
      <c r="AK19" s="85"/>
      <c r="AL19" s="85"/>
      <c r="AM19" s="85"/>
      <c r="AN19" s="85"/>
      <c r="AO19" s="85"/>
      <c r="AP19" s="85"/>
      <c r="AQ19" s="85"/>
      <c r="AR19" s="85">
        <v>0</v>
      </c>
      <c r="AS19" s="85">
        <v>0</v>
      </c>
      <c r="AT19" s="83">
        <v>1386666.67</v>
      </c>
      <c r="AU19" s="34">
        <f>SUM(Tabla1[[#This Row],[Recursos propios ]:[Recursos del Balance ]])</f>
        <v>297520000.00999999</v>
      </c>
      <c r="AV19" s="86">
        <v>297520000.00999999</v>
      </c>
      <c r="AW19" s="87">
        <v>292466666.67000002</v>
      </c>
      <c r="AX19" s="35">
        <f>+Tabla1[[#This Row],[Total Recursos Comprometido 2025]]/Tabla1[[#This Row],[Total 2025]]</f>
        <v>0.80424053177274912</v>
      </c>
      <c r="AY19" s="36">
        <f>+Tabla1[[#This Row],[Total Recursos Obligados]]/Tabla1[[#This Row],[Total 2025]]</f>
        <v>0.80424053177274912</v>
      </c>
      <c r="AZ19" s="37">
        <f>+Tabla1[[#This Row],[Total Recursos Pagados]]/Tabla1[[#This Row],[Total 2025]]</f>
        <v>0.79058062490111047</v>
      </c>
      <c r="BA19" s="38">
        <v>0</v>
      </c>
      <c r="BB19" s="39">
        <f>+Tabla1[[#This Row],[Total Recursos Gestionados ]]/Tabla1[[#This Row],[Total Recursos Comprometido 2025]]</f>
        <v>0</v>
      </c>
      <c r="BC19" s="40" t="s">
        <v>250</v>
      </c>
      <c r="BD19" s="41" t="s">
        <v>251</v>
      </c>
      <c r="BE19" s="42" t="s">
        <v>255</v>
      </c>
    </row>
    <row r="20" spans="1:57" s="45" customFormat="1" ht="56.1" customHeight="1">
      <c r="A20" s="29">
        <v>43</v>
      </c>
      <c r="B20" s="29" t="s">
        <v>57</v>
      </c>
      <c r="C20" s="29" t="s">
        <v>59</v>
      </c>
      <c r="D20" s="29" t="s">
        <v>93</v>
      </c>
      <c r="E20" s="29" t="s">
        <v>94</v>
      </c>
      <c r="F20" s="29" t="s">
        <v>98</v>
      </c>
      <c r="G20" s="29" t="s">
        <v>99</v>
      </c>
      <c r="H20" s="29">
        <v>320305000</v>
      </c>
      <c r="I20" s="29" t="s">
        <v>100</v>
      </c>
      <c r="J20" s="29">
        <v>12276</v>
      </c>
      <c r="K20" s="29" t="s">
        <v>86</v>
      </c>
      <c r="L20" s="29" t="str">
        <f>+'[1]Plan Indicativo'!AC50</f>
        <v>Acumulativa</v>
      </c>
      <c r="M20" s="29">
        <f>+'[1]Plan Indicativo'!T50</f>
        <v>800</v>
      </c>
      <c r="N20" s="29">
        <f>+'[1]Plan Indicativo'!W50</f>
        <v>210.12</v>
      </c>
      <c r="O20" s="30">
        <v>135.12</v>
      </c>
      <c r="P20" s="44">
        <f>+Tabla1[[#This Row],[Logro Vigencia]]/Tabla1[[#This Row],[Meta Programada Vigencia]]</f>
        <v>0.64306110793832094</v>
      </c>
      <c r="Q20" s="32"/>
      <c r="R20" s="82">
        <v>2450866842</v>
      </c>
      <c r="S20" s="83"/>
      <c r="T20" s="83">
        <v>0</v>
      </c>
      <c r="U20" s="83"/>
      <c r="V20" s="83"/>
      <c r="W20" s="83"/>
      <c r="X20" s="83"/>
      <c r="Y20" s="83"/>
      <c r="Z20" s="83"/>
      <c r="AA20" s="83"/>
      <c r="AB20" s="83"/>
      <c r="AC20" s="83">
        <v>0</v>
      </c>
      <c r="AD20" s="83">
        <v>0</v>
      </c>
      <c r="AE20" s="83">
        <v>3388751104.3600001</v>
      </c>
      <c r="AF20" s="33">
        <f>SUM(Tabla1[[#This Row],[Recursos propios]:[Recursos del Balance]])</f>
        <v>5839617946.3600006</v>
      </c>
      <c r="AG20" s="84">
        <v>1062104541.5</v>
      </c>
      <c r="AH20" s="85"/>
      <c r="AI20" s="85">
        <v>0</v>
      </c>
      <c r="AJ20" s="85"/>
      <c r="AK20" s="85"/>
      <c r="AL20" s="85"/>
      <c r="AM20" s="85"/>
      <c r="AN20" s="85"/>
      <c r="AO20" s="85"/>
      <c r="AP20" s="85"/>
      <c r="AQ20" s="85"/>
      <c r="AR20" s="85">
        <v>0</v>
      </c>
      <c r="AS20" s="85">
        <v>0</v>
      </c>
      <c r="AT20" s="83">
        <v>0</v>
      </c>
      <c r="AU20" s="34">
        <f>SUM(Tabla1[[#This Row],[Recursos propios ]:[Recursos del Balance ]])</f>
        <v>1062104541.5</v>
      </c>
      <c r="AV20" s="86">
        <v>1062104541.5</v>
      </c>
      <c r="AW20" s="87">
        <v>1062104541.5</v>
      </c>
      <c r="AX20" s="35">
        <f>+Tabla1[[#This Row],[Total Recursos Comprometido 2025]]/Tabla1[[#This Row],[Total 2025]]</f>
        <v>0.18187911456810971</v>
      </c>
      <c r="AY20" s="36">
        <f>+Tabla1[[#This Row],[Total Recursos Obligados]]/Tabla1[[#This Row],[Total 2025]]</f>
        <v>0.18187911456810971</v>
      </c>
      <c r="AZ20" s="37">
        <f>+Tabla1[[#This Row],[Total Recursos Pagados]]/Tabla1[[#This Row],[Total 2025]]</f>
        <v>0.18187911456810971</v>
      </c>
      <c r="BA20" s="38">
        <v>0</v>
      </c>
      <c r="BB20" s="39">
        <f>+Tabla1[[#This Row],[Total Recursos Gestionados ]]/Tabla1[[#This Row],[Total Recursos Comprometido 2025]]</f>
        <v>0</v>
      </c>
      <c r="BC20" s="40" t="s">
        <v>250</v>
      </c>
      <c r="BD20" s="41" t="s">
        <v>251</v>
      </c>
      <c r="BE20" s="42" t="s">
        <v>255</v>
      </c>
    </row>
    <row r="21" spans="1:57" s="45" customFormat="1" ht="56.1" customHeight="1">
      <c r="A21" s="29">
        <v>44</v>
      </c>
      <c r="B21" s="29" t="s">
        <v>57</v>
      </c>
      <c r="C21" s="29" t="s">
        <v>59</v>
      </c>
      <c r="D21" s="29" t="s">
        <v>93</v>
      </c>
      <c r="E21" s="29" t="s">
        <v>94</v>
      </c>
      <c r="F21" s="29" t="s">
        <v>101</v>
      </c>
      <c r="G21" s="29" t="s">
        <v>102</v>
      </c>
      <c r="H21" s="29">
        <v>320303300</v>
      </c>
      <c r="I21" s="29" t="s">
        <v>103</v>
      </c>
      <c r="J21" s="29">
        <v>1</v>
      </c>
      <c r="K21" s="29" t="s">
        <v>65</v>
      </c>
      <c r="L21" s="29" t="str">
        <f>+'[1]Plan Indicativo'!AC51</f>
        <v>Acumulativa</v>
      </c>
      <c r="M21" s="29">
        <f>+'[1]Plan Indicativo'!T51</f>
        <v>4</v>
      </c>
      <c r="N21" s="29">
        <f>+'[1]Plan Indicativo'!W51</f>
        <v>1</v>
      </c>
      <c r="O21" s="30">
        <v>1</v>
      </c>
      <c r="P21" s="31">
        <f>+Tabla1[[#This Row],[Logro Vigencia]]/Tabla1[[#This Row],[Meta Programada Vigencia]]</f>
        <v>1</v>
      </c>
      <c r="Q21" s="32"/>
      <c r="R21" s="82">
        <v>50000000</v>
      </c>
      <c r="S21" s="83"/>
      <c r="T21" s="83">
        <v>0</v>
      </c>
      <c r="U21" s="83"/>
      <c r="V21" s="83"/>
      <c r="W21" s="83"/>
      <c r="X21" s="83"/>
      <c r="Y21" s="83"/>
      <c r="Z21" s="83"/>
      <c r="AA21" s="83"/>
      <c r="AB21" s="83"/>
      <c r="AC21" s="83">
        <v>0</v>
      </c>
      <c r="AD21" s="83">
        <v>0</v>
      </c>
      <c r="AE21" s="83">
        <v>14000000</v>
      </c>
      <c r="AF21" s="33">
        <f>SUM(Tabla1[[#This Row],[Recursos propios]:[Recursos del Balance]])</f>
        <v>64000000</v>
      </c>
      <c r="AG21" s="84">
        <v>47466666.670000002</v>
      </c>
      <c r="AH21" s="85"/>
      <c r="AI21" s="85">
        <v>0</v>
      </c>
      <c r="AJ21" s="85"/>
      <c r="AK21" s="85"/>
      <c r="AL21" s="85"/>
      <c r="AM21" s="85"/>
      <c r="AN21" s="85"/>
      <c r="AO21" s="85"/>
      <c r="AP21" s="85"/>
      <c r="AQ21" s="85"/>
      <c r="AR21" s="85">
        <v>0</v>
      </c>
      <c r="AS21" s="85">
        <v>0</v>
      </c>
      <c r="AT21" s="83">
        <v>11733333.33</v>
      </c>
      <c r="AU21" s="34">
        <f>SUM(Tabla1[[#This Row],[Recursos propios ]:[Recursos del Balance ]])</f>
        <v>59200000</v>
      </c>
      <c r="AV21" s="86">
        <v>59200000</v>
      </c>
      <c r="AW21" s="87">
        <v>57386666.670000002</v>
      </c>
      <c r="AX21" s="35">
        <f>+Tabla1[[#This Row],[Total Recursos Comprometido 2025]]/Tabla1[[#This Row],[Total 2025]]</f>
        <v>0.92500000000000004</v>
      </c>
      <c r="AY21" s="36">
        <f>+Tabla1[[#This Row],[Total Recursos Obligados]]/Tabla1[[#This Row],[Total 2025]]</f>
        <v>0.92500000000000004</v>
      </c>
      <c r="AZ21" s="37">
        <f>+Tabla1[[#This Row],[Total Recursos Pagados]]/Tabla1[[#This Row],[Total 2025]]</f>
        <v>0.89666666671875006</v>
      </c>
      <c r="BA21" s="38">
        <v>0</v>
      </c>
      <c r="BB21" s="39">
        <f>+Tabla1[[#This Row],[Total Recursos Gestionados ]]/Tabla1[[#This Row],[Total Recursos Comprometido 2025]]</f>
        <v>0</v>
      </c>
      <c r="BC21" s="40" t="s">
        <v>250</v>
      </c>
      <c r="BD21" s="41" t="s">
        <v>251</v>
      </c>
      <c r="BE21" s="42" t="s">
        <v>255</v>
      </c>
    </row>
    <row r="22" spans="1:57" s="45" customFormat="1" ht="56.1" customHeight="1">
      <c r="A22" s="29">
        <v>45</v>
      </c>
      <c r="B22" s="29" t="s">
        <v>57</v>
      </c>
      <c r="C22" s="29" t="s">
        <v>59</v>
      </c>
      <c r="D22" s="29" t="s">
        <v>104</v>
      </c>
      <c r="E22" s="29" t="s">
        <v>105</v>
      </c>
      <c r="F22" s="29" t="s">
        <v>106</v>
      </c>
      <c r="G22" s="29" t="s">
        <v>107</v>
      </c>
      <c r="H22" s="29">
        <v>320600300</v>
      </c>
      <c r="I22" s="29" t="s">
        <v>108</v>
      </c>
      <c r="J22" s="29">
        <v>0</v>
      </c>
      <c r="K22" s="29" t="s">
        <v>65</v>
      </c>
      <c r="L22" s="29" t="str">
        <f>+'[1]Plan Indicativo'!AC52</f>
        <v>Acumulativa</v>
      </c>
      <c r="M22" s="29">
        <f>+'[1]Plan Indicativo'!T52</f>
        <v>4</v>
      </c>
      <c r="N22" s="29">
        <f>+'[1]Plan Indicativo'!W52</f>
        <v>1</v>
      </c>
      <c r="O22" s="30">
        <v>0.7</v>
      </c>
      <c r="P22" s="44">
        <f>+Tabla1[[#This Row],[Logro Vigencia]]/Tabla1[[#This Row],[Meta Programada Vigencia]]</f>
        <v>0.7</v>
      </c>
      <c r="Q22" s="32"/>
      <c r="R22" s="82">
        <v>838000000</v>
      </c>
      <c r="S22" s="83"/>
      <c r="T22" s="83">
        <v>0</v>
      </c>
      <c r="U22" s="83"/>
      <c r="V22" s="83"/>
      <c r="W22" s="83"/>
      <c r="X22" s="83"/>
      <c r="Y22" s="83"/>
      <c r="Z22" s="83"/>
      <c r="AA22" s="83"/>
      <c r="AB22" s="83"/>
      <c r="AC22" s="83">
        <v>0</v>
      </c>
      <c r="AD22" s="83">
        <v>0</v>
      </c>
      <c r="AE22" s="83">
        <v>17500000</v>
      </c>
      <c r="AF22" s="33">
        <f>SUM(Tabla1[[#This Row],[Recursos propios]:[Recursos del Balance]])</f>
        <v>855500000</v>
      </c>
      <c r="AG22" s="84">
        <v>451678207.67000002</v>
      </c>
      <c r="AH22" s="85"/>
      <c r="AI22" s="85">
        <v>0</v>
      </c>
      <c r="AJ22" s="85"/>
      <c r="AK22" s="85"/>
      <c r="AL22" s="85"/>
      <c r="AM22" s="85"/>
      <c r="AN22" s="85"/>
      <c r="AO22" s="85"/>
      <c r="AP22" s="85"/>
      <c r="AQ22" s="85"/>
      <c r="AR22" s="85">
        <v>0</v>
      </c>
      <c r="AS22" s="85">
        <v>0</v>
      </c>
      <c r="AT22" s="83">
        <v>0</v>
      </c>
      <c r="AU22" s="34">
        <f>SUM(Tabla1[[#This Row],[Recursos propios ]:[Recursos del Balance ]])</f>
        <v>451678207.67000002</v>
      </c>
      <c r="AV22" s="86">
        <v>437666666.67000002</v>
      </c>
      <c r="AW22" s="87">
        <v>435333333.33999997</v>
      </c>
      <c r="AX22" s="35">
        <f>+Tabla1[[#This Row],[Total Recursos Comprometido 2025]]/Tabla1[[#This Row],[Total 2025]]</f>
        <v>0.52796985116306261</v>
      </c>
      <c r="AY22" s="36">
        <f>+Tabla1[[#This Row],[Total Recursos Obligados]]/Tabla1[[#This Row],[Total 2025]]</f>
        <v>0.51159166180011695</v>
      </c>
      <c r="AZ22" s="37">
        <f>+Tabla1[[#This Row],[Total Recursos Pagados]]/Tabla1[[#This Row],[Total 2025]]</f>
        <v>0.5088642119696084</v>
      </c>
      <c r="BA22" s="38">
        <v>0</v>
      </c>
      <c r="BB22" s="39">
        <f>+Tabla1[[#This Row],[Total Recursos Gestionados ]]/Tabla1[[#This Row],[Total Recursos Comprometido 2025]]</f>
        <v>0</v>
      </c>
      <c r="BC22" s="40" t="s">
        <v>250</v>
      </c>
      <c r="BD22" s="41" t="s">
        <v>251</v>
      </c>
      <c r="BE22" s="42">
        <v>13</v>
      </c>
    </row>
    <row r="23" spans="1:57" s="45" customFormat="1" ht="56.1" customHeight="1">
      <c r="A23" s="29">
        <v>46</v>
      </c>
      <c r="B23" s="29" t="s">
        <v>57</v>
      </c>
      <c r="C23" s="29" t="s">
        <v>59</v>
      </c>
      <c r="D23" s="29" t="s">
        <v>109</v>
      </c>
      <c r="E23" s="29" t="s">
        <v>110</v>
      </c>
      <c r="F23" s="29" t="s">
        <v>111</v>
      </c>
      <c r="G23" s="29" t="s">
        <v>112</v>
      </c>
      <c r="H23" s="29">
        <v>320800600</v>
      </c>
      <c r="I23" s="29" t="s">
        <v>113</v>
      </c>
      <c r="J23" s="29">
        <v>0</v>
      </c>
      <c r="K23" s="29" t="s">
        <v>65</v>
      </c>
      <c r="L23" s="29" t="str">
        <f>+'[1]Plan Indicativo'!AC53</f>
        <v>No Acumulativa</v>
      </c>
      <c r="M23" s="29">
        <f>+'[1]Plan Indicativo'!T53</f>
        <v>3</v>
      </c>
      <c r="N23" s="29">
        <f>+'[1]Plan Indicativo'!W53</f>
        <v>3</v>
      </c>
      <c r="O23" s="30">
        <v>3</v>
      </c>
      <c r="P23" s="31">
        <f>+Tabla1[[#This Row],[Logro Vigencia]]/Tabla1[[#This Row],[Meta Programada Vigencia]]</f>
        <v>1</v>
      </c>
      <c r="Q23" s="32"/>
      <c r="R23" s="82">
        <v>284467736</v>
      </c>
      <c r="S23" s="83"/>
      <c r="T23" s="83">
        <v>0</v>
      </c>
      <c r="U23" s="83"/>
      <c r="V23" s="83"/>
      <c r="W23" s="83"/>
      <c r="X23" s="83"/>
      <c r="Y23" s="83"/>
      <c r="Z23" s="83"/>
      <c r="AA23" s="83"/>
      <c r="AB23" s="83"/>
      <c r="AC23" s="83">
        <v>0</v>
      </c>
      <c r="AD23" s="83">
        <v>0</v>
      </c>
      <c r="AE23" s="83">
        <v>840865973.90999997</v>
      </c>
      <c r="AF23" s="33">
        <f>SUM(Tabla1[[#This Row],[Recursos propios]:[Recursos del Balance]])</f>
        <v>1125333709.9099998</v>
      </c>
      <c r="AG23" s="84">
        <v>277483333.32999998</v>
      </c>
      <c r="AH23" s="85"/>
      <c r="AI23" s="85">
        <v>0</v>
      </c>
      <c r="AJ23" s="85"/>
      <c r="AK23" s="85"/>
      <c r="AL23" s="85"/>
      <c r="AM23" s="85"/>
      <c r="AN23" s="85"/>
      <c r="AO23" s="85"/>
      <c r="AP23" s="85"/>
      <c r="AQ23" s="85"/>
      <c r="AR23" s="85">
        <v>0</v>
      </c>
      <c r="AS23" s="85">
        <v>0</v>
      </c>
      <c r="AT23" s="83">
        <v>833783321.99000001</v>
      </c>
      <c r="AU23" s="34">
        <f>SUM(Tabla1[[#This Row],[Recursos propios ]:[Recursos del Balance ]])</f>
        <v>1111266655.3199999</v>
      </c>
      <c r="AV23" s="86">
        <v>866276600.99000001</v>
      </c>
      <c r="AW23" s="87">
        <v>852193267.65999997</v>
      </c>
      <c r="AX23" s="35">
        <f>+Tabla1[[#This Row],[Total Recursos Comprometido 2025]]/Tabla1[[#This Row],[Total 2025]]</f>
        <v>0.98749965946445795</v>
      </c>
      <c r="AY23" s="36">
        <f>+Tabla1[[#This Row],[Total Recursos Obligados]]/Tabla1[[#This Row],[Total 2025]]</f>
        <v>0.76979530015081632</v>
      </c>
      <c r="AZ23" s="37">
        <f>+Tabla1[[#This Row],[Total Recursos Pagados]]/Tabla1[[#This Row],[Total 2025]]</f>
        <v>0.75728049391513863</v>
      </c>
      <c r="BA23" s="38">
        <v>0</v>
      </c>
      <c r="BB23" s="39">
        <f>+Tabla1[[#This Row],[Total Recursos Gestionados ]]/Tabla1[[#This Row],[Total Recursos Comprometido 2025]]</f>
        <v>0</v>
      </c>
      <c r="BC23" s="40" t="s">
        <v>250</v>
      </c>
      <c r="BD23" s="41" t="s">
        <v>251</v>
      </c>
      <c r="BE23" s="42">
        <v>11</v>
      </c>
    </row>
    <row r="24" spans="1:57" s="45" customFormat="1" ht="56.1" customHeight="1">
      <c r="A24" s="29">
        <v>53</v>
      </c>
      <c r="B24" s="29" t="s">
        <v>57</v>
      </c>
      <c r="C24" s="29" t="s">
        <v>114</v>
      </c>
      <c r="D24" s="29" t="s">
        <v>115</v>
      </c>
      <c r="E24" s="29" t="s">
        <v>116</v>
      </c>
      <c r="F24" s="29" t="s">
        <v>117</v>
      </c>
      <c r="G24" s="29" t="s">
        <v>118</v>
      </c>
      <c r="H24" s="29">
        <v>400302200</v>
      </c>
      <c r="I24" s="29" t="s">
        <v>119</v>
      </c>
      <c r="J24" s="29">
        <v>1</v>
      </c>
      <c r="K24" s="29" t="s">
        <v>65</v>
      </c>
      <c r="L24" s="29" t="str">
        <f>+'[1]Plan Indicativo'!AC60</f>
        <v>No Acumulativa</v>
      </c>
      <c r="M24" s="53">
        <f>+'[1]Plan Indicativo'!T60</f>
        <v>1</v>
      </c>
      <c r="N24" s="29">
        <f>+'[1]Plan Indicativo'!W60</f>
        <v>1</v>
      </c>
      <c r="O24" s="30">
        <v>0.8</v>
      </c>
      <c r="P24" s="44">
        <f>+Tabla1[[#This Row],[Logro Vigencia]]/Tabla1[[#This Row],[Meta Programada Vigencia]]</f>
        <v>0.8</v>
      </c>
      <c r="Q24" s="32"/>
      <c r="R24" s="82">
        <v>4608038028.1499996</v>
      </c>
      <c r="S24" s="83"/>
      <c r="T24" s="83">
        <v>0</v>
      </c>
      <c r="U24" s="83"/>
      <c r="V24" s="83"/>
      <c r="W24" s="83"/>
      <c r="X24" s="83"/>
      <c r="Y24" s="83"/>
      <c r="Z24" s="83"/>
      <c r="AA24" s="83"/>
      <c r="AB24" s="83"/>
      <c r="AC24" s="83">
        <v>0</v>
      </c>
      <c r="AD24" s="83">
        <v>0</v>
      </c>
      <c r="AE24" s="83">
        <v>107009953</v>
      </c>
      <c r="AF24" s="33">
        <f>SUM(Tabla1[[#This Row],[Recursos propios]:[Recursos del Balance]])</f>
        <v>4715047981.1499996</v>
      </c>
      <c r="AG24" s="84">
        <v>1304061719.99</v>
      </c>
      <c r="AH24" s="85"/>
      <c r="AI24" s="85">
        <v>0</v>
      </c>
      <c r="AJ24" s="85"/>
      <c r="AK24" s="85"/>
      <c r="AL24" s="85"/>
      <c r="AM24" s="85"/>
      <c r="AN24" s="85"/>
      <c r="AO24" s="85"/>
      <c r="AP24" s="85"/>
      <c r="AQ24" s="85"/>
      <c r="AR24" s="85">
        <v>0</v>
      </c>
      <c r="AS24" s="85">
        <v>0</v>
      </c>
      <c r="AT24" s="83">
        <v>73053333.329999998</v>
      </c>
      <c r="AU24" s="34">
        <f>SUM(Tabla1[[#This Row],[Recursos propios ]:[Recursos del Balance ]])</f>
        <v>1377115053.3199999</v>
      </c>
      <c r="AV24" s="86">
        <v>1377115053.3199999</v>
      </c>
      <c r="AW24" s="87">
        <v>1372781719.99</v>
      </c>
      <c r="AX24" s="35">
        <f>+Tabla1[[#This Row],[Total Recursos Comprometido 2025]]/Tabla1[[#This Row],[Total 2025]]</f>
        <v>0.29206808898350206</v>
      </c>
      <c r="AY24" s="36">
        <f>+Tabla1[[#This Row],[Total Recursos Obligados]]/Tabla1[[#This Row],[Total 2025]]</f>
        <v>0.29206808898350206</v>
      </c>
      <c r="AZ24" s="37">
        <f>+Tabla1[[#This Row],[Total Recursos Pagados]]/Tabla1[[#This Row],[Total 2025]]</f>
        <v>0.29114904566786165</v>
      </c>
      <c r="BA24" s="38">
        <v>0</v>
      </c>
      <c r="BB24" s="39">
        <f>+Tabla1[[#This Row],[Total Recursos Gestionados ]]/Tabla1[[#This Row],[Total Recursos Comprometido 2025]]</f>
        <v>0</v>
      </c>
      <c r="BC24" s="40" t="s">
        <v>250</v>
      </c>
      <c r="BD24" s="41" t="s">
        <v>251</v>
      </c>
      <c r="BE24" s="42" t="s">
        <v>256</v>
      </c>
    </row>
    <row r="25" spans="1:57" s="45" customFormat="1" ht="47.25">
      <c r="A25" s="29">
        <v>54</v>
      </c>
      <c r="B25" s="29" t="s">
        <v>57</v>
      </c>
      <c r="C25" s="29" t="s">
        <v>114</v>
      </c>
      <c r="D25" s="29" t="s">
        <v>115</v>
      </c>
      <c r="E25" s="29" t="s">
        <v>116</v>
      </c>
      <c r="F25" s="29" t="s">
        <v>120</v>
      </c>
      <c r="G25" s="29" t="s">
        <v>121</v>
      </c>
      <c r="H25" s="29">
        <v>400302100</v>
      </c>
      <c r="I25" s="29" t="s">
        <v>122</v>
      </c>
      <c r="J25" s="29" t="s">
        <v>123</v>
      </c>
      <c r="K25" s="29" t="s">
        <v>65</v>
      </c>
      <c r="L25" s="29" t="str">
        <f>+'[1]Plan Indicativo'!AC61</f>
        <v>Acumulativa</v>
      </c>
      <c r="M25" s="53">
        <f>+'[1]Plan Indicativo'!T61</f>
        <v>10000</v>
      </c>
      <c r="N25" s="29">
        <f>+'[1]Plan Indicativo'!W61</f>
        <v>3353</v>
      </c>
      <c r="O25" s="30">
        <v>4727</v>
      </c>
      <c r="P25" s="31">
        <f>+Tabla1[[#This Row],[Logro Vigencia]]/Tabla1[[#This Row],[Meta Programada Vigencia]]</f>
        <v>1.4097822845213241</v>
      </c>
      <c r="Q25" s="32"/>
      <c r="R25" s="82">
        <v>2200000000</v>
      </c>
      <c r="S25" s="83"/>
      <c r="T25" s="83">
        <v>0</v>
      </c>
      <c r="U25" s="83"/>
      <c r="V25" s="83"/>
      <c r="W25" s="83"/>
      <c r="X25" s="83"/>
      <c r="Y25" s="83"/>
      <c r="Z25" s="83"/>
      <c r="AA25" s="83"/>
      <c r="AB25" s="83"/>
      <c r="AC25" s="83">
        <v>0</v>
      </c>
      <c r="AD25" s="83">
        <v>0</v>
      </c>
      <c r="AE25" s="83">
        <v>110000000</v>
      </c>
      <c r="AF25" s="33">
        <f>SUM(Tabla1[[#This Row],[Recursos propios]:[Recursos del Balance]])</f>
        <v>2310000000</v>
      </c>
      <c r="AG25" s="84">
        <v>100000000</v>
      </c>
      <c r="AH25" s="85"/>
      <c r="AI25" s="85">
        <v>0</v>
      </c>
      <c r="AJ25" s="85"/>
      <c r="AK25" s="85"/>
      <c r="AL25" s="85"/>
      <c r="AM25" s="85"/>
      <c r="AN25" s="85"/>
      <c r="AO25" s="85"/>
      <c r="AP25" s="85"/>
      <c r="AQ25" s="85"/>
      <c r="AR25" s="85">
        <v>0</v>
      </c>
      <c r="AS25" s="85">
        <v>0</v>
      </c>
      <c r="AT25" s="83">
        <v>73023809.519999996</v>
      </c>
      <c r="AU25" s="34">
        <f>SUM(Tabla1[[#This Row],[Recursos propios ]:[Recursos del Balance ]])</f>
        <v>173023809.51999998</v>
      </c>
      <c r="AV25" s="86">
        <v>173023809.51999998</v>
      </c>
      <c r="AW25" s="87">
        <v>173023809.51999998</v>
      </c>
      <c r="AX25" s="35">
        <f>+Tabla1[[#This Row],[Total Recursos Comprometido 2025]]/Tabla1[[#This Row],[Total 2025]]</f>
        <v>7.4902082043290033E-2</v>
      </c>
      <c r="AY25" s="36">
        <f>+Tabla1[[#This Row],[Total Recursos Obligados]]/Tabla1[[#This Row],[Total 2025]]</f>
        <v>7.4902082043290033E-2</v>
      </c>
      <c r="AZ25" s="37">
        <f>+Tabla1[[#This Row],[Total Recursos Pagados]]/Tabla1[[#This Row],[Total 2025]]</f>
        <v>7.4902082043290033E-2</v>
      </c>
      <c r="BA25" s="38">
        <v>0</v>
      </c>
      <c r="BB25" s="39">
        <f>+Tabla1[[#This Row],[Total Recursos Gestionados ]]/Tabla1[[#This Row],[Total Recursos Comprometido 2025]]</f>
        <v>0</v>
      </c>
      <c r="BC25" s="40" t="s">
        <v>250</v>
      </c>
      <c r="BD25" s="41" t="s">
        <v>251</v>
      </c>
      <c r="BE25" s="42" t="s">
        <v>257</v>
      </c>
    </row>
    <row r="26" spans="1:57" s="46" customFormat="1" ht="47.25">
      <c r="A26" s="29">
        <v>55</v>
      </c>
      <c r="B26" s="29" t="s">
        <v>57</v>
      </c>
      <c r="C26" s="29" t="s">
        <v>114</v>
      </c>
      <c r="D26" s="29" t="s">
        <v>115</v>
      </c>
      <c r="E26" s="29" t="s">
        <v>116</v>
      </c>
      <c r="F26" s="29" t="s">
        <v>124</v>
      </c>
      <c r="G26" s="29" t="s">
        <v>125</v>
      </c>
      <c r="H26" s="29">
        <v>400301200</v>
      </c>
      <c r="I26" s="29" t="s">
        <v>126</v>
      </c>
      <c r="J26" s="29">
        <v>1</v>
      </c>
      <c r="K26" s="29" t="s">
        <v>65</v>
      </c>
      <c r="L26" s="29" t="str">
        <f>+'[1]Plan Indicativo'!AC62</f>
        <v>Acumulativa</v>
      </c>
      <c r="M26" s="53">
        <f>+'[1]Plan Indicativo'!T62</f>
        <v>1</v>
      </c>
      <c r="N26" s="29">
        <f>+'[1]Plan Indicativo'!W62</f>
        <v>0</v>
      </c>
      <c r="O26" s="30">
        <v>0</v>
      </c>
      <c r="P26" s="44" t="e">
        <f>+Tabla1[[#This Row],[Logro Vigencia]]/Tabla1[[#This Row],[Meta Programada Vigencia]]</f>
        <v>#DIV/0!</v>
      </c>
      <c r="Q26" s="32"/>
      <c r="R26" s="82">
        <v>100000000</v>
      </c>
      <c r="S26" s="83"/>
      <c r="T26" s="83">
        <v>0</v>
      </c>
      <c r="U26" s="83"/>
      <c r="V26" s="83"/>
      <c r="W26" s="83"/>
      <c r="X26" s="83"/>
      <c r="Y26" s="83"/>
      <c r="Z26" s="83"/>
      <c r="AA26" s="83"/>
      <c r="AB26" s="83"/>
      <c r="AC26" s="83">
        <v>0</v>
      </c>
      <c r="AD26" s="83">
        <v>0</v>
      </c>
      <c r="AE26" s="83">
        <v>0</v>
      </c>
      <c r="AF26" s="33">
        <f>SUM(Tabla1[[#This Row],[Recursos propios]:[Recursos del Balance]])</f>
        <v>100000000</v>
      </c>
      <c r="AG26" s="84">
        <v>0</v>
      </c>
      <c r="AH26" s="85"/>
      <c r="AI26" s="85">
        <v>0</v>
      </c>
      <c r="AJ26" s="85"/>
      <c r="AK26" s="85"/>
      <c r="AL26" s="85"/>
      <c r="AM26" s="85"/>
      <c r="AN26" s="85"/>
      <c r="AO26" s="85"/>
      <c r="AP26" s="85"/>
      <c r="AQ26" s="85"/>
      <c r="AR26" s="85">
        <v>0</v>
      </c>
      <c r="AS26" s="85">
        <v>0</v>
      </c>
      <c r="AT26" s="83">
        <v>0</v>
      </c>
      <c r="AU26" s="34">
        <f>SUM(Tabla1[[#This Row],[Recursos propios ]:[Recursos del Balance ]])</f>
        <v>0</v>
      </c>
      <c r="AV26" s="86">
        <v>0</v>
      </c>
      <c r="AW26" s="87">
        <v>0</v>
      </c>
      <c r="AX26" s="35">
        <f>+Tabla1[[#This Row],[Total Recursos Comprometido 2025]]/Tabla1[[#This Row],[Total 2025]]</f>
        <v>0</v>
      </c>
      <c r="AY26" s="36">
        <f>+Tabla1[[#This Row],[Total Recursos Obligados]]/Tabla1[[#This Row],[Total 2025]]</f>
        <v>0</v>
      </c>
      <c r="AZ26" s="37">
        <f>+Tabla1[[#This Row],[Total Recursos Pagados]]/Tabla1[[#This Row],[Total 2025]]</f>
        <v>0</v>
      </c>
      <c r="BA26" s="38">
        <v>0</v>
      </c>
      <c r="BB26" s="39" t="e">
        <f>+Tabla1[[#This Row],[Total Recursos Gestionados ]]/Tabla1[[#This Row],[Total Recursos Comprometido 2025]]</f>
        <v>#DIV/0!</v>
      </c>
      <c r="BC26" s="40" t="s">
        <v>250</v>
      </c>
      <c r="BD26" s="41" t="s">
        <v>251</v>
      </c>
      <c r="BE26" s="42" t="s">
        <v>258</v>
      </c>
    </row>
    <row r="27" spans="1:57" s="45" customFormat="1" ht="47.25">
      <c r="A27" s="29">
        <v>56</v>
      </c>
      <c r="B27" s="29" t="s">
        <v>57</v>
      </c>
      <c r="C27" s="29" t="s">
        <v>114</v>
      </c>
      <c r="D27" s="29" t="s">
        <v>115</v>
      </c>
      <c r="E27" s="29" t="s">
        <v>116</v>
      </c>
      <c r="F27" s="29" t="s">
        <v>127</v>
      </c>
      <c r="G27" s="29" t="s">
        <v>128</v>
      </c>
      <c r="H27" s="29">
        <v>400303100</v>
      </c>
      <c r="I27" s="29" t="s">
        <v>129</v>
      </c>
      <c r="J27" s="29">
        <v>1</v>
      </c>
      <c r="K27" s="29" t="s">
        <v>65</v>
      </c>
      <c r="L27" s="29" t="str">
        <f>+'[1]Plan Indicativo'!AC63</f>
        <v>Acumulativa</v>
      </c>
      <c r="M27" s="53">
        <f>+'[1]Plan Indicativo'!T63</f>
        <v>1</v>
      </c>
      <c r="N27" s="29">
        <f>+'[1]Plan Indicativo'!W63</f>
        <v>0</v>
      </c>
      <c r="O27" s="30">
        <v>0</v>
      </c>
      <c r="P27" s="31" t="e">
        <f>+Tabla1[[#This Row],[Logro Vigencia]]/Tabla1[[#This Row],[Meta Programada Vigencia]]</f>
        <v>#DIV/0!</v>
      </c>
      <c r="Q27" s="32"/>
      <c r="R27" s="82">
        <v>250000000</v>
      </c>
      <c r="S27" s="83"/>
      <c r="T27" s="83">
        <v>0</v>
      </c>
      <c r="U27" s="83"/>
      <c r="V27" s="83"/>
      <c r="W27" s="83"/>
      <c r="X27" s="83"/>
      <c r="Y27" s="83"/>
      <c r="Z27" s="83"/>
      <c r="AA27" s="83"/>
      <c r="AB27" s="83"/>
      <c r="AC27" s="83">
        <v>0</v>
      </c>
      <c r="AD27" s="83">
        <v>0</v>
      </c>
      <c r="AE27" s="83">
        <v>0</v>
      </c>
      <c r="AF27" s="33">
        <f>SUM(Tabla1[[#This Row],[Recursos propios]:[Recursos del Balance]])</f>
        <v>250000000</v>
      </c>
      <c r="AG27" s="84">
        <v>0</v>
      </c>
      <c r="AH27" s="85"/>
      <c r="AI27" s="85">
        <v>0</v>
      </c>
      <c r="AJ27" s="85"/>
      <c r="AK27" s="85"/>
      <c r="AL27" s="85"/>
      <c r="AM27" s="85"/>
      <c r="AN27" s="85"/>
      <c r="AO27" s="85"/>
      <c r="AP27" s="85"/>
      <c r="AQ27" s="85"/>
      <c r="AR27" s="85">
        <v>0</v>
      </c>
      <c r="AS27" s="85">
        <v>0</v>
      </c>
      <c r="AT27" s="83">
        <v>0</v>
      </c>
      <c r="AU27" s="34">
        <f>SUM(Tabla1[[#This Row],[Recursos propios ]:[Recursos del Balance ]])</f>
        <v>0</v>
      </c>
      <c r="AV27" s="86">
        <v>0</v>
      </c>
      <c r="AW27" s="87">
        <v>0</v>
      </c>
      <c r="AX27" s="35">
        <f>+Tabla1[[#This Row],[Total Recursos Comprometido 2025]]/Tabla1[[#This Row],[Total 2025]]</f>
        <v>0</v>
      </c>
      <c r="AY27" s="36">
        <f>+Tabla1[[#This Row],[Total Recursos Obligados]]/Tabla1[[#This Row],[Total 2025]]</f>
        <v>0</v>
      </c>
      <c r="AZ27" s="37">
        <f>+Tabla1[[#This Row],[Total Recursos Pagados]]/Tabla1[[#This Row],[Total 2025]]</f>
        <v>0</v>
      </c>
      <c r="BA27" s="38">
        <v>0</v>
      </c>
      <c r="BB27" s="39" t="e">
        <f>+Tabla1[[#This Row],[Total Recursos Gestionados ]]/Tabla1[[#This Row],[Total Recursos Comprometido 2025]]</f>
        <v>#DIV/0!</v>
      </c>
      <c r="BC27" s="40" t="s">
        <v>250</v>
      </c>
      <c r="BD27" s="41" t="s">
        <v>251</v>
      </c>
      <c r="BE27" s="42" t="s">
        <v>257</v>
      </c>
    </row>
    <row r="28" spans="1:57" ht="47.25">
      <c r="A28" s="29">
        <v>61</v>
      </c>
      <c r="B28" s="29" t="s">
        <v>57</v>
      </c>
      <c r="C28" s="29" t="s">
        <v>114</v>
      </c>
      <c r="D28" s="29" t="s">
        <v>115</v>
      </c>
      <c r="E28" s="29" t="s">
        <v>116</v>
      </c>
      <c r="F28" s="29" t="s">
        <v>130</v>
      </c>
      <c r="G28" s="29" t="s">
        <v>131</v>
      </c>
      <c r="H28" s="29">
        <v>400304000</v>
      </c>
      <c r="I28" s="29" t="s">
        <v>132</v>
      </c>
      <c r="J28" s="29">
        <v>0</v>
      </c>
      <c r="K28" s="29" t="s">
        <v>65</v>
      </c>
      <c r="L28" s="29" t="str">
        <f>+'[1]Plan Indicativo'!$AC$68</f>
        <v>No Acumulativa</v>
      </c>
      <c r="M28" s="53">
        <f>+'[1]Plan Indicativo'!$T$68</f>
        <v>1</v>
      </c>
      <c r="N28" s="29">
        <f>+'[1]Plan Indicativo'!$W$68</f>
        <v>1</v>
      </c>
      <c r="O28" s="30">
        <v>1</v>
      </c>
      <c r="P28" s="44">
        <f>+Tabla1[[#This Row],[Logro Vigencia]]/Tabla1[[#This Row],[Meta Programada Vigencia]]</f>
        <v>1</v>
      </c>
      <c r="Q28" s="32"/>
      <c r="R28" s="82">
        <v>2446676047</v>
      </c>
      <c r="S28" s="83"/>
      <c r="T28" s="83">
        <v>0</v>
      </c>
      <c r="U28" s="83"/>
      <c r="V28" s="83"/>
      <c r="W28" s="83"/>
      <c r="X28" s="83"/>
      <c r="Y28" s="83"/>
      <c r="Z28" s="83"/>
      <c r="AA28" s="83"/>
      <c r="AB28" s="83"/>
      <c r="AC28" s="83">
        <v>0</v>
      </c>
      <c r="AD28" s="83">
        <v>0</v>
      </c>
      <c r="AE28" s="83">
        <v>0</v>
      </c>
      <c r="AF28" s="33">
        <f>SUM(Tabla1[[#This Row],[Recursos propios]:[Recursos del Balance]])</f>
        <v>2446676047</v>
      </c>
      <c r="AG28" s="84">
        <v>2339912004</v>
      </c>
      <c r="AH28" s="85"/>
      <c r="AI28" s="85">
        <v>0</v>
      </c>
      <c r="AJ28" s="85"/>
      <c r="AK28" s="85"/>
      <c r="AL28" s="85"/>
      <c r="AM28" s="85"/>
      <c r="AN28" s="85"/>
      <c r="AO28" s="85"/>
      <c r="AP28" s="85"/>
      <c r="AQ28" s="85"/>
      <c r="AR28" s="85">
        <v>0</v>
      </c>
      <c r="AS28" s="85">
        <v>0</v>
      </c>
      <c r="AT28" s="83">
        <v>0</v>
      </c>
      <c r="AU28" s="34">
        <f>SUM(Tabla1[[#This Row],[Recursos propios ]:[Recursos del Balance ]])</f>
        <v>2339912004</v>
      </c>
      <c r="AV28" s="86">
        <v>1559941336</v>
      </c>
      <c r="AW28" s="87">
        <v>1559941336</v>
      </c>
      <c r="AX28" s="35">
        <f>+Tabla1[[#This Row],[Total Recursos Comprometido 2025]]/Tabla1[[#This Row],[Total 2025]]</f>
        <v>0.9563636374619725</v>
      </c>
      <c r="AY28" s="36">
        <f>+Tabla1[[#This Row],[Total Recursos Obligados]]/Tabla1[[#This Row],[Total 2025]]</f>
        <v>0.63757575830798163</v>
      </c>
      <c r="AZ28" s="37">
        <f>+Tabla1[[#This Row],[Total Recursos Pagados]]/Tabla1[[#This Row],[Total 2025]]</f>
        <v>0.63757575830798163</v>
      </c>
      <c r="BA28" s="38">
        <v>0</v>
      </c>
      <c r="BB28" s="39">
        <f>+Tabla1[[#This Row],[Total Recursos Gestionados ]]/Tabla1[[#This Row],[Total Recursos Comprometido 2025]]</f>
        <v>0</v>
      </c>
      <c r="BC28" s="40" t="s">
        <v>250</v>
      </c>
      <c r="BD28" s="41" t="s">
        <v>251</v>
      </c>
      <c r="BE28" s="42" t="s">
        <v>256</v>
      </c>
    </row>
    <row r="29" spans="1:57" ht="31.5">
      <c r="A29" s="29">
        <v>180</v>
      </c>
      <c r="B29" s="29" t="s">
        <v>133</v>
      </c>
      <c r="C29" s="29" t="s">
        <v>134</v>
      </c>
      <c r="D29" s="29" t="s">
        <v>135</v>
      </c>
      <c r="E29" s="29" t="s">
        <v>136</v>
      </c>
      <c r="F29" s="29" t="s">
        <v>137</v>
      </c>
      <c r="G29" s="29" t="s">
        <v>138</v>
      </c>
      <c r="H29" s="29">
        <v>190301600</v>
      </c>
      <c r="I29" s="29" t="s">
        <v>139</v>
      </c>
      <c r="J29" s="29">
        <v>502</v>
      </c>
      <c r="K29" s="29" t="s">
        <v>65</v>
      </c>
      <c r="L29" s="29" t="str">
        <f>+'[1]Plan Indicativo'!AC188</f>
        <v>Acumulativa</v>
      </c>
      <c r="M29" s="53">
        <f>+'[1]Plan Indicativo'!T188</f>
        <v>2000</v>
      </c>
      <c r="N29" s="29">
        <f>+'[1]Plan Indicativo'!W188</f>
        <v>553</v>
      </c>
      <c r="O29" s="30">
        <v>613</v>
      </c>
      <c r="P29" s="31">
        <f>+Tabla1[[#This Row],[Logro Vigencia]]/Tabla1[[#This Row],[Meta Programada Vigencia]]</f>
        <v>1.108499095840868</v>
      </c>
      <c r="Q29" s="32"/>
      <c r="R29" s="82">
        <v>350000000</v>
      </c>
      <c r="S29" s="83"/>
      <c r="T29" s="83">
        <v>25000000</v>
      </c>
      <c r="U29" s="83"/>
      <c r="V29" s="83"/>
      <c r="W29" s="83"/>
      <c r="X29" s="83"/>
      <c r="Y29" s="83"/>
      <c r="Z29" s="83"/>
      <c r="AA29" s="83"/>
      <c r="AB29" s="83"/>
      <c r="AC29" s="83">
        <v>0</v>
      </c>
      <c r="AD29" s="83">
        <v>350000000</v>
      </c>
      <c r="AE29" s="83">
        <v>550000000.09000003</v>
      </c>
      <c r="AF29" s="33">
        <f>SUM(Tabla1[[#This Row],[Recursos propios]:[Recursos del Balance]])</f>
        <v>1275000000.0900002</v>
      </c>
      <c r="AG29" s="84">
        <v>342733333.33000004</v>
      </c>
      <c r="AH29" s="85"/>
      <c r="AI29" s="85">
        <v>8000000</v>
      </c>
      <c r="AJ29" s="85"/>
      <c r="AK29" s="85"/>
      <c r="AL29" s="85"/>
      <c r="AM29" s="85"/>
      <c r="AN29" s="85"/>
      <c r="AO29" s="85"/>
      <c r="AP29" s="85"/>
      <c r="AQ29" s="85"/>
      <c r="AR29" s="85">
        <v>0</v>
      </c>
      <c r="AS29" s="85">
        <v>345333333.32999998</v>
      </c>
      <c r="AT29" s="83">
        <v>253166666.64999998</v>
      </c>
      <c r="AU29" s="34">
        <f>SUM(Tabla1[[#This Row],[Recursos propios ]:[Recursos del Balance ]])</f>
        <v>949233333.31000006</v>
      </c>
      <c r="AV29" s="86">
        <v>943733333.31999993</v>
      </c>
      <c r="AW29" s="87">
        <v>911166666.64999998</v>
      </c>
      <c r="AX29" s="35">
        <f>+Tabla1[[#This Row],[Total Recursos Comprometido 2025]]/Tabla1[[#This Row],[Total 2025]]</f>
        <v>0.74449673195529043</v>
      </c>
      <c r="AY29" s="36">
        <f>+Tabla1[[#This Row],[Total Recursos Obligados]]/Tabla1[[#This Row],[Total 2025]]</f>
        <v>0.74018300647324187</v>
      </c>
      <c r="AZ29" s="37">
        <f>+Tabla1[[#This Row],[Total Recursos Pagados]]/Tabla1[[#This Row],[Total 2025]]</f>
        <v>0.71464052281229973</v>
      </c>
      <c r="BA29" s="38">
        <v>0</v>
      </c>
      <c r="BB29" s="39">
        <f>+Tabla1[[#This Row],[Total Recursos Gestionados ]]/Tabla1[[#This Row],[Total Recursos Comprometido 2025]]</f>
        <v>0</v>
      </c>
      <c r="BC29" s="40" t="s">
        <v>250</v>
      </c>
      <c r="BD29" s="41" t="s">
        <v>251</v>
      </c>
      <c r="BE29" s="42">
        <v>3</v>
      </c>
    </row>
    <row r="30" spans="1:57" ht="31.5">
      <c r="A30" s="29">
        <v>181</v>
      </c>
      <c r="B30" s="29" t="s">
        <v>133</v>
      </c>
      <c r="C30" s="29" t="s">
        <v>134</v>
      </c>
      <c r="D30" s="29" t="s">
        <v>135</v>
      </c>
      <c r="E30" s="29" t="s">
        <v>136</v>
      </c>
      <c r="F30" s="29" t="s">
        <v>140</v>
      </c>
      <c r="G30" s="29" t="s">
        <v>141</v>
      </c>
      <c r="H30" s="29">
        <v>190303100</v>
      </c>
      <c r="I30" s="29" t="s">
        <v>142</v>
      </c>
      <c r="J30" s="29">
        <v>12</v>
      </c>
      <c r="K30" s="29" t="s">
        <v>65</v>
      </c>
      <c r="L30" s="29" t="str">
        <f>+'[1]Plan Indicativo'!AC189</f>
        <v>Acumulativa</v>
      </c>
      <c r="M30" s="53">
        <f>+'[1]Plan Indicativo'!T189</f>
        <v>48</v>
      </c>
      <c r="N30" s="29">
        <f>+'[1]Plan Indicativo'!W189</f>
        <v>14</v>
      </c>
      <c r="O30" s="30">
        <v>14</v>
      </c>
      <c r="P30" s="44">
        <f>+Tabla1[[#This Row],[Logro Vigencia]]/Tabla1[[#This Row],[Meta Programada Vigencia]]</f>
        <v>1</v>
      </c>
      <c r="Q30" s="32"/>
      <c r="R30" s="82">
        <v>16250000</v>
      </c>
      <c r="S30" s="83"/>
      <c r="T30" s="83">
        <v>765417441</v>
      </c>
      <c r="U30" s="83"/>
      <c r="V30" s="83"/>
      <c r="W30" s="83"/>
      <c r="X30" s="83"/>
      <c r="Y30" s="83"/>
      <c r="Z30" s="83"/>
      <c r="AA30" s="83"/>
      <c r="AB30" s="83"/>
      <c r="AC30" s="83">
        <v>0</v>
      </c>
      <c r="AD30" s="83">
        <v>0</v>
      </c>
      <c r="AE30" s="83">
        <v>595417441</v>
      </c>
      <c r="AF30" s="33">
        <f>SUM(Tabla1[[#This Row],[Recursos propios]:[Recursos del Balance]])</f>
        <v>1377084882</v>
      </c>
      <c r="AG30" s="84">
        <v>16250000</v>
      </c>
      <c r="AH30" s="85"/>
      <c r="AI30" s="85">
        <v>679054703.33999991</v>
      </c>
      <c r="AJ30" s="85"/>
      <c r="AK30" s="85"/>
      <c r="AL30" s="85"/>
      <c r="AM30" s="85"/>
      <c r="AN30" s="85"/>
      <c r="AO30" s="85"/>
      <c r="AP30" s="85"/>
      <c r="AQ30" s="85"/>
      <c r="AR30" s="85">
        <v>0</v>
      </c>
      <c r="AS30" s="85">
        <v>0</v>
      </c>
      <c r="AT30" s="83">
        <v>470328630</v>
      </c>
      <c r="AU30" s="34">
        <f>SUM(Tabla1[[#This Row],[Recursos propios ]:[Recursos del Balance ]])</f>
        <v>1165633333.3399999</v>
      </c>
      <c r="AV30" s="86">
        <v>1144419856.26</v>
      </c>
      <c r="AW30" s="87">
        <v>1108946666.6700001</v>
      </c>
      <c r="AX30" s="35">
        <f>+Tabla1[[#This Row],[Total Recursos Comprometido 2025]]/Tabla1[[#This Row],[Total 2025]]</f>
        <v>0.84644988016069145</v>
      </c>
      <c r="AY30" s="36">
        <f>+Tabla1[[#This Row],[Total Recursos Obligados]]/Tabla1[[#This Row],[Total 2025]]</f>
        <v>0.83104525452193589</v>
      </c>
      <c r="AZ30" s="37">
        <f>+Tabla1[[#This Row],[Total Recursos Pagados]]/Tabla1[[#This Row],[Total 2025]]</f>
        <v>0.80528562993112585</v>
      </c>
      <c r="BA30" s="38">
        <v>0</v>
      </c>
      <c r="BB30" s="39">
        <f>+Tabla1[[#This Row],[Total Recursos Gestionados ]]/Tabla1[[#This Row],[Total Recursos Comprometido 2025]]</f>
        <v>0</v>
      </c>
      <c r="BC30" s="40" t="s">
        <v>250</v>
      </c>
      <c r="BD30" s="41" t="s">
        <v>251</v>
      </c>
      <c r="BE30" s="42">
        <v>3</v>
      </c>
    </row>
    <row r="31" spans="1:57" ht="63">
      <c r="A31" s="29">
        <v>182</v>
      </c>
      <c r="B31" s="29" t="s">
        <v>133</v>
      </c>
      <c r="C31" s="29" t="s">
        <v>134</v>
      </c>
      <c r="D31" s="29" t="s">
        <v>135</v>
      </c>
      <c r="E31" s="29" t="s">
        <v>136</v>
      </c>
      <c r="F31" s="29" t="s">
        <v>143</v>
      </c>
      <c r="G31" s="29" t="s">
        <v>144</v>
      </c>
      <c r="H31" s="29">
        <v>190304200</v>
      </c>
      <c r="I31" s="29" t="s">
        <v>145</v>
      </c>
      <c r="J31" s="29">
        <v>7315</v>
      </c>
      <c r="K31" s="29" t="s">
        <v>65</v>
      </c>
      <c r="L31" s="29" t="str">
        <f>+'[1]Plan Indicativo'!AC190</f>
        <v>Acumulativa</v>
      </c>
      <c r="M31" s="53">
        <f>+'[1]Plan Indicativo'!T190</f>
        <v>20000</v>
      </c>
      <c r="N31" s="29">
        <f>+'[1]Plan Indicativo'!W190</f>
        <v>4500</v>
      </c>
      <c r="O31" s="30">
        <v>5072</v>
      </c>
      <c r="P31" s="31">
        <f>+Tabla1[[#This Row],[Logro Vigencia]]/Tabla1[[#This Row],[Meta Programada Vigencia]]</f>
        <v>1.1271111111111112</v>
      </c>
      <c r="Q31" s="32"/>
      <c r="R31" s="82">
        <v>850000000</v>
      </c>
      <c r="S31" s="83"/>
      <c r="T31" s="83">
        <v>0</v>
      </c>
      <c r="U31" s="83"/>
      <c r="V31" s="83"/>
      <c r="W31" s="83"/>
      <c r="X31" s="83"/>
      <c r="Y31" s="83"/>
      <c r="Z31" s="83"/>
      <c r="AA31" s="83"/>
      <c r="AB31" s="83"/>
      <c r="AC31" s="83">
        <v>0</v>
      </c>
      <c r="AD31" s="83">
        <v>0</v>
      </c>
      <c r="AE31" s="83">
        <v>1550507426.6700001</v>
      </c>
      <c r="AF31" s="33">
        <f>SUM(Tabla1[[#This Row],[Recursos propios]:[Recursos del Balance]])</f>
        <v>2400507426.6700001</v>
      </c>
      <c r="AG31" s="84">
        <v>821033333.35000002</v>
      </c>
      <c r="AH31" s="85"/>
      <c r="AI31" s="85">
        <v>0</v>
      </c>
      <c r="AJ31" s="85"/>
      <c r="AK31" s="85"/>
      <c r="AL31" s="85"/>
      <c r="AM31" s="85"/>
      <c r="AN31" s="85"/>
      <c r="AO31" s="85"/>
      <c r="AP31" s="85"/>
      <c r="AQ31" s="85"/>
      <c r="AR31" s="85">
        <v>0</v>
      </c>
      <c r="AS31" s="85">
        <v>0</v>
      </c>
      <c r="AT31" s="83">
        <v>771433121.63</v>
      </c>
      <c r="AU31" s="34">
        <f>SUM(Tabla1[[#This Row],[Recursos propios ]:[Recursos del Balance ]])</f>
        <v>1592466454.98</v>
      </c>
      <c r="AV31" s="86">
        <v>1221289067.98</v>
      </c>
      <c r="AW31" s="87">
        <v>1210432401.3099999</v>
      </c>
      <c r="AX31" s="35">
        <f>+Tabla1[[#This Row],[Total Recursos Comprometido 2025]]/Tabla1[[#This Row],[Total 2025]]</f>
        <v>0.66338743104372733</v>
      </c>
      <c r="AY31" s="36">
        <f>+Tabla1[[#This Row],[Total Recursos Obligados]]/Tabla1[[#This Row],[Total 2025]]</f>
        <v>0.50876287838616707</v>
      </c>
      <c r="AZ31" s="37">
        <f>+Tabla1[[#This Row],[Total Recursos Pagados]]/Tabla1[[#This Row],[Total 2025]]</f>
        <v>0.50424022348854791</v>
      </c>
      <c r="BA31" s="38">
        <v>0</v>
      </c>
      <c r="BB31" s="39">
        <f>+Tabla1[[#This Row],[Total Recursos Gestionados ]]/Tabla1[[#This Row],[Total Recursos Comprometido 2025]]</f>
        <v>0</v>
      </c>
      <c r="BC31" s="40" t="s">
        <v>250</v>
      </c>
      <c r="BD31" s="41" t="s">
        <v>251</v>
      </c>
      <c r="BE31" s="42">
        <v>3</v>
      </c>
    </row>
    <row r="32" spans="1:57" ht="31.5">
      <c r="A32" s="29">
        <v>183</v>
      </c>
      <c r="B32" s="29" t="s">
        <v>133</v>
      </c>
      <c r="C32" s="29" t="s">
        <v>134</v>
      </c>
      <c r="D32" s="29" t="s">
        <v>146</v>
      </c>
      <c r="E32" s="29" t="s">
        <v>147</v>
      </c>
      <c r="F32" s="29" t="s">
        <v>148</v>
      </c>
      <c r="G32" s="29" t="s">
        <v>149</v>
      </c>
      <c r="H32" s="29">
        <v>190502700</v>
      </c>
      <c r="I32" s="29" t="s">
        <v>150</v>
      </c>
      <c r="J32" s="29">
        <v>4</v>
      </c>
      <c r="K32" s="29" t="s">
        <v>65</v>
      </c>
      <c r="L32" s="29" t="str">
        <f>+'[1]Plan Indicativo'!AC191</f>
        <v>Acumulativa</v>
      </c>
      <c r="M32" s="53">
        <f>+'[1]Plan Indicativo'!T191</f>
        <v>20</v>
      </c>
      <c r="N32" s="29">
        <f>+'[1]Plan Indicativo'!W191</f>
        <v>5</v>
      </c>
      <c r="O32" s="30">
        <v>5</v>
      </c>
      <c r="P32" s="44">
        <f>+Tabla1[[#This Row],[Logro Vigencia]]/Tabla1[[#This Row],[Meta Programada Vigencia]]</f>
        <v>1</v>
      </c>
      <c r="Q32" s="32"/>
      <c r="R32" s="82">
        <v>0</v>
      </c>
      <c r="S32" s="83"/>
      <c r="T32" s="83">
        <v>200000000</v>
      </c>
      <c r="U32" s="83"/>
      <c r="V32" s="83"/>
      <c r="W32" s="83"/>
      <c r="X32" s="83"/>
      <c r="Y32" s="83"/>
      <c r="Z32" s="83"/>
      <c r="AA32" s="83"/>
      <c r="AB32" s="83"/>
      <c r="AC32" s="83">
        <v>0</v>
      </c>
      <c r="AD32" s="83">
        <v>0</v>
      </c>
      <c r="AE32" s="83">
        <v>945000000</v>
      </c>
      <c r="AF32" s="33">
        <f>SUM(Tabla1[[#This Row],[Recursos propios]:[Recursos del Balance]])</f>
        <v>1145000000</v>
      </c>
      <c r="AG32" s="84">
        <v>0</v>
      </c>
      <c r="AH32" s="85"/>
      <c r="AI32" s="85">
        <v>194600000</v>
      </c>
      <c r="AJ32" s="85"/>
      <c r="AK32" s="85"/>
      <c r="AL32" s="85"/>
      <c r="AM32" s="85"/>
      <c r="AN32" s="85"/>
      <c r="AO32" s="85"/>
      <c r="AP32" s="85"/>
      <c r="AQ32" s="85"/>
      <c r="AR32" s="85">
        <v>0</v>
      </c>
      <c r="AS32" s="85">
        <v>0</v>
      </c>
      <c r="AT32" s="83">
        <v>112999999.98</v>
      </c>
      <c r="AU32" s="34">
        <f>SUM(Tabla1[[#This Row],[Recursos propios ]:[Recursos del Balance ]])</f>
        <v>307599999.98000002</v>
      </c>
      <c r="AV32" s="86">
        <v>304399999.98000002</v>
      </c>
      <c r="AW32" s="87">
        <v>294799999.99000001</v>
      </c>
      <c r="AX32" s="35">
        <f>+Tabla1[[#This Row],[Total Recursos Comprometido 2025]]/Tabla1[[#This Row],[Total 2025]]</f>
        <v>0.26864628819213976</v>
      </c>
      <c r="AY32" s="36">
        <f>+Tabla1[[#This Row],[Total Recursos Obligados]]/Tabla1[[#This Row],[Total 2025]]</f>
        <v>0.26585152836681225</v>
      </c>
      <c r="AZ32" s="37">
        <f>+Tabla1[[#This Row],[Total Recursos Pagados]]/Tabla1[[#This Row],[Total 2025]]</f>
        <v>0.25746724889956335</v>
      </c>
      <c r="BA32" s="38">
        <v>0</v>
      </c>
      <c r="BB32" s="39">
        <f>+Tabla1[[#This Row],[Total Recursos Gestionados ]]/Tabla1[[#This Row],[Total Recursos Comprometido 2025]]</f>
        <v>0</v>
      </c>
      <c r="BC32" s="40" t="s">
        <v>250</v>
      </c>
      <c r="BD32" s="41" t="s">
        <v>251</v>
      </c>
      <c r="BE32" s="42">
        <v>3</v>
      </c>
    </row>
    <row r="33" spans="1:57" ht="31.5">
      <c r="A33" s="29">
        <v>184</v>
      </c>
      <c r="B33" s="29" t="s">
        <v>133</v>
      </c>
      <c r="C33" s="29" t="s">
        <v>134</v>
      </c>
      <c r="D33" s="29" t="s">
        <v>146</v>
      </c>
      <c r="E33" s="29" t="s">
        <v>147</v>
      </c>
      <c r="F33" s="29" t="s">
        <v>151</v>
      </c>
      <c r="G33" s="29" t="s">
        <v>152</v>
      </c>
      <c r="H33" s="29">
        <v>190501300</v>
      </c>
      <c r="I33" s="29" t="s">
        <v>153</v>
      </c>
      <c r="J33" s="29">
        <v>1</v>
      </c>
      <c r="K33" s="29" t="s">
        <v>65</v>
      </c>
      <c r="L33" s="29" t="str">
        <f>+'[1]Plan Indicativo'!AC192</f>
        <v>No Acumulativa</v>
      </c>
      <c r="M33" s="53">
        <f>+'[1]Plan Indicativo'!T192</f>
        <v>1</v>
      </c>
      <c r="N33" s="29">
        <f>+'[1]Plan Indicativo'!W192</f>
        <v>1</v>
      </c>
      <c r="O33" s="30">
        <v>1</v>
      </c>
      <c r="P33" s="31">
        <f>+Tabla1[[#This Row],[Logro Vigencia]]/Tabla1[[#This Row],[Meta Programada Vigencia]]</f>
        <v>1</v>
      </c>
      <c r="Q33" s="32"/>
      <c r="R33" s="82">
        <v>0</v>
      </c>
      <c r="S33" s="83"/>
      <c r="T33" s="83">
        <v>120000000</v>
      </c>
      <c r="U33" s="83"/>
      <c r="V33" s="83"/>
      <c r="W33" s="83"/>
      <c r="X33" s="83"/>
      <c r="Y33" s="83"/>
      <c r="Z33" s="83"/>
      <c r="AA33" s="83"/>
      <c r="AB33" s="83"/>
      <c r="AC33" s="83">
        <v>0</v>
      </c>
      <c r="AD33" s="83">
        <v>0</v>
      </c>
      <c r="AE33" s="83">
        <v>315448568.95999998</v>
      </c>
      <c r="AF33" s="33">
        <f>SUM(Tabla1[[#This Row],[Recursos propios]:[Recursos del Balance]])</f>
        <v>435448568.95999998</v>
      </c>
      <c r="AG33" s="84">
        <v>0</v>
      </c>
      <c r="AH33" s="85"/>
      <c r="AI33" s="85">
        <v>69979329.209999993</v>
      </c>
      <c r="AJ33" s="85"/>
      <c r="AK33" s="85"/>
      <c r="AL33" s="85"/>
      <c r="AM33" s="85"/>
      <c r="AN33" s="85"/>
      <c r="AO33" s="85"/>
      <c r="AP33" s="85"/>
      <c r="AQ33" s="85"/>
      <c r="AR33" s="85">
        <v>0</v>
      </c>
      <c r="AS33" s="85">
        <v>0</v>
      </c>
      <c r="AT33" s="83">
        <v>176115000</v>
      </c>
      <c r="AU33" s="34">
        <f>SUM(Tabla1[[#This Row],[Recursos propios ]:[Recursos del Balance ]])</f>
        <v>246094329.20999998</v>
      </c>
      <c r="AV33" s="86">
        <v>69979329.209999993</v>
      </c>
      <c r="AW33" s="87">
        <v>38906049.210000001</v>
      </c>
      <c r="AX33" s="35">
        <f>+Tabla1[[#This Row],[Total Recursos Comprometido 2025]]/Tabla1[[#This Row],[Total 2025]]</f>
        <v>0.56515131005656383</v>
      </c>
      <c r="AY33" s="36">
        <f>+Tabla1[[#This Row],[Total Recursos Obligados]]/Tabla1[[#This Row],[Total 2025]]</f>
        <v>0.16070630195693272</v>
      </c>
      <c r="AZ33" s="37">
        <f>+Tabla1[[#This Row],[Total Recursos Pagados]]/Tabla1[[#This Row],[Total 2025]]</f>
        <v>8.9347059522829397E-2</v>
      </c>
      <c r="BA33" s="38">
        <v>0</v>
      </c>
      <c r="BB33" s="39">
        <f>+Tabla1[[#This Row],[Total Recursos Gestionados ]]/Tabla1[[#This Row],[Total Recursos Comprometido 2025]]</f>
        <v>0</v>
      </c>
      <c r="BC33" s="40" t="s">
        <v>250</v>
      </c>
      <c r="BD33" s="41" t="s">
        <v>251</v>
      </c>
      <c r="BE33" s="42">
        <v>3</v>
      </c>
    </row>
    <row r="34" spans="1:57" ht="31.5">
      <c r="A34" s="29">
        <v>185</v>
      </c>
      <c r="B34" s="29" t="s">
        <v>133</v>
      </c>
      <c r="C34" s="29" t="s">
        <v>134</v>
      </c>
      <c r="D34" s="29" t="s">
        <v>146</v>
      </c>
      <c r="E34" s="29" t="s">
        <v>147</v>
      </c>
      <c r="F34" s="29" t="s">
        <v>154</v>
      </c>
      <c r="G34" s="29" t="s">
        <v>155</v>
      </c>
      <c r="H34" s="29">
        <v>190505400</v>
      </c>
      <c r="I34" s="29" t="s">
        <v>156</v>
      </c>
      <c r="J34" s="29">
        <v>1</v>
      </c>
      <c r="K34" s="29" t="s">
        <v>65</v>
      </c>
      <c r="L34" s="29" t="str">
        <f>+'[1]Plan Indicativo'!AC193</f>
        <v>No Acumulativa</v>
      </c>
      <c r="M34" s="53">
        <f>+'[1]Plan Indicativo'!T193</f>
        <v>10</v>
      </c>
      <c r="N34" s="29">
        <f>+'[1]Plan Indicativo'!W193</f>
        <v>10</v>
      </c>
      <c r="O34" s="30">
        <v>10</v>
      </c>
      <c r="P34" s="44">
        <f>+Tabla1[[#This Row],[Logro Vigencia]]/Tabla1[[#This Row],[Meta Programada Vigencia]]</f>
        <v>1</v>
      </c>
      <c r="Q34" s="32"/>
      <c r="R34" s="82">
        <v>0</v>
      </c>
      <c r="S34" s="83"/>
      <c r="T34" s="83">
        <v>1087500000</v>
      </c>
      <c r="U34" s="83"/>
      <c r="V34" s="83"/>
      <c r="W34" s="83"/>
      <c r="X34" s="83"/>
      <c r="Y34" s="83"/>
      <c r="Z34" s="83"/>
      <c r="AA34" s="83"/>
      <c r="AB34" s="83"/>
      <c r="AC34" s="83">
        <v>0</v>
      </c>
      <c r="AD34" s="83">
        <v>0</v>
      </c>
      <c r="AE34" s="83">
        <v>854396364</v>
      </c>
      <c r="AF34" s="33">
        <f>SUM(Tabla1[[#This Row],[Recursos propios]:[Recursos del Balance]])</f>
        <v>1941896364</v>
      </c>
      <c r="AG34" s="84">
        <v>0</v>
      </c>
      <c r="AH34" s="85"/>
      <c r="AI34" s="85">
        <v>973720302.66999996</v>
      </c>
      <c r="AJ34" s="85"/>
      <c r="AK34" s="85"/>
      <c r="AL34" s="85"/>
      <c r="AM34" s="85"/>
      <c r="AN34" s="85"/>
      <c r="AO34" s="85"/>
      <c r="AP34" s="85"/>
      <c r="AQ34" s="85"/>
      <c r="AR34" s="85">
        <v>0</v>
      </c>
      <c r="AS34" s="85">
        <v>0</v>
      </c>
      <c r="AT34" s="83">
        <v>519546363.97000003</v>
      </c>
      <c r="AU34" s="34">
        <f>SUM(Tabla1[[#This Row],[Recursos propios ]:[Recursos del Balance ]])</f>
        <v>1493266666.6399999</v>
      </c>
      <c r="AV34" s="86">
        <v>1493266666.6400001</v>
      </c>
      <c r="AW34" s="87">
        <v>1416050000</v>
      </c>
      <c r="AX34" s="35">
        <f>+Tabla1[[#This Row],[Total Recursos Comprometido 2025]]/Tabla1[[#This Row],[Total 2025]]</f>
        <v>0.76897340884047294</v>
      </c>
      <c r="AY34" s="36">
        <f>+Tabla1[[#This Row],[Total Recursos Obligados]]/Tabla1[[#This Row],[Total 2025]]</f>
        <v>0.76897340884047305</v>
      </c>
      <c r="AZ34" s="37">
        <f>+Tabla1[[#This Row],[Total Recursos Pagados]]/Tabla1[[#This Row],[Total 2025]]</f>
        <v>0.7292098724996634</v>
      </c>
      <c r="BA34" s="38">
        <v>0</v>
      </c>
      <c r="BB34" s="39">
        <f>+Tabla1[[#This Row],[Total Recursos Gestionados ]]/Tabla1[[#This Row],[Total Recursos Comprometido 2025]]</f>
        <v>0</v>
      </c>
      <c r="BC34" s="40" t="s">
        <v>250</v>
      </c>
      <c r="BD34" s="41" t="s">
        <v>251</v>
      </c>
      <c r="BE34" s="42">
        <v>3</v>
      </c>
    </row>
    <row r="35" spans="1:57" ht="31.5">
      <c r="A35" s="29">
        <v>186</v>
      </c>
      <c r="B35" s="29" t="s">
        <v>133</v>
      </c>
      <c r="C35" s="29" t="s">
        <v>134</v>
      </c>
      <c r="D35" s="29" t="s">
        <v>146</v>
      </c>
      <c r="E35" s="29" t="s">
        <v>147</v>
      </c>
      <c r="F35" s="29" t="s">
        <v>157</v>
      </c>
      <c r="G35" s="29" t="s">
        <v>158</v>
      </c>
      <c r="H35" s="29">
        <v>190502600</v>
      </c>
      <c r="I35" s="29" t="s">
        <v>159</v>
      </c>
      <c r="J35" s="29">
        <v>1</v>
      </c>
      <c r="K35" s="29" t="s">
        <v>65</v>
      </c>
      <c r="L35" s="29" t="str">
        <f>+'[1]Plan Indicativo'!AC194</f>
        <v>Acumulativa</v>
      </c>
      <c r="M35" s="53">
        <f>+'[1]Plan Indicativo'!T194</f>
        <v>4</v>
      </c>
      <c r="N35" s="29">
        <f>+'[1]Plan Indicativo'!W194</f>
        <v>1</v>
      </c>
      <c r="O35" s="30">
        <v>10</v>
      </c>
      <c r="P35" s="31">
        <f>+Tabla1[[#This Row],[Logro Vigencia]]/Tabla1[[#This Row],[Meta Programada Vigencia]]</f>
        <v>10</v>
      </c>
      <c r="Q35" s="32"/>
      <c r="R35" s="82">
        <v>0</v>
      </c>
      <c r="S35" s="83"/>
      <c r="T35" s="83">
        <v>430500000</v>
      </c>
      <c r="U35" s="83"/>
      <c r="V35" s="83"/>
      <c r="W35" s="83"/>
      <c r="X35" s="83"/>
      <c r="Y35" s="83"/>
      <c r="Z35" s="83"/>
      <c r="AA35" s="83"/>
      <c r="AB35" s="83"/>
      <c r="AC35" s="83">
        <v>320000000</v>
      </c>
      <c r="AD35" s="83">
        <v>0</v>
      </c>
      <c r="AE35" s="83">
        <v>350000000</v>
      </c>
      <c r="AF35" s="33">
        <f>SUM(Tabla1[[#This Row],[Recursos propios]:[Recursos del Balance]])</f>
        <v>1100500000</v>
      </c>
      <c r="AG35" s="84">
        <v>0</v>
      </c>
      <c r="AH35" s="85"/>
      <c r="AI35" s="85">
        <v>281220000.00999999</v>
      </c>
      <c r="AJ35" s="85"/>
      <c r="AK35" s="85"/>
      <c r="AL35" s="85"/>
      <c r="AM35" s="85"/>
      <c r="AN35" s="85"/>
      <c r="AO35" s="85"/>
      <c r="AP35" s="85"/>
      <c r="AQ35" s="85"/>
      <c r="AR35" s="85">
        <v>229543599.66999999</v>
      </c>
      <c r="AS35" s="85">
        <v>0</v>
      </c>
      <c r="AT35" s="83">
        <v>93266666.659999996</v>
      </c>
      <c r="AU35" s="34">
        <f>SUM(Tabla1[[#This Row],[Recursos propios ]:[Recursos del Balance ]])</f>
        <v>604030266.33999991</v>
      </c>
      <c r="AV35" s="86">
        <v>577386104.5</v>
      </c>
      <c r="AW35" s="87">
        <v>498458333.32999992</v>
      </c>
      <c r="AX35" s="35">
        <f>+Tabla1[[#This Row],[Total Recursos Comprometido 2025]]/Tabla1[[#This Row],[Total 2025]]</f>
        <v>0.54886893806451609</v>
      </c>
      <c r="AY35" s="36">
        <f>+Tabla1[[#This Row],[Total Recursos Obligados]]/Tabla1[[#This Row],[Total 2025]]</f>
        <v>0.52465797773739209</v>
      </c>
      <c r="AZ35" s="37">
        <f>+Tabla1[[#This Row],[Total Recursos Pagados]]/Tabla1[[#This Row],[Total 2025]]</f>
        <v>0.45293805845524754</v>
      </c>
      <c r="BA35" s="38">
        <v>0</v>
      </c>
      <c r="BB35" s="39">
        <f>+Tabla1[[#This Row],[Total Recursos Gestionados ]]/Tabla1[[#This Row],[Total Recursos Comprometido 2025]]</f>
        <v>0</v>
      </c>
      <c r="BC35" s="40" t="s">
        <v>250</v>
      </c>
      <c r="BD35" s="41" t="s">
        <v>251</v>
      </c>
      <c r="BE35" s="42">
        <v>3</v>
      </c>
    </row>
    <row r="36" spans="1:57" ht="31.5">
      <c r="A36" s="29">
        <v>187</v>
      </c>
      <c r="B36" s="29" t="s">
        <v>133</v>
      </c>
      <c r="C36" s="29" t="s">
        <v>134</v>
      </c>
      <c r="D36" s="29" t="s">
        <v>146</v>
      </c>
      <c r="E36" s="29" t="s">
        <v>147</v>
      </c>
      <c r="F36" s="29" t="s">
        <v>160</v>
      </c>
      <c r="G36" s="29" t="s">
        <v>161</v>
      </c>
      <c r="H36" s="29">
        <v>190504000</v>
      </c>
      <c r="I36" s="29" t="s">
        <v>162</v>
      </c>
      <c r="J36" s="29">
        <v>2030</v>
      </c>
      <c r="K36" s="29" t="s">
        <v>65</v>
      </c>
      <c r="L36" s="29" t="str">
        <f>+'[1]Plan Indicativo'!AC195</f>
        <v>Acumulativa</v>
      </c>
      <c r="M36" s="53">
        <f>+'[1]Plan Indicativo'!T195</f>
        <v>8000</v>
      </c>
      <c r="N36" s="29">
        <f>+'[1]Plan Indicativo'!W195</f>
        <v>2000</v>
      </c>
      <c r="O36" s="30">
        <v>1999</v>
      </c>
      <c r="P36" s="44">
        <f>+Tabla1[[#This Row],[Logro Vigencia]]/Tabla1[[#This Row],[Meta Programada Vigencia]]</f>
        <v>0.99950000000000006</v>
      </c>
      <c r="Q36" s="32"/>
      <c r="R36" s="82">
        <v>440000000</v>
      </c>
      <c r="S36" s="83"/>
      <c r="T36" s="83">
        <v>0</v>
      </c>
      <c r="U36" s="83"/>
      <c r="V36" s="83"/>
      <c r="W36" s="83"/>
      <c r="X36" s="83"/>
      <c r="Y36" s="83"/>
      <c r="Z36" s="83"/>
      <c r="AA36" s="83"/>
      <c r="AB36" s="83"/>
      <c r="AC36" s="83">
        <v>0</v>
      </c>
      <c r="AD36" s="83">
        <v>0</v>
      </c>
      <c r="AE36" s="83">
        <v>0</v>
      </c>
      <c r="AF36" s="33">
        <f>SUM(Tabla1[[#This Row],[Recursos propios]:[Recursos del Balance]])</f>
        <v>440000000</v>
      </c>
      <c r="AG36" s="84">
        <v>337746000</v>
      </c>
      <c r="AH36" s="85"/>
      <c r="AI36" s="85">
        <v>0</v>
      </c>
      <c r="AJ36" s="85"/>
      <c r="AK36" s="85"/>
      <c r="AL36" s="85"/>
      <c r="AM36" s="85"/>
      <c r="AN36" s="85"/>
      <c r="AO36" s="85"/>
      <c r="AP36" s="85"/>
      <c r="AQ36" s="85"/>
      <c r="AR36" s="85">
        <v>0</v>
      </c>
      <c r="AS36" s="85">
        <v>0</v>
      </c>
      <c r="AT36" s="83">
        <v>0</v>
      </c>
      <c r="AU36" s="34">
        <f>SUM(Tabla1[[#This Row],[Recursos propios ]:[Recursos del Balance ]])</f>
        <v>337746000</v>
      </c>
      <c r="AV36" s="86">
        <v>301607178</v>
      </c>
      <c r="AW36" s="87">
        <v>246554580</v>
      </c>
      <c r="AX36" s="35">
        <f>+Tabla1[[#This Row],[Total Recursos Comprometido 2025]]/Tabla1[[#This Row],[Total 2025]]</f>
        <v>0.76760454545454548</v>
      </c>
      <c r="AY36" s="36">
        <f>+Tabla1[[#This Row],[Total Recursos Obligados]]/Tabla1[[#This Row],[Total 2025]]</f>
        <v>0.6854708590909091</v>
      </c>
      <c r="AZ36" s="37">
        <f>+Tabla1[[#This Row],[Total Recursos Pagados]]/Tabla1[[#This Row],[Total 2025]]</f>
        <v>0.56035131818181816</v>
      </c>
      <c r="BA36" s="38">
        <v>0</v>
      </c>
      <c r="BB36" s="39">
        <f>+Tabla1[[#This Row],[Total Recursos Gestionados ]]/Tabla1[[#This Row],[Total Recursos Comprometido 2025]]</f>
        <v>0</v>
      </c>
      <c r="BC36" s="40" t="s">
        <v>250</v>
      </c>
      <c r="BD36" s="41" t="s">
        <v>251</v>
      </c>
      <c r="BE36" s="42">
        <v>3</v>
      </c>
    </row>
    <row r="37" spans="1:57" ht="31.5">
      <c r="A37" s="29">
        <v>188</v>
      </c>
      <c r="B37" s="29" t="s">
        <v>133</v>
      </c>
      <c r="C37" s="29" t="s">
        <v>134</v>
      </c>
      <c r="D37" s="29" t="s">
        <v>146</v>
      </c>
      <c r="E37" s="29" t="s">
        <v>147</v>
      </c>
      <c r="F37" s="29" t="s">
        <v>163</v>
      </c>
      <c r="G37" s="29" t="s">
        <v>164</v>
      </c>
      <c r="H37" s="29">
        <v>190502300</v>
      </c>
      <c r="I37" s="29" t="s">
        <v>165</v>
      </c>
      <c r="J37" s="29">
        <v>1</v>
      </c>
      <c r="K37" s="29" t="s">
        <v>65</v>
      </c>
      <c r="L37" s="29" t="str">
        <f>+'[1]Plan Indicativo'!AC196</f>
        <v>Acumulativa</v>
      </c>
      <c r="M37" s="53">
        <f>+'[1]Plan Indicativo'!T196</f>
        <v>4</v>
      </c>
      <c r="N37" s="29">
        <f>+'[1]Plan Indicativo'!W196</f>
        <v>1</v>
      </c>
      <c r="O37" s="30">
        <v>1</v>
      </c>
      <c r="P37" s="31">
        <f>+Tabla1[[#This Row],[Logro Vigencia]]/Tabla1[[#This Row],[Meta Programada Vigencia]]</f>
        <v>1</v>
      </c>
      <c r="Q37" s="32"/>
      <c r="R37" s="82">
        <v>300000000</v>
      </c>
      <c r="S37" s="83"/>
      <c r="T37" s="83">
        <v>300000000</v>
      </c>
      <c r="U37" s="83"/>
      <c r="V37" s="83"/>
      <c r="W37" s="83"/>
      <c r="X37" s="83"/>
      <c r="Y37" s="83"/>
      <c r="Z37" s="83"/>
      <c r="AA37" s="83"/>
      <c r="AB37" s="83"/>
      <c r="AC37" s="83">
        <v>0</v>
      </c>
      <c r="AD37" s="83">
        <v>0</v>
      </c>
      <c r="AE37" s="83">
        <v>811664052.66999996</v>
      </c>
      <c r="AF37" s="33">
        <f>SUM(Tabla1[[#This Row],[Recursos propios]:[Recursos del Balance]])</f>
        <v>1411664052.6700001</v>
      </c>
      <c r="AG37" s="84">
        <v>281066666.64999998</v>
      </c>
      <c r="AH37" s="85"/>
      <c r="AI37" s="85">
        <v>279099999.98000002</v>
      </c>
      <c r="AJ37" s="85"/>
      <c r="AK37" s="85"/>
      <c r="AL37" s="85"/>
      <c r="AM37" s="85"/>
      <c r="AN37" s="85"/>
      <c r="AO37" s="85"/>
      <c r="AP37" s="85"/>
      <c r="AQ37" s="85"/>
      <c r="AR37" s="85">
        <v>0</v>
      </c>
      <c r="AS37" s="85">
        <v>0</v>
      </c>
      <c r="AT37" s="83">
        <v>234077878</v>
      </c>
      <c r="AU37" s="34">
        <f>SUM(Tabla1[[#This Row],[Recursos propios ]:[Recursos del Balance ]])</f>
        <v>794244544.63</v>
      </c>
      <c r="AV37" s="86">
        <v>483066666.63</v>
      </c>
      <c r="AW37" s="87">
        <v>469706666.64000005</v>
      </c>
      <c r="AX37" s="35">
        <f>+Tabla1[[#This Row],[Total Recursos Comprometido 2025]]/Tabla1[[#This Row],[Total 2025]]</f>
        <v>0.5626299990622966</v>
      </c>
      <c r="AY37" s="36">
        <f>+Tabla1[[#This Row],[Total Recursos Obligados]]/Tabla1[[#This Row],[Total 2025]]</f>
        <v>0.34219661945512814</v>
      </c>
      <c r="AZ37" s="37">
        <f>+Tabla1[[#This Row],[Total Recursos Pagados]]/Tabla1[[#This Row],[Total 2025]]</f>
        <v>0.33273261138271809</v>
      </c>
      <c r="BA37" s="38">
        <v>0</v>
      </c>
      <c r="BB37" s="39">
        <f>+Tabla1[[#This Row],[Total Recursos Gestionados ]]/Tabla1[[#This Row],[Total Recursos Comprometido 2025]]</f>
        <v>0</v>
      </c>
      <c r="BC37" s="40" t="s">
        <v>250</v>
      </c>
      <c r="BD37" s="41" t="s">
        <v>251</v>
      </c>
      <c r="BE37" s="42">
        <v>3</v>
      </c>
    </row>
    <row r="38" spans="1:57" ht="31.5">
      <c r="A38" s="29">
        <v>189</v>
      </c>
      <c r="B38" s="29" t="s">
        <v>133</v>
      </c>
      <c r="C38" s="29" t="s">
        <v>134</v>
      </c>
      <c r="D38" s="29" t="s">
        <v>146</v>
      </c>
      <c r="E38" s="29" t="s">
        <v>147</v>
      </c>
      <c r="F38" s="29" t="s">
        <v>166</v>
      </c>
      <c r="G38" s="29" t="s">
        <v>167</v>
      </c>
      <c r="H38" s="29">
        <v>190504900</v>
      </c>
      <c r="I38" s="29" t="s">
        <v>168</v>
      </c>
      <c r="J38" s="29">
        <v>1</v>
      </c>
      <c r="K38" s="29" t="s">
        <v>65</v>
      </c>
      <c r="L38" s="29" t="str">
        <f>+'[1]Plan Indicativo'!AC197</f>
        <v>Acumulativa</v>
      </c>
      <c r="M38" s="53">
        <f>+'[1]Plan Indicativo'!T197</f>
        <v>4</v>
      </c>
      <c r="N38" s="29">
        <f>+'[1]Plan Indicativo'!W197</f>
        <v>1</v>
      </c>
      <c r="O38" s="30">
        <v>1</v>
      </c>
      <c r="P38" s="44">
        <f>+Tabla1[[#This Row],[Logro Vigencia]]/Tabla1[[#This Row],[Meta Programada Vigencia]]</f>
        <v>1</v>
      </c>
      <c r="Q38" s="32"/>
      <c r="R38" s="82">
        <v>1697272258</v>
      </c>
      <c r="S38" s="83"/>
      <c r="T38" s="83">
        <v>230176762</v>
      </c>
      <c r="U38" s="83"/>
      <c r="V38" s="83"/>
      <c r="W38" s="83"/>
      <c r="X38" s="83"/>
      <c r="Y38" s="83"/>
      <c r="Z38" s="83"/>
      <c r="AA38" s="83"/>
      <c r="AB38" s="83"/>
      <c r="AC38" s="83">
        <v>0</v>
      </c>
      <c r="AD38" s="83">
        <v>0</v>
      </c>
      <c r="AE38" s="83">
        <v>2429818038.8099999</v>
      </c>
      <c r="AF38" s="33">
        <f>SUM(Tabla1[[#This Row],[Recursos propios]:[Recursos del Balance]])</f>
        <v>4357267058.8099995</v>
      </c>
      <c r="AG38" s="84">
        <v>1422374994</v>
      </c>
      <c r="AH38" s="85"/>
      <c r="AI38" s="85">
        <v>176400000</v>
      </c>
      <c r="AJ38" s="85"/>
      <c r="AK38" s="85"/>
      <c r="AL38" s="85"/>
      <c r="AM38" s="85"/>
      <c r="AN38" s="85"/>
      <c r="AO38" s="85"/>
      <c r="AP38" s="85"/>
      <c r="AQ38" s="85"/>
      <c r="AR38" s="85">
        <v>0</v>
      </c>
      <c r="AS38" s="85">
        <v>0</v>
      </c>
      <c r="AT38" s="83">
        <v>1536569531.7399998</v>
      </c>
      <c r="AU38" s="34">
        <f>SUM(Tabla1[[#This Row],[Recursos propios ]:[Recursos del Balance ]])</f>
        <v>3135344525.7399998</v>
      </c>
      <c r="AV38" s="86">
        <v>2807941835.3699999</v>
      </c>
      <c r="AW38" s="87">
        <v>2536236445.9499998</v>
      </c>
      <c r="AX38" s="35">
        <f>+Tabla1[[#This Row],[Total Recursos Comprometido 2025]]/Tabla1[[#This Row],[Total 2025]]</f>
        <v>0.71956675673588033</v>
      </c>
      <c r="AY38" s="36">
        <f>+Tabla1[[#This Row],[Total Recursos Obligados]]/Tabla1[[#This Row],[Total 2025]]</f>
        <v>0.64442729754023131</v>
      </c>
      <c r="AZ38" s="37">
        <f>+Tabla1[[#This Row],[Total Recursos Pagados]]/Tabla1[[#This Row],[Total 2025]]</f>
        <v>0.58207046107535676</v>
      </c>
      <c r="BA38" s="38">
        <v>0</v>
      </c>
      <c r="BB38" s="39">
        <f>+Tabla1[[#This Row],[Total Recursos Gestionados ]]/Tabla1[[#This Row],[Total Recursos Comprometido 2025]]</f>
        <v>0</v>
      </c>
      <c r="BC38" s="40" t="s">
        <v>250</v>
      </c>
      <c r="BD38" s="41" t="s">
        <v>251</v>
      </c>
      <c r="BE38" s="42">
        <v>3</v>
      </c>
    </row>
    <row r="39" spans="1:57" ht="31.5">
      <c r="A39" s="29">
        <v>190</v>
      </c>
      <c r="B39" s="29" t="s">
        <v>133</v>
      </c>
      <c r="C39" s="29" t="s">
        <v>134</v>
      </c>
      <c r="D39" s="29" t="s">
        <v>146</v>
      </c>
      <c r="E39" s="29" t="s">
        <v>147</v>
      </c>
      <c r="F39" s="29" t="s">
        <v>169</v>
      </c>
      <c r="G39" s="29" t="s">
        <v>170</v>
      </c>
      <c r="H39" s="29">
        <v>190504300</v>
      </c>
      <c r="I39" s="29" t="s">
        <v>171</v>
      </c>
      <c r="J39" s="29">
        <v>1</v>
      </c>
      <c r="K39" s="29" t="s">
        <v>65</v>
      </c>
      <c r="L39" s="29" t="str">
        <f>+'[1]Plan Indicativo'!AC198</f>
        <v>Acumulativa</v>
      </c>
      <c r="M39" s="53">
        <f>+'[1]Plan Indicativo'!T198</f>
        <v>4</v>
      </c>
      <c r="N39" s="29">
        <f>+'[1]Plan Indicativo'!W198</f>
        <v>1</v>
      </c>
      <c r="O39" s="30">
        <v>1</v>
      </c>
      <c r="P39" s="31">
        <f>+Tabla1[[#This Row],[Logro Vigencia]]/Tabla1[[#This Row],[Meta Programada Vigencia]]</f>
        <v>1</v>
      </c>
      <c r="Q39" s="32"/>
      <c r="R39" s="82">
        <v>0</v>
      </c>
      <c r="S39" s="83"/>
      <c r="T39" s="83">
        <v>200000000</v>
      </c>
      <c r="U39" s="83"/>
      <c r="V39" s="83"/>
      <c r="W39" s="83"/>
      <c r="X39" s="83"/>
      <c r="Y39" s="83"/>
      <c r="Z39" s="83"/>
      <c r="AA39" s="83"/>
      <c r="AB39" s="83"/>
      <c r="AC39" s="83">
        <v>0</v>
      </c>
      <c r="AD39" s="83">
        <v>0</v>
      </c>
      <c r="AE39" s="83">
        <v>1607179301.5899999</v>
      </c>
      <c r="AF39" s="33">
        <f>SUM(Tabla1[[#This Row],[Recursos propios]:[Recursos del Balance]])</f>
        <v>1807179301.5899999</v>
      </c>
      <c r="AG39" s="84">
        <v>0</v>
      </c>
      <c r="AH39" s="85"/>
      <c r="AI39" s="85">
        <v>150561666.66999999</v>
      </c>
      <c r="AJ39" s="85"/>
      <c r="AK39" s="85"/>
      <c r="AL39" s="85"/>
      <c r="AM39" s="85"/>
      <c r="AN39" s="85"/>
      <c r="AO39" s="85"/>
      <c r="AP39" s="85"/>
      <c r="AQ39" s="85"/>
      <c r="AR39" s="85">
        <v>0</v>
      </c>
      <c r="AS39" s="85">
        <v>0</v>
      </c>
      <c r="AT39" s="83">
        <v>734676876.86000001</v>
      </c>
      <c r="AU39" s="34">
        <f>SUM(Tabla1[[#This Row],[Recursos propios ]:[Recursos del Balance ]])</f>
        <v>885238543.52999997</v>
      </c>
      <c r="AV39" s="86">
        <v>885238543.52999997</v>
      </c>
      <c r="AW39" s="87">
        <v>874188543.52999997</v>
      </c>
      <c r="AX39" s="35">
        <f>+Tabla1[[#This Row],[Total Recursos Comprometido 2025]]/Tabla1[[#This Row],[Total 2025]]</f>
        <v>0.48984544187239515</v>
      </c>
      <c r="AY39" s="36">
        <f>+Tabla1[[#This Row],[Total Recursos Obligados]]/Tabla1[[#This Row],[Total 2025]]</f>
        <v>0.48984544187239515</v>
      </c>
      <c r="AZ39" s="37">
        <f>+Tabla1[[#This Row],[Total Recursos Pagados]]/Tabla1[[#This Row],[Total 2025]]</f>
        <v>0.48373094067692551</v>
      </c>
      <c r="BA39" s="38">
        <v>0</v>
      </c>
      <c r="BB39" s="39">
        <f>+Tabla1[[#This Row],[Total Recursos Gestionados ]]/Tabla1[[#This Row],[Total Recursos Comprometido 2025]]</f>
        <v>0</v>
      </c>
      <c r="BC39" s="40" t="s">
        <v>250</v>
      </c>
      <c r="BD39" s="41" t="s">
        <v>251</v>
      </c>
      <c r="BE39" s="42">
        <v>3</v>
      </c>
    </row>
    <row r="40" spans="1:57" ht="31.5">
      <c r="A40" s="29">
        <v>191</v>
      </c>
      <c r="B40" s="29" t="s">
        <v>133</v>
      </c>
      <c r="C40" s="29" t="s">
        <v>134</v>
      </c>
      <c r="D40" s="29" t="s">
        <v>146</v>
      </c>
      <c r="E40" s="29" t="s">
        <v>147</v>
      </c>
      <c r="F40" s="29" t="s">
        <v>172</v>
      </c>
      <c r="G40" s="29" t="s">
        <v>173</v>
      </c>
      <c r="H40" s="29">
        <v>190502400</v>
      </c>
      <c r="I40" s="29" t="s">
        <v>174</v>
      </c>
      <c r="J40" s="29">
        <v>1</v>
      </c>
      <c r="K40" s="29" t="s">
        <v>65</v>
      </c>
      <c r="L40" s="29" t="str">
        <f>+'[1]Plan Indicativo'!AC199</f>
        <v>Acumulativa</v>
      </c>
      <c r="M40" s="53">
        <f>+'[1]Plan Indicativo'!T199</f>
        <v>4</v>
      </c>
      <c r="N40" s="29">
        <f>+'[1]Plan Indicativo'!W199</f>
        <v>1</v>
      </c>
      <c r="O40" s="30">
        <v>1</v>
      </c>
      <c r="P40" s="44">
        <f>+Tabla1[[#This Row],[Logro Vigencia]]/Tabla1[[#This Row],[Meta Programada Vigencia]]</f>
        <v>1</v>
      </c>
      <c r="Q40" s="32"/>
      <c r="R40" s="82">
        <v>684294000</v>
      </c>
      <c r="S40" s="83"/>
      <c r="T40" s="83">
        <v>300000000</v>
      </c>
      <c r="U40" s="83"/>
      <c r="V40" s="83"/>
      <c r="W40" s="83"/>
      <c r="X40" s="83"/>
      <c r="Y40" s="83"/>
      <c r="Z40" s="83"/>
      <c r="AA40" s="83"/>
      <c r="AB40" s="83"/>
      <c r="AC40" s="83">
        <v>0</v>
      </c>
      <c r="AD40" s="83">
        <v>0</v>
      </c>
      <c r="AE40" s="83">
        <v>830000000</v>
      </c>
      <c r="AF40" s="33">
        <f>SUM(Tabla1[[#This Row],[Recursos propios]:[Recursos del Balance]])</f>
        <v>1814294000</v>
      </c>
      <c r="AG40" s="84">
        <v>591929999.99000001</v>
      </c>
      <c r="AH40" s="85"/>
      <c r="AI40" s="85">
        <v>298390707</v>
      </c>
      <c r="AJ40" s="85"/>
      <c r="AK40" s="85"/>
      <c r="AL40" s="85"/>
      <c r="AM40" s="85"/>
      <c r="AN40" s="85"/>
      <c r="AO40" s="85"/>
      <c r="AP40" s="85"/>
      <c r="AQ40" s="85"/>
      <c r="AR40" s="85">
        <v>0</v>
      </c>
      <c r="AS40" s="85">
        <v>0</v>
      </c>
      <c r="AT40" s="83">
        <v>0</v>
      </c>
      <c r="AU40" s="34">
        <f>SUM(Tabla1[[#This Row],[Recursos propios ]:[Recursos del Balance ]])</f>
        <v>890320706.99000001</v>
      </c>
      <c r="AV40" s="86">
        <v>591929999.99000001</v>
      </c>
      <c r="AW40" s="87">
        <v>591929999.99000001</v>
      </c>
      <c r="AX40" s="35">
        <f>+Tabla1[[#This Row],[Total Recursos Comprometido 2025]]/Tabla1[[#This Row],[Total 2025]]</f>
        <v>0.4907257076251148</v>
      </c>
      <c r="AY40" s="36">
        <f>+Tabla1[[#This Row],[Total Recursos Obligados]]/Tabla1[[#This Row],[Total 2025]]</f>
        <v>0.32625913991337679</v>
      </c>
      <c r="AZ40" s="37">
        <f>+Tabla1[[#This Row],[Total Recursos Pagados]]/Tabla1[[#This Row],[Total 2025]]</f>
        <v>0.32625913991337679</v>
      </c>
      <c r="BA40" s="38">
        <v>0</v>
      </c>
      <c r="BB40" s="39">
        <f>+Tabla1[[#This Row],[Total Recursos Gestionados ]]/Tabla1[[#This Row],[Total Recursos Comprometido 2025]]</f>
        <v>0</v>
      </c>
      <c r="BC40" s="40" t="s">
        <v>250</v>
      </c>
      <c r="BD40" s="41" t="s">
        <v>251</v>
      </c>
      <c r="BE40" s="42">
        <v>3</v>
      </c>
    </row>
    <row r="41" spans="1:57" ht="31.5">
      <c r="A41" s="29">
        <v>192</v>
      </c>
      <c r="B41" s="29" t="s">
        <v>133</v>
      </c>
      <c r="C41" s="29" t="s">
        <v>134</v>
      </c>
      <c r="D41" s="29" t="s">
        <v>146</v>
      </c>
      <c r="E41" s="29" t="s">
        <v>147</v>
      </c>
      <c r="F41" s="29" t="s">
        <v>175</v>
      </c>
      <c r="G41" s="29" t="s">
        <v>176</v>
      </c>
      <c r="H41" s="29">
        <v>190502200</v>
      </c>
      <c r="I41" s="29" t="s">
        <v>177</v>
      </c>
      <c r="J41" s="29">
        <v>1</v>
      </c>
      <c r="K41" s="29" t="s">
        <v>65</v>
      </c>
      <c r="L41" s="29" t="str">
        <f>+'[1]Plan Indicativo'!AC200</f>
        <v>Acumulativa</v>
      </c>
      <c r="M41" s="53">
        <f>+'[1]Plan Indicativo'!T200</f>
        <v>4</v>
      </c>
      <c r="N41" s="29">
        <f>+'[1]Plan Indicativo'!W200</f>
        <v>1</v>
      </c>
      <c r="O41" s="30">
        <v>1</v>
      </c>
      <c r="P41" s="31">
        <f>+Tabla1[[#This Row],[Logro Vigencia]]/Tabla1[[#This Row],[Meta Programada Vigencia]]</f>
        <v>1</v>
      </c>
      <c r="Q41" s="32"/>
      <c r="R41" s="82">
        <v>54000000</v>
      </c>
      <c r="S41" s="83"/>
      <c r="T41" s="83">
        <v>700000000</v>
      </c>
      <c r="U41" s="83"/>
      <c r="V41" s="83"/>
      <c r="W41" s="83"/>
      <c r="X41" s="83"/>
      <c r="Y41" s="83"/>
      <c r="Z41" s="83"/>
      <c r="AA41" s="83"/>
      <c r="AB41" s="83"/>
      <c r="AC41" s="83">
        <v>0</v>
      </c>
      <c r="AD41" s="83">
        <v>0</v>
      </c>
      <c r="AE41" s="83">
        <v>624000000</v>
      </c>
      <c r="AF41" s="33">
        <f>SUM(Tabla1[[#This Row],[Recursos propios]:[Recursos del Balance]])</f>
        <v>1378000000</v>
      </c>
      <c r="AG41" s="84">
        <v>54000000</v>
      </c>
      <c r="AH41" s="85"/>
      <c r="AI41" s="85">
        <v>666600000</v>
      </c>
      <c r="AJ41" s="85"/>
      <c r="AK41" s="85"/>
      <c r="AL41" s="85"/>
      <c r="AM41" s="85"/>
      <c r="AN41" s="85"/>
      <c r="AO41" s="85"/>
      <c r="AP41" s="85"/>
      <c r="AQ41" s="85"/>
      <c r="AR41" s="85">
        <v>0</v>
      </c>
      <c r="AS41" s="85">
        <v>0</v>
      </c>
      <c r="AT41" s="83">
        <v>170976666.66</v>
      </c>
      <c r="AU41" s="34">
        <f>SUM(Tabla1[[#This Row],[Recursos propios ]:[Recursos del Balance ]])</f>
        <v>891576666.65999997</v>
      </c>
      <c r="AV41" s="86">
        <v>881222380.94999993</v>
      </c>
      <c r="AW41" s="87">
        <v>872536666.65999997</v>
      </c>
      <c r="AX41" s="35">
        <f>+Tabla1[[#This Row],[Total Recursos Comprometido 2025]]/Tabla1[[#This Row],[Total 2025]]</f>
        <v>0.64700774068214806</v>
      </c>
      <c r="AY41" s="36">
        <f>+Tabla1[[#This Row],[Total Recursos Obligados]]/Tabla1[[#This Row],[Total 2025]]</f>
        <v>0.6394937452467343</v>
      </c>
      <c r="AZ41" s="37">
        <f>+Tabla1[[#This Row],[Total Recursos Pagados]]/Tabla1[[#This Row],[Total 2025]]</f>
        <v>0.6331906144121916</v>
      </c>
      <c r="BA41" s="38">
        <v>0</v>
      </c>
      <c r="BB41" s="39">
        <f>+Tabla1[[#This Row],[Total Recursos Gestionados ]]/Tabla1[[#This Row],[Total Recursos Comprometido 2025]]</f>
        <v>0</v>
      </c>
      <c r="BC41" s="40" t="s">
        <v>250</v>
      </c>
      <c r="BD41" s="41" t="s">
        <v>251</v>
      </c>
      <c r="BE41" s="42">
        <v>3</v>
      </c>
    </row>
    <row r="42" spans="1:57" ht="31.5">
      <c r="A42" s="29">
        <v>193</v>
      </c>
      <c r="B42" s="29" t="s">
        <v>133</v>
      </c>
      <c r="C42" s="29" t="s">
        <v>134</v>
      </c>
      <c r="D42" s="29" t="s">
        <v>146</v>
      </c>
      <c r="E42" s="29" t="s">
        <v>147</v>
      </c>
      <c r="F42" s="29" t="s">
        <v>178</v>
      </c>
      <c r="G42" s="29" t="s">
        <v>179</v>
      </c>
      <c r="H42" s="29">
        <v>190501500</v>
      </c>
      <c r="I42" s="29" t="s">
        <v>180</v>
      </c>
      <c r="J42" s="29">
        <v>1</v>
      </c>
      <c r="K42" s="29" t="s">
        <v>65</v>
      </c>
      <c r="L42" s="29" t="str">
        <f>+'[1]Plan Indicativo'!AC201</f>
        <v>No Acumulativa</v>
      </c>
      <c r="M42" s="53">
        <f>+'[1]Plan Indicativo'!T201</f>
        <v>1</v>
      </c>
      <c r="N42" s="29">
        <f>+'[1]Plan Indicativo'!W201</f>
        <v>1</v>
      </c>
      <c r="O42" s="30">
        <v>1</v>
      </c>
      <c r="P42" s="44">
        <f>+Tabla1[[#This Row],[Logro Vigencia]]/Tabla1[[#This Row],[Meta Programada Vigencia]]</f>
        <v>1</v>
      </c>
      <c r="Q42" s="32"/>
      <c r="R42" s="82">
        <v>0</v>
      </c>
      <c r="S42" s="83"/>
      <c r="T42" s="83">
        <v>2944715000</v>
      </c>
      <c r="U42" s="83"/>
      <c r="V42" s="83"/>
      <c r="W42" s="83"/>
      <c r="X42" s="83"/>
      <c r="Y42" s="83"/>
      <c r="Z42" s="83"/>
      <c r="AA42" s="83"/>
      <c r="AB42" s="83"/>
      <c r="AC42" s="83">
        <v>0</v>
      </c>
      <c r="AD42" s="83">
        <v>0</v>
      </c>
      <c r="AE42" s="83">
        <v>1079845000</v>
      </c>
      <c r="AF42" s="33">
        <f>SUM(Tabla1[[#This Row],[Recursos propios]:[Recursos del Balance]])</f>
        <v>4024560000</v>
      </c>
      <c r="AG42" s="84">
        <v>0</v>
      </c>
      <c r="AH42" s="85"/>
      <c r="AI42" s="85">
        <v>2944715000.00002</v>
      </c>
      <c r="AJ42" s="85"/>
      <c r="AK42" s="85"/>
      <c r="AL42" s="85"/>
      <c r="AM42" s="85"/>
      <c r="AN42" s="85"/>
      <c r="AO42" s="85"/>
      <c r="AP42" s="85"/>
      <c r="AQ42" s="85"/>
      <c r="AR42" s="85">
        <v>0</v>
      </c>
      <c r="AS42" s="85">
        <v>0</v>
      </c>
      <c r="AT42" s="83">
        <v>79845000</v>
      </c>
      <c r="AU42" s="34">
        <f>SUM(Tabla1[[#This Row],[Recursos propios ]:[Recursos del Balance ]])</f>
        <v>3024560000.00002</v>
      </c>
      <c r="AV42" s="86">
        <v>1115457056.4000001</v>
      </c>
      <c r="AW42" s="87">
        <v>867078007.46000004</v>
      </c>
      <c r="AX42" s="35">
        <f>+Tabla1[[#This Row],[Total Recursos Comprometido 2025]]/Tabla1[[#This Row],[Total 2025]]</f>
        <v>0.75152563261574434</v>
      </c>
      <c r="AY42" s="36">
        <f>+Tabla1[[#This Row],[Total Recursos Obligados]]/Tabla1[[#This Row],[Total 2025]]</f>
        <v>0.27716248643329955</v>
      </c>
      <c r="AZ42" s="37">
        <f>+Tabla1[[#This Row],[Total Recursos Pagados]]/Tabla1[[#This Row],[Total 2025]]</f>
        <v>0.21544665937642873</v>
      </c>
      <c r="BA42" s="38">
        <v>0</v>
      </c>
      <c r="BB42" s="39">
        <f>+Tabla1[[#This Row],[Total Recursos Gestionados ]]/Tabla1[[#This Row],[Total Recursos Comprometido 2025]]</f>
        <v>0</v>
      </c>
      <c r="BC42" s="40" t="s">
        <v>250</v>
      </c>
      <c r="BD42" s="41" t="s">
        <v>251</v>
      </c>
      <c r="BE42" s="42">
        <v>3</v>
      </c>
    </row>
    <row r="43" spans="1:57" ht="31.5">
      <c r="A43" s="29">
        <v>194</v>
      </c>
      <c r="B43" s="29" t="s">
        <v>133</v>
      </c>
      <c r="C43" s="29" t="s">
        <v>134</v>
      </c>
      <c r="D43" s="29" t="s">
        <v>146</v>
      </c>
      <c r="E43" s="29" t="s">
        <v>147</v>
      </c>
      <c r="F43" s="29" t="s">
        <v>181</v>
      </c>
      <c r="G43" s="29" t="s">
        <v>182</v>
      </c>
      <c r="H43" s="29">
        <v>190504200</v>
      </c>
      <c r="I43" s="29" t="s">
        <v>183</v>
      </c>
      <c r="J43" s="29">
        <v>16352</v>
      </c>
      <c r="K43" s="29" t="s">
        <v>65</v>
      </c>
      <c r="L43" s="29" t="str">
        <f>+'[1]Plan Indicativo'!AC202</f>
        <v>Acumulativa</v>
      </c>
      <c r="M43" s="53">
        <f>+'[1]Plan Indicativo'!T202</f>
        <v>20000</v>
      </c>
      <c r="N43" s="29">
        <f>+'[1]Plan Indicativo'!W202</f>
        <v>4000</v>
      </c>
      <c r="O43" s="81">
        <v>6913</v>
      </c>
      <c r="P43" s="31">
        <f>+Tabla1[[#This Row],[Logro Vigencia]]/Tabla1[[#This Row],[Meta Programada Vigencia]]</f>
        <v>1.7282500000000001</v>
      </c>
      <c r="Q43" s="32"/>
      <c r="R43" s="82">
        <v>300000000</v>
      </c>
      <c r="S43" s="83"/>
      <c r="T43" s="83">
        <v>300000000</v>
      </c>
      <c r="U43" s="83"/>
      <c r="V43" s="83"/>
      <c r="W43" s="83"/>
      <c r="X43" s="83"/>
      <c r="Y43" s="83"/>
      <c r="Z43" s="83"/>
      <c r="AA43" s="83"/>
      <c r="AB43" s="83"/>
      <c r="AC43" s="83">
        <v>0</v>
      </c>
      <c r="AD43" s="83">
        <v>0</v>
      </c>
      <c r="AE43" s="83">
        <v>200000000</v>
      </c>
      <c r="AF43" s="33">
        <f>SUM(Tabla1[[#This Row],[Recursos propios]:[Recursos del Balance]])</f>
        <v>800000000</v>
      </c>
      <c r="AG43" s="84">
        <v>237433333.09</v>
      </c>
      <c r="AH43" s="85"/>
      <c r="AI43" s="85">
        <v>242733333.34</v>
      </c>
      <c r="AJ43" s="85"/>
      <c r="AK43" s="85"/>
      <c r="AL43" s="85"/>
      <c r="AM43" s="85"/>
      <c r="AN43" s="85"/>
      <c r="AO43" s="85"/>
      <c r="AP43" s="85"/>
      <c r="AQ43" s="85"/>
      <c r="AR43" s="85">
        <v>0</v>
      </c>
      <c r="AS43" s="85">
        <v>0</v>
      </c>
      <c r="AT43" s="83">
        <v>68600000</v>
      </c>
      <c r="AU43" s="34">
        <f>SUM(Tabla1[[#This Row],[Recursos propios ]:[Recursos del Balance ]])</f>
        <v>548766666.43000007</v>
      </c>
      <c r="AV43" s="86">
        <v>526523809.29000002</v>
      </c>
      <c r="AW43" s="87">
        <v>525933333.10000002</v>
      </c>
      <c r="AX43" s="35">
        <f>+Tabla1[[#This Row],[Total Recursos Comprometido 2025]]/Tabla1[[#This Row],[Total 2025]]</f>
        <v>0.68595833303750009</v>
      </c>
      <c r="AY43" s="36">
        <f>+Tabla1[[#This Row],[Total Recursos Obligados]]/Tabla1[[#This Row],[Total 2025]]</f>
        <v>0.65815476161249997</v>
      </c>
      <c r="AZ43" s="37">
        <f>+Tabla1[[#This Row],[Total Recursos Pagados]]/Tabla1[[#This Row],[Total 2025]]</f>
        <v>0.65741666637500007</v>
      </c>
      <c r="BA43" s="38">
        <v>0</v>
      </c>
      <c r="BB43" s="39">
        <f>+Tabla1[[#This Row],[Total Recursos Gestionados ]]/Tabla1[[#This Row],[Total Recursos Comprometido 2025]]</f>
        <v>0</v>
      </c>
      <c r="BC43" s="40" t="s">
        <v>250</v>
      </c>
      <c r="BD43" s="41" t="s">
        <v>251</v>
      </c>
      <c r="BE43" s="42">
        <v>3</v>
      </c>
    </row>
    <row r="44" spans="1:57" ht="31.5">
      <c r="A44" s="29">
        <v>195</v>
      </c>
      <c r="B44" s="29" t="s">
        <v>133</v>
      </c>
      <c r="C44" s="29" t="s">
        <v>134</v>
      </c>
      <c r="D44" s="29" t="s">
        <v>184</v>
      </c>
      <c r="E44" s="29" t="s">
        <v>185</v>
      </c>
      <c r="F44" s="29" t="s">
        <v>186</v>
      </c>
      <c r="G44" s="29" t="s">
        <v>187</v>
      </c>
      <c r="H44" s="29">
        <v>190604400</v>
      </c>
      <c r="I44" s="29" t="s">
        <v>188</v>
      </c>
      <c r="J44" s="29">
        <v>256340</v>
      </c>
      <c r="K44" s="29" t="s">
        <v>65</v>
      </c>
      <c r="L44" s="29" t="str">
        <f>+'[1]Plan Indicativo'!AC203</f>
        <v>No Acumulativa</v>
      </c>
      <c r="M44" s="53">
        <f>+'[1]Plan Indicativo'!T203</f>
        <v>281600</v>
      </c>
      <c r="N44" s="29">
        <f>+'[1]Plan Indicativo'!W203</f>
        <v>274737</v>
      </c>
      <c r="O44" s="80">
        <v>283609</v>
      </c>
      <c r="P44" s="44">
        <f>+Tabla1[[#This Row],[Logro Vigencia]]/Tabla1[[#This Row],[Meta Programada Vigencia]]</f>
        <v>1.0322927017474894</v>
      </c>
      <c r="Q44" s="32"/>
      <c r="R44" s="82">
        <v>10570753868.049999</v>
      </c>
      <c r="S44" s="83"/>
      <c r="T44" s="83">
        <v>142761815495</v>
      </c>
      <c r="U44" s="83"/>
      <c r="V44" s="83"/>
      <c r="W44" s="83"/>
      <c r="X44" s="83"/>
      <c r="Y44" s="83"/>
      <c r="Z44" s="83"/>
      <c r="AA44" s="83"/>
      <c r="AB44" s="83"/>
      <c r="AC44" s="83">
        <v>0</v>
      </c>
      <c r="AD44" s="83">
        <v>293319670565.35999</v>
      </c>
      <c r="AE44" s="83">
        <v>26205657637.900002</v>
      </c>
      <c r="AF44" s="33">
        <f>SUM(Tabla1[[#This Row],[Recursos propios]:[Recursos del Balance]])</f>
        <v>472857897566.31</v>
      </c>
      <c r="AG44" s="84">
        <v>10570753868.049999</v>
      </c>
      <c r="AH44" s="85"/>
      <c r="AI44" s="85">
        <v>142761815495</v>
      </c>
      <c r="AJ44" s="85"/>
      <c r="AK44" s="85"/>
      <c r="AL44" s="85"/>
      <c r="AM44" s="85"/>
      <c r="AN44" s="85"/>
      <c r="AO44" s="85"/>
      <c r="AP44" s="85"/>
      <c r="AQ44" s="85"/>
      <c r="AR44" s="85">
        <v>0</v>
      </c>
      <c r="AS44" s="85">
        <v>293319670565.35999</v>
      </c>
      <c r="AT44" s="83">
        <v>26205657637.880043</v>
      </c>
      <c r="AU44" s="34">
        <f>SUM(Tabla1[[#This Row],[Recursos propios ]:[Recursos del Balance ]])</f>
        <v>472857897566.29004</v>
      </c>
      <c r="AV44" s="86">
        <v>472857897566.29004</v>
      </c>
      <c r="AW44" s="87">
        <v>472857897566.29004</v>
      </c>
      <c r="AX44" s="35">
        <f>+Tabla1[[#This Row],[Total Recursos Comprometido 2025]]/Tabla1[[#This Row],[Total 2025]]</f>
        <v>0.99999999999995781</v>
      </c>
      <c r="AY44" s="36">
        <f>+Tabla1[[#This Row],[Total Recursos Obligados]]/Tabla1[[#This Row],[Total 2025]]</f>
        <v>0.99999999999995781</v>
      </c>
      <c r="AZ44" s="37">
        <f>+Tabla1[[#This Row],[Total Recursos Pagados]]/Tabla1[[#This Row],[Total 2025]]</f>
        <v>0.99999999999995781</v>
      </c>
      <c r="BA44" s="38">
        <v>0</v>
      </c>
      <c r="BB44" s="39">
        <f>+Tabla1[[#This Row],[Total Recursos Gestionados ]]/Tabla1[[#This Row],[Total Recursos Comprometido 2025]]</f>
        <v>0</v>
      </c>
      <c r="BC44" s="40" t="s">
        <v>250</v>
      </c>
      <c r="BD44" s="41" t="s">
        <v>251</v>
      </c>
      <c r="BE44" s="42">
        <v>3</v>
      </c>
    </row>
    <row r="45" spans="1:57" ht="31.5">
      <c r="A45" s="29">
        <v>196</v>
      </c>
      <c r="B45" s="29" t="s">
        <v>133</v>
      </c>
      <c r="C45" s="29" t="s">
        <v>134</v>
      </c>
      <c r="D45" s="29" t="s">
        <v>184</v>
      </c>
      <c r="E45" s="29" t="s">
        <v>185</v>
      </c>
      <c r="F45" s="29" t="s">
        <v>189</v>
      </c>
      <c r="G45" s="29" t="s">
        <v>190</v>
      </c>
      <c r="H45" s="29">
        <v>190600100</v>
      </c>
      <c r="I45" s="29" t="s">
        <v>191</v>
      </c>
      <c r="J45" s="29">
        <v>0</v>
      </c>
      <c r="K45" s="29" t="s">
        <v>65</v>
      </c>
      <c r="L45" s="29" t="str">
        <f>+'[1]Plan Indicativo'!AC204</f>
        <v>Acumulativa</v>
      </c>
      <c r="M45" s="53">
        <f>+'[1]Plan Indicativo'!T204</f>
        <v>1</v>
      </c>
      <c r="N45" s="29">
        <f>+'[1]Plan Indicativo'!W204</f>
        <v>0.1</v>
      </c>
      <c r="O45" s="30">
        <v>0.01</v>
      </c>
      <c r="P45" s="31">
        <f>+Tabla1[[#This Row],[Logro Vigencia]]/Tabla1[[#This Row],[Meta Programada Vigencia]]</f>
        <v>9.9999999999999992E-2</v>
      </c>
      <c r="Q45" s="32"/>
      <c r="R45" s="82">
        <v>0</v>
      </c>
      <c r="S45" s="83"/>
      <c r="T45" s="83">
        <v>0</v>
      </c>
      <c r="U45" s="83"/>
      <c r="V45" s="83"/>
      <c r="W45" s="83"/>
      <c r="X45" s="83"/>
      <c r="Y45" s="83"/>
      <c r="Z45" s="83"/>
      <c r="AA45" s="83"/>
      <c r="AB45" s="83"/>
      <c r="AC45" s="83">
        <v>0</v>
      </c>
      <c r="AD45" s="83">
        <v>515820106</v>
      </c>
      <c r="AE45" s="83">
        <v>0</v>
      </c>
      <c r="AF45" s="33">
        <f>SUM(Tabla1[[#This Row],[Recursos propios]:[Recursos del Balance]])</f>
        <v>515820106</v>
      </c>
      <c r="AG45" s="84">
        <v>0</v>
      </c>
      <c r="AH45" s="85"/>
      <c r="AI45" s="85">
        <v>0</v>
      </c>
      <c r="AJ45" s="85"/>
      <c r="AK45" s="85"/>
      <c r="AL45" s="85"/>
      <c r="AM45" s="85"/>
      <c r="AN45" s="85"/>
      <c r="AO45" s="85"/>
      <c r="AP45" s="85"/>
      <c r="AQ45" s="85"/>
      <c r="AR45" s="85">
        <v>0</v>
      </c>
      <c r="AS45" s="85">
        <v>515820106</v>
      </c>
      <c r="AT45" s="83">
        <v>0</v>
      </c>
      <c r="AU45" s="34">
        <f>SUM(Tabla1[[#This Row],[Recursos propios ]:[Recursos del Balance ]])</f>
        <v>515820106</v>
      </c>
      <c r="AV45" s="86">
        <v>515820106</v>
      </c>
      <c r="AW45" s="87">
        <v>0</v>
      </c>
      <c r="AX45" s="35">
        <f>+Tabla1[[#This Row],[Total Recursos Comprometido 2025]]/Tabla1[[#This Row],[Total 2025]]</f>
        <v>1</v>
      </c>
      <c r="AY45" s="36">
        <f>+Tabla1[[#This Row],[Total Recursos Obligados]]/Tabla1[[#This Row],[Total 2025]]</f>
        <v>1</v>
      </c>
      <c r="AZ45" s="37">
        <f>+Tabla1[[#This Row],[Total Recursos Pagados]]/Tabla1[[#This Row],[Total 2025]]</f>
        <v>0</v>
      </c>
      <c r="BA45" s="38">
        <v>0</v>
      </c>
      <c r="BB45" s="39">
        <f>+Tabla1[[#This Row],[Total Recursos Gestionados ]]/Tabla1[[#This Row],[Total Recursos Comprometido 2025]]</f>
        <v>0</v>
      </c>
      <c r="BC45" s="40" t="s">
        <v>250</v>
      </c>
      <c r="BD45" s="41" t="s">
        <v>251</v>
      </c>
      <c r="BE45" s="42">
        <v>3</v>
      </c>
    </row>
    <row r="46" spans="1:57" ht="31.5">
      <c r="A46" s="29">
        <v>197</v>
      </c>
      <c r="B46" s="29" t="s">
        <v>133</v>
      </c>
      <c r="C46" s="29" t="s">
        <v>134</v>
      </c>
      <c r="D46" s="29" t="s">
        <v>184</v>
      </c>
      <c r="E46" s="29" t="s">
        <v>185</v>
      </c>
      <c r="F46" s="29" t="s">
        <v>192</v>
      </c>
      <c r="G46" s="29" t="s">
        <v>193</v>
      </c>
      <c r="H46" s="29">
        <v>190603000</v>
      </c>
      <c r="I46" s="29" t="s">
        <v>194</v>
      </c>
      <c r="J46" s="29">
        <v>0</v>
      </c>
      <c r="K46" s="29" t="s">
        <v>65</v>
      </c>
      <c r="L46" s="29" t="str">
        <f>+'[1]Plan Indicativo'!AC205</f>
        <v>Acumulativa</v>
      </c>
      <c r="M46" s="53">
        <f>+'[1]Plan Indicativo'!T205</f>
        <v>1</v>
      </c>
      <c r="N46" s="29">
        <f>+'[1]Plan Indicativo'!W205</f>
        <v>0</v>
      </c>
      <c r="O46" s="30">
        <v>0</v>
      </c>
      <c r="P46" s="44">
        <v>0</v>
      </c>
      <c r="Q46" s="32"/>
      <c r="R46" s="82">
        <v>0</v>
      </c>
      <c r="S46" s="83"/>
      <c r="T46" s="83">
        <v>0</v>
      </c>
      <c r="U46" s="83"/>
      <c r="V46" s="83"/>
      <c r="W46" s="83"/>
      <c r="X46" s="83"/>
      <c r="Y46" s="83"/>
      <c r="Z46" s="83"/>
      <c r="AA46" s="83"/>
      <c r="AB46" s="83"/>
      <c r="AC46" s="83">
        <v>0</v>
      </c>
      <c r="AD46" s="83">
        <v>15041462313</v>
      </c>
      <c r="AE46" s="83">
        <v>0</v>
      </c>
      <c r="AF46" s="33">
        <f>SUM(Tabla1[[#This Row],[Recursos propios]:[Recursos del Balance]])</f>
        <v>15041462313</v>
      </c>
      <c r="AG46" s="84">
        <v>0</v>
      </c>
      <c r="AH46" s="85"/>
      <c r="AI46" s="85">
        <v>0</v>
      </c>
      <c r="AJ46" s="85"/>
      <c r="AK46" s="85"/>
      <c r="AL46" s="85"/>
      <c r="AM46" s="85"/>
      <c r="AN46" s="85"/>
      <c r="AO46" s="85"/>
      <c r="AP46" s="85"/>
      <c r="AQ46" s="85"/>
      <c r="AR46" s="85">
        <v>0</v>
      </c>
      <c r="AS46" s="85">
        <v>0</v>
      </c>
      <c r="AT46" s="83">
        <v>0</v>
      </c>
      <c r="AU46" s="34">
        <f>SUM(Tabla1[[#This Row],[Recursos propios ]:[Recursos del Balance ]])</f>
        <v>0</v>
      </c>
      <c r="AV46" s="86">
        <v>0</v>
      </c>
      <c r="AW46" s="87">
        <v>0</v>
      </c>
      <c r="AX46" s="35">
        <f>+Tabla1[[#This Row],[Total Recursos Comprometido 2025]]/Tabla1[[#This Row],[Total 2025]]</f>
        <v>0</v>
      </c>
      <c r="AY46" s="36">
        <f>+Tabla1[[#This Row],[Total Recursos Obligados]]/Tabla1[[#This Row],[Total 2025]]</f>
        <v>0</v>
      </c>
      <c r="AZ46" s="37">
        <f>+Tabla1[[#This Row],[Total Recursos Pagados]]/Tabla1[[#This Row],[Total 2025]]</f>
        <v>0</v>
      </c>
      <c r="BA46" s="38"/>
      <c r="BB46" s="39" t="e">
        <f>+Tabla1[[#This Row],[Total Recursos Gestionados ]]/Tabla1[[#This Row],[Total Recursos Comprometido 2025]]</f>
        <v>#DIV/0!</v>
      </c>
      <c r="BC46" s="40" t="s">
        <v>250</v>
      </c>
      <c r="BD46" s="41" t="s">
        <v>251</v>
      </c>
      <c r="BE46" s="42">
        <v>3</v>
      </c>
    </row>
    <row r="47" spans="1:57" ht="31.5">
      <c r="A47" s="29">
        <v>198</v>
      </c>
      <c r="B47" s="29" t="s">
        <v>133</v>
      </c>
      <c r="C47" s="29" t="s">
        <v>134</v>
      </c>
      <c r="D47" s="29" t="s">
        <v>184</v>
      </c>
      <c r="E47" s="29" t="s">
        <v>185</v>
      </c>
      <c r="F47" s="29" t="s">
        <v>195</v>
      </c>
      <c r="G47" s="29" t="s">
        <v>196</v>
      </c>
      <c r="H47" s="29">
        <v>190603400</v>
      </c>
      <c r="I47" s="29" t="s">
        <v>197</v>
      </c>
      <c r="J47" s="29">
        <v>0</v>
      </c>
      <c r="K47" s="29" t="s">
        <v>65</v>
      </c>
      <c r="L47" s="29" t="str">
        <f>+'[1]Plan Indicativo'!AC206</f>
        <v>Acumulativa</v>
      </c>
      <c r="M47" s="53">
        <f>+'[1]Plan Indicativo'!T206</f>
        <v>3</v>
      </c>
      <c r="N47" s="29">
        <f>+'[1]Plan Indicativo'!W206</f>
        <v>1</v>
      </c>
      <c r="O47" s="30">
        <v>0.38</v>
      </c>
      <c r="P47" s="31">
        <f>+Tabla1[[#This Row],[Logro Vigencia]]/Tabla1[[#This Row],[Meta Programada Vigencia]]</f>
        <v>0.38</v>
      </c>
      <c r="Q47" s="32"/>
      <c r="R47" s="82">
        <v>500000000</v>
      </c>
      <c r="S47" s="83"/>
      <c r="T47" s="83">
        <v>0</v>
      </c>
      <c r="U47" s="83"/>
      <c r="V47" s="83"/>
      <c r="W47" s="83"/>
      <c r="X47" s="83"/>
      <c r="Y47" s="83"/>
      <c r="Z47" s="83"/>
      <c r="AA47" s="83"/>
      <c r="AB47" s="83"/>
      <c r="AC47" s="83">
        <v>0</v>
      </c>
      <c r="AD47" s="83">
        <v>0</v>
      </c>
      <c r="AE47" s="83">
        <v>0</v>
      </c>
      <c r="AF47" s="33">
        <f>SUM(Tabla1[[#This Row],[Recursos propios]:[Recursos del Balance]])</f>
        <v>500000000</v>
      </c>
      <c r="AG47" s="84">
        <v>500000000</v>
      </c>
      <c r="AH47" s="85"/>
      <c r="AI47" s="85">
        <v>0</v>
      </c>
      <c r="AJ47" s="85"/>
      <c r="AK47" s="85"/>
      <c r="AL47" s="85"/>
      <c r="AM47" s="85"/>
      <c r="AN47" s="85"/>
      <c r="AO47" s="85"/>
      <c r="AP47" s="85"/>
      <c r="AQ47" s="85"/>
      <c r="AR47" s="85">
        <v>0</v>
      </c>
      <c r="AS47" s="85">
        <v>0</v>
      </c>
      <c r="AT47" s="83">
        <v>0</v>
      </c>
      <c r="AU47" s="34">
        <f>SUM(Tabla1[[#This Row],[Recursos propios ]:[Recursos del Balance ]])</f>
        <v>500000000</v>
      </c>
      <c r="AV47" s="86">
        <v>250000000</v>
      </c>
      <c r="AW47" s="87">
        <v>250000000</v>
      </c>
      <c r="AX47" s="35">
        <f>+Tabla1[[#This Row],[Total Recursos Comprometido 2025]]/Tabla1[[#This Row],[Total 2025]]</f>
        <v>1</v>
      </c>
      <c r="AY47" s="36">
        <f>+Tabla1[[#This Row],[Total Recursos Obligados]]/Tabla1[[#This Row],[Total 2025]]</f>
        <v>0.5</v>
      </c>
      <c r="AZ47" s="37">
        <f>+Tabla1[[#This Row],[Total Recursos Pagados]]/Tabla1[[#This Row],[Total 2025]]</f>
        <v>0.5</v>
      </c>
      <c r="BA47" s="38">
        <v>0</v>
      </c>
      <c r="BB47" s="39">
        <f>+Tabla1[[#This Row],[Total Recursos Gestionados ]]/Tabla1[[#This Row],[Total Recursos Comprometido 2025]]</f>
        <v>0</v>
      </c>
      <c r="BC47" s="40" t="s">
        <v>250</v>
      </c>
      <c r="BD47" s="41" t="s">
        <v>251</v>
      </c>
      <c r="BE47" s="42">
        <v>3</v>
      </c>
    </row>
    <row r="48" spans="1:57" ht="31.5">
      <c r="A48" s="29">
        <v>199</v>
      </c>
      <c r="B48" s="29" t="s">
        <v>133</v>
      </c>
      <c r="C48" s="29" t="s">
        <v>134</v>
      </c>
      <c r="D48" s="29" t="s">
        <v>184</v>
      </c>
      <c r="E48" s="29" t="s">
        <v>185</v>
      </c>
      <c r="F48" s="29" t="s">
        <v>198</v>
      </c>
      <c r="G48" s="29" t="s">
        <v>199</v>
      </c>
      <c r="H48" s="29">
        <v>190600500</v>
      </c>
      <c r="I48" s="29" t="s">
        <v>200</v>
      </c>
      <c r="J48" s="29">
        <v>1</v>
      </c>
      <c r="K48" s="29" t="s">
        <v>65</v>
      </c>
      <c r="L48" s="29" t="str">
        <f>+'[1]Plan Indicativo'!AC207</f>
        <v>Acumulativa</v>
      </c>
      <c r="M48" s="53">
        <f>+'[1]Plan Indicativo'!T207</f>
        <v>1</v>
      </c>
      <c r="N48" s="29">
        <f>+'[1]Plan Indicativo'!W207</f>
        <v>0</v>
      </c>
      <c r="O48" s="30">
        <v>0</v>
      </c>
      <c r="P48" s="44" t="e">
        <f>+Tabla1[[#This Row],[Logro Vigencia]]/Tabla1[[#This Row],[Meta Programada Vigencia]]</f>
        <v>#DIV/0!</v>
      </c>
      <c r="Q48" s="32"/>
      <c r="R48" s="82">
        <v>0</v>
      </c>
      <c r="S48" s="83"/>
      <c r="T48" s="83">
        <v>0</v>
      </c>
      <c r="U48" s="83"/>
      <c r="V48" s="83"/>
      <c r="W48" s="83"/>
      <c r="X48" s="83"/>
      <c r="Y48" s="83"/>
      <c r="Z48" s="83"/>
      <c r="AA48" s="83"/>
      <c r="AB48" s="83"/>
      <c r="AC48" s="83">
        <v>0</v>
      </c>
      <c r="AD48" s="83">
        <v>52276470</v>
      </c>
      <c r="AE48" s="83">
        <v>0</v>
      </c>
      <c r="AF48" s="33">
        <f>SUM(Tabla1[[#This Row],[Recursos propios]:[Recursos del Balance]])</f>
        <v>52276470</v>
      </c>
      <c r="AG48" s="84">
        <v>0</v>
      </c>
      <c r="AH48" s="85"/>
      <c r="AI48" s="85">
        <v>0</v>
      </c>
      <c r="AJ48" s="85"/>
      <c r="AK48" s="85"/>
      <c r="AL48" s="85"/>
      <c r="AM48" s="85"/>
      <c r="AN48" s="85"/>
      <c r="AO48" s="85"/>
      <c r="AP48" s="85"/>
      <c r="AQ48" s="85"/>
      <c r="AR48" s="85">
        <v>0</v>
      </c>
      <c r="AS48" s="85">
        <v>0</v>
      </c>
      <c r="AT48" s="83">
        <v>0</v>
      </c>
      <c r="AU48" s="34">
        <f>SUM(Tabla1[[#This Row],[Recursos propios ]:[Recursos del Balance ]])</f>
        <v>0</v>
      </c>
      <c r="AV48" s="86">
        <v>0</v>
      </c>
      <c r="AW48" s="87">
        <v>0</v>
      </c>
      <c r="AX48" s="35">
        <f>+Tabla1[[#This Row],[Total Recursos Comprometido 2025]]/Tabla1[[#This Row],[Total 2025]]</f>
        <v>0</v>
      </c>
      <c r="AY48" s="36">
        <f>+Tabla1[[#This Row],[Total Recursos Obligados]]/Tabla1[[#This Row],[Total 2025]]</f>
        <v>0</v>
      </c>
      <c r="AZ48" s="37">
        <f>+Tabla1[[#This Row],[Total Recursos Pagados]]/Tabla1[[#This Row],[Total 2025]]</f>
        <v>0</v>
      </c>
      <c r="BA48" s="38">
        <v>0</v>
      </c>
      <c r="BB48" s="39" t="e">
        <f>+Tabla1[[#This Row],[Total Recursos Gestionados ]]/Tabla1[[#This Row],[Total Recursos Comprometido 2025]]</f>
        <v>#DIV/0!</v>
      </c>
      <c r="BC48" s="40" t="s">
        <v>250</v>
      </c>
      <c r="BD48" s="41" t="s">
        <v>251</v>
      </c>
      <c r="BE48" s="42">
        <v>3</v>
      </c>
    </row>
    <row r="49" spans="1:57" ht="47.25">
      <c r="A49" s="29">
        <v>272</v>
      </c>
      <c r="B49" s="29" t="s">
        <v>133</v>
      </c>
      <c r="C49" s="29" t="s">
        <v>134</v>
      </c>
      <c r="D49" s="29" t="s">
        <v>135</v>
      </c>
      <c r="E49" s="29" t="s">
        <v>136</v>
      </c>
      <c r="F49" s="29" t="s">
        <v>201</v>
      </c>
      <c r="G49" s="29" t="s">
        <v>202</v>
      </c>
      <c r="H49" s="29">
        <v>190304100</v>
      </c>
      <c r="I49" s="29" t="s">
        <v>203</v>
      </c>
      <c r="J49" s="29">
        <v>1</v>
      </c>
      <c r="K49" s="29" t="s">
        <v>65</v>
      </c>
      <c r="L49" s="29" t="str">
        <f>+'[1]Plan Indicativo'!AC280</f>
        <v>No Acumulativa</v>
      </c>
      <c r="M49" s="53">
        <f>+'[1]Plan Indicativo'!T280</f>
        <v>1</v>
      </c>
      <c r="N49" s="29">
        <f>+'[1]Plan Indicativo'!W280</f>
        <v>1</v>
      </c>
      <c r="O49" s="30">
        <v>0.9</v>
      </c>
      <c r="P49" s="31">
        <f>+Tabla1[[#This Row],[Logro Vigencia]]/Tabla1[[#This Row],[Meta Programada Vigencia]]</f>
        <v>0.9</v>
      </c>
      <c r="Q49" s="32"/>
      <c r="R49" s="82">
        <v>0</v>
      </c>
      <c r="S49" s="83"/>
      <c r="T49" s="83">
        <v>0</v>
      </c>
      <c r="U49" s="83"/>
      <c r="V49" s="83"/>
      <c r="W49" s="83"/>
      <c r="X49" s="83"/>
      <c r="Y49" s="83"/>
      <c r="Z49" s="83"/>
      <c r="AA49" s="83"/>
      <c r="AB49" s="83"/>
      <c r="AC49" s="83">
        <v>0</v>
      </c>
      <c r="AD49" s="83">
        <v>1830557376</v>
      </c>
      <c r="AE49" s="83">
        <v>0</v>
      </c>
      <c r="AF49" s="33">
        <f>SUM(Tabla1[[#This Row],[Recursos propios]:[Recursos del Balance]])</f>
        <v>1830557376</v>
      </c>
      <c r="AG49" s="84">
        <v>0</v>
      </c>
      <c r="AH49" s="85"/>
      <c r="AI49" s="85">
        <v>0</v>
      </c>
      <c r="AJ49" s="85"/>
      <c r="AK49" s="85"/>
      <c r="AL49" s="85"/>
      <c r="AM49" s="85"/>
      <c r="AN49" s="85"/>
      <c r="AO49" s="85"/>
      <c r="AP49" s="85"/>
      <c r="AQ49" s="85"/>
      <c r="AR49" s="85">
        <v>0</v>
      </c>
      <c r="AS49" s="85">
        <v>1830557376</v>
      </c>
      <c r="AT49" s="83">
        <v>0</v>
      </c>
      <c r="AU49" s="34">
        <f>SUM(Tabla1[[#This Row],[Recursos propios ]:[Recursos del Balance ]])</f>
        <v>1830557376</v>
      </c>
      <c r="AV49" s="86">
        <v>1830557376</v>
      </c>
      <c r="AW49" s="87">
        <v>1830557376</v>
      </c>
      <c r="AX49" s="35">
        <f>+Tabla1[[#This Row],[Total Recursos Comprometido 2025]]/Tabla1[[#This Row],[Total 2025]]</f>
        <v>1</v>
      </c>
      <c r="AY49" s="36">
        <f>+Tabla1[[#This Row],[Total Recursos Obligados]]/Tabla1[[#This Row],[Total 2025]]</f>
        <v>1</v>
      </c>
      <c r="AZ49" s="37">
        <f>+Tabla1[[#This Row],[Total Recursos Pagados]]/Tabla1[[#This Row],[Total 2025]]</f>
        <v>1</v>
      </c>
      <c r="BA49" s="38">
        <v>0</v>
      </c>
      <c r="BB49" s="39">
        <f>+Tabla1[[#This Row],[Total Recursos Gestionados ]]/Tabla1[[#This Row],[Total Recursos Comprometido 2025]]</f>
        <v>0</v>
      </c>
      <c r="BC49" s="40" t="s">
        <v>250</v>
      </c>
      <c r="BD49" s="41" t="s">
        <v>251</v>
      </c>
      <c r="BE49" s="42">
        <v>3</v>
      </c>
    </row>
    <row r="50" spans="1:57" ht="63">
      <c r="A50" s="29">
        <v>273</v>
      </c>
      <c r="B50" s="29" t="s">
        <v>133</v>
      </c>
      <c r="C50" s="29" t="s">
        <v>134</v>
      </c>
      <c r="D50" s="29" t="s">
        <v>146</v>
      </c>
      <c r="E50" s="29" t="s">
        <v>147</v>
      </c>
      <c r="F50" s="29" t="s">
        <v>204</v>
      </c>
      <c r="G50" s="29" t="s">
        <v>205</v>
      </c>
      <c r="H50" s="29">
        <v>190504100</v>
      </c>
      <c r="I50" s="29" t="s">
        <v>206</v>
      </c>
      <c r="J50" s="29">
        <v>409</v>
      </c>
      <c r="K50" s="29" t="s">
        <v>65</v>
      </c>
      <c r="L50" s="29" t="str">
        <f>+'[1]Plan Indicativo'!AC281</f>
        <v>Acumulativa</v>
      </c>
      <c r="M50" s="53">
        <f>+'[1]Plan Indicativo'!T281</f>
        <v>1000</v>
      </c>
      <c r="N50" s="29">
        <f>+'[1]Plan Indicativo'!W281</f>
        <v>300</v>
      </c>
      <c r="O50" s="30">
        <v>302</v>
      </c>
      <c r="P50" s="44">
        <f>+Tabla1[[#This Row],[Logro Vigencia]]/Tabla1[[#This Row],[Meta Programada Vigencia]]</f>
        <v>1.0066666666666666</v>
      </c>
      <c r="Q50" s="32"/>
      <c r="R50" s="82">
        <v>180000000</v>
      </c>
      <c r="S50" s="83"/>
      <c r="T50" s="83">
        <v>0</v>
      </c>
      <c r="U50" s="83"/>
      <c r="V50" s="83"/>
      <c r="W50" s="83"/>
      <c r="X50" s="83"/>
      <c r="Y50" s="83"/>
      <c r="Z50" s="83"/>
      <c r="AA50" s="83"/>
      <c r="AB50" s="83"/>
      <c r="AC50" s="83">
        <v>0</v>
      </c>
      <c r="AD50" s="83">
        <v>0</v>
      </c>
      <c r="AE50" s="83">
        <v>121500000</v>
      </c>
      <c r="AF50" s="33">
        <f>SUM(Tabla1[[#This Row],[Recursos propios]:[Recursos del Balance]])</f>
        <v>301500000</v>
      </c>
      <c r="AG50" s="84">
        <v>175500000</v>
      </c>
      <c r="AH50" s="85"/>
      <c r="AI50" s="85">
        <v>0</v>
      </c>
      <c r="AJ50" s="85"/>
      <c r="AK50" s="85"/>
      <c r="AL50" s="85"/>
      <c r="AM50" s="85"/>
      <c r="AN50" s="85"/>
      <c r="AO50" s="85"/>
      <c r="AP50" s="85"/>
      <c r="AQ50" s="85"/>
      <c r="AR50" s="85">
        <v>0</v>
      </c>
      <c r="AS50" s="85"/>
      <c r="AT50" s="83">
        <v>47666666.649999999</v>
      </c>
      <c r="AU50" s="34">
        <f>SUM(Tabla1[[#This Row],[Recursos propios ]:[Recursos del Balance ]])</f>
        <v>223166666.65000001</v>
      </c>
      <c r="AV50" s="86">
        <v>223166666.65000001</v>
      </c>
      <c r="AW50" s="87">
        <v>215999999.99000001</v>
      </c>
      <c r="AX50" s="35">
        <f>+Tabla1[[#This Row],[Total Recursos Comprometido 2025]]/Tabla1[[#This Row],[Total 2025]]</f>
        <v>0.74018794908789387</v>
      </c>
      <c r="AY50" s="36">
        <f>+Tabla1[[#This Row],[Total Recursos Obligados]]/Tabla1[[#This Row],[Total 2025]]</f>
        <v>0.74018794908789387</v>
      </c>
      <c r="AZ50" s="37">
        <f>+Tabla1[[#This Row],[Total Recursos Pagados]]/Tabla1[[#This Row],[Total 2025]]</f>
        <v>0.71641791041459368</v>
      </c>
      <c r="BA50" s="38">
        <v>0</v>
      </c>
      <c r="BB50" s="39">
        <f>+Tabla1[[#This Row],[Total Recursos Gestionados ]]/Tabla1[[#This Row],[Total Recursos Comprometido 2025]]</f>
        <v>0</v>
      </c>
      <c r="BC50" s="40" t="s">
        <v>250</v>
      </c>
      <c r="BD50" s="41" t="s">
        <v>251</v>
      </c>
      <c r="BE50" s="42">
        <v>3</v>
      </c>
    </row>
    <row r="51" spans="1:57" ht="31.5">
      <c r="A51" s="29">
        <v>274</v>
      </c>
      <c r="B51" s="29" t="s">
        <v>133</v>
      </c>
      <c r="C51" s="29" t="s">
        <v>134</v>
      </c>
      <c r="D51" s="29" t="s">
        <v>146</v>
      </c>
      <c r="E51" s="29" t="s">
        <v>147</v>
      </c>
      <c r="F51" s="29" t="s">
        <v>163</v>
      </c>
      <c r="G51" s="29" t="s">
        <v>207</v>
      </c>
      <c r="H51" s="29">
        <v>190502300</v>
      </c>
      <c r="I51" s="29" t="s">
        <v>208</v>
      </c>
      <c r="J51" s="29">
        <v>0</v>
      </c>
      <c r="K51" s="29" t="s">
        <v>209</v>
      </c>
      <c r="L51" s="29" t="str">
        <f>+'[1]Plan Indicativo'!AC282</f>
        <v>Acumulativa</v>
      </c>
      <c r="M51" s="53">
        <f>+'[1]Plan Indicativo'!T282</f>
        <v>4</v>
      </c>
      <c r="N51" s="29">
        <f>+'[1]Plan Indicativo'!W282</f>
        <v>2</v>
      </c>
      <c r="O51" s="30">
        <v>2</v>
      </c>
      <c r="P51" s="31">
        <f>+Tabla1[[#This Row],[Logro Vigencia]]/Tabla1[[#This Row],[Meta Programada Vigencia]]</f>
        <v>1</v>
      </c>
      <c r="Q51" s="32"/>
      <c r="R51" s="82">
        <v>0</v>
      </c>
      <c r="S51" s="83"/>
      <c r="T51" s="83">
        <v>0</v>
      </c>
      <c r="U51" s="83"/>
      <c r="V51" s="83"/>
      <c r="W51" s="83"/>
      <c r="X51" s="83"/>
      <c r="Y51" s="83"/>
      <c r="Z51" s="83"/>
      <c r="AA51" s="83"/>
      <c r="AB51" s="83"/>
      <c r="AC51" s="83">
        <v>0</v>
      </c>
      <c r="AD51" s="83">
        <v>0</v>
      </c>
      <c r="AE51" s="83">
        <v>100000000</v>
      </c>
      <c r="AF51" s="33">
        <f>SUM(Tabla1[[#This Row],[Recursos propios]:[Recursos del Balance]])</f>
        <v>100000000</v>
      </c>
      <c r="AG51" s="84">
        <v>0</v>
      </c>
      <c r="AH51" s="85"/>
      <c r="AI51" s="85">
        <v>0</v>
      </c>
      <c r="AJ51" s="85"/>
      <c r="AK51" s="85"/>
      <c r="AL51" s="85"/>
      <c r="AM51" s="85"/>
      <c r="AN51" s="85"/>
      <c r="AO51" s="85"/>
      <c r="AP51" s="85"/>
      <c r="AQ51" s="85"/>
      <c r="AR51" s="85">
        <v>0</v>
      </c>
      <c r="AS51" s="85">
        <v>0</v>
      </c>
      <c r="AT51" s="83">
        <v>99015140</v>
      </c>
      <c r="AU51" s="34">
        <f>SUM(Tabla1[[#This Row],[Recursos propios ]:[Recursos del Balance ]])</f>
        <v>99015140</v>
      </c>
      <c r="AV51" s="86">
        <v>99015140</v>
      </c>
      <c r="AW51" s="87">
        <v>99015140</v>
      </c>
      <c r="AX51" s="47">
        <f>+Tabla1[[#This Row],[Total Recursos Comprometido 2025]]/Tabla1[[#This Row],[Total 2025]]</f>
        <v>0.99015140000000001</v>
      </c>
      <c r="AY51" s="36">
        <f>+Tabla1[[#This Row],[Total Recursos Obligados]]/Tabla1[[#This Row],[Total 2025]]</f>
        <v>0.99015140000000001</v>
      </c>
      <c r="AZ51" s="37">
        <f>+Tabla1[[#This Row],[Total Recursos Pagados]]/Tabla1[[#This Row],[Total 2025]]</f>
        <v>0.99015140000000001</v>
      </c>
      <c r="BA51" s="38">
        <v>0</v>
      </c>
      <c r="BB51" s="39">
        <f>+Tabla1[[#This Row],[Total Recursos Gestionados ]]/Tabla1[[#This Row],[Total Recursos Comprometido 2025]]</f>
        <v>0</v>
      </c>
      <c r="BC51" s="40" t="s">
        <v>250</v>
      </c>
      <c r="BD51" s="41" t="s">
        <v>251</v>
      </c>
      <c r="BE51" s="42">
        <v>3</v>
      </c>
    </row>
    <row r="52" spans="1:57" ht="31.5">
      <c r="A52" s="29">
        <v>275</v>
      </c>
      <c r="B52" s="29" t="s">
        <v>133</v>
      </c>
      <c r="C52" s="29" t="s">
        <v>134</v>
      </c>
      <c r="D52" s="29" t="s">
        <v>184</v>
      </c>
      <c r="E52" s="29" t="s">
        <v>185</v>
      </c>
      <c r="F52" s="29" t="s">
        <v>210</v>
      </c>
      <c r="G52" s="29" t="s">
        <v>211</v>
      </c>
      <c r="H52" s="29">
        <v>190603300</v>
      </c>
      <c r="I52" s="29" t="s">
        <v>212</v>
      </c>
      <c r="J52" s="29">
        <v>1</v>
      </c>
      <c r="K52" s="29" t="s">
        <v>65</v>
      </c>
      <c r="L52" s="29" t="str">
        <f>+'[1]Plan Indicativo'!AC283</f>
        <v>Acumulativa</v>
      </c>
      <c r="M52" s="53">
        <f>+'[1]Plan Indicativo'!T283</f>
        <v>2</v>
      </c>
      <c r="N52" s="29">
        <f>+'[1]Plan Indicativo'!W283</f>
        <v>0</v>
      </c>
      <c r="O52" s="30">
        <v>0</v>
      </c>
      <c r="P52" s="44" t="e">
        <f>+Tabla1[[#This Row],[Logro Vigencia]]/Tabla1[[#This Row],[Meta Programada Vigencia]]</f>
        <v>#DIV/0!</v>
      </c>
      <c r="Q52" s="32"/>
      <c r="R52" s="82">
        <v>0</v>
      </c>
      <c r="S52" s="83"/>
      <c r="T52" s="83">
        <v>0</v>
      </c>
      <c r="U52" s="83"/>
      <c r="V52" s="83"/>
      <c r="W52" s="83"/>
      <c r="X52" s="83"/>
      <c r="Y52" s="83"/>
      <c r="Z52" s="83"/>
      <c r="AA52" s="83"/>
      <c r="AB52" s="83"/>
      <c r="AC52" s="83">
        <v>0</v>
      </c>
      <c r="AD52" s="83">
        <v>1500000000</v>
      </c>
      <c r="AE52" s="83">
        <v>0</v>
      </c>
      <c r="AF52" s="33">
        <f>SUM(Tabla1[[#This Row],[Recursos propios]:[Recursos del Balance]])</f>
        <v>1500000000</v>
      </c>
      <c r="AG52" s="84">
        <v>0</v>
      </c>
      <c r="AH52" s="85"/>
      <c r="AI52" s="85">
        <v>0</v>
      </c>
      <c r="AJ52" s="85"/>
      <c r="AK52" s="85"/>
      <c r="AL52" s="85"/>
      <c r="AM52" s="85"/>
      <c r="AN52" s="85"/>
      <c r="AO52" s="85"/>
      <c r="AP52" s="85"/>
      <c r="AQ52" s="85"/>
      <c r="AR52" s="85">
        <v>0</v>
      </c>
      <c r="AS52" s="85">
        <v>0</v>
      </c>
      <c r="AT52" s="83">
        <v>0</v>
      </c>
      <c r="AU52" s="34">
        <f>SUM(Tabla1[[#This Row],[Recursos propios ]:[Recursos del Balance ]])</f>
        <v>0</v>
      </c>
      <c r="AV52" s="86">
        <v>0</v>
      </c>
      <c r="AW52" s="87">
        <v>0</v>
      </c>
      <c r="AX52" s="35">
        <f>+Tabla1[[#This Row],[Total Recursos Comprometido 2025]]/Tabla1[[#This Row],[Total 2025]]</f>
        <v>0</v>
      </c>
      <c r="AY52" s="36">
        <f>+Tabla1[[#This Row],[Total Recursos Obligados]]/Tabla1[[#This Row],[Total 2025]]</f>
        <v>0</v>
      </c>
      <c r="AZ52" s="37">
        <f>+Tabla1[[#This Row],[Total Recursos Pagados]]/Tabla1[[#This Row],[Total 2025]]</f>
        <v>0</v>
      </c>
      <c r="BA52" s="38">
        <v>0</v>
      </c>
      <c r="BB52" s="39" t="e">
        <f>+Tabla1[[#This Row],[Total Recursos Gestionados ]]/Tabla1[[#This Row],[Total Recursos Comprometido 2025]]</f>
        <v>#DIV/0!</v>
      </c>
      <c r="BC52" s="40" t="s">
        <v>250</v>
      </c>
      <c r="BD52" s="41" t="s">
        <v>251</v>
      </c>
      <c r="BE52" s="42">
        <v>3</v>
      </c>
    </row>
    <row r="53" spans="1:57" ht="63">
      <c r="A53" s="29">
        <v>284</v>
      </c>
      <c r="B53" s="29" t="s">
        <v>57</v>
      </c>
      <c r="C53" s="29" t="s">
        <v>59</v>
      </c>
      <c r="D53" s="29" t="s">
        <v>93</v>
      </c>
      <c r="E53" s="29" t="s">
        <v>94</v>
      </c>
      <c r="F53" s="29" t="s">
        <v>98</v>
      </c>
      <c r="G53" s="29" t="s">
        <v>213</v>
      </c>
      <c r="H53" s="29">
        <v>320305000</v>
      </c>
      <c r="I53" s="29" t="s">
        <v>214</v>
      </c>
      <c r="J53" s="29">
        <v>0</v>
      </c>
      <c r="K53" s="29" t="s">
        <v>86</v>
      </c>
      <c r="L53" s="29" t="str">
        <f>+'[1]Plan Indicativo'!$AC$292</f>
        <v>Acumulativa</v>
      </c>
      <c r="M53" s="53">
        <f>+'[1]Plan Indicativo'!$T$292</f>
        <v>50</v>
      </c>
      <c r="N53" s="29">
        <f>+'[1]Plan Indicativo'!$W$292</f>
        <v>3</v>
      </c>
      <c r="O53" s="30">
        <v>3</v>
      </c>
      <c r="P53" s="31">
        <f>+Tabla1[[#This Row],[Logro Vigencia]]/Tabla1[[#This Row],[Meta Programada Vigencia]]</f>
        <v>1</v>
      </c>
      <c r="Q53" s="32"/>
      <c r="R53" s="82">
        <v>100000000</v>
      </c>
      <c r="S53" s="83"/>
      <c r="T53" s="83">
        <v>0</v>
      </c>
      <c r="U53" s="83"/>
      <c r="V53" s="83"/>
      <c r="W53" s="83"/>
      <c r="X53" s="83"/>
      <c r="Y53" s="83"/>
      <c r="Z53" s="83"/>
      <c r="AA53" s="83"/>
      <c r="AB53" s="83"/>
      <c r="AC53" s="83">
        <v>0</v>
      </c>
      <c r="AD53" s="83">
        <v>0</v>
      </c>
      <c r="AE53" s="83">
        <v>2635708377.8600001</v>
      </c>
      <c r="AF53" s="33">
        <f>SUM(Tabla1[[#This Row],[Recursos propios]:[Recursos del Balance]])</f>
        <v>2735708377.8600001</v>
      </c>
      <c r="AG53" s="84">
        <v>100000000</v>
      </c>
      <c r="AH53" s="85"/>
      <c r="AI53" s="85"/>
      <c r="AJ53" s="85"/>
      <c r="AK53" s="85"/>
      <c r="AL53" s="85"/>
      <c r="AM53" s="85"/>
      <c r="AN53" s="85"/>
      <c r="AO53" s="85"/>
      <c r="AP53" s="85"/>
      <c r="AQ53" s="85"/>
      <c r="AR53" s="85">
        <v>0</v>
      </c>
      <c r="AS53" s="85">
        <v>0</v>
      </c>
      <c r="AT53" s="83">
        <v>0</v>
      </c>
      <c r="AU53" s="34">
        <f>SUM(Tabla1[[#This Row],[Recursos propios ]:[Recursos del Balance ]])</f>
        <v>100000000</v>
      </c>
      <c r="AV53" s="86">
        <v>0</v>
      </c>
      <c r="AW53" s="87">
        <v>0</v>
      </c>
      <c r="AX53" s="35">
        <f>+Tabla1[[#This Row],[Total Recursos Comprometido 2025]]/Tabla1[[#This Row],[Total 2025]]</f>
        <v>3.655360374274421E-2</v>
      </c>
      <c r="AY53" s="36">
        <f>+Tabla1[[#This Row],[Total Recursos Obligados]]/Tabla1[[#This Row],[Total 2025]]</f>
        <v>0</v>
      </c>
      <c r="AZ53" s="37">
        <f>+Tabla1[[#This Row],[Total Recursos Pagados]]/Tabla1[[#This Row],[Total 2025]]</f>
        <v>0</v>
      </c>
      <c r="BA53" s="38">
        <v>0</v>
      </c>
      <c r="BB53" s="39">
        <f>+Tabla1[[#This Row],[Total Recursos Gestionados ]]/Tabla1[[#This Row],[Total Recursos Comprometido 2025]]</f>
        <v>0</v>
      </c>
      <c r="BC53" s="40" t="s">
        <v>250</v>
      </c>
      <c r="BD53" s="41" t="s">
        <v>251</v>
      </c>
      <c r="BE53" s="42" t="s">
        <v>259</v>
      </c>
    </row>
    <row r="54" spans="1:57" ht="31.5">
      <c r="A54" s="29">
        <v>285</v>
      </c>
      <c r="B54" s="29" t="s">
        <v>57</v>
      </c>
      <c r="C54" s="29" t="s">
        <v>59</v>
      </c>
      <c r="D54" s="29" t="s">
        <v>80</v>
      </c>
      <c r="E54" s="29" t="s">
        <v>81</v>
      </c>
      <c r="F54" s="29" t="s">
        <v>215</v>
      </c>
      <c r="G54" s="29" t="s">
        <v>216</v>
      </c>
      <c r="H54" s="29">
        <v>320200500</v>
      </c>
      <c r="I54" s="29" t="s">
        <v>217</v>
      </c>
      <c r="J54" s="29">
        <v>0</v>
      </c>
      <c r="K54" s="29" t="s">
        <v>86</v>
      </c>
      <c r="L54" s="29" t="str">
        <f>+'[1]Plan Indicativo'!$AC$293</f>
        <v>Acumulativa</v>
      </c>
      <c r="M54" s="29">
        <f>+'[1]Plan Indicativo'!$T$293</f>
        <v>10</v>
      </c>
      <c r="N54" s="29">
        <f>+'[1]Plan Indicativo'!$W$293</f>
        <v>1.5</v>
      </c>
      <c r="O54" s="30">
        <v>1.5</v>
      </c>
      <c r="P54" s="44">
        <f>+Tabla1[[#This Row],[Logro Vigencia]]/Tabla1[[#This Row],[Meta Programada Vigencia]]</f>
        <v>1</v>
      </c>
      <c r="Q54" s="32"/>
      <c r="R54" s="82">
        <v>150000000</v>
      </c>
      <c r="S54" s="83"/>
      <c r="T54" s="83">
        <v>0</v>
      </c>
      <c r="U54" s="83"/>
      <c r="V54" s="83"/>
      <c r="W54" s="83"/>
      <c r="X54" s="83"/>
      <c r="Y54" s="83"/>
      <c r="Z54" s="83"/>
      <c r="AA54" s="83"/>
      <c r="AB54" s="83"/>
      <c r="AC54" s="83">
        <v>0</v>
      </c>
      <c r="AD54" s="83">
        <v>0</v>
      </c>
      <c r="AE54" s="83">
        <v>60000000</v>
      </c>
      <c r="AF54" s="33">
        <f>SUM(Tabla1[[#This Row],[Recursos propios]:[Recursos del Balance]])</f>
        <v>210000000</v>
      </c>
      <c r="AG54" s="84">
        <v>132666666.63</v>
      </c>
      <c r="AH54" s="85"/>
      <c r="AI54" s="85"/>
      <c r="AJ54" s="85"/>
      <c r="AK54" s="85"/>
      <c r="AL54" s="85"/>
      <c r="AM54" s="85"/>
      <c r="AN54" s="85"/>
      <c r="AO54" s="85"/>
      <c r="AP54" s="85"/>
      <c r="AQ54" s="85"/>
      <c r="AR54" s="85">
        <v>0</v>
      </c>
      <c r="AS54" s="85">
        <v>0</v>
      </c>
      <c r="AT54" s="83">
        <v>54833333.329999998</v>
      </c>
      <c r="AU54" s="34">
        <f>SUM(Tabla1[[#This Row],[Recursos propios ]:[Recursos del Balance ]])</f>
        <v>187499999.95999998</v>
      </c>
      <c r="AV54" s="86">
        <v>187499999.95999998</v>
      </c>
      <c r="AW54" s="87">
        <v>187499999.95999998</v>
      </c>
      <c r="AX54" s="35">
        <f>+Tabla1[[#This Row],[Total Recursos Comprometido 2025]]/Tabla1[[#This Row],[Total 2025]]</f>
        <v>0.8928571426666666</v>
      </c>
      <c r="AY54" s="36">
        <f>+Tabla1[[#This Row],[Total Recursos Obligados]]/Tabla1[[#This Row],[Total 2025]]</f>
        <v>0.8928571426666666</v>
      </c>
      <c r="AZ54" s="37">
        <f>+Tabla1[[#This Row],[Total Recursos Pagados]]/Tabla1[[#This Row],[Total 2025]]</f>
        <v>0.8928571426666666</v>
      </c>
      <c r="BA54" s="38">
        <v>0</v>
      </c>
      <c r="BB54" s="39">
        <f>+Tabla1[[#This Row],[Total Recursos Gestionados ]]/Tabla1[[#This Row],[Total Recursos Comprometido 2025]]</f>
        <v>0</v>
      </c>
      <c r="BC54" s="40" t="s">
        <v>250</v>
      </c>
      <c r="BD54" s="41" t="s">
        <v>251</v>
      </c>
      <c r="BE54" s="42" t="s">
        <v>254</v>
      </c>
    </row>
    <row r="56" spans="1:57">
      <c r="AF56" s="49"/>
      <c r="AU56" s="49"/>
      <c r="AV56" s="49"/>
      <c r="AW56" s="49"/>
    </row>
    <row r="57" spans="1:57">
      <c r="AF57" s="50"/>
      <c r="AU57" s="50"/>
      <c r="AV57" s="50"/>
      <c r="AW57" s="50"/>
    </row>
    <row r="58" spans="1:57">
      <c r="AF58" s="49"/>
      <c r="AU58" s="50"/>
      <c r="AV58" s="50"/>
      <c r="AW58" s="50"/>
    </row>
    <row r="60" spans="1:57">
      <c r="AF60" s="50"/>
      <c r="AU60" s="52"/>
      <c r="AV60" s="52"/>
      <c r="AW60" s="52"/>
    </row>
    <row r="62" spans="1:57">
      <c r="AF62" s="52"/>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1" type="noConversion"/>
  <pageMargins left="0.7" right="0.7" top="0.75" bottom="0.75" header="0.3" footer="0.3"/>
  <pageSetup paperSize="9" orientation="portrait" r:id="rId1"/>
  <ignoredErrors>
    <ignoredError sqref="AU11:AU54 AX12:BA54 AF11:AF54 AX11:BA1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2026-02-06T03:16:11Z</dcterms:modified>
</cp:coreProperties>
</file>