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d:\Desktop\Alcaldía Bga 2025\Seguimiento PDM 2024-2027\Planes de Acción\"/>
    </mc:Choice>
  </mc:AlternateContent>
  <xr:revisionPtr revIDLastSave="0" documentId="13_ncr:1_{ABFB7EA0-9C7B-44B2-B431-B00802DDC832}" xr6:coauthVersionLast="47" xr6:coauthVersionMax="47" xr10:uidLastSave="{00000000-0000-0000-0000-000000000000}"/>
  <bookViews>
    <workbookView xWindow="-120" yWindow="-120" windowWidth="20730" windowHeight="11160" firstSheet="1" activeTab="2" xr2:uid="{00000000-000D-0000-FFFF-FFFF00000000}"/>
  </bookViews>
  <sheets>
    <sheet name="Hoja2" sheetId="4" state="hidden" r:id="rId1"/>
    <sheet name="Plan de Acción-proyectos " sheetId="9" r:id="rId2"/>
    <sheet name="Plan de Acción-metas" sheetId="1" r:id="rId3"/>
  </sheets>
  <externalReferences>
    <externalReference r:id="rId4"/>
    <externalReference r:id="rId5"/>
    <externalReference r:id="rId6"/>
    <externalReference r:id="rId7"/>
  </externalReferences>
  <definedNames>
    <definedName name="_xlnm._FilterDatabase" localSheetId="2" hidden="1">'Plan de Acción-metas'!$A$10:$BE$10</definedName>
    <definedName name="_xlnm._FilterDatabase" localSheetId="1" hidden="1">'Plan de Acción-proyectos '!$A$10:$BE$10</definedName>
    <definedName name="PA" localSheetId="1">'Plan de Acción-proyectos '!$A$9:$BE$33</definedName>
    <definedName name="PA">'Plan de Acción-metas'!$A$9:$BE$27</definedName>
  </definedNames>
  <calcPr calcId="191029"/>
  <pivotCaches>
    <pivotCache cacheId="0" r:id="rId8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W81" i="9" l="1"/>
  <c r="AV81" i="9"/>
  <c r="AU81" i="9"/>
  <c r="AI81" i="9"/>
  <c r="AE81" i="9"/>
  <c r="AD81" i="9"/>
  <c r="Z81" i="9"/>
  <c r="AT79" i="9"/>
  <c r="AT81" i="9" s="1"/>
  <c r="AS79" i="9"/>
  <c r="AS81" i="9" s="1"/>
  <c r="AR79" i="9"/>
  <c r="AR81" i="9" s="1"/>
  <c r="AQ79" i="9"/>
  <c r="AQ81" i="9" s="1"/>
  <c r="AP79" i="9"/>
  <c r="AP81" i="9" s="1"/>
  <c r="AN79" i="9"/>
  <c r="AN81" i="9" s="1"/>
  <c r="AM79" i="9"/>
  <c r="AM81" i="9" s="1"/>
  <c r="AL79" i="9"/>
  <c r="AL81" i="9" s="1"/>
  <c r="AJ79" i="9"/>
  <c r="AJ81" i="9" s="1"/>
  <c r="AH79" i="9"/>
  <c r="AH81" i="9" s="1"/>
  <c r="AD79" i="9"/>
  <c r="AC79" i="9"/>
  <c r="AC81" i="9" s="1"/>
  <c r="AB79" i="9"/>
  <c r="AB81" i="9" s="1"/>
  <c r="AA79" i="9"/>
  <c r="AA81" i="9" s="1"/>
  <c r="Z79" i="9"/>
  <c r="X79" i="9"/>
  <c r="X81" i="9" s="1"/>
  <c r="W79" i="9"/>
  <c r="W81" i="9" s="1"/>
  <c r="V79" i="9"/>
  <c r="V81" i="9" s="1"/>
  <c r="T79" i="9"/>
  <c r="T81" i="9" s="1"/>
  <c r="S79" i="9"/>
  <c r="S81" i="9" s="1"/>
  <c r="R79" i="9"/>
  <c r="R81" i="9" s="1"/>
  <c r="Q79" i="9"/>
  <c r="Q81" i="9" s="1"/>
  <c r="J77" i="9"/>
  <c r="BB76" i="9"/>
  <c r="AO76" i="9"/>
  <c r="AK76" i="9"/>
  <c r="AU76" i="9" s="1"/>
  <c r="AG76" i="9"/>
  <c r="Y76" i="9"/>
  <c r="U76" i="9"/>
  <c r="AE76" i="9" s="1"/>
  <c r="AZ76" i="9" s="1"/>
  <c r="BB75" i="9"/>
  <c r="AW75" i="9"/>
  <c r="AO75" i="9"/>
  <c r="AK75" i="9"/>
  <c r="AU75" i="9" s="1"/>
  <c r="AX75" i="9" s="1"/>
  <c r="AG75" i="9"/>
  <c r="Y75" i="9"/>
  <c r="U75" i="9"/>
  <c r="AE75" i="9" s="1"/>
  <c r="BB74" i="9"/>
  <c r="AW74" i="9"/>
  <c r="AO74" i="9"/>
  <c r="AK74" i="9"/>
  <c r="AG74" i="9"/>
  <c r="AF74" i="9"/>
  <c r="Y74" i="9"/>
  <c r="U74" i="9"/>
  <c r="AE74" i="9" s="1"/>
  <c r="BB73" i="9"/>
  <c r="AW73" i="9"/>
  <c r="AO73" i="9"/>
  <c r="AK73" i="9"/>
  <c r="AG73" i="9"/>
  <c r="Y73" i="9"/>
  <c r="U73" i="9"/>
  <c r="AE73" i="9" s="1"/>
  <c r="AY73" i="9" s="1"/>
  <c r="BB72" i="9"/>
  <c r="AW72" i="9"/>
  <c r="AZ72" i="9" s="1"/>
  <c r="AO72" i="9"/>
  <c r="AK72" i="9"/>
  <c r="AG72" i="9"/>
  <c r="AF72" i="9"/>
  <c r="AV72" i="9" s="1"/>
  <c r="AY72" i="9" s="1"/>
  <c r="Y72" i="9"/>
  <c r="U72" i="9"/>
  <c r="AE72" i="9" s="1"/>
  <c r="BB71" i="9"/>
  <c r="AU71" i="9"/>
  <c r="AO71" i="9"/>
  <c r="AK71" i="9"/>
  <c r="AG71" i="9"/>
  <c r="AE71" i="9"/>
  <c r="Y71" i="9"/>
  <c r="U71" i="9"/>
  <c r="BB70" i="9"/>
  <c r="AO70" i="9"/>
  <c r="AU70" i="9" s="1"/>
  <c r="AK70" i="9"/>
  <c r="AG70" i="9"/>
  <c r="Y70" i="9"/>
  <c r="U70" i="9"/>
  <c r="BB69" i="9"/>
  <c r="AO69" i="9"/>
  <c r="AK69" i="9"/>
  <c r="AG69" i="9"/>
  <c r="AF69" i="9"/>
  <c r="Y69" i="9"/>
  <c r="U69" i="9"/>
  <c r="P69" i="9"/>
  <c r="BB68" i="9"/>
  <c r="AO68" i="9"/>
  <c r="AK68" i="9"/>
  <c r="AG68" i="9"/>
  <c r="Y68" i="9"/>
  <c r="U68" i="9"/>
  <c r="BB67" i="9"/>
  <c r="AW67" i="9"/>
  <c r="AO67" i="9"/>
  <c r="AK67" i="9"/>
  <c r="AG67" i="9"/>
  <c r="AF67" i="9"/>
  <c r="AU67" i="9" s="1"/>
  <c r="AX67" i="9" s="1"/>
  <c r="Y67" i="9"/>
  <c r="U67" i="9"/>
  <c r="P67" i="9"/>
  <c r="AE67" i="9" s="1"/>
  <c r="K67" i="9"/>
  <c r="BB66" i="9"/>
  <c r="AW66" i="9"/>
  <c r="AO66" i="9"/>
  <c r="AK66" i="9"/>
  <c r="AG66" i="9"/>
  <c r="AF66" i="9"/>
  <c r="Y66" i="9"/>
  <c r="U66" i="9"/>
  <c r="P66" i="9"/>
  <c r="K66" i="9"/>
  <c r="BB65" i="9"/>
  <c r="AO65" i="9"/>
  <c r="AK65" i="9"/>
  <c r="AG65" i="9"/>
  <c r="AF65" i="9"/>
  <c r="Y65" i="9"/>
  <c r="U65" i="9"/>
  <c r="P65" i="9"/>
  <c r="BB64" i="9"/>
  <c r="AW64" i="9"/>
  <c r="AO64" i="9"/>
  <c r="AK64" i="9"/>
  <c r="AG64" i="9"/>
  <c r="AF64" i="9"/>
  <c r="Y64" i="9"/>
  <c r="U64" i="9"/>
  <c r="P64" i="9"/>
  <c r="K64" i="9"/>
  <c r="BB63" i="9"/>
  <c r="AW63" i="9"/>
  <c r="AO63" i="9"/>
  <c r="AK63" i="9"/>
  <c r="AG63" i="9"/>
  <c r="AF63" i="9"/>
  <c r="Y63" i="9"/>
  <c r="U63" i="9"/>
  <c r="P63" i="9"/>
  <c r="K63" i="9"/>
  <c r="BB62" i="9"/>
  <c r="AO62" i="9"/>
  <c r="AK62" i="9"/>
  <c r="AG62" i="9"/>
  <c r="Y62" i="9"/>
  <c r="AE62" i="9" s="1"/>
  <c r="U62" i="9"/>
  <c r="BB61" i="9"/>
  <c r="AW61" i="9"/>
  <c r="AO61" i="9"/>
  <c r="AK61" i="9"/>
  <c r="AG61" i="9"/>
  <c r="AF61" i="9"/>
  <c r="Y61" i="9"/>
  <c r="U61" i="9"/>
  <c r="BB60" i="9"/>
  <c r="AK60" i="9"/>
  <c r="AU60" i="9" s="1"/>
  <c r="AX60" i="9" s="1"/>
  <c r="AG60" i="9"/>
  <c r="U60" i="9"/>
  <c r="AE60" i="9" s="1"/>
  <c r="BB59" i="9"/>
  <c r="AW59" i="9"/>
  <c r="AO59" i="9"/>
  <c r="AK59" i="9"/>
  <c r="AG59" i="9"/>
  <c r="AF59" i="9"/>
  <c r="Y59" i="9"/>
  <c r="U59" i="9"/>
  <c r="AE59" i="9" s="1"/>
  <c r="AZ59" i="9" s="1"/>
  <c r="BB58" i="9"/>
  <c r="AW58" i="9"/>
  <c r="AO58" i="9"/>
  <c r="AK58" i="9"/>
  <c r="AG58" i="9"/>
  <c r="AF58" i="9"/>
  <c r="Y58" i="9"/>
  <c r="U58" i="9"/>
  <c r="P58" i="9"/>
  <c r="K58" i="9"/>
  <c r="BB57" i="9"/>
  <c r="AW57" i="9"/>
  <c r="AO57" i="9"/>
  <c r="AK57" i="9"/>
  <c r="AG57" i="9"/>
  <c r="AF57" i="9"/>
  <c r="Y57" i="9"/>
  <c r="U57" i="9"/>
  <c r="P57" i="9"/>
  <c r="K57" i="9"/>
  <c r="BB56" i="9"/>
  <c r="AW56" i="9"/>
  <c r="AO56" i="9"/>
  <c r="AK56" i="9"/>
  <c r="AG56" i="9"/>
  <c r="AF56" i="9"/>
  <c r="Y56" i="9"/>
  <c r="U56" i="9"/>
  <c r="P56" i="9"/>
  <c r="K56" i="9"/>
  <c r="BB55" i="9"/>
  <c r="AO55" i="9"/>
  <c r="AK55" i="9"/>
  <c r="AG55" i="9"/>
  <c r="Y55" i="9"/>
  <c r="U55" i="9"/>
  <c r="BB54" i="9"/>
  <c r="AO54" i="9"/>
  <c r="AK54" i="9"/>
  <c r="AG54" i="9"/>
  <c r="Y54" i="9"/>
  <c r="U54" i="9"/>
  <c r="BB53" i="9"/>
  <c r="AW53" i="9"/>
  <c r="AO53" i="9"/>
  <c r="AK53" i="9"/>
  <c r="AG53" i="9"/>
  <c r="AF53" i="9"/>
  <c r="Y53" i="9"/>
  <c r="U53" i="9"/>
  <c r="P53" i="9"/>
  <c r="K53" i="9"/>
  <c r="BB52" i="9"/>
  <c r="AO52" i="9"/>
  <c r="AK52" i="9"/>
  <c r="AG52" i="9"/>
  <c r="Y52" i="9"/>
  <c r="U52" i="9"/>
  <c r="AE52" i="9" s="1"/>
  <c r="AZ52" i="9" s="1"/>
  <c r="BB51" i="9"/>
  <c r="AW51" i="9"/>
  <c r="AO51" i="9"/>
  <c r="AK51" i="9"/>
  <c r="AG51" i="9"/>
  <c r="AF51" i="9"/>
  <c r="Y51" i="9"/>
  <c r="U51" i="9"/>
  <c r="P51" i="9"/>
  <c r="AE51" i="9" s="1"/>
  <c r="I51" i="9"/>
  <c r="BB50" i="9"/>
  <c r="AU50" i="9"/>
  <c r="AO50" i="9"/>
  <c r="AG50" i="9"/>
  <c r="Y50" i="9"/>
  <c r="AE50" i="9" s="1"/>
  <c r="BB49" i="9"/>
  <c r="AW49" i="9"/>
  <c r="AO49" i="9"/>
  <c r="AK49" i="9"/>
  <c r="AG49" i="9"/>
  <c r="AF49" i="9"/>
  <c r="Y49" i="9"/>
  <c r="U49" i="9"/>
  <c r="AE49" i="9" s="1"/>
  <c r="AZ49" i="9" s="1"/>
  <c r="BB48" i="9"/>
  <c r="AO48" i="9"/>
  <c r="AK48" i="9"/>
  <c r="AG48" i="9"/>
  <c r="AF48" i="9"/>
  <c r="Y48" i="9"/>
  <c r="U48" i="9"/>
  <c r="AE48" i="9" s="1"/>
  <c r="AY48" i="9" s="1"/>
  <c r="P48" i="9"/>
  <c r="K48" i="9"/>
  <c r="BB47" i="9"/>
  <c r="AW47" i="9"/>
  <c r="AO47" i="9"/>
  <c r="AK47" i="9"/>
  <c r="AG47" i="9"/>
  <c r="AF47" i="9"/>
  <c r="AV47" i="9" s="1"/>
  <c r="Y47" i="9"/>
  <c r="U47" i="9"/>
  <c r="P47" i="9"/>
  <c r="BB46" i="9"/>
  <c r="AW46" i="9"/>
  <c r="AO46" i="9"/>
  <c r="AK46" i="9"/>
  <c r="AG46" i="9"/>
  <c r="AF46" i="9"/>
  <c r="Y46" i="9"/>
  <c r="U46" i="9"/>
  <c r="AE46" i="9" s="1"/>
  <c r="P46" i="9"/>
  <c r="K46" i="9"/>
  <c r="BB45" i="9"/>
  <c r="AW45" i="9"/>
  <c r="AO45" i="9"/>
  <c r="AK45" i="9"/>
  <c r="AG45" i="9"/>
  <c r="AF45" i="9"/>
  <c r="Y45" i="9"/>
  <c r="U45" i="9"/>
  <c r="P45" i="9"/>
  <c r="AE45" i="9" s="1"/>
  <c r="BB44" i="9"/>
  <c r="AW44" i="9"/>
  <c r="AO44" i="9"/>
  <c r="AK44" i="9"/>
  <c r="AG44" i="9"/>
  <c r="AF44" i="9"/>
  <c r="Y44" i="9"/>
  <c r="U44" i="9"/>
  <c r="BB43" i="9"/>
  <c r="AW43" i="9"/>
  <c r="AO43" i="9"/>
  <c r="AK43" i="9"/>
  <c r="AG43" i="9"/>
  <c r="AF43" i="9"/>
  <c r="AE43" i="9"/>
  <c r="AZ43" i="9" s="1"/>
  <c r="Y43" i="9"/>
  <c r="U43" i="9"/>
  <c r="P43" i="9"/>
  <c r="K43" i="9"/>
  <c r="BB42" i="9"/>
  <c r="AW42" i="9"/>
  <c r="AO42" i="9"/>
  <c r="AK42" i="9"/>
  <c r="AG42" i="9"/>
  <c r="AF42" i="9"/>
  <c r="Y42" i="9"/>
  <c r="U42" i="9"/>
  <c r="P42" i="9"/>
  <c r="BB41" i="9"/>
  <c r="AW41" i="9"/>
  <c r="AO41" i="9"/>
  <c r="AK41" i="9"/>
  <c r="AG41" i="9"/>
  <c r="AF41" i="9"/>
  <c r="AE41" i="9"/>
  <c r="Y41" i="9"/>
  <c r="U41" i="9"/>
  <c r="BB40" i="9"/>
  <c r="AW40" i="9"/>
  <c r="AO40" i="9"/>
  <c r="AK40" i="9"/>
  <c r="AG40" i="9"/>
  <c r="AF40" i="9"/>
  <c r="Y40" i="9"/>
  <c r="U40" i="9"/>
  <c r="P40" i="9"/>
  <c r="AE40" i="9" s="1"/>
  <c r="AZ40" i="9" s="1"/>
  <c r="BB39" i="9"/>
  <c r="AW39" i="9"/>
  <c r="AO39" i="9"/>
  <c r="AK39" i="9"/>
  <c r="AG39" i="9"/>
  <c r="AF39" i="9"/>
  <c r="Y39" i="9"/>
  <c r="AE39" i="9" s="1"/>
  <c r="AZ39" i="9" s="1"/>
  <c r="U39" i="9"/>
  <c r="BB38" i="9"/>
  <c r="AW38" i="9"/>
  <c r="AO38" i="9"/>
  <c r="AK38" i="9"/>
  <c r="AG38" i="9"/>
  <c r="AF38" i="9"/>
  <c r="AU38" i="9" s="1"/>
  <c r="Y38" i="9"/>
  <c r="U38" i="9"/>
  <c r="P38" i="9"/>
  <c r="K38" i="9"/>
  <c r="BB37" i="9"/>
  <c r="AW37" i="9"/>
  <c r="AO37" i="9"/>
  <c r="AK37" i="9"/>
  <c r="AG37" i="9"/>
  <c r="AF37" i="9"/>
  <c r="Y37" i="9"/>
  <c r="U37" i="9"/>
  <c r="P37" i="9"/>
  <c r="K37" i="9"/>
  <c r="BB36" i="9"/>
  <c r="AW36" i="9"/>
  <c r="AO36" i="9"/>
  <c r="AK36" i="9"/>
  <c r="AG36" i="9"/>
  <c r="AF36" i="9"/>
  <c r="Y36" i="9"/>
  <c r="U36" i="9"/>
  <c r="BB35" i="9"/>
  <c r="AW35" i="9"/>
  <c r="AO35" i="9"/>
  <c r="AK35" i="9"/>
  <c r="AG35" i="9"/>
  <c r="AF35" i="9"/>
  <c r="Y35" i="9"/>
  <c r="AE35" i="9" s="1"/>
  <c r="AZ35" i="9" s="1"/>
  <c r="U35" i="9"/>
  <c r="BB34" i="9"/>
  <c r="AW34" i="9"/>
  <c r="AO34" i="9"/>
  <c r="AK34" i="9"/>
  <c r="AG34" i="9"/>
  <c r="AF34" i="9"/>
  <c r="Y34" i="9"/>
  <c r="U34" i="9"/>
  <c r="P34" i="9"/>
  <c r="BB33" i="9"/>
  <c r="AO33" i="9"/>
  <c r="AK33" i="9"/>
  <c r="AG33" i="9"/>
  <c r="AF33" i="9"/>
  <c r="AE33" i="9"/>
  <c r="U33" i="9"/>
  <c r="P33" i="9"/>
  <c r="BB32" i="9"/>
  <c r="AW32" i="9"/>
  <c r="AO32" i="9"/>
  <c r="AK32" i="9"/>
  <c r="AG32" i="9"/>
  <c r="AF32" i="9"/>
  <c r="Y32" i="9"/>
  <c r="U32" i="9"/>
  <c r="BB31" i="9"/>
  <c r="AO31" i="9"/>
  <c r="AK31" i="9"/>
  <c r="AG31" i="9"/>
  <c r="Y31" i="9"/>
  <c r="AE31" i="9" s="1"/>
  <c r="AY31" i="9" s="1"/>
  <c r="U31" i="9"/>
  <c r="BB30" i="9"/>
  <c r="AW30" i="9"/>
  <c r="AO30" i="9"/>
  <c r="AK30" i="9"/>
  <c r="AG30" i="9"/>
  <c r="AF30" i="9"/>
  <c r="Y30" i="9"/>
  <c r="U30" i="9"/>
  <c r="P30" i="9"/>
  <c r="K30" i="9"/>
  <c r="BB29" i="9"/>
  <c r="AO29" i="9"/>
  <c r="AK29" i="9"/>
  <c r="AU29" i="9" s="1"/>
  <c r="AG29" i="9"/>
  <c r="Y29" i="9"/>
  <c r="U29" i="9"/>
  <c r="BB28" i="9"/>
  <c r="AW28" i="9"/>
  <c r="AO28" i="9"/>
  <c r="AU28" i="9" s="1"/>
  <c r="AK28" i="9"/>
  <c r="AG28" i="9"/>
  <c r="AF28" i="9"/>
  <c r="AE28" i="9"/>
  <c r="AZ28" i="9" s="1"/>
  <c r="Y28" i="9"/>
  <c r="U28" i="9"/>
  <c r="BB27" i="9"/>
  <c r="AO27" i="9"/>
  <c r="AK27" i="9"/>
  <c r="AG27" i="9"/>
  <c r="AF27" i="9"/>
  <c r="Y27" i="9"/>
  <c r="AE27" i="9" s="1"/>
  <c r="AY27" i="9" s="1"/>
  <c r="U27" i="9"/>
  <c r="P27" i="9"/>
  <c r="BB26" i="9"/>
  <c r="AW26" i="9"/>
  <c r="AO26" i="9"/>
  <c r="AK26" i="9"/>
  <c r="AG26" i="9"/>
  <c r="AF26" i="9"/>
  <c r="Y26" i="9"/>
  <c r="U26" i="9"/>
  <c r="P26" i="9"/>
  <c r="BB25" i="9"/>
  <c r="AW25" i="9"/>
  <c r="AO25" i="9"/>
  <c r="AK25" i="9"/>
  <c r="AG25" i="9"/>
  <c r="AF25" i="9"/>
  <c r="Y25" i="9"/>
  <c r="U25" i="9"/>
  <c r="P25" i="9"/>
  <c r="BB24" i="9"/>
  <c r="AW24" i="9"/>
  <c r="AO24" i="9"/>
  <c r="AK24" i="9"/>
  <c r="AG24" i="9"/>
  <c r="AF24" i="9"/>
  <c r="AE24" i="9"/>
  <c r="Y24" i="9"/>
  <c r="U24" i="9"/>
  <c r="BB23" i="9"/>
  <c r="AW23" i="9"/>
  <c r="AO23" i="9"/>
  <c r="AK23" i="9"/>
  <c r="AG23" i="9"/>
  <c r="AF23" i="9"/>
  <c r="Y23" i="9"/>
  <c r="U23" i="9"/>
  <c r="P23" i="9"/>
  <c r="AE23" i="9" s="1"/>
  <c r="AY23" i="9" s="1"/>
  <c r="BB22" i="9"/>
  <c r="AO22" i="9"/>
  <c r="AK22" i="9"/>
  <c r="AG22" i="9"/>
  <c r="AU22" i="9" s="1"/>
  <c r="Y22" i="9"/>
  <c r="U22" i="9"/>
  <c r="AE22" i="9" s="1"/>
  <c r="BB21" i="9"/>
  <c r="AU21" i="9"/>
  <c r="AO21" i="9"/>
  <c r="AK21" i="9"/>
  <c r="AG21" i="9"/>
  <c r="AE21" i="9"/>
  <c r="Y21" i="9"/>
  <c r="U21" i="9"/>
  <c r="BB20" i="9"/>
  <c r="AW20" i="9"/>
  <c r="AZ20" i="9" s="1"/>
  <c r="AO20" i="9"/>
  <c r="AK20" i="9"/>
  <c r="AG20" i="9"/>
  <c r="AF20" i="9"/>
  <c r="Y20" i="9"/>
  <c r="U20" i="9"/>
  <c r="AE20" i="9" s="1"/>
  <c r="BB19" i="9"/>
  <c r="AO19" i="9"/>
  <c r="AK19" i="9"/>
  <c r="AG19" i="9"/>
  <c r="Y19" i="9"/>
  <c r="U19" i="9"/>
  <c r="AE19" i="9" s="1"/>
  <c r="AZ19" i="9" s="1"/>
  <c r="BB18" i="9"/>
  <c r="AO18" i="9"/>
  <c r="AG18" i="9"/>
  <c r="AU18" i="9" s="1"/>
  <c r="Y18" i="9"/>
  <c r="P18" i="9"/>
  <c r="BB17" i="9"/>
  <c r="AW17" i="9"/>
  <c r="AO17" i="9"/>
  <c r="AK17" i="9"/>
  <c r="AG17" i="9"/>
  <c r="AU17" i="9" s="1"/>
  <c r="Y17" i="9"/>
  <c r="U17" i="9"/>
  <c r="AE17" i="9" s="1"/>
  <c r="AZ17" i="9" s="1"/>
  <c r="BB16" i="9"/>
  <c r="AO16" i="9"/>
  <c r="AK16" i="9"/>
  <c r="AG16" i="9"/>
  <c r="AU16" i="9" s="1"/>
  <c r="AX16" i="9" s="1"/>
  <c r="Y16" i="9"/>
  <c r="U16" i="9"/>
  <c r="AE16" i="9" s="1"/>
  <c r="AY16" i="9" s="1"/>
  <c r="BB15" i="9"/>
  <c r="AW15" i="9"/>
  <c r="AO15" i="9"/>
  <c r="AK15" i="9"/>
  <c r="AG15" i="9"/>
  <c r="AF15" i="9"/>
  <c r="Y15" i="9"/>
  <c r="U15" i="9"/>
  <c r="AE15" i="9" s="1"/>
  <c r="BB14" i="9"/>
  <c r="AW14" i="9"/>
  <c r="AO14" i="9"/>
  <c r="AK14" i="9"/>
  <c r="AG14" i="9"/>
  <c r="AF14" i="9"/>
  <c r="Y14" i="9"/>
  <c r="U14" i="9"/>
  <c r="P14" i="9"/>
  <c r="BB13" i="9"/>
  <c r="AO13" i="9"/>
  <c r="AK13" i="9"/>
  <c r="AG13" i="9"/>
  <c r="AU13" i="9" s="1"/>
  <c r="Y13" i="9"/>
  <c r="U13" i="9"/>
  <c r="BB12" i="9"/>
  <c r="AW12" i="9"/>
  <c r="AO12" i="9"/>
  <c r="AK12" i="9"/>
  <c r="AG12" i="9"/>
  <c r="AF12" i="9"/>
  <c r="AU12" i="9" s="1"/>
  <c r="Y12" i="9"/>
  <c r="U12" i="9"/>
  <c r="P12" i="9"/>
  <c r="AE12" i="9" s="1"/>
  <c r="BB11" i="9"/>
  <c r="AO11" i="9"/>
  <c r="AK11" i="9"/>
  <c r="AU11" i="9" s="1"/>
  <c r="Y11" i="9"/>
  <c r="U11" i="9"/>
  <c r="AE11" i="9" s="1"/>
  <c r="U80" i="9"/>
  <c r="Y80" i="9"/>
  <c r="P80" i="9"/>
  <c r="AO80" i="9"/>
  <c r="AF80" i="9"/>
  <c r="AK80" i="9"/>
  <c r="AX21" i="9" l="1"/>
  <c r="AX28" i="9"/>
  <c r="K77" i="9"/>
  <c r="K79" i="9" s="1"/>
  <c r="AV25" i="9"/>
  <c r="AV30" i="9"/>
  <c r="AV34" i="9"/>
  <c r="AU36" i="9"/>
  <c r="AV36" i="9"/>
  <c r="AV39" i="9"/>
  <c r="AY39" i="9" s="1"/>
  <c r="AV42" i="9"/>
  <c r="AZ16" i="9"/>
  <c r="AE18" i="9"/>
  <c r="AU23" i="9"/>
  <c r="AX23" i="9" s="1"/>
  <c r="AE25" i="9"/>
  <c r="AZ25" i="9" s="1"/>
  <c r="AU26" i="9"/>
  <c r="AV26" i="9"/>
  <c r="AE29" i="9"/>
  <c r="AY29" i="9" s="1"/>
  <c r="AV32" i="9"/>
  <c r="AE34" i="9"/>
  <c r="AV40" i="9"/>
  <c r="AY40" i="9" s="1"/>
  <c r="AE42" i="9"/>
  <c r="AZ42" i="9" s="1"/>
  <c r="AU48" i="9"/>
  <c r="AX48" i="9" s="1"/>
  <c r="AV49" i="9"/>
  <c r="AY49" i="9" s="1"/>
  <c r="AV51" i="9"/>
  <c r="AY51" i="9" s="1"/>
  <c r="AZ51" i="9"/>
  <c r="AU52" i="9"/>
  <c r="AX52" i="9" s="1"/>
  <c r="AY52" i="9"/>
  <c r="AE54" i="9"/>
  <c r="AZ54" i="9" s="1"/>
  <c r="AE57" i="9"/>
  <c r="AZ57" i="9" s="1"/>
  <c r="AV57" i="9"/>
  <c r="AE61" i="9"/>
  <c r="AZ61" i="9" s="1"/>
  <c r="AU62" i="9"/>
  <c r="AX62" i="9" s="1"/>
  <c r="AE63" i="9"/>
  <c r="AZ63" i="9" s="1"/>
  <c r="AV63" i="9"/>
  <c r="AE65" i="9"/>
  <c r="AE68" i="9"/>
  <c r="AX12" i="9"/>
  <c r="AZ23" i="9"/>
  <c r="AV38" i="9"/>
  <c r="AX71" i="9"/>
  <c r="AV14" i="9"/>
  <c r="AV20" i="9"/>
  <c r="AY20" i="9" s="1"/>
  <c r="AU27" i="9"/>
  <c r="AU30" i="9"/>
  <c r="AU31" i="9"/>
  <c r="AX31" i="9" s="1"/>
  <c r="AE32" i="9"/>
  <c r="AZ32" i="9" s="1"/>
  <c r="AZ34" i="9"/>
  <c r="AU37" i="9"/>
  <c r="AV37" i="9"/>
  <c r="AU44" i="9"/>
  <c r="AV44" i="9"/>
  <c r="AE47" i="9"/>
  <c r="AZ47" i="9" s="1"/>
  <c r="AV53" i="9"/>
  <c r="AY53" i="9" s="1"/>
  <c r="AU55" i="9"/>
  <c r="AE56" i="9"/>
  <c r="AZ56" i="9" s="1"/>
  <c r="AV56" i="9"/>
  <c r="AY56" i="9" s="1"/>
  <c r="AE58" i="9"/>
  <c r="AZ58" i="9" s="1"/>
  <c r="AV58" i="9"/>
  <c r="AU61" i="9"/>
  <c r="AX61" i="9" s="1"/>
  <c r="AE64" i="9"/>
  <c r="AZ64" i="9" s="1"/>
  <c r="AV64" i="9"/>
  <c r="AY64" i="9" s="1"/>
  <c r="AV66" i="9"/>
  <c r="AZ67" i="9"/>
  <c r="AV67" i="9"/>
  <c r="AY67" i="9" s="1"/>
  <c r="AE70" i="9"/>
  <c r="AE53" i="9"/>
  <c r="AZ53" i="9" s="1"/>
  <c r="AU54" i="9"/>
  <c r="AX54" i="9" s="1"/>
  <c r="AE55" i="9"/>
  <c r="AV61" i="9"/>
  <c r="AY61" i="9" s="1"/>
  <c r="AE66" i="9"/>
  <c r="AZ66" i="9" s="1"/>
  <c r="AU68" i="9"/>
  <c r="AX68" i="9" s="1"/>
  <c r="AE69" i="9"/>
  <c r="AZ18" i="9"/>
  <c r="AY18" i="9"/>
  <c r="AX18" i="9"/>
  <c r="AZ11" i="9"/>
  <c r="AY11" i="9"/>
  <c r="P77" i="9"/>
  <c r="P79" i="9" s="1"/>
  <c r="P81" i="9" s="1"/>
  <c r="AY17" i="9"/>
  <c r="Y79" i="9"/>
  <c r="Y81" i="9" s="1"/>
  <c r="AZ12" i="9"/>
  <c r="AE13" i="9"/>
  <c r="AE14" i="9"/>
  <c r="AZ14" i="9" s="1"/>
  <c r="AU19" i="9"/>
  <c r="AX19" i="9" s="1"/>
  <c r="AY19" i="9"/>
  <c r="AU20" i="9"/>
  <c r="AX20" i="9" s="1"/>
  <c r="AU25" i="9"/>
  <c r="AX25" i="9" s="1"/>
  <c r="AE26" i="9"/>
  <c r="AZ26" i="9" s="1"/>
  <c r="AZ31" i="9"/>
  <c r="AU32" i="9"/>
  <c r="AX32" i="9" s="1"/>
  <c r="AZ65" i="9"/>
  <c r="AY65" i="9"/>
  <c r="AY68" i="9"/>
  <c r="AZ68" i="9"/>
  <c r="AX50" i="9"/>
  <c r="AY62" i="9"/>
  <c r="AZ62" i="9"/>
  <c r="AX70" i="9"/>
  <c r="AX17" i="9"/>
  <c r="AZ22" i="9"/>
  <c r="AY22" i="9"/>
  <c r="AU39" i="9"/>
  <c r="AX39" i="9" s="1"/>
  <c r="AZ21" i="9"/>
  <c r="AY21" i="9"/>
  <c r="AX22" i="9"/>
  <c r="AV24" i="9"/>
  <c r="AY24" i="9" s="1"/>
  <c r="AZ24" i="9"/>
  <c r="AY25" i="9"/>
  <c r="AX27" i="9"/>
  <c r="AZ27" i="9"/>
  <c r="AY33" i="9"/>
  <c r="AZ33" i="9"/>
  <c r="AZ50" i="9"/>
  <c r="AY50" i="9"/>
  <c r="AY70" i="9"/>
  <c r="AZ70" i="9"/>
  <c r="AX11" i="9"/>
  <c r="AX13" i="9"/>
  <c r="AV15" i="9"/>
  <c r="AY15" i="9" s="1"/>
  <c r="AU15" i="9"/>
  <c r="AX15" i="9" s="1"/>
  <c r="U79" i="9"/>
  <c r="U81" i="9" s="1"/>
  <c r="AF79" i="9"/>
  <c r="AF81" i="9" s="1"/>
  <c r="AV12" i="9"/>
  <c r="AU14" i="9"/>
  <c r="AX14" i="9" s="1"/>
  <c r="AZ15" i="9"/>
  <c r="AX26" i="9"/>
  <c r="AV28" i="9"/>
  <c r="AY28" i="9" s="1"/>
  <c r="AZ29" i="9"/>
  <c r="AU40" i="9"/>
  <c r="AX40" i="9" s="1"/>
  <c r="AU42" i="9"/>
  <c r="AX42" i="9" s="1"/>
  <c r="AU47" i="9"/>
  <c r="AX47" i="9" s="1"/>
  <c r="AU49" i="9"/>
  <c r="AX49" i="9" s="1"/>
  <c r="AY55" i="9"/>
  <c r="AZ55" i="9"/>
  <c r="AZ60" i="9"/>
  <c r="AY60" i="9"/>
  <c r="AZ69" i="9"/>
  <c r="AY69" i="9"/>
  <c r="AU24" i="9"/>
  <c r="AX24" i="9" s="1"/>
  <c r="AV45" i="9"/>
  <c r="AY45" i="9" s="1"/>
  <c r="AK79" i="9"/>
  <c r="AK81" i="9" s="1"/>
  <c r="AG79" i="9"/>
  <c r="AG81" i="9" s="1"/>
  <c r="AV35" i="9"/>
  <c r="AY35" i="9" s="1"/>
  <c r="AU35" i="9"/>
  <c r="AX35" i="9" s="1"/>
  <c r="AV43" i="9"/>
  <c r="AY43" i="9" s="1"/>
  <c r="AU43" i="9"/>
  <c r="AX43" i="9" s="1"/>
  <c r="AV59" i="9"/>
  <c r="AY59" i="9" s="1"/>
  <c r="AU59" i="9"/>
  <c r="AX59" i="9" s="1"/>
  <c r="AU66" i="9"/>
  <c r="AX66" i="9" s="1"/>
  <c r="AU72" i="9"/>
  <c r="AX72" i="9" s="1"/>
  <c r="AZ74" i="9"/>
  <c r="AY74" i="9"/>
  <c r="AX76" i="9"/>
  <c r="J78" i="9"/>
  <c r="AU33" i="9"/>
  <c r="AX33" i="9" s="1"/>
  <c r="AV41" i="9"/>
  <c r="AY41" i="9" s="1"/>
  <c r="AZ41" i="9"/>
  <c r="AZ45" i="9"/>
  <c r="AV46" i="9"/>
  <c r="AY46" i="9" s="1"/>
  <c r="AZ46" i="9"/>
  <c r="AU53" i="9"/>
  <c r="AX53" i="9" s="1"/>
  <c r="AZ71" i="9"/>
  <c r="AY71" i="9"/>
  <c r="AO79" i="9"/>
  <c r="AO81" i="9" s="1"/>
  <c r="AW77" i="9"/>
  <c r="AE30" i="9"/>
  <c r="AY30" i="9" s="1"/>
  <c r="AU34" i="9"/>
  <c r="AX34" i="9" s="1"/>
  <c r="AE36" i="9"/>
  <c r="AZ36" i="9" s="1"/>
  <c r="AE37" i="9"/>
  <c r="AZ37" i="9" s="1"/>
  <c r="AE38" i="9"/>
  <c r="AZ38" i="9" s="1"/>
  <c r="AE44" i="9"/>
  <c r="AY44" i="9" s="1"/>
  <c r="AZ48" i="9"/>
  <c r="AY54" i="9"/>
  <c r="AU56" i="9"/>
  <c r="AX56" i="9" s="1"/>
  <c r="AU57" i="9"/>
  <c r="AX57" i="9" s="1"/>
  <c r="AU58" i="9"/>
  <c r="AX58" i="9" s="1"/>
  <c r="AU63" i="9"/>
  <c r="AX63" i="9" s="1"/>
  <c r="AU64" i="9"/>
  <c r="AX64" i="9" s="1"/>
  <c r="AU65" i="9"/>
  <c r="AX65" i="9" s="1"/>
  <c r="AU69" i="9"/>
  <c r="AX69" i="9" s="1"/>
  <c r="AZ73" i="9"/>
  <c r="AZ75" i="9"/>
  <c r="AY75" i="9"/>
  <c r="AU73" i="9"/>
  <c r="AX73" i="9" s="1"/>
  <c r="AU74" i="9"/>
  <c r="AX74" i="9" s="1"/>
  <c r="AY76" i="9"/>
  <c r="AU41" i="9"/>
  <c r="AX41" i="9" s="1"/>
  <c r="AU45" i="9"/>
  <c r="AX45" i="9" s="1"/>
  <c r="AU46" i="9"/>
  <c r="AX46" i="9" s="1"/>
  <c r="AU51" i="9"/>
  <c r="AX51" i="9" s="1"/>
  <c r="AX29" i="9" l="1"/>
  <c r="AY66" i="9"/>
  <c r="AY58" i="9"/>
  <c r="AX55" i="9"/>
  <c r="AY63" i="9"/>
  <c r="AY57" i="9"/>
  <c r="AY32" i="9"/>
  <c r="AY42" i="9"/>
  <c r="AY34" i="9"/>
  <c r="AY47" i="9"/>
  <c r="L79" i="9"/>
  <c r="J79" i="9"/>
  <c r="AY38" i="9"/>
  <c r="AZ44" i="9"/>
  <c r="AX30" i="9"/>
  <c r="AY37" i="9"/>
  <c r="AX38" i="9"/>
  <c r="AY26" i="9"/>
  <c r="AV77" i="9"/>
  <c r="AY12" i="9"/>
  <c r="AY13" i="9"/>
  <c r="AZ13" i="9"/>
  <c r="AY14" i="9"/>
  <c r="AX44" i="9"/>
  <c r="AX37" i="9"/>
  <c r="AY36" i="9"/>
  <c r="AX36" i="9"/>
  <c r="AZ30" i="9"/>
  <c r="AU77" i="9"/>
  <c r="AU78" i="9" s="1"/>
  <c r="AE77" i="9"/>
  <c r="AU52" i="1" l="1"/>
  <c r="AU53" i="1"/>
  <c r="AF53" i="1"/>
  <c r="AF52" i="1"/>
  <c r="BB11" i="1" l="1"/>
  <c r="BB12" i="1"/>
  <c r="BB13" i="1"/>
  <c r="BB14" i="1"/>
  <c r="BB15" i="1"/>
  <c r="BB16" i="1"/>
  <c r="BB17" i="1"/>
  <c r="BB18" i="1"/>
  <c r="BB19" i="1"/>
  <c r="BB20" i="1"/>
  <c r="BB21" i="1"/>
  <c r="BB22" i="1"/>
  <c r="BB23" i="1"/>
  <c r="BB24" i="1"/>
  <c r="BB25" i="1"/>
  <c r="BB26" i="1"/>
  <c r="BB27" i="1"/>
  <c r="BB28" i="1"/>
  <c r="BB29" i="1"/>
  <c r="BB30" i="1"/>
  <c r="BB31" i="1"/>
  <c r="BB32" i="1"/>
  <c r="BB33" i="1"/>
  <c r="BB34" i="1"/>
  <c r="BB35" i="1"/>
  <c r="BB36" i="1"/>
  <c r="BB37" i="1"/>
  <c r="BB38" i="1"/>
  <c r="BB39" i="1"/>
  <c r="BB40" i="1"/>
  <c r="BB41" i="1"/>
  <c r="BB42" i="1"/>
  <c r="BB43" i="1"/>
  <c r="BB44" i="1"/>
  <c r="BB45" i="1"/>
  <c r="BB46" i="1"/>
  <c r="BB47" i="1"/>
  <c r="BB48" i="1"/>
  <c r="BB49" i="1"/>
  <c r="BB50" i="1"/>
  <c r="BB51" i="1"/>
  <c r="BB52" i="1"/>
  <c r="BB53" i="1"/>
  <c r="AZ53" i="1"/>
  <c r="AY53" i="1"/>
  <c r="AX53" i="1"/>
  <c r="Q53" i="1"/>
  <c r="P53" i="1"/>
  <c r="N51" i="1" l="1"/>
  <c r="M51" i="1"/>
  <c r="L51" i="1"/>
  <c r="N50" i="1"/>
  <c r="M50" i="1"/>
  <c r="L50" i="1"/>
  <c r="N49" i="1"/>
  <c r="M49" i="1"/>
  <c r="L49" i="1"/>
  <c r="N48" i="1"/>
  <c r="M48" i="1"/>
  <c r="L48" i="1"/>
  <c r="N47" i="1"/>
  <c r="M47" i="1"/>
  <c r="L47" i="1"/>
  <c r="N46" i="1"/>
  <c r="M46" i="1"/>
  <c r="L46" i="1"/>
  <c r="N45" i="1"/>
  <c r="M45" i="1"/>
  <c r="L45" i="1"/>
  <c r="N44" i="1"/>
  <c r="M44" i="1"/>
  <c r="L44" i="1"/>
  <c r="N43" i="1"/>
  <c r="M43" i="1"/>
  <c r="L43" i="1"/>
  <c r="N42" i="1"/>
  <c r="M42" i="1"/>
  <c r="L42" i="1"/>
  <c r="N41" i="1"/>
  <c r="M41" i="1"/>
  <c r="L41" i="1"/>
  <c r="N40" i="1"/>
  <c r="M40" i="1"/>
  <c r="L40" i="1"/>
  <c r="N39" i="1"/>
  <c r="M39" i="1"/>
  <c r="L39" i="1"/>
  <c r="N38" i="1"/>
  <c r="M38" i="1"/>
  <c r="L38" i="1"/>
  <c r="N37" i="1"/>
  <c r="M37" i="1"/>
  <c r="L37" i="1"/>
  <c r="N36" i="1"/>
  <c r="M36" i="1"/>
  <c r="L36" i="1"/>
  <c r="N35" i="1"/>
  <c r="M35" i="1"/>
  <c r="L35" i="1"/>
  <c r="N34" i="1"/>
  <c r="M34" i="1"/>
  <c r="L34" i="1"/>
  <c r="N33" i="1"/>
  <c r="M33" i="1"/>
  <c r="L33" i="1"/>
  <c r="N32" i="1"/>
  <c r="M32" i="1"/>
  <c r="L32" i="1"/>
  <c r="N31" i="1"/>
  <c r="M31" i="1"/>
  <c r="L31" i="1"/>
  <c r="N30" i="1"/>
  <c r="M30" i="1"/>
  <c r="L30" i="1"/>
  <c r="N29" i="1"/>
  <c r="M29" i="1"/>
  <c r="L29" i="1"/>
  <c r="N28" i="1"/>
  <c r="M28" i="1"/>
  <c r="L28" i="1"/>
  <c r="N27" i="1"/>
  <c r="M27" i="1"/>
  <c r="L27" i="1"/>
  <c r="N26" i="1"/>
  <c r="M26" i="1"/>
  <c r="L26" i="1"/>
  <c r="N25" i="1"/>
  <c r="M25" i="1"/>
  <c r="L25" i="1"/>
  <c r="N24" i="1"/>
  <c r="M24" i="1"/>
  <c r="L24" i="1"/>
  <c r="N23" i="1"/>
  <c r="M23" i="1"/>
  <c r="L23" i="1"/>
  <c r="N22" i="1"/>
  <c r="M22" i="1"/>
  <c r="L22" i="1"/>
  <c r="N21" i="1"/>
  <c r="M21" i="1"/>
  <c r="L21" i="1"/>
  <c r="N20" i="1"/>
  <c r="M20" i="1"/>
  <c r="L20" i="1"/>
  <c r="N19" i="1"/>
  <c r="M19" i="1"/>
  <c r="L19" i="1"/>
  <c r="N18" i="1"/>
  <c r="M18" i="1"/>
  <c r="L18" i="1"/>
  <c r="N17" i="1"/>
  <c r="M17" i="1"/>
  <c r="L17" i="1"/>
  <c r="N16" i="1"/>
  <c r="M16" i="1"/>
  <c r="L16" i="1"/>
  <c r="N15" i="1"/>
  <c r="M15" i="1"/>
  <c r="L15" i="1"/>
  <c r="N14" i="1"/>
  <c r="M14" i="1"/>
  <c r="L14" i="1"/>
  <c r="N13" i="1"/>
  <c r="M13" i="1"/>
  <c r="L13" i="1"/>
  <c r="N12" i="1"/>
  <c r="M12" i="1"/>
  <c r="L12" i="1"/>
  <c r="N11" i="1"/>
  <c r="M11" i="1"/>
  <c r="L11" i="1"/>
  <c r="AV54" i="1" l="1"/>
  <c r="AW54" i="1"/>
  <c r="P23" i="1" l="1"/>
  <c r="P25" i="1"/>
  <c r="P27" i="1"/>
  <c r="P30" i="1"/>
  <c r="P43" i="1"/>
  <c r="Q11" i="1"/>
  <c r="P11" i="1" s="1"/>
  <c r="Q12" i="1"/>
  <c r="P12" i="1" s="1"/>
  <c r="Q13" i="1"/>
  <c r="P13" i="1" s="1"/>
  <c r="Q14" i="1"/>
  <c r="P14" i="1" s="1"/>
  <c r="Q15" i="1"/>
  <c r="P15" i="1" s="1"/>
  <c r="Q16" i="1"/>
  <c r="P16" i="1" s="1"/>
  <c r="Q17" i="1"/>
  <c r="P17" i="1" s="1"/>
  <c r="Q18" i="1"/>
  <c r="P18" i="1" s="1"/>
  <c r="Q19" i="1"/>
  <c r="P19" i="1" s="1"/>
  <c r="Q20" i="1"/>
  <c r="P20" i="1" s="1"/>
  <c r="Q21" i="1"/>
  <c r="P21" i="1" s="1"/>
  <c r="Q22" i="1"/>
  <c r="P22" i="1" s="1"/>
  <c r="Q23" i="1"/>
  <c r="Q24" i="1"/>
  <c r="P24" i="1" s="1"/>
  <c r="Q25" i="1"/>
  <c r="Q26" i="1"/>
  <c r="P26" i="1" s="1"/>
  <c r="Q27" i="1"/>
  <c r="Q28" i="1"/>
  <c r="P28" i="1" s="1"/>
  <c r="Q29" i="1"/>
  <c r="P29" i="1" s="1"/>
  <c r="Q30" i="1"/>
  <c r="Q31" i="1"/>
  <c r="P31" i="1" s="1"/>
  <c r="Q32" i="1"/>
  <c r="P32" i="1" s="1"/>
  <c r="Q33" i="1"/>
  <c r="P33" i="1" s="1"/>
  <c r="Q34" i="1"/>
  <c r="P34" i="1" s="1"/>
  <c r="Q35" i="1"/>
  <c r="P35" i="1" s="1"/>
  <c r="Q36" i="1"/>
  <c r="P36" i="1" s="1"/>
  <c r="Q37" i="1"/>
  <c r="P37" i="1" s="1"/>
  <c r="Q38" i="1"/>
  <c r="P38" i="1" s="1"/>
  <c r="Q39" i="1"/>
  <c r="P39" i="1" s="1"/>
  <c r="Q40" i="1"/>
  <c r="P40" i="1" s="1"/>
  <c r="Q41" i="1"/>
  <c r="P41" i="1" s="1"/>
  <c r="Q42" i="1"/>
  <c r="P42" i="1" s="1"/>
  <c r="Q43" i="1"/>
  <c r="Q44" i="1"/>
  <c r="P44" i="1" s="1"/>
  <c r="Q45" i="1"/>
  <c r="P45" i="1" s="1"/>
  <c r="Q46" i="1"/>
  <c r="P46" i="1" s="1"/>
  <c r="Q47" i="1"/>
  <c r="P47" i="1" s="1"/>
  <c r="Q48" i="1"/>
  <c r="P48" i="1" s="1"/>
  <c r="Q49" i="1"/>
  <c r="P49" i="1" s="1"/>
  <c r="Q50" i="1"/>
  <c r="P50" i="1" s="1"/>
  <c r="Q51" i="1"/>
  <c r="P51" i="1" s="1"/>
  <c r="AF51" i="1" l="1"/>
  <c r="AY51" i="1" s="1"/>
  <c r="AU51" i="1"/>
  <c r="AF48" i="1"/>
  <c r="AY48" i="1" s="1"/>
  <c r="AF49" i="1"/>
  <c r="AY49" i="1" s="1"/>
  <c r="AF50" i="1"/>
  <c r="AZ50" i="1" s="1"/>
  <c r="AU48" i="1"/>
  <c r="AU49" i="1"/>
  <c r="AU50" i="1"/>
  <c r="AF46" i="1"/>
  <c r="AY46" i="1" s="1"/>
  <c r="AF47" i="1"/>
  <c r="AY47" i="1" s="1"/>
  <c r="AU46" i="1"/>
  <c r="AU47" i="1"/>
  <c r="AF45" i="1"/>
  <c r="AY45" i="1" s="1"/>
  <c r="AU45" i="1"/>
  <c r="AF43" i="1"/>
  <c r="AY43" i="1" s="1"/>
  <c r="AF44" i="1"/>
  <c r="AY44" i="1" s="1"/>
  <c r="AU43" i="1"/>
  <c r="AU44" i="1"/>
  <c r="AF41" i="1"/>
  <c r="AF42" i="1"/>
  <c r="AY42" i="1" s="1"/>
  <c r="AU41" i="1"/>
  <c r="AU42" i="1"/>
  <c r="AF40" i="1"/>
  <c r="AY40" i="1" s="1"/>
  <c r="AU40" i="1"/>
  <c r="AF30" i="1"/>
  <c r="AY30" i="1" s="1"/>
  <c r="AF31" i="1"/>
  <c r="AY31" i="1" s="1"/>
  <c r="AF32" i="1"/>
  <c r="AZ32" i="1" s="1"/>
  <c r="AF33" i="1"/>
  <c r="AY33" i="1" s="1"/>
  <c r="AF34" i="1"/>
  <c r="AY34" i="1" s="1"/>
  <c r="AF35" i="1"/>
  <c r="AY35" i="1" s="1"/>
  <c r="AF36" i="1"/>
  <c r="AZ36" i="1" s="1"/>
  <c r="AF37" i="1"/>
  <c r="AY37" i="1" s="1"/>
  <c r="AF38" i="1"/>
  <c r="AZ38" i="1" s="1"/>
  <c r="AF39" i="1"/>
  <c r="AY39" i="1" s="1"/>
  <c r="AU30" i="1"/>
  <c r="AU31" i="1"/>
  <c r="AU32" i="1"/>
  <c r="AU33" i="1"/>
  <c r="AU34" i="1"/>
  <c r="AU35" i="1"/>
  <c r="AU36" i="1"/>
  <c r="AU37" i="1"/>
  <c r="AU38" i="1"/>
  <c r="AU39" i="1"/>
  <c r="AY41" i="1" l="1"/>
  <c r="AZ43" i="1"/>
  <c r="AZ41" i="1"/>
  <c r="AZ37" i="1"/>
  <c r="AZ33" i="1"/>
  <c r="AZ46" i="1"/>
  <c r="AX51" i="1"/>
  <c r="AZ49" i="1"/>
  <c r="AY50" i="1"/>
  <c r="AX50" i="1"/>
  <c r="AZ51" i="1"/>
  <c r="AX49" i="1"/>
  <c r="AX43" i="1"/>
  <c r="AZ48" i="1"/>
  <c r="AX31" i="1"/>
  <c r="AX40" i="1"/>
  <c r="AX48" i="1"/>
  <c r="AX45" i="1"/>
  <c r="AX46" i="1"/>
  <c r="AX47" i="1"/>
  <c r="AZ47" i="1"/>
  <c r="AY38" i="1"/>
  <c r="AZ45" i="1"/>
  <c r="AZ34" i="1"/>
  <c r="AX38" i="1"/>
  <c r="AX34" i="1"/>
  <c r="AX30" i="1"/>
  <c r="AZ30" i="1"/>
  <c r="AZ44" i="1"/>
  <c r="AX44" i="1"/>
  <c r="AX37" i="1"/>
  <c r="AX33" i="1"/>
  <c r="AX41" i="1"/>
  <c r="AZ42" i="1"/>
  <c r="AX42" i="1"/>
  <c r="AX36" i="1"/>
  <c r="AZ40" i="1"/>
  <c r="AY32" i="1"/>
  <c r="AY36" i="1"/>
  <c r="AX32" i="1"/>
  <c r="AZ39" i="1"/>
  <c r="AZ35" i="1"/>
  <c r="AZ31" i="1"/>
  <c r="AX35" i="1"/>
  <c r="AX39" i="1"/>
  <c r="AU11" i="1"/>
  <c r="AU27" i="1"/>
  <c r="AF27" i="1"/>
  <c r="AF28" i="1"/>
  <c r="AF29" i="1"/>
  <c r="AU12" i="1" l="1"/>
  <c r="AU13" i="1"/>
  <c r="AU14" i="1"/>
  <c r="AU15" i="1"/>
  <c r="AU16" i="1"/>
  <c r="AU17" i="1"/>
  <c r="AU18" i="1"/>
  <c r="AU19" i="1"/>
  <c r="AU20" i="1"/>
  <c r="AU21" i="1"/>
  <c r="AU22" i="1"/>
  <c r="AU23" i="1"/>
  <c r="AU24" i="1"/>
  <c r="AU25" i="1"/>
  <c r="AU26" i="1"/>
  <c r="AU28" i="1"/>
  <c r="AU29" i="1"/>
  <c r="AF11" i="1"/>
  <c r="AF12" i="1"/>
  <c r="AY12" i="1" s="1"/>
  <c r="AF13" i="1"/>
  <c r="AF14" i="1"/>
  <c r="AY14" i="1" s="1"/>
  <c r="AF15" i="1"/>
  <c r="AF16" i="1"/>
  <c r="AY16" i="1" s="1"/>
  <c r="AF17" i="1"/>
  <c r="AF18" i="1"/>
  <c r="AY18" i="1" s="1"/>
  <c r="AF19" i="1"/>
  <c r="AF20" i="1"/>
  <c r="AY20" i="1" s="1"/>
  <c r="AF21" i="1"/>
  <c r="AF22" i="1"/>
  <c r="AY22" i="1" s="1"/>
  <c r="AF23" i="1"/>
  <c r="AF24" i="1"/>
  <c r="AY24" i="1" s="1"/>
  <c r="AF25" i="1"/>
  <c r="AF26" i="1"/>
  <c r="AY28" i="1"/>
  <c r="AF54" i="1" l="1"/>
  <c r="AU54" i="1"/>
  <c r="AY26" i="1"/>
  <c r="AX27" i="1"/>
  <c r="AX19" i="1"/>
  <c r="AX11" i="1"/>
  <c r="AX23" i="1"/>
  <c r="AX15" i="1"/>
  <c r="AX29" i="1"/>
  <c r="AX25" i="1"/>
  <c r="AX21" i="1"/>
  <c r="AX17" i="1"/>
  <c r="AX13" i="1"/>
  <c r="AZ26" i="1"/>
  <c r="AZ22" i="1"/>
  <c r="AZ18" i="1"/>
  <c r="AZ14" i="1"/>
  <c r="AX26" i="1"/>
  <c r="AX22" i="1"/>
  <c r="AZ29" i="1"/>
  <c r="AZ25" i="1"/>
  <c r="AZ21" i="1"/>
  <c r="AZ17" i="1"/>
  <c r="AZ13" i="1"/>
  <c r="AZ28" i="1"/>
  <c r="AZ24" i="1"/>
  <c r="AZ20" i="1"/>
  <c r="AZ16" i="1"/>
  <c r="AZ12" i="1"/>
  <c r="AX28" i="1"/>
  <c r="AX24" i="1"/>
  <c r="AZ27" i="1"/>
  <c r="AZ23" i="1"/>
  <c r="AZ19" i="1"/>
  <c r="AZ15" i="1"/>
  <c r="AZ11" i="1"/>
  <c r="AX18" i="1"/>
  <c r="AX14" i="1"/>
  <c r="AY29" i="1"/>
  <c r="AY25" i="1"/>
  <c r="AY21" i="1"/>
  <c r="AY17" i="1"/>
  <c r="AY13" i="1"/>
  <c r="AX20" i="1"/>
  <c r="AX16" i="1"/>
  <c r="AX12" i="1"/>
  <c r="AY27" i="1"/>
  <c r="AY23" i="1"/>
  <c r="AY19" i="1"/>
  <c r="AY15" i="1"/>
  <c r="AY11" i="1"/>
  <c r="P5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MONICA</author>
  </authors>
  <commentList>
    <comment ref="J10" authorId="0" shapeId="0" xr:uid="{A3237B69-F362-4F2D-B46C-780232C6663E}">
      <text>
        <r>
          <rPr>
            <b/>
            <sz val="9"/>
            <color rgb="FF000000"/>
            <rFont val="Tahoma"/>
            <family val="2"/>
          </rPr>
          <t>MONICA: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Valor total del proyecto</t>
        </r>
      </text>
    </comment>
    <comment ref="K10" authorId="0" shapeId="0" xr:uid="{7333EE27-53D8-4EBC-AF23-521196C62CEE}">
      <text>
        <r>
          <rPr>
            <b/>
            <sz val="9"/>
            <color rgb="FF000000"/>
            <rFont val="Tahoma"/>
            <family val="2"/>
          </rPr>
          <t>MONICA: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Valor vigencia 2024 del proyecto</t>
        </r>
      </text>
    </comment>
    <comment ref="L10" authorId="0" shapeId="0" xr:uid="{C6E4437D-2B21-4E44-9296-018FF3C1F411}">
      <text>
        <r>
          <rPr>
            <b/>
            <sz val="9"/>
            <color rgb="FF000000"/>
            <rFont val="Tahoma"/>
            <family val="2"/>
          </rPr>
          <t>MONICA: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Si es todo el municipio diligenciar "Municipio de Bucaramanga".
</t>
        </r>
        <r>
          <rPr>
            <sz val="9"/>
            <color rgb="FF000000"/>
            <rFont val="Tahoma"/>
            <family val="2"/>
          </rPr>
          <t>De lo contratio relacionar la comuna o barrio específico.</t>
        </r>
      </text>
    </comment>
    <comment ref="M10" authorId="0" shapeId="0" xr:uid="{3A1BFD79-05F0-4F80-A2E3-2BD483E16C34}">
      <text>
        <r>
          <rPr>
            <b/>
            <sz val="9"/>
            <color rgb="FF000000"/>
            <rFont val="Tahoma"/>
            <family val="2"/>
          </rPr>
          <t>MONICA: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Enfoque diferencial que apunte directamente el producto.</t>
        </r>
      </text>
    </comment>
    <comment ref="N10" authorId="0" shapeId="0" xr:uid="{66895990-81AF-4644-8637-3BC1CEE791E3}">
      <text>
        <r>
          <rPr>
            <b/>
            <sz val="9"/>
            <color rgb="FF000000"/>
            <rFont val="Tahoma"/>
            <family val="2"/>
          </rPr>
          <t>MONICA: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Cuantitativa</t>
        </r>
      </text>
    </comment>
    <comment ref="O10" authorId="0" shapeId="0" xr:uid="{D88809DC-7C2B-4176-89AF-1F92733A94D4}">
      <text>
        <r>
          <rPr>
            <b/>
            <sz val="9"/>
            <color indexed="81"/>
            <rFont val="Tahoma"/>
            <family val="2"/>
          </rPr>
          <t>MONICA:</t>
        </r>
        <r>
          <rPr>
            <sz val="9"/>
            <color indexed="81"/>
            <rFont val="Tahoma"/>
            <family val="2"/>
          </rPr>
          <t xml:space="preserve">
De forma general</t>
        </r>
      </text>
    </comment>
  </commentList>
</comments>
</file>

<file path=xl/sharedStrings.xml><?xml version="1.0" encoding="utf-8"?>
<sst xmlns="http://schemas.openxmlformats.org/spreadsheetml/2006/main" count="1075" uniqueCount="361">
  <si>
    <t>Responsable</t>
  </si>
  <si>
    <t>Dependencia</t>
  </si>
  <si>
    <t>Actividades Realizadas</t>
  </si>
  <si>
    <t>Número de Beneficiarios</t>
  </si>
  <si>
    <t>Población Beneficiada</t>
  </si>
  <si>
    <t>Comuna o Barrio Beneficiado</t>
  </si>
  <si>
    <t>Valor Vigencia Proyecto</t>
  </si>
  <si>
    <t>Valor del Proyecto</t>
  </si>
  <si>
    <t>Nombre del Proyecto</t>
  </si>
  <si>
    <t>Porcentaje Avance Vigencia</t>
  </si>
  <si>
    <t>Meta Programada Vigencia</t>
  </si>
  <si>
    <t>Tipo de Meta</t>
  </si>
  <si>
    <t>Indicador de Producto</t>
  </si>
  <si>
    <t>Cod. Indicador de Producto</t>
  </si>
  <si>
    <t>Meta de Producto</t>
  </si>
  <si>
    <t>Cod. de Producto</t>
  </si>
  <si>
    <t>Programa</t>
  </si>
  <si>
    <t>Cod. Programa</t>
  </si>
  <si>
    <t>Sector</t>
  </si>
  <si>
    <t>Linea Estratégica</t>
  </si>
  <si>
    <t xml:space="preserve"> Consecutivo PDM</t>
  </si>
  <si>
    <t>ODS</t>
  </si>
  <si>
    <t>RESPONSABLES</t>
  </si>
  <si>
    <t>RECURSOS EJECUTADOS</t>
  </si>
  <si>
    <t>RECURSOS PROGRAMADOS</t>
  </si>
  <si>
    <t>PROYECTOS DE INVERSION</t>
  </si>
  <si>
    <t>CUMPLIMIENTO DE LA META</t>
  </si>
  <si>
    <t>PDM 2024-2027</t>
  </si>
  <si>
    <t>VIGENCIA</t>
  </si>
  <si>
    <r>
      <t>Unidad de Medida</t>
    </r>
    <r>
      <rPr>
        <b/>
        <sz val="12"/>
        <color rgb="FF002060"/>
        <rFont val="Arial"/>
        <family val="2"/>
      </rPr>
      <t>2</t>
    </r>
  </si>
  <si>
    <t>LÍnea Base</t>
  </si>
  <si>
    <t>PLAN DE ACCION</t>
  </si>
  <si>
    <t>Código:  F-DPM-10100-238,37-060</t>
  </si>
  <si>
    <r>
      <t>Meta Programada Cuatrienio</t>
    </r>
    <r>
      <rPr>
        <b/>
        <sz val="12"/>
        <color rgb="FF002060"/>
        <rFont val="Arial"/>
        <family val="2"/>
      </rPr>
      <t>3</t>
    </r>
  </si>
  <si>
    <t>Código BPIN</t>
  </si>
  <si>
    <t>Total Recursos Obligados</t>
  </si>
  <si>
    <t>Total Recursos Pagados</t>
  </si>
  <si>
    <t>Logro Vigencia</t>
  </si>
  <si>
    <t>Ejecución Recursos Pagados</t>
  </si>
  <si>
    <t>Ejecución Recursos Obligados</t>
  </si>
  <si>
    <t>Nivel de Gestión</t>
  </si>
  <si>
    <t>Ejecución Recursos Comprometidos</t>
  </si>
  <si>
    <t>EJECUCIÓN PRESUPUESTAL</t>
  </si>
  <si>
    <t>Total Recursos Gestionados2</t>
  </si>
  <si>
    <t>GESTIÓN DE RECURSOS</t>
  </si>
  <si>
    <t>Recursos propios</t>
  </si>
  <si>
    <t>SGP Educación</t>
  </si>
  <si>
    <t>SGP Salud</t>
  </si>
  <si>
    <t>SGP Deporte</t>
  </si>
  <si>
    <t>SGP Cultura</t>
  </si>
  <si>
    <t>SGP Libre inversión</t>
  </si>
  <si>
    <t>SGP Libre destinación</t>
  </si>
  <si>
    <t>SGP Alimentación escolar</t>
  </si>
  <si>
    <t>SGP APSB</t>
  </si>
  <si>
    <t>Crédito</t>
  </si>
  <si>
    <t>Transferencias de capital - cofinanciación departamento</t>
  </si>
  <si>
    <t>Transferencias de capital - cofinanciación nación</t>
  </si>
  <si>
    <t>Otros</t>
  </si>
  <si>
    <t>Recursos propios2</t>
  </si>
  <si>
    <t>SGP Educación2</t>
  </si>
  <si>
    <t>Porcentaje Avance VigenciaR</t>
  </si>
  <si>
    <t>Recursos del Balance</t>
  </si>
  <si>
    <t>Recursos del Balance2</t>
  </si>
  <si>
    <t>Territorio seguro que protege</t>
  </si>
  <si>
    <t>Minas y energía.</t>
  </si>
  <si>
    <t>2102</t>
  </si>
  <si>
    <t>Consolidación productiva del sector de energía eléctrica (2102)</t>
  </si>
  <si>
    <t>2102069</t>
  </si>
  <si>
    <t>Garantizar 51.229 lámparas de alumbrado público para la prestación del servicio de alumbrado público en el Municipio de Bucaramanga</t>
  </si>
  <si>
    <t>Lámparas de alumbrado público en funcionamiento
 (210206900)</t>
  </si>
  <si>
    <t>Número</t>
  </si>
  <si>
    <t>2102008</t>
  </si>
  <si>
    <t>Elaborar 2 Documentos de estudio técnico para  mejorar la prestacion de servicio de alumbrado público.</t>
  </si>
  <si>
    <t>Número de documentos 
 (210200800)</t>
  </si>
  <si>
    <t>2106</t>
  </si>
  <si>
    <t>Gestión de la información en el sector minero energético (2106)</t>
  </si>
  <si>
    <t>2106029</t>
  </si>
  <si>
    <t>Implementar un sistema de gestión y monitoreo de la información del alumbrado público  acorde a RETILAP.</t>
  </si>
  <si>
    <t>Territorio seguro y sostenible</t>
  </si>
  <si>
    <t>Vivienda Ciudad y Territorio</t>
  </si>
  <si>
    <t>4002</t>
  </si>
  <si>
    <t>Ordenamiento Territorial y Desarrollo urbano. (4002).</t>
  </si>
  <si>
    <t>4002020</t>
  </si>
  <si>
    <t>Adecuar 300,000 metros cuadrados de espacio púbico. (4002020)</t>
  </si>
  <si>
    <t>Espacio público adecuado (400202000).</t>
  </si>
  <si>
    <t>Metros cuadrados</t>
  </si>
  <si>
    <t>4002021</t>
  </si>
  <si>
    <t>Construir 2 parques nuevos en el municipio</t>
  </si>
  <si>
    <t>Parques construidos (400202100)</t>
  </si>
  <si>
    <t>4002022</t>
  </si>
  <si>
    <t>Mantener 100 parques en el municipio</t>
  </si>
  <si>
    <t>Parques mantenidos (400202200)</t>
  </si>
  <si>
    <t>4002026</t>
  </si>
  <si>
    <t>Mantener 1,605,851 metros cuadrados de zonas verdes</t>
  </si>
  <si>
    <t>Zonas verdes mantenidas (400202600)</t>
  </si>
  <si>
    <t>Consolidación productiva del sector de energía eléctrica
(2102)</t>
  </si>
  <si>
    <t>2102062</t>
  </si>
  <si>
    <t>Apoyar la implementacion de proyectos de fuentes no convencionales de energía que beneficie a 50.000 personas</t>
  </si>
  <si>
    <t xml:space="preserve">Usuarios beneficiados
(210206200)
</t>
  </si>
  <si>
    <t>4003</t>
  </si>
  <si>
    <t>Acceso de la población a los servicios de agua potable y saneamiento básico.
(4003)</t>
  </si>
  <si>
    <t>4003015</t>
  </si>
  <si>
    <t>Construir 1 acueducto en el sector rural del municipio</t>
  </si>
  <si>
    <t>Acueductos construidos (400301500).</t>
  </si>
  <si>
    <t>4003017</t>
  </si>
  <si>
    <t>Optimizar 2 acueductos en el sector rural o en barrios legalizados del municipio</t>
  </si>
  <si>
    <t>Acueductos optimizados (400301700).</t>
  </si>
  <si>
    <t>4003020</t>
  </si>
  <si>
    <t>Optimizar 4 alcantarillados en barrios legalizados del municipio</t>
  </si>
  <si>
    <t>Alcantarillado optimizados (400302000).</t>
  </si>
  <si>
    <t>4003044</t>
  </si>
  <si>
    <t>Constuir 80 unidades sanitarias con saneamiento básico para vivienda rural</t>
  </si>
  <si>
    <t>Unidades sanitarias con saneamiento básico construidas para vivienda rural. (400304402)</t>
  </si>
  <si>
    <t xml:space="preserve">Adecuar 1000 metros cuadrado de equipamientos comunitarios complementarios para los programas y/o proyectos de soluciones de vivienda en espacio público del municipio </t>
  </si>
  <si>
    <t>Territorio seguro que progresa</t>
  </si>
  <si>
    <t>Agricultura y desarrollo rural</t>
  </si>
  <si>
    <t>1709</t>
  </si>
  <si>
    <t>Infraestructura productiva y comercialización (1709)</t>
  </si>
  <si>
    <t>1709078</t>
  </si>
  <si>
    <t>Adecuar 1 Plaza de mercado</t>
  </si>
  <si>
    <t>Plazas de mercado adecuadas 
 (170907800)</t>
  </si>
  <si>
    <t>Transporte.</t>
  </si>
  <si>
    <t>2401</t>
  </si>
  <si>
    <t>Infraestructura red vial primaria (2401).</t>
  </si>
  <si>
    <t>2401008</t>
  </si>
  <si>
    <t xml:space="preserve">Mejorar 1 Vía primaria de los corredores estratégicos del municipio. </t>
  </si>
  <si>
    <t>Vía primaria mejorada (240100800)</t>
  </si>
  <si>
    <t>Kilómetros</t>
  </si>
  <si>
    <t>2402</t>
  </si>
  <si>
    <t>Infraestructura red vial regional (2402)</t>
  </si>
  <si>
    <t>2402120</t>
  </si>
  <si>
    <t>Realizar mantenimiento a 10 puentes peatonales</t>
  </si>
  <si>
    <t>Puente peatonal con mantenimiento (240212000)</t>
  </si>
  <si>
    <t>2402119</t>
  </si>
  <si>
    <t xml:space="preserve">Construir 1 Puente en vía urbana existente de la ciudad </t>
  </si>
  <si>
    <t>Puente construido en vía urbana existente (240211900)</t>
  </si>
  <si>
    <t>Infraestructura red vial primaria (2401)</t>
  </si>
  <si>
    <t>2401039</t>
  </si>
  <si>
    <t>Construir 2 puentes peatonales en la red vial de la ciudad</t>
  </si>
  <si>
    <t>Puente peatonal construido (240103900)</t>
  </si>
  <si>
    <t>2402083</t>
  </si>
  <si>
    <t>Realizar mantenimiento a 5 Puentes vehiculares de la red vial urbana</t>
  </si>
  <si>
    <t>Puente de la red vial urbana con mantenimiento (240208300)</t>
  </si>
  <si>
    <t>2402044</t>
  </si>
  <si>
    <t>Construir 1 Puente vehicular en vía terciaria de la ciudad</t>
  </si>
  <si>
    <t>Puente construido en vía terciaria (240204400)</t>
  </si>
  <si>
    <t>2402118</t>
  </si>
  <si>
    <t>Realizar 4 Estudios de preinversión para la red vial regional</t>
  </si>
  <si>
    <t>Estudios de preinversión para la red vial regional (240211800)</t>
  </si>
  <si>
    <t>2402113</t>
  </si>
  <si>
    <t xml:space="preserve">Construir 1 Vía urbana en la ciudad. </t>
  </si>
  <si>
    <t>Vía urbana construida (240211300)</t>
  </si>
  <si>
    <t>Kiómetros</t>
  </si>
  <si>
    <t>2402114</t>
  </si>
  <si>
    <t>Mejorar 20 Km de Vías urbanas del municipio</t>
  </si>
  <si>
    <t>Vía urbana mejorada (240211400)</t>
  </si>
  <si>
    <t>2402115</t>
  </si>
  <si>
    <t>Realizar mantenimiento periódico o rutinario a 80 Km de vías urbanas</t>
  </si>
  <si>
    <t>Vía urbana con mantenimiento periódico o rutinario (240211500)</t>
  </si>
  <si>
    <t>2402042</t>
  </si>
  <si>
    <t>Construir 5.000 metros líneales de placa huella en la zona rural</t>
  </si>
  <si>
    <t>Placa huella construida (240204200)</t>
  </si>
  <si>
    <t>Metros lineales</t>
  </si>
  <si>
    <t>2402112</t>
  </si>
  <si>
    <t xml:space="preserve">Realizar el mantenimiento periódico o rutinario a 110 Km de Vías terciarias de la malla vial rural de la ciudad por año. </t>
  </si>
  <si>
    <t>Vía terciaria con mantenimiento periódico o rutinario (240211200)</t>
  </si>
  <si>
    <t>2402070</t>
  </si>
  <si>
    <t>Construir 1 Paso deprimido en vía urbana de la ciudad</t>
  </si>
  <si>
    <t>Paso deprimido construido en vía urbana (24020700)</t>
  </si>
  <si>
    <t>2402062</t>
  </si>
  <si>
    <t>Construir 1 intercambiador en vía urbana de la ciudad</t>
  </si>
  <si>
    <t>Intercambiador construido en vía urbana (240206200)</t>
  </si>
  <si>
    <t>2402094</t>
  </si>
  <si>
    <t>Realizar mantenimiento y/o adecuación y/o reubicación a 10.000 mts de ciclo infraestructuras urbanas del municipio</t>
  </si>
  <si>
    <t>Ciclo infraestructura urbana con mantenimiento (240209400)</t>
  </si>
  <si>
    <t>2101</t>
  </si>
  <si>
    <t>Acceso al servicio público domiciliario de gas combustible. (2101)</t>
  </si>
  <si>
    <t>2101016</t>
  </si>
  <si>
    <t xml:space="preserve">Conectar a 200 viviendas con redes domiciliarias de gas combustible en el municipio. </t>
  </si>
  <si>
    <t>Viviendas conectadas a la red local de gas combustible
(210101600)</t>
  </si>
  <si>
    <t>Acceso de la población a los servicios de agua potable y saneamiento básico (4003).</t>
  </si>
  <si>
    <t>4003047</t>
  </si>
  <si>
    <t>Beneficiar a 289.645 usuarios con subsidios al consumo en los servicios públicos domiciliarios de acueducto, alcantarillado y aseo en los estratos 1, 2 y 3.</t>
  </si>
  <si>
    <t>Usuarios beneficiados con subsidios al consumo (400304700)</t>
  </si>
  <si>
    <t>4003048</t>
  </si>
  <si>
    <t>Transportar y entregar 18.000 metros cúbicos de Agua potable en carrotanques para garantizar el mínimo vital de agua en zonas sin cobertura del municipio.</t>
  </si>
  <si>
    <t>Agua transportada y entregada. 
 (400304800)</t>
  </si>
  <si>
    <t>Metros cúbicos</t>
  </si>
  <si>
    <t>Territorio seguro que integra</t>
  </si>
  <si>
    <t>Deporte y recreación</t>
  </si>
  <si>
    <t>4302</t>
  </si>
  <si>
    <t>Formacion y preparacion de deportistas (4302)</t>
  </si>
  <si>
    <t>4302015</t>
  </si>
  <si>
    <t xml:space="preserve">Construir y dotar (1) pista </t>
  </si>
  <si>
    <t xml:space="preserve"> Pistas construidas y dotadas (430201500)</t>
  </si>
  <si>
    <t>4301</t>
  </si>
  <si>
    <t>Fomento a la recreación, la actividad física y el deporte (4301).</t>
  </si>
  <si>
    <t>4301011</t>
  </si>
  <si>
    <t>Realizar adecuaciones a 4 parques recreativos que tenga en cuenta un enfoque en nuevas disciplinas deportivas.</t>
  </si>
  <si>
    <t>Parques adecuados (430101100)</t>
  </si>
  <si>
    <t>Cultura.</t>
  </si>
  <si>
    <t>3302</t>
  </si>
  <si>
    <t>Gestión, protección y salvaguardia del patrimonio cultural colombiano. (3302)</t>
  </si>
  <si>
    <t>3302073</t>
  </si>
  <si>
    <t xml:space="preserve">Brindar 2 servicios de restauración del patrimonio cultural material inmueble de bienes de patrimonio cultural  en el municipio de Bucaramanga
</t>
  </si>
  <si>
    <t>Servicios de restauración del patrimonio cultural material inmueble 
(330207300)</t>
  </si>
  <si>
    <t>Territorio seguro que genera valor</t>
  </si>
  <si>
    <t>Gobierno territorial</t>
  </si>
  <si>
    <t>4502</t>
  </si>
  <si>
    <t>Fortalecimiento del buen gobierno para el respeto y garantía de los derechos humanos (4502)</t>
  </si>
  <si>
    <t>4502007</t>
  </si>
  <si>
    <t>"Construir tres (03) salones comunales en el Municipio de Bucaramanga (4502007)."</t>
  </si>
  <si>
    <t>Salones comunales construidos (450200700) </t>
  </si>
  <si>
    <t>0 </t>
  </si>
  <si>
    <t>4502003</t>
  </si>
  <si>
    <t>Adecuar diez (10) salones comunales en el Municipio de Bucaramanga (4502003).</t>
  </si>
  <si>
    <t>Salones comunales adecuados (450200300) </t>
  </si>
  <si>
    <t>4599</t>
  </si>
  <si>
    <t>Fortalecimiento a la gestión y dirección de la administración pública territorial (4599)</t>
  </si>
  <si>
    <t>4599031</t>
  </si>
  <si>
    <t>Asistir técnicamente a nueve (9) dependencias de la administración municipal para el diseño, seguimiento y ejecución de  proyectos estratégicos de la ciudad en el área de infraestructura</t>
  </si>
  <si>
    <t>Entidades, organismos y dependencias asistidos técnicamente (459903100).</t>
  </si>
  <si>
    <t>4599011</t>
  </si>
  <si>
    <t>Adecuar cinco (05) sedes de bienes inmuebles que son propiedad municipal para fortalecer los procesos administrativos y promover el desarrollo de capacidades dentro de la administración</t>
  </si>
  <si>
    <t>Sedes adecuadas (459901100) </t>
  </si>
  <si>
    <t>4599006</t>
  </si>
  <si>
    <t>Elaborar (04) estudios de preinversión para la  realización de documentos en las fases de pre-factibilidad, factibilidad o definitivos para la consolidación de la infraestructura social en el municipio</t>
  </si>
  <si>
    <t>Estudios de preinversión elaborados (459900600)</t>
  </si>
  <si>
    <t>2102010</t>
  </si>
  <si>
    <t xml:space="preserve">Implementar 4.100 metros de redes de alumbrado público (artístico y/o navideño) en el sector comercial, parques o lugares de desarrollo turístico.  </t>
  </si>
  <si>
    <t>Redes de alumbrado público ampliadas (210201000)</t>
  </si>
  <si>
    <t>Metros</t>
  </si>
  <si>
    <t>FORTALECIMIENTO  DE LA ADMINISTRACIÓN Y OPERACIÓN DE ALUMBRADO PÚBLICO 2024-2027 BUCARAMANGA</t>
  </si>
  <si>
    <t>01 - COMUNA NORTE_x000D_
02 - COMUNA NORORIENTAL_x000D_
03 - COMUNA SAN FRANCISCO_x000D_
04 - COMUNA OCCIDENTAL_x000D_
05 - COMUNA GARCIA ROVIRA_x000D_
06 - COMUNA LA CONCORDIA_x000D_
07 - COMUNA CIUDADELA REAL DE MINAS_x000D_
08 - COMUNA SUROCCIDENTE_x000D_
09 - COMUNA LA PEDREGOSA_x000D_
10 - COMUNA PROVENZA_x000D_
11 - COMUNA SUR_x000D_
12 - COMUNA CABECERA DEL LLANO_x000D_
13 - COMUNA ORIENTAL_x000D_
14 - COMUNA MORRORICO_x000D_
15 - COMUNA CENTRO_x000D_
16 - COMUNA TEJAR_x000D_
17 - COMUNA MUTIS_x000D_
CORREGIMIENTO 1_x000D_
CORREGIMIENTO 2_x000D_
CORREGIMIENTO 3</t>
  </si>
  <si>
    <t>Población en general</t>
  </si>
  <si>
    <t>Actividades de mantenimiento y modernización del alumbrado publico</t>
  </si>
  <si>
    <t>MODERNIZACIÓN DEL ALUMBRADO PÚBLICO VIAS M2 - FASE 1 DEL MUNICIPIO DE BUCARAMANGA.</t>
  </si>
  <si>
    <t>MANTENIMIENTO DEL SISTEMA DE ALUMBRADO PÚBLICO DEL MUNICIPIO DE BUCARAMANGA</t>
  </si>
  <si>
    <t>MODERNIZACIÓN DEL SISTEMA DE ILUMINACIÓN DEL VIADUCTO PROVINCIAL DE LA CARRERA NOVENA: ALEJANDRO GALVIS RAMÍREZ DEL MUNICIPIO DE BUCARAMANGA</t>
  </si>
  <si>
    <t xml:space="preserve">MODERNIZACIÓN DEL ALUMBRADO PÚBLICO DE LA CARRERA 33 ENTRE EL VIADUCTO LA FLORA Y LA AVENIDA QUEBRADA SECA; CARRERA 33A ENTRE LA CALLE 34 Y LA CALLE 14 Y, CALLE 14 ENTRE LA CARRERA 33A Y LA GLORIETA DEL ESTADIO AMÉRICO MONTANINI DEL MUNICIPIO DE BUCARAMANGA, </t>
  </si>
  <si>
    <t xml:space="preserve">MODERNIZACIÓN DEL ALUMBRADO PÚBLICO EN DISTINTOS SECTORES DEL MUNICIPIO DE BUCARAMANGA (VARIAS VIAS), </t>
  </si>
  <si>
    <t>ADQUISICIÓN DE HERRAMIENTAS TECNOLOGICAS PARA LA ADMINSITRACION OPERACIÓN Y MANTENIMIENTO DEL ALUMBRADO PUBLICO DE BUCARAMANGA</t>
  </si>
  <si>
    <t>ADECUACIÓN DEL ESPACIO PÚBLICO Y ZONAS DE PARQUEO DEL MUNICIPIO DE BUCARAMANGA, SANTANDER</t>
  </si>
  <si>
    <t>ADECUACIÓN DE ESPACIO PÚBLICO EN EL MARCO DEL DESARROLLO DE LA ESTRATEGIA DE PRESUPUESTOS PARTICIPATIVOS DEL MUNICIPIO DE BUCARAMANGA, SANTANDER</t>
  </si>
  <si>
    <t>MEJORAMIENTO DE LA INFRAESTRUCTURA URBANA Y CALIDAD AMBIENTAL DENTRO DE LA ESTRATEGIA CENTRO CAMINABLE EN EL MUNICIPIO DE BUCARAMANGA, SANTANDER</t>
  </si>
  <si>
    <t>MANTENIMIENTO PERIODIDO DE LA INFRAESTRUCTURA DE PARQUES, EQUIPAMIENTO Y ESPACIO PÚBLICO DEL MUNICIPIO DE BUCARAMANGA SANTANDER</t>
  </si>
  <si>
    <t>MANTENIMIENTO Y MANEJO INTEGRAL ARBOREO Y DE ZONAS VERDES EN EL MUNICIPIO DE  BUCARAMANGA, SANTANDER</t>
  </si>
  <si>
    <t>IMPLEMENTACIÓN DE PILOTOS DE ENERGIAS ALTERNATIVAS EN EL MUNICPIO DE  BUCARAMANGA</t>
  </si>
  <si>
    <t>CONSTRUCCIÓN DEL ACUEDUCTOS PARA LAS VEREDAS LA ESMERALDA, SAN IGNACIO Y LA SABANA DEL MUNICIPIO DE BUCARAMANGA</t>
  </si>
  <si>
    <t>CONSTRUCCIÓN DE ACUEDUCTOS VEREDALES EN VARIOS SECTORES DEL MUNICIPIO DE BUCARAMANGA SANTANDER (SEGUNDA ETAPA CAPILLA BAJA)</t>
  </si>
  <si>
    <t>CONTRUCCIÓN DE POZOS SÉPTICOS PARA EL SANEMIENTO AMBIENTAL EN EL SECTOR RURAL DEL MUNICIPIO DE BUCARAMANGA SANTANDER</t>
  </si>
  <si>
    <t>CONSTRUCCIÓN DE PUENTES PEATONALES Y MANTENIMIENTO  DE PUENTES VEHICULARES Y PEATONALES  EN EL MUNICIPIO DE BUCARAMANGA</t>
  </si>
  <si>
    <t>CONSTRUCCCIÓN DEL PUENTE NARIÑO SOBRE EL RIO DE ORO EN LA JURISDICCIÓN DE LOS MUNICIPIOS DE BUCARAMANGA Y GIRÓN DEPARTAMENTO DE SANTANDER</t>
  </si>
  <si>
    <t>CONSTRUCCION DE LA SOLUCION VIAL DE LA CALLE 53 Y CALLE 54 DE LA CONEXION ORIENTE - OCCIDENTE DEL MUNICIPIO DE BUCARAMANGA</t>
  </si>
  <si>
    <t>MANTENIMIENTO MEJORAMIENTO Y REHABILITACIÓN DE LA RED VIAL URBANA DEL MUNICIPIO DE BUCARAMANGA, SANTANDER</t>
  </si>
  <si>
    <t>MEJORAMIENTO DE LA MALLA VIAL Y ESPACIO PÚBLICO ENMARCADO DENTRO DE LA ESTRATEGIA
“PLAN REVITALIZACION DEL ESPACIO PUBLICO CENTRO” EN EL MUNICIPIO DE BUCARAMANGA, SANTANDER"</t>
  </si>
  <si>
    <t>MEJORAMIENTO DE VÍAS RURALES A TRAVÉS DE PLACA HUELLAS EN EL SECTOR RURAL DEL MUNICIPIO DE BUCARAMANGA,SANTANDER</t>
  </si>
  <si>
    <t>MANTENIMIENTO PERIODICO DE LA RED VÍAL RURAL DEL MUNICIPIO DE BUCARMANGA SANTANDER</t>
  </si>
  <si>
    <t>CORREGIMIENTOS 1 Y 2</t>
  </si>
  <si>
    <t>MANTENIMIENTO PERIÓDICO DE LA RED VIAL RURAL DEL MUNICIPIO DE BUCARAMANGA</t>
  </si>
  <si>
    <t xml:space="preserve">CONSTRUCCIÓN  DE CONEXIONES E INSTALACIONES INTERNAS A LA RED DE DISTRIBUCIÓN LOCAL DE GAS DOMICILIARIO DE USUARIOS DE MENORES INGRESOS DE LOS ESTRATOS 1, 2 Y 3 DEL MUNICIPIO DE BUCARAMANGA </t>
  </si>
  <si>
    <t>SUBSIDIOS A LOS SERVICIOS PÚBICOS DE ACUEDUCTO, ALCANTARILLADO Y ASELO A LA POBLACIÓN DE ESTRATOS 1, 2 Y 3 DEL MUNICIPIO DE BUCARAMANGA</t>
  </si>
  <si>
    <t>Todas las comunas del municipio  de Bucaramanga</t>
  </si>
  <si>
    <t>Pago subsidios a los estratos 1, 2, 3 y pilas publicas</t>
  </si>
  <si>
    <t>SUMINISTRO DE AGUA POTABLE PARA GARANTIZAR LA COBERTURA DEL MÍNIMO VITAL DE AGUA A LOS SECTORES DE LOS CORREGIMIENTOS 1, 2, Y 3 DEL MUNICIPIO DE BUCARAMANGA, SANTANDER</t>
  </si>
  <si>
    <t>FORTALECIMIENTO INSTITUCIONAL A LOS PROCESOS MISIONES Y DE GESTIÓN DE LA SECRETARÍA DE INFRAESTRUCTURA DEL MUNICIPIO DE BUCARAMANGA, SANTANDER</t>
  </si>
  <si>
    <t>Diseños de infraestructura social, acompañamiento para el seguimiento de obras, seguimiento financiero a la inversion</t>
  </si>
  <si>
    <t>REPARACION DEL EQUIPAMIENTO COMUNITARIO CASA BUHO DEL MUNICIPIO DE BUCARAMANGA, SANTANDER</t>
  </si>
  <si>
    <t>ESTUDIOS Y DISEÑOS PARA LA RESTAURACIÓN  DEL BIEN DE INTERÉS CULTURAL DE LA PLAZA SAN MATEO DEL MUNICIPIO DE BUCARAMANGA SANTANDER</t>
  </si>
  <si>
    <t>Secretaría de Infraestructura-Alumbrado Público</t>
  </si>
  <si>
    <t>María del Rosario Torres Vargas</t>
  </si>
  <si>
    <t>Secretaría de Infraestructura</t>
  </si>
  <si>
    <t>6,10,11</t>
  </si>
  <si>
    <t>Sistemas de información actualizados
(210603300)</t>
  </si>
  <si>
    <t>Versión:3.0</t>
  </si>
  <si>
    <t>Fecha aprobación: Abril 10 de 2025</t>
  </si>
  <si>
    <t>Página: 1 de 2</t>
  </si>
  <si>
    <t>Página: 2 de 2</t>
  </si>
  <si>
    <t>APOYO AL CONTROL DE CUMPLIMIENTO DEL CONTRATO DE OBRA PARA LA CONSTRUCCION  DEL PARQUE BORDE SUR LA VICTORIA EN EL BARRIO LAVICTORIA  EN  EL MUNICIPIO DE BUCARAMANGA</t>
  </si>
  <si>
    <t>Recursos propios 2025</t>
  </si>
  <si>
    <t>SGP Educación 2025</t>
  </si>
  <si>
    <t>SGP Salud 2025</t>
  </si>
  <si>
    <t>SGP Deporte 2025</t>
  </si>
  <si>
    <t>SGP Cultura 2025</t>
  </si>
  <si>
    <t>SGP Libre inversión 2025</t>
  </si>
  <si>
    <t>SGP Libre destinación 2025</t>
  </si>
  <si>
    <t>SGP Alimentación escolar 2025</t>
  </si>
  <si>
    <t>SGP Municipios río Magdalena 2025</t>
  </si>
  <si>
    <t>SGP APSB 2025</t>
  </si>
  <si>
    <t>Crédito 2025</t>
  </si>
  <si>
    <t>Transferencias de capital - cofinanciación departamento 2025</t>
  </si>
  <si>
    <t>Transferencias de capital - cofinanciación nación 2025</t>
  </si>
  <si>
    <t>Otros 2025</t>
  </si>
  <si>
    <t>Recursos propios 20252</t>
  </si>
  <si>
    <t>SGP Educación 20252</t>
  </si>
  <si>
    <t>SGP Salud 20252</t>
  </si>
  <si>
    <t>SGP Deporte 20252</t>
  </si>
  <si>
    <t>SGP Cultura 20252</t>
  </si>
  <si>
    <t>SGP Libre inversión 20252</t>
  </si>
  <si>
    <t>SGP Libre destinación 20252</t>
  </si>
  <si>
    <t>SGP Alimentación escolar 20252</t>
  </si>
  <si>
    <t>SGP Municipios río Magdalena 20252</t>
  </si>
  <si>
    <t>SGP APSB 20252</t>
  </si>
  <si>
    <t>Crédito 20252</t>
  </si>
  <si>
    <t>Transferencias de capital - cofinanciación departamento 20252</t>
  </si>
  <si>
    <t>Transferencias de capital - cofinanciación nación 20252</t>
  </si>
  <si>
    <t>Otros 20252</t>
  </si>
  <si>
    <t>Recursos del Balance 2025</t>
  </si>
  <si>
    <t>Total Recursos Comprometido 2025</t>
  </si>
  <si>
    <t>Total general</t>
  </si>
  <si>
    <t/>
  </si>
  <si>
    <t>Suma de Recursos propios 20252</t>
  </si>
  <si>
    <t>Suma de SGP APSB 20252</t>
  </si>
  <si>
    <t>Mantener 80 infraestructuras Deportivas en el Municipio</t>
  </si>
  <si>
    <t>Infraestructura Deportiva Mantenida</t>
  </si>
  <si>
    <t>Acumulativa</t>
  </si>
  <si>
    <t>Total 2025</t>
  </si>
  <si>
    <t>Columna1</t>
  </si>
  <si>
    <t>ING. Edgar Bayona- Ing. Mafe</t>
  </si>
  <si>
    <t>Interventoria/ Contrato 169 del 2022/ Obra se esta ejecutando con Reserva Contrato 163 con otro BPPIM (2022-006)</t>
  </si>
  <si>
    <t xml:space="preserve">ADECUACION DEL EQUIPAMIENTO Y ESCENARIOS DEPORTIVOS DEL MUNICIPIO DE BUCARAMANGA SANTANDER </t>
  </si>
  <si>
    <t>Elaboración DEL ESTUDIO TÉCNICO DE REFERENCIA PARA LA PRESTACIÓN DEL SERVICIO DE ALUMBRADO PÚBLICO DEL MUNICIPIO DE Bucaramanga</t>
  </si>
  <si>
    <t>MANTENIMIENTO RUTINARIO DE PUENTES PEATONALES Y VEHICULARES EN EL MUNICIPIO DE BUCARAMANGA</t>
  </si>
  <si>
    <t>CONSTRUCCION DE OBRAS ADICIONALES PROVISIONALES Y DE PROTECCIÓN DE PRIMEROS AUXILIOS DEL BIEN DE INTERÉS CULTURAL PLAZA SAN MATEO DEL MUNICIPIO BUCARAMANGA, SANTANDER</t>
  </si>
  <si>
    <t>Ejecutar el 100% del programa de saneamiento fiscal y financiero para el fortalecimiento de las finanzas del municipio</t>
  </si>
  <si>
    <t>Programa de sanemiento fiscal y financiero ejecutado</t>
  </si>
  <si>
    <t>porcentaje</t>
  </si>
  <si>
    <t>Secretaria de Hacienda</t>
  </si>
  <si>
    <t xml:space="preserve"> </t>
  </si>
  <si>
    <t>Servicio de alumbrado público</t>
  </si>
  <si>
    <t>Servicio DE INTERVENTORÍA PARA AMPLIACIÓN DEL ALUMBRADO PÚBLICO EN ZONA RURAL DEL MUNICIPIO DE Bucaramanga</t>
  </si>
  <si>
    <t>Adecuación del equipamiento y espacio público de olas bajas del municipio de Bucaramanga, Santander </t>
  </si>
  <si>
    <t>Construcción DEL PARQUE ANTONIA SANTOS DEL MUNICIPIO DE Bucaramanga, Santander</t>
  </si>
  <si>
    <t>Mantenimiento de parques y espacios públicos del municipio de Bucaramanga, Santander </t>
  </si>
  <si>
    <t>Optimización DE LAS REDES Y ESTRUCTURAS DE ALCANTARILLADO PLUVIAL EN SITIOS ESTRATEGICOS DEL MUNICIPIO DE BUCARAMANGA Santander</t>
  </si>
  <si>
    <t>Adecuación del equipamiento y espacio público de La Salle del municipio de Bucaramanga, Santander </t>
  </si>
  <si>
    <t>* Campos requeridos</t>
  </si>
  <si>
    <t>Fortalecimiento de la gestión institucional para el saneamiento fiscal y financiero de la secretaria de infraestructura mediante el pago de pasivos exigibles de vigencias expiradas en el municipio de Bucaramanga, Santander</t>
  </si>
  <si>
    <t>Fortalecimiento DE LA GESTIÓN PARA EL SANEAMIENTO FISCAL Y FINANCIERO DE LA OFICINA DE ALUMBRADO PÚBLICO 2025 DEL MUNICIPIO DE Bucaramanga</t>
  </si>
  <si>
    <t>Estudios de exploración geotécnica y ensayos de laboratorio para los proyectos en estructuración del municipio de Bucaramanga </t>
  </si>
  <si>
    <t>Instalación DE LA ILUMINACIÓN DECORATIVA PARA LA NAVIDAD EN EL MUNICIPIO DE Bucaramanga</t>
  </si>
  <si>
    <t>Sustentar</t>
  </si>
  <si>
    <t>Adecuación del equipamiento y espacio público del parque Ciudadela Café Madrid del municipio de Bucaramanga, Santander </t>
  </si>
  <si>
    <t>Construcción de puente peatonal ubicado en la parte baja del barrio morrorico - miraflores, comuna 14, municipio de Bucaramanga</t>
  </si>
  <si>
    <t>Total 202500000041555</t>
  </si>
  <si>
    <t>Adecuación centro transitorio juvenil CETRA - La Joya del Municipio de Bucaramanga</t>
  </si>
  <si>
    <t>SGP Salud 20254</t>
  </si>
  <si>
    <t>SGP Deporte 20255</t>
  </si>
  <si>
    <t>SGP Cultura 20256</t>
  </si>
  <si>
    <t>SGP Libre inversión 20257</t>
  </si>
  <si>
    <t>SGP Libre destinación 20258</t>
  </si>
  <si>
    <t>SGP Alimentación escolar 20259</t>
  </si>
  <si>
    <t>SGP APSB 202511</t>
  </si>
  <si>
    <t>Crédito 202512</t>
  </si>
  <si>
    <t>Transferencias de capital - cofinanciación departamento 202513</t>
  </si>
  <si>
    <t>Transferencias de capital - cofinanciación nación 202514</t>
  </si>
  <si>
    <t>Otros 202515</t>
  </si>
  <si>
    <r>
      <t>Construcción monumento conmemorativo flor del búcaro en el municipio de Bucaramanga Santander</t>
    </r>
    <r>
      <rPr>
        <b/>
        <sz val="13"/>
        <rFont val="Arial"/>
        <family val="2"/>
      </rPr>
      <t> </t>
    </r>
  </si>
  <si>
    <r>
      <t>Mantenimiento de parques y espacios públicos del municipio de Bucaramanga, Santander</t>
    </r>
    <r>
      <rPr>
        <b/>
        <sz val="13"/>
        <rFont val="Arial"/>
        <family val="2"/>
      </rPr>
      <t> </t>
    </r>
  </si>
  <si>
    <r>
      <t>ACTUALIZACIÓN DE LOS ESTUDIOS Y DISEÑOS PARA LA PROPUESTA DE MODIFICACIÓN DE LA INSTITUCIÓN EDUCATIVA TÉCNICO DÁMASO ZAPATA DEL MUNICIPIO DE BUCARAMANGA </t>
    </r>
    <r>
      <rPr>
        <b/>
        <sz val="12"/>
        <rFont val="Work Sans Bold Roman"/>
      </rPr>
      <t>Entidad: </t>
    </r>
    <r>
      <rPr>
        <sz val="12"/>
        <rFont val="Work Sans Medium Roman"/>
      </rPr>
      <t>BUCARAMANGA - Santander</t>
    </r>
    <r>
      <rPr>
        <sz val="12"/>
        <rFont val="Arial"/>
        <family val="2"/>
      </rPr>
      <t> </t>
    </r>
  </si>
  <si>
    <t>40,14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</si>
</sst>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8" formatCode="&quot;$&quot;\ #,##0.00;[Red]\-&quot;$&quot;\ #,##0.00"/>
    <numFmt numFmtId="42" formatCode="_-&quot;$&quot;\ * #,##0_-;\-&quot;$&quot;\ * #,##0_-;_-&quot;$&quot;\ * &quot;-&quot;_-;_-@_-"/>
    <numFmt numFmtId="44" formatCode="_-&quot;$&quot;\ * #,##0.00_-;\-&quot;$&quot;\ * #,##0.00_-;_-&quot;$&quot;\ * &quot;-&quot;??_-;_-@_-"/>
    <numFmt numFmtId="164" formatCode="_(* #,##0.00_);_(* \(#,##0.00\);_(* &quot;-&quot;??_);_(@_)"/>
    <numFmt numFmtId="165" formatCode="_-&quot;$&quot;\ * #,##0.00_-;\-&quot;$&quot;\ * #,##0.00_-;_-&quot;$&quot;\ * &quot;-&quot;_-;_-@_-"/>
    <numFmt numFmtId="166" formatCode="_(&quot;$&quot;* #,##0.00_);_(&quot;$&quot;* \(#,##0.00\);_(&quot;$&quot;* &quot;-&quot;??_);_(@_)"/>
  </numFmts>
  <fonts count="38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22"/>
      <color theme="1"/>
      <name val="Aptos Narrow"/>
      <family val="2"/>
      <scheme val="minor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b/>
      <sz val="12"/>
      <color rgb="FF002060"/>
      <name val="Arial"/>
      <family val="2"/>
    </font>
    <font>
      <sz val="12"/>
      <color theme="1"/>
      <name val="Arial"/>
      <family val="2"/>
    </font>
    <font>
      <sz val="8"/>
      <name val="Aptos Narrow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Aptos Narrow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sz val="14"/>
      <name val="Arial"/>
      <family val="2"/>
    </font>
    <font>
      <sz val="12"/>
      <name val="Arial"/>
      <family val="2"/>
    </font>
    <font>
      <b/>
      <sz val="14"/>
      <color theme="1"/>
      <name val="Arial"/>
      <family val="2"/>
    </font>
    <font>
      <b/>
      <sz val="11"/>
      <color rgb="FFFF0000"/>
      <name val="Arial"/>
      <family val="2"/>
    </font>
    <font>
      <b/>
      <sz val="22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28"/>
      <color theme="1"/>
      <name val="Arial"/>
      <family val="2"/>
    </font>
    <font>
      <b/>
      <sz val="28"/>
      <color rgb="FFFF0000"/>
      <name val="Arial"/>
      <family val="2"/>
    </font>
    <font>
      <b/>
      <sz val="28"/>
      <color theme="1"/>
      <name val="Aptos Narrow"/>
      <family val="2"/>
      <scheme val="minor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b/>
      <sz val="12"/>
      <name val="Arial"/>
      <family val="2"/>
    </font>
    <font>
      <sz val="10"/>
      <name val="Arial"/>
      <family val="2"/>
    </font>
    <font>
      <u/>
      <sz val="11"/>
      <color theme="10"/>
      <name val="Aptos Narrow"/>
      <family val="2"/>
      <scheme val="minor"/>
    </font>
    <font>
      <b/>
      <sz val="10"/>
      <name val="Arial"/>
      <family val="2"/>
    </font>
    <font>
      <b/>
      <sz val="14"/>
      <name val="Arial"/>
      <family val="2"/>
    </font>
    <font>
      <b/>
      <sz val="11"/>
      <name val="Aptos Narrow"/>
      <family val="2"/>
      <scheme val="minor"/>
    </font>
    <font>
      <b/>
      <sz val="13"/>
      <name val="Arial"/>
      <family val="2"/>
    </font>
    <font>
      <sz val="7"/>
      <name val="Arial"/>
      <family val="2"/>
    </font>
    <font>
      <sz val="16"/>
      <name val="Work Sans Medium Roman"/>
    </font>
    <font>
      <b/>
      <sz val="12"/>
      <name val="Work Sans Bold Roman"/>
    </font>
    <font>
      <sz val="12"/>
      <name val="Work Sans Medium Roman"/>
    </font>
    <font>
      <b/>
      <sz val="24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8ED973"/>
        <bgColor rgb="FF000000"/>
      </patternFill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rgb="FF000000"/>
      </bottom>
      <diagonal/>
    </border>
    <border>
      <left style="thin">
        <color rgb="FF999999"/>
      </left>
      <right/>
      <top/>
      <bottom/>
      <diagonal/>
    </border>
    <border>
      <left/>
      <right/>
      <top style="thin">
        <color rgb="FF999999"/>
      </top>
      <bottom/>
      <diagonal/>
    </border>
    <border>
      <left/>
      <right style="thin">
        <color rgb="FF999999"/>
      </right>
      <top style="thin">
        <color rgb="FF999999"/>
      </top>
      <bottom/>
      <diagonal/>
    </border>
    <border>
      <left/>
      <right/>
      <top style="thin">
        <color rgb="FF999999"/>
      </top>
      <bottom style="thin">
        <color rgb="FF999999"/>
      </bottom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999999"/>
      </left>
      <right/>
      <top style="thin">
        <color rgb="FF999999"/>
      </top>
      <bottom/>
      <diagonal/>
    </border>
  </borders>
  <cellStyleXfs count="7">
    <xf numFmtId="0" fontId="0" fillId="0" borderId="0"/>
    <xf numFmtId="9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42" fontId="12" fillId="0" borderId="0" applyFont="0" applyFill="0" applyBorder="0" applyAlignment="0" applyProtection="0"/>
    <xf numFmtId="166" fontId="27" fillId="0" borderId="0" applyFont="0" applyFill="0" applyBorder="0" applyAlignment="0" applyProtection="0"/>
    <xf numFmtId="0" fontId="28" fillId="0" borderId="0" applyNumberFormat="0" applyFill="0" applyBorder="0" applyAlignment="0" applyProtection="0"/>
  </cellStyleXfs>
  <cellXfs count="296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0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7" xfId="0" applyFont="1" applyBorder="1" applyAlignment="1">
      <alignment vertical="center"/>
    </xf>
    <xf numFmtId="0" fontId="1" fillId="2" borderId="19" xfId="0" applyFont="1" applyFill="1" applyBorder="1" applyAlignment="1">
      <alignment horizontal="center" vertical="center" wrapText="1"/>
    </xf>
    <xf numFmtId="44" fontId="13" fillId="0" borderId="1" xfId="0" applyNumberFormat="1" applyFont="1" applyBorder="1" applyAlignment="1" applyProtection="1">
      <alignment horizontal="center" vertical="center"/>
      <protection locked="0"/>
    </xf>
    <xf numFmtId="9" fontId="13" fillId="0" borderId="1" xfId="1" applyFont="1" applyBorder="1" applyAlignment="1" applyProtection="1">
      <alignment horizontal="center" vertical="center" wrapText="1"/>
      <protection locked="0"/>
    </xf>
    <xf numFmtId="9" fontId="13" fillId="0" borderId="1" xfId="1" applyFont="1" applyBorder="1" applyAlignment="1" applyProtection="1">
      <alignment horizontal="center" vertical="center"/>
      <protection locked="0"/>
    </xf>
    <xf numFmtId="9" fontId="13" fillId="0" borderId="21" xfId="1" applyFont="1" applyFill="1" applyBorder="1" applyAlignment="1" applyProtection="1">
      <alignment horizontal="center" vertical="center"/>
      <protection locked="0"/>
    </xf>
    <xf numFmtId="9" fontId="13" fillId="0" borderId="21" xfId="1" applyFont="1" applyBorder="1" applyAlignment="1" applyProtection="1">
      <alignment horizontal="center" vertical="center" wrapText="1"/>
      <protection locked="0"/>
    </xf>
    <xf numFmtId="9" fontId="13" fillId="0" borderId="22" xfId="1" applyFont="1" applyBorder="1" applyAlignment="1" applyProtection="1">
      <alignment horizontal="center" vertical="center" wrapText="1"/>
      <protection locked="0"/>
    </xf>
    <xf numFmtId="0" fontId="5" fillId="2" borderId="18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0" fillId="0" borderId="11" xfId="0" applyBorder="1" applyAlignment="1">
      <alignment horizontal="center" vertical="center"/>
    </xf>
    <xf numFmtId="9" fontId="13" fillId="0" borderId="1" xfId="1" applyFont="1" applyFill="1" applyBorder="1" applyAlignment="1" applyProtection="1">
      <alignment horizontal="center" vertical="center"/>
      <protection locked="0"/>
    </xf>
    <xf numFmtId="9" fontId="13" fillId="0" borderId="22" xfId="1" applyFont="1" applyFill="1" applyBorder="1" applyAlignment="1" applyProtection="1">
      <alignment horizontal="center" vertical="center"/>
      <protection locked="0"/>
    </xf>
    <xf numFmtId="44" fontId="14" fillId="0" borderId="1" xfId="0" applyNumberFormat="1" applyFont="1" applyBorder="1" applyAlignment="1" applyProtection="1">
      <alignment horizontal="center" vertical="center"/>
      <protection locked="0"/>
    </xf>
    <xf numFmtId="9" fontId="2" fillId="0" borderId="0" xfId="1" applyFont="1" applyAlignment="1">
      <alignment horizontal="center" vertical="center"/>
    </xf>
    <xf numFmtId="9" fontId="4" fillId="0" borderId="0" xfId="1" applyFont="1" applyAlignment="1">
      <alignment vertical="center" wrapText="1"/>
    </xf>
    <xf numFmtId="0" fontId="13" fillId="0" borderId="22" xfId="0" applyFont="1" applyBorder="1" applyAlignment="1">
      <alignment horizontal="center" vertical="center"/>
    </xf>
    <xf numFmtId="0" fontId="13" fillId="0" borderId="21" xfId="0" applyFont="1" applyBorder="1" applyAlignment="1" applyProtection="1">
      <alignment horizontal="center" vertical="center"/>
      <protection locked="0"/>
    </xf>
    <xf numFmtId="9" fontId="13" fillId="0" borderId="1" xfId="1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0" fontId="13" fillId="0" borderId="23" xfId="0" applyFont="1" applyBorder="1" applyAlignment="1">
      <alignment horizontal="center" vertical="center" wrapText="1"/>
    </xf>
    <xf numFmtId="0" fontId="13" fillId="0" borderId="21" xfId="0" applyFont="1" applyBorder="1" applyAlignment="1" applyProtection="1">
      <alignment horizontal="center" vertical="center" wrapText="1"/>
      <protection locked="0"/>
    </xf>
    <xf numFmtId="0" fontId="5" fillId="2" borderId="19" xfId="0" applyFont="1" applyFill="1" applyBorder="1" applyAlignment="1">
      <alignment horizontal="center" vertical="center" wrapText="1"/>
    </xf>
    <xf numFmtId="9" fontId="5" fillId="2" borderId="19" xfId="1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 wrapText="1"/>
    </xf>
    <xf numFmtId="9" fontId="13" fillId="3" borderId="1" xfId="1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vertical="center" wrapText="1"/>
    </xf>
    <xf numFmtId="9" fontId="13" fillId="3" borderId="22" xfId="1" applyFont="1" applyFill="1" applyBorder="1" applyAlignment="1">
      <alignment horizontal="center" vertical="center" wrapText="1"/>
    </xf>
    <xf numFmtId="9" fontId="13" fillId="0" borderId="22" xfId="1" applyFont="1" applyBorder="1" applyAlignment="1">
      <alignment horizontal="center" vertical="center"/>
    </xf>
    <xf numFmtId="9" fontId="13" fillId="0" borderId="22" xfId="1" applyFont="1" applyFill="1" applyBorder="1" applyAlignment="1">
      <alignment horizontal="center" vertical="center"/>
    </xf>
    <xf numFmtId="9" fontId="13" fillId="0" borderId="22" xfId="1" applyFont="1" applyBorder="1" applyAlignment="1">
      <alignment horizontal="center" vertical="center" wrapText="1"/>
    </xf>
    <xf numFmtId="9" fontId="14" fillId="4" borderId="22" xfId="1" applyFont="1" applyFill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/>
    </xf>
    <xf numFmtId="44" fontId="14" fillId="0" borderId="22" xfId="0" applyNumberFormat="1" applyFont="1" applyBorder="1" applyAlignment="1" applyProtection="1">
      <alignment horizontal="center" vertical="center" wrapText="1"/>
      <protection locked="0"/>
    </xf>
    <xf numFmtId="44" fontId="14" fillId="0" borderId="22" xfId="0" applyNumberFormat="1" applyFont="1" applyBorder="1" applyAlignment="1" applyProtection="1">
      <alignment horizontal="center" vertical="center"/>
      <protection locked="0"/>
    </xf>
    <xf numFmtId="9" fontId="13" fillId="0" borderId="21" xfId="1" applyFont="1" applyBorder="1" applyAlignment="1" applyProtection="1">
      <alignment horizontal="center" vertical="center"/>
      <protection locked="0"/>
    </xf>
    <xf numFmtId="9" fontId="13" fillId="0" borderId="22" xfId="1" applyFont="1" applyBorder="1" applyAlignment="1" applyProtection="1">
      <alignment horizontal="center" vertical="center"/>
      <protection locked="0"/>
    </xf>
    <xf numFmtId="9" fontId="13" fillId="0" borderId="8" xfId="1" applyFont="1" applyBorder="1" applyAlignment="1" applyProtection="1">
      <alignment horizontal="center" vertical="center" wrapText="1"/>
      <protection locked="0"/>
    </xf>
    <xf numFmtId="0" fontId="13" fillId="0" borderId="28" xfId="0" applyFont="1" applyBorder="1" applyAlignment="1">
      <alignment horizontal="center" vertical="center" wrapText="1"/>
    </xf>
    <xf numFmtId="0" fontId="13" fillId="0" borderId="29" xfId="0" applyFont="1" applyBorder="1" applyAlignment="1">
      <alignment horizontal="center" vertical="center" wrapText="1"/>
    </xf>
    <xf numFmtId="0" fontId="13" fillId="0" borderId="24" xfId="0" applyFont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9" fontId="13" fillId="0" borderId="1" xfId="0" applyNumberFormat="1" applyFont="1" applyBorder="1" applyAlignment="1">
      <alignment horizontal="center" vertical="center"/>
    </xf>
    <xf numFmtId="0" fontId="15" fillId="0" borderId="31" xfId="0" applyFont="1" applyBorder="1" applyAlignment="1">
      <alignment horizontal="center" vertical="center" wrapText="1"/>
    </xf>
    <xf numFmtId="3" fontId="15" fillId="0" borderId="31" xfId="0" applyNumberFormat="1" applyFont="1" applyBorder="1" applyAlignment="1">
      <alignment horizontal="center" vertical="center" wrapText="1"/>
    </xf>
    <xf numFmtId="44" fontId="13" fillId="0" borderId="10" xfId="1" applyNumberFormat="1" applyFont="1" applyBorder="1" applyAlignment="1" applyProtection="1">
      <alignment horizontal="center" vertical="center" wrapText="1"/>
      <protection locked="0"/>
    </xf>
    <xf numFmtId="44" fontId="13" fillId="0" borderId="10" xfId="1" applyNumberFormat="1" applyFont="1" applyBorder="1" applyAlignment="1" applyProtection="1">
      <alignment horizontal="center" vertical="center"/>
      <protection locked="0"/>
    </xf>
    <xf numFmtId="44" fontId="13" fillId="0" borderId="10" xfId="1" applyNumberFormat="1" applyFont="1" applyFill="1" applyBorder="1" applyAlignment="1" applyProtection="1">
      <alignment horizontal="center" vertical="center"/>
      <protection locked="0"/>
    </xf>
    <xf numFmtId="0" fontId="13" fillId="0" borderId="33" xfId="0" applyFont="1" applyBorder="1" applyAlignment="1">
      <alignment horizontal="center" vertical="center"/>
    </xf>
    <xf numFmtId="0" fontId="13" fillId="0" borderId="32" xfId="0" applyFont="1" applyBorder="1" applyAlignment="1">
      <alignment horizontal="center" vertical="center" wrapText="1"/>
    </xf>
    <xf numFmtId="0" fontId="13" fillId="0" borderId="32" xfId="0" applyFont="1" applyBorder="1" applyAlignment="1">
      <alignment horizontal="center" vertical="center"/>
    </xf>
    <xf numFmtId="44" fontId="13" fillId="0" borderId="32" xfId="0" applyNumberFormat="1" applyFont="1" applyBorder="1" applyAlignment="1" applyProtection="1">
      <alignment horizontal="center" vertical="center"/>
      <protection locked="0"/>
    </xf>
    <xf numFmtId="44" fontId="14" fillId="0" borderId="32" xfId="0" applyNumberFormat="1" applyFont="1" applyBorder="1" applyAlignment="1" applyProtection="1">
      <alignment horizontal="center" vertical="center"/>
      <protection locked="0"/>
    </xf>
    <xf numFmtId="9" fontId="13" fillId="0" borderId="33" xfId="1" applyFont="1" applyBorder="1" applyAlignment="1" applyProtection="1">
      <alignment horizontal="center" vertical="center"/>
      <protection locked="0"/>
    </xf>
    <xf numFmtId="9" fontId="13" fillId="0" borderId="32" xfId="1" applyFont="1" applyBorder="1" applyAlignment="1" applyProtection="1">
      <alignment horizontal="center" vertical="center"/>
      <protection locked="0"/>
    </xf>
    <xf numFmtId="0" fontId="13" fillId="0" borderId="33" xfId="0" applyFont="1" applyBorder="1" applyAlignment="1">
      <alignment horizontal="center" vertical="center" wrapText="1"/>
    </xf>
    <xf numFmtId="0" fontId="13" fillId="0" borderId="34" xfId="0" applyFont="1" applyBorder="1" applyAlignment="1">
      <alignment horizontal="center" vertical="center" wrapText="1"/>
    </xf>
    <xf numFmtId="3" fontId="13" fillId="0" borderId="1" xfId="0" applyNumberFormat="1" applyFont="1" applyBorder="1" applyAlignment="1">
      <alignment horizontal="center" vertical="center" wrapText="1"/>
    </xf>
    <xf numFmtId="3" fontId="13" fillId="0" borderId="1" xfId="0" applyNumberFormat="1" applyFont="1" applyBorder="1" applyAlignment="1">
      <alignment horizontal="center" vertical="center"/>
    </xf>
    <xf numFmtId="3" fontId="13" fillId="0" borderId="32" xfId="0" applyNumberFormat="1" applyFont="1" applyBorder="1" applyAlignment="1">
      <alignment horizontal="center" vertical="center"/>
    </xf>
    <xf numFmtId="44" fontId="13" fillId="0" borderId="10" xfId="0" applyNumberFormat="1" applyFont="1" applyBorder="1" applyAlignment="1" applyProtection="1">
      <alignment horizontal="center" vertical="center" wrapText="1"/>
      <protection locked="0"/>
    </xf>
    <xf numFmtId="44" fontId="13" fillId="0" borderId="10" xfId="0" applyNumberFormat="1" applyFont="1" applyBorder="1" applyAlignment="1" applyProtection="1">
      <alignment horizontal="center" vertical="center"/>
      <protection locked="0"/>
    </xf>
    <xf numFmtId="44" fontId="2" fillId="0" borderId="0" xfId="0" applyNumberFormat="1" applyFont="1" applyAlignment="1">
      <alignment horizontal="center" vertical="center"/>
    </xf>
    <xf numFmtId="0" fontId="15" fillId="3" borderId="1" xfId="0" applyFont="1" applyFill="1" applyBorder="1" applyAlignment="1">
      <alignment horizontal="center" vertical="center" wrapText="1"/>
    </xf>
    <xf numFmtId="0" fontId="13" fillId="3" borderId="21" xfId="0" applyFont="1" applyFill="1" applyBorder="1" applyAlignment="1" applyProtection="1">
      <alignment horizontal="center" vertical="center"/>
      <protection locked="0"/>
    </xf>
    <xf numFmtId="9" fontId="13" fillId="3" borderId="22" xfId="1" applyFont="1" applyFill="1" applyBorder="1" applyAlignment="1">
      <alignment horizontal="center" vertical="center"/>
    </xf>
    <xf numFmtId="44" fontId="14" fillId="3" borderId="22" xfId="0" applyNumberFormat="1" applyFont="1" applyFill="1" applyBorder="1" applyAlignment="1" applyProtection="1">
      <alignment horizontal="center" vertical="center"/>
      <protection locked="0"/>
    </xf>
    <xf numFmtId="44" fontId="14" fillId="3" borderId="1" xfId="0" applyNumberFormat="1" applyFont="1" applyFill="1" applyBorder="1" applyAlignment="1" applyProtection="1">
      <alignment horizontal="center" vertical="center"/>
      <protection locked="0"/>
    </xf>
    <xf numFmtId="9" fontId="13" fillId="3" borderId="21" xfId="1" applyFont="1" applyFill="1" applyBorder="1" applyAlignment="1" applyProtection="1">
      <alignment horizontal="center" vertical="center"/>
      <protection locked="0"/>
    </xf>
    <xf numFmtId="9" fontId="13" fillId="3" borderId="1" xfId="1" applyFont="1" applyFill="1" applyBorder="1" applyAlignment="1" applyProtection="1">
      <alignment horizontal="center" vertical="center"/>
      <protection locked="0"/>
    </xf>
    <xf numFmtId="9" fontId="13" fillId="3" borderId="22" xfId="1" applyFont="1" applyFill="1" applyBorder="1" applyAlignment="1" applyProtection="1">
      <alignment horizontal="center" vertical="center"/>
      <protection locked="0"/>
    </xf>
    <xf numFmtId="44" fontId="13" fillId="3" borderId="10" xfId="1" applyNumberFormat="1" applyFont="1" applyFill="1" applyBorder="1" applyAlignment="1" applyProtection="1">
      <alignment horizontal="center" vertical="center"/>
      <protection locked="0"/>
    </xf>
    <xf numFmtId="0" fontId="13" fillId="3" borderId="21" xfId="0" applyFont="1" applyFill="1" applyBorder="1" applyAlignment="1">
      <alignment horizontal="center" vertical="center" wrapText="1"/>
    </xf>
    <xf numFmtId="0" fontId="13" fillId="3" borderId="22" xfId="0" applyFont="1" applyFill="1" applyBorder="1" applyAlignment="1">
      <alignment horizontal="center" vertical="center" wrapText="1"/>
    </xf>
    <xf numFmtId="0" fontId="13" fillId="3" borderId="23" xfId="0" applyFont="1" applyFill="1" applyBorder="1" applyAlignment="1">
      <alignment horizontal="center" vertical="center" wrapText="1"/>
    </xf>
    <xf numFmtId="0" fontId="0" fillId="3" borderId="0" xfId="0" applyFill="1" applyAlignment="1">
      <alignment horizontal="center" vertical="center"/>
    </xf>
    <xf numFmtId="0" fontId="13" fillId="0" borderId="53" xfId="0" applyFont="1" applyBorder="1" applyAlignment="1">
      <alignment horizontal="center" vertical="center"/>
    </xf>
    <xf numFmtId="9" fontId="13" fillId="0" borderId="31" xfId="1" applyFont="1" applyBorder="1" applyAlignment="1">
      <alignment horizontal="center" vertical="center"/>
    </xf>
    <xf numFmtId="44" fontId="13" fillId="0" borderId="31" xfId="0" applyNumberFormat="1" applyFont="1" applyBorder="1" applyAlignment="1" applyProtection="1">
      <alignment horizontal="center" vertical="center"/>
      <protection locked="0"/>
    </xf>
    <xf numFmtId="44" fontId="14" fillId="0" borderId="31" xfId="0" applyNumberFormat="1" applyFont="1" applyBorder="1" applyAlignment="1" applyProtection="1">
      <alignment horizontal="center" vertical="center"/>
      <protection locked="0"/>
    </xf>
    <xf numFmtId="9" fontId="13" fillId="0" borderId="53" xfId="1" applyFont="1" applyBorder="1" applyAlignment="1" applyProtection="1">
      <alignment horizontal="center" vertical="center"/>
      <protection locked="0"/>
    </xf>
    <xf numFmtId="9" fontId="13" fillId="0" borderId="31" xfId="1" applyFont="1" applyBorder="1" applyAlignment="1" applyProtection="1">
      <alignment horizontal="center" vertical="center"/>
      <protection locked="0"/>
    </xf>
    <xf numFmtId="9" fontId="13" fillId="0" borderId="22" xfId="0" applyNumberFormat="1" applyFont="1" applyBorder="1" applyAlignment="1">
      <alignment horizontal="center" vertical="center"/>
    </xf>
    <xf numFmtId="9" fontId="13" fillId="0" borderId="31" xfId="0" applyNumberFormat="1" applyFont="1" applyBorder="1" applyAlignment="1">
      <alignment horizontal="center" vertical="center"/>
    </xf>
    <xf numFmtId="9" fontId="13" fillId="0" borderId="32" xfId="0" applyNumberFormat="1" applyFont="1" applyBorder="1" applyAlignment="1">
      <alignment horizontal="center" vertical="center"/>
    </xf>
    <xf numFmtId="164" fontId="2" fillId="0" borderId="0" xfId="3" applyFont="1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  <xf numFmtId="42" fontId="0" fillId="0" borderId="0" xfId="4" applyFont="1"/>
    <xf numFmtId="9" fontId="14" fillId="4" borderId="32" xfId="0" applyNumberFormat="1" applyFont="1" applyFill="1" applyBorder="1" applyAlignment="1">
      <alignment horizontal="center" vertical="center"/>
    </xf>
    <xf numFmtId="8" fontId="13" fillId="0" borderId="33" xfId="0" applyNumberFormat="1" applyFont="1" applyBorder="1" applyAlignment="1" applyProtection="1">
      <alignment horizontal="center" vertical="center"/>
      <protection locked="0"/>
    </xf>
    <xf numFmtId="8" fontId="14" fillId="4" borderId="33" xfId="0" applyNumberFormat="1" applyFont="1" applyFill="1" applyBorder="1" applyAlignment="1" applyProtection="1">
      <alignment horizontal="center" vertical="center"/>
      <protection locked="0"/>
    </xf>
    <xf numFmtId="44" fontId="18" fillId="0" borderId="0" xfId="0" applyNumberFormat="1" applyFont="1" applyAlignment="1">
      <alignment horizontal="center" vertical="center"/>
    </xf>
    <xf numFmtId="9" fontId="13" fillId="0" borderId="10" xfId="0" applyNumberFormat="1" applyFont="1" applyBorder="1" applyAlignment="1">
      <alignment horizontal="center" vertical="center"/>
    </xf>
    <xf numFmtId="164" fontId="13" fillId="0" borderId="21" xfId="0" applyNumberFormat="1" applyFont="1" applyBorder="1" applyAlignment="1" applyProtection="1">
      <alignment horizontal="center" vertical="center" wrapText="1"/>
      <protection locked="0"/>
    </xf>
    <xf numFmtId="164" fontId="13" fillId="0" borderId="1" xfId="0" applyNumberFormat="1" applyFont="1" applyBorder="1" applyAlignment="1" applyProtection="1">
      <alignment horizontal="center" vertical="center" wrapText="1"/>
      <protection locked="0"/>
    </xf>
    <xf numFmtId="164" fontId="13" fillId="0" borderId="21" xfId="0" applyNumberFormat="1" applyFont="1" applyBorder="1" applyAlignment="1" applyProtection="1">
      <alignment horizontal="center" vertical="center"/>
      <protection locked="0"/>
    </xf>
    <xf numFmtId="164" fontId="13" fillId="0" borderId="1" xfId="0" applyNumberFormat="1" applyFont="1" applyBorder="1" applyAlignment="1" applyProtection="1">
      <alignment horizontal="center" vertical="center"/>
      <protection locked="0"/>
    </xf>
    <xf numFmtId="164" fontId="13" fillId="0" borderId="21" xfId="2" applyNumberFormat="1" applyFont="1" applyFill="1" applyBorder="1" applyAlignment="1" applyProtection="1">
      <alignment horizontal="center" vertical="center"/>
      <protection locked="0"/>
    </xf>
    <xf numFmtId="164" fontId="13" fillId="3" borderId="21" xfId="0" applyNumberFormat="1" applyFont="1" applyFill="1" applyBorder="1" applyAlignment="1" applyProtection="1">
      <alignment horizontal="center" vertical="center"/>
      <protection locked="0"/>
    </xf>
    <xf numFmtId="164" fontId="13" fillId="3" borderId="1" xfId="0" applyNumberFormat="1" applyFont="1" applyFill="1" applyBorder="1" applyAlignment="1" applyProtection="1">
      <alignment horizontal="center" vertical="center"/>
      <protection locked="0"/>
    </xf>
    <xf numFmtId="164" fontId="14" fillId="0" borderId="1" xfId="0" applyNumberFormat="1" applyFont="1" applyBorder="1" applyAlignment="1">
      <alignment horizontal="center" vertical="center"/>
    </xf>
    <xf numFmtId="164" fontId="13" fillId="0" borderId="53" xfId="0" applyNumberFormat="1" applyFont="1" applyBorder="1" applyAlignment="1" applyProtection="1">
      <alignment horizontal="center" vertical="center"/>
      <protection locked="0"/>
    </xf>
    <xf numFmtId="164" fontId="13" fillId="0" borderId="31" xfId="0" applyNumberFormat="1" applyFont="1" applyBorder="1" applyAlignment="1" applyProtection="1">
      <alignment horizontal="center" vertical="center"/>
      <protection locked="0"/>
    </xf>
    <xf numFmtId="164" fontId="14" fillId="0" borderId="31" xfId="0" applyNumberFormat="1" applyFont="1" applyBorder="1" applyAlignment="1">
      <alignment horizontal="center" vertical="center"/>
    </xf>
    <xf numFmtId="164" fontId="0" fillId="0" borderId="0" xfId="4" applyNumberFormat="1" applyFont="1" applyAlignment="1">
      <alignment vertical="center"/>
    </xf>
    <xf numFmtId="164" fontId="13" fillId="0" borderId="32" xfId="0" applyNumberFormat="1" applyFont="1" applyBorder="1" applyAlignment="1" applyProtection="1">
      <alignment horizontal="center" vertical="center"/>
      <protection locked="0"/>
    </xf>
    <xf numFmtId="164" fontId="14" fillId="0" borderId="32" xfId="0" applyNumberFormat="1" applyFont="1" applyBorder="1" applyAlignment="1">
      <alignment horizontal="center" vertical="center"/>
    </xf>
    <xf numFmtId="164" fontId="13" fillId="0" borderId="33" xfId="0" applyNumberFormat="1" applyFont="1" applyBorder="1" applyAlignment="1" applyProtection="1">
      <alignment horizontal="center" vertical="center"/>
      <protection locked="0"/>
    </xf>
    <xf numFmtId="164" fontId="13" fillId="0" borderId="22" xfId="0" applyNumberFormat="1" applyFont="1" applyBorder="1" applyAlignment="1" applyProtection="1">
      <alignment horizontal="center" vertical="center" wrapText="1"/>
      <protection locked="0"/>
    </xf>
    <xf numFmtId="164" fontId="13" fillId="0" borderId="22" xfId="0" applyNumberFormat="1" applyFont="1" applyBorder="1" applyAlignment="1" applyProtection="1">
      <alignment horizontal="center" vertical="center"/>
      <protection locked="0"/>
    </xf>
    <xf numFmtId="164" fontId="13" fillId="0" borderId="8" xfId="0" applyNumberFormat="1" applyFont="1" applyBorder="1" applyAlignment="1" applyProtection="1">
      <alignment horizontal="center" vertical="center" wrapText="1"/>
      <protection locked="0"/>
    </xf>
    <xf numFmtId="0" fontId="15" fillId="0" borderId="32" xfId="0" applyFont="1" applyBorder="1" applyAlignment="1">
      <alignment horizontal="center" vertical="center" wrapText="1"/>
    </xf>
    <xf numFmtId="9" fontId="13" fillId="0" borderId="32" xfId="1" applyFont="1" applyBorder="1" applyAlignment="1">
      <alignment horizontal="center" vertical="center"/>
    </xf>
    <xf numFmtId="164" fontId="13" fillId="0" borderId="54" xfId="0" applyNumberFormat="1" applyFont="1" applyBorder="1" applyAlignment="1" applyProtection="1">
      <alignment horizontal="center" vertical="center"/>
      <protection locked="0"/>
    </xf>
    <xf numFmtId="164" fontId="14" fillId="0" borderId="54" xfId="0" applyNumberFormat="1" applyFont="1" applyBorder="1" applyAlignment="1">
      <alignment horizontal="center" vertical="center"/>
    </xf>
    <xf numFmtId="44" fontId="13" fillId="0" borderId="54" xfId="0" applyNumberFormat="1" applyFont="1" applyBorder="1" applyAlignment="1" applyProtection="1">
      <alignment horizontal="center" vertical="center"/>
      <protection locked="0"/>
    </xf>
    <xf numFmtId="9" fontId="13" fillId="0" borderId="54" xfId="1" applyFont="1" applyBorder="1" applyAlignment="1" applyProtection="1">
      <alignment horizontal="center" vertical="center"/>
      <protection locked="0"/>
    </xf>
    <xf numFmtId="3" fontId="15" fillId="0" borderId="32" xfId="0" applyNumberFormat="1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vertical="center" wrapText="1"/>
    </xf>
    <xf numFmtId="0" fontId="5" fillId="2" borderId="55" xfId="0" applyFont="1" applyFill="1" applyBorder="1" applyAlignment="1">
      <alignment horizontal="center" vertical="center" wrapText="1"/>
    </xf>
    <xf numFmtId="164" fontId="13" fillId="0" borderId="1" xfId="3" applyFont="1" applyFill="1" applyBorder="1" applyAlignment="1" applyProtection="1">
      <alignment horizontal="center" vertical="center" wrapText="1"/>
      <protection locked="0"/>
    </xf>
    <xf numFmtId="164" fontId="13" fillId="0" borderId="21" xfId="3" applyFont="1" applyFill="1" applyBorder="1" applyAlignment="1" applyProtection="1">
      <alignment horizontal="center" vertical="center" wrapText="1"/>
      <protection locked="0"/>
    </xf>
    <xf numFmtId="9" fontId="13" fillId="0" borderId="21" xfId="1" applyFont="1" applyFill="1" applyBorder="1" applyAlignment="1" applyProtection="1">
      <alignment horizontal="center" vertical="center" wrapText="1"/>
      <protection locked="0"/>
    </xf>
    <xf numFmtId="9" fontId="13" fillId="0" borderId="1" xfId="1" applyFont="1" applyFill="1" applyBorder="1" applyAlignment="1" applyProtection="1">
      <alignment horizontal="center" vertical="center" wrapText="1"/>
      <protection locked="0"/>
    </xf>
    <xf numFmtId="9" fontId="13" fillId="0" borderId="22" xfId="1" applyFont="1" applyFill="1" applyBorder="1" applyAlignment="1" applyProtection="1">
      <alignment horizontal="center" vertical="center" wrapText="1"/>
      <protection locked="0"/>
    </xf>
    <xf numFmtId="44" fontId="13" fillId="0" borderId="10" xfId="1" applyNumberFormat="1" applyFont="1" applyFill="1" applyBorder="1" applyAlignment="1" applyProtection="1">
      <alignment horizontal="center" vertical="center" wrapText="1"/>
      <protection locked="0"/>
    </xf>
    <xf numFmtId="164" fontId="18" fillId="0" borderId="0" xfId="3" applyFont="1" applyAlignment="1">
      <alignment horizontal="center" vertical="center"/>
    </xf>
    <xf numFmtId="164" fontId="2" fillId="0" borderId="0" xfId="3" applyFont="1" applyAlignment="1">
      <alignment horizontal="center" vertical="center" wrapText="1"/>
    </xf>
    <xf numFmtId="164" fontId="1" fillId="0" borderId="0" xfId="3" applyFont="1" applyAlignment="1">
      <alignment horizontal="center" vertical="center"/>
    </xf>
    <xf numFmtId="42" fontId="2" fillId="0" borderId="0" xfId="3" applyNumberFormat="1" applyFont="1" applyAlignment="1">
      <alignment horizontal="center" vertical="center"/>
    </xf>
    <xf numFmtId="164" fontId="21" fillId="0" borderId="0" xfId="3" applyFont="1" applyAlignment="1">
      <alignment horizontal="center" vertical="center"/>
    </xf>
    <xf numFmtId="42" fontId="21" fillId="0" borderId="0" xfId="3" applyNumberFormat="1" applyFont="1" applyAlignment="1">
      <alignment horizontal="center" vertical="center"/>
    </xf>
    <xf numFmtId="164" fontId="21" fillId="0" borderId="0" xfId="3" applyFont="1" applyAlignment="1">
      <alignment horizontal="center" vertical="center" wrapText="1"/>
    </xf>
    <xf numFmtId="164" fontId="23" fillId="0" borderId="0" xfId="3" applyFont="1" applyAlignment="1">
      <alignment horizontal="center" vertical="center"/>
    </xf>
    <xf numFmtId="42" fontId="2" fillId="0" borderId="0" xfId="0" applyNumberFormat="1" applyFont="1" applyAlignment="1">
      <alignment horizontal="center" vertical="center"/>
    </xf>
    <xf numFmtId="9" fontId="13" fillId="0" borderId="1" xfId="1" applyFont="1" applyFill="1" applyBorder="1" applyAlignment="1">
      <alignment horizontal="center" vertical="center"/>
    </xf>
    <xf numFmtId="9" fontId="13" fillId="0" borderId="1" xfId="0" applyNumberFormat="1" applyFont="1" applyBorder="1" applyAlignment="1" applyProtection="1">
      <alignment horizontal="center" vertical="center"/>
      <protection locked="0"/>
    </xf>
    <xf numFmtId="165" fontId="13" fillId="0" borderId="1" xfId="0" applyNumberFormat="1" applyFont="1" applyBorder="1" applyAlignment="1" applyProtection="1">
      <alignment horizontal="center" vertical="center"/>
      <protection locked="0"/>
    </xf>
    <xf numFmtId="165" fontId="13" fillId="0" borderId="22" xfId="0" applyNumberFormat="1" applyFont="1" applyBorder="1" applyAlignment="1" applyProtection="1">
      <alignment horizontal="center" vertical="center"/>
      <protection locked="0"/>
    </xf>
    <xf numFmtId="166" fontId="13" fillId="0" borderId="1" xfId="0" applyNumberFormat="1" applyFont="1" applyBorder="1" applyAlignment="1" applyProtection="1">
      <alignment horizontal="center" vertical="center"/>
      <protection locked="0"/>
    </xf>
    <xf numFmtId="44" fontId="13" fillId="0" borderId="21" xfId="0" applyNumberFormat="1" applyFont="1" applyBorder="1" applyAlignment="1" applyProtection="1">
      <alignment horizontal="center" vertical="center"/>
      <protection locked="0"/>
    </xf>
    <xf numFmtId="44" fontId="13" fillId="0" borderId="21" xfId="0" applyNumberFormat="1" applyFont="1" applyBorder="1" applyAlignment="1" applyProtection="1">
      <alignment horizontal="center" vertical="center" wrapText="1"/>
      <protection locked="0"/>
    </xf>
    <xf numFmtId="44" fontId="13" fillId="0" borderId="1" xfId="0" applyNumberFormat="1" applyFont="1" applyBorder="1" applyAlignment="1" applyProtection="1">
      <alignment horizontal="center" vertical="center" wrapText="1"/>
      <protection locked="0"/>
    </xf>
    <xf numFmtId="44" fontId="0" fillId="0" borderId="0" xfId="4" applyNumberFormat="1" applyFont="1" applyAlignment="1">
      <alignment vertical="center"/>
    </xf>
    <xf numFmtId="166" fontId="13" fillId="0" borderId="32" xfId="0" applyNumberFormat="1" applyFont="1" applyBorder="1" applyAlignment="1" applyProtection="1">
      <alignment horizontal="center" vertical="center"/>
      <protection locked="0"/>
    </xf>
    <xf numFmtId="44" fontId="13" fillId="0" borderId="33" xfId="0" applyNumberFormat="1" applyFont="1" applyBorder="1" applyAlignment="1" applyProtection="1">
      <alignment horizontal="center" vertical="center"/>
      <protection locked="0"/>
    </xf>
    <xf numFmtId="164" fontId="13" fillId="0" borderId="32" xfId="0" applyNumberFormat="1" applyFont="1" applyBorder="1" applyAlignment="1">
      <alignment horizontal="center" vertical="center"/>
    </xf>
    <xf numFmtId="3" fontId="13" fillId="0" borderId="21" xfId="0" applyNumberFormat="1" applyFont="1" applyBorder="1" applyAlignment="1">
      <alignment horizontal="center" vertical="center"/>
    </xf>
    <xf numFmtId="0" fontId="13" fillId="0" borderId="21" xfId="0" applyFont="1" applyFill="1" applyBorder="1" applyAlignment="1" applyProtection="1">
      <alignment horizontal="center" vertical="center" wrapText="1"/>
      <protection locked="0"/>
    </xf>
    <xf numFmtId="42" fontId="13" fillId="0" borderId="21" xfId="0" applyNumberFormat="1" applyFont="1" applyBorder="1" applyAlignment="1" applyProtection="1">
      <alignment horizontal="center" vertical="center"/>
      <protection locked="0"/>
    </xf>
    <xf numFmtId="44" fontId="13" fillId="3" borderId="21" xfId="0" applyNumberFormat="1" applyFont="1" applyFill="1" applyBorder="1" applyAlignment="1" applyProtection="1">
      <alignment horizontal="center" vertical="center"/>
      <protection locked="0"/>
    </xf>
    <xf numFmtId="164" fontId="13" fillId="0" borderId="1" xfId="0" applyNumberFormat="1" applyFont="1" applyBorder="1" applyAlignment="1">
      <alignment horizontal="center" vertical="center"/>
    </xf>
    <xf numFmtId="164" fontId="0" fillId="0" borderId="0" xfId="0" applyNumberFormat="1"/>
    <xf numFmtId="42" fontId="13" fillId="0" borderId="33" xfId="0" applyNumberFormat="1" applyFont="1" applyBorder="1" applyAlignment="1" applyProtection="1">
      <alignment horizontal="center" vertical="center"/>
      <protection locked="0"/>
    </xf>
    <xf numFmtId="44" fontId="14" fillId="0" borderId="54" xfId="0" applyNumberFormat="1" applyFont="1" applyBorder="1" applyAlignment="1">
      <alignment horizontal="center" vertical="center"/>
    </xf>
    <xf numFmtId="164" fontId="16" fillId="5" borderId="21" xfId="0" applyNumberFormat="1" applyFont="1" applyFill="1" applyBorder="1" applyAlignment="1">
      <alignment horizontal="center" vertical="center" wrapText="1"/>
    </xf>
    <xf numFmtId="166" fontId="13" fillId="0" borderId="1" xfId="0" applyNumberFormat="1" applyFont="1" applyBorder="1" applyAlignment="1" applyProtection="1">
      <alignment horizontal="center" vertical="center" wrapText="1"/>
      <protection locked="0"/>
    </xf>
    <xf numFmtId="166" fontId="0" fillId="0" borderId="0" xfId="0" applyNumberFormat="1"/>
    <xf numFmtId="166" fontId="13" fillId="3" borderId="1" xfId="0" applyNumberFormat="1" applyFont="1" applyFill="1" applyBorder="1" applyAlignment="1" applyProtection="1">
      <alignment horizontal="center" vertical="center"/>
      <protection locked="0"/>
    </xf>
    <xf numFmtId="166" fontId="13" fillId="3" borderId="22" xfId="0" applyNumberFormat="1" applyFont="1" applyFill="1" applyBorder="1" applyAlignment="1" applyProtection="1">
      <alignment horizontal="center" vertical="center"/>
      <protection locked="0"/>
    </xf>
    <xf numFmtId="166" fontId="13" fillId="0" borderId="8" xfId="0" applyNumberFormat="1" applyFont="1" applyBorder="1" applyAlignment="1" applyProtection="1">
      <alignment horizontal="center" vertical="center" wrapText="1"/>
      <protection locked="0"/>
    </xf>
    <xf numFmtId="164" fontId="13" fillId="0" borderId="32" xfId="4" applyNumberFormat="1" applyFont="1" applyFill="1" applyBorder="1" applyAlignment="1" applyProtection="1">
      <alignment horizontal="center" vertical="center"/>
      <protection locked="0"/>
    </xf>
    <xf numFmtId="12" fontId="2" fillId="4" borderId="0" xfId="0" applyNumberFormat="1" applyFont="1" applyFill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164" fontId="2" fillId="4" borderId="0" xfId="3" applyFont="1" applyFill="1" applyAlignment="1">
      <alignment horizontal="center" vertical="center"/>
    </xf>
    <xf numFmtId="166" fontId="29" fillId="0" borderId="0" xfId="5" applyFont="1" applyFill="1" applyBorder="1" applyAlignment="1" applyProtection="1"/>
    <xf numFmtId="164" fontId="18" fillId="4" borderId="0" xfId="3" applyFont="1" applyFill="1" applyAlignment="1">
      <alignment horizontal="center" vertical="center"/>
    </xf>
    <xf numFmtId="164" fontId="21" fillId="4" borderId="0" xfId="3" applyFont="1" applyFill="1" applyAlignment="1">
      <alignment horizontal="center" vertical="center"/>
    </xf>
    <xf numFmtId="164" fontId="22" fillId="4" borderId="0" xfId="3" applyFont="1" applyFill="1" applyAlignment="1">
      <alignment horizontal="center" vertical="center"/>
    </xf>
    <xf numFmtId="0" fontId="18" fillId="4" borderId="0" xfId="0" applyFont="1" applyFill="1" applyAlignment="1">
      <alignment horizontal="center" vertical="center"/>
    </xf>
    <xf numFmtId="0" fontId="15" fillId="0" borderId="31" xfId="0" applyFont="1" applyFill="1" applyBorder="1" applyAlignment="1">
      <alignment horizontal="center" vertical="center" wrapText="1"/>
    </xf>
    <xf numFmtId="12" fontId="26" fillId="0" borderId="2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44" fontId="16" fillId="0" borderId="1" xfId="0" applyNumberFormat="1" applyFont="1" applyFill="1" applyBorder="1" applyAlignment="1">
      <alignment horizontal="center" vertical="center" wrapText="1"/>
    </xf>
    <xf numFmtId="0" fontId="16" fillId="0" borderId="22" xfId="0" applyFont="1" applyFill="1" applyBorder="1" applyAlignment="1">
      <alignment horizontal="center" vertical="center" wrapText="1"/>
    </xf>
    <xf numFmtId="164" fontId="13" fillId="0" borderId="22" xfId="3" applyFont="1" applyFill="1" applyBorder="1" applyAlignment="1" applyProtection="1">
      <alignment horizontal="center" vertical="center" wrapText="1"/>
      <protection locked="0"/>
    </xf>
    <xf numFmtId="44" fontId="13" fillId="0" borderId="8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21" xfId="0" applyFont="1" applyFill="1" applyBorder="1" applyAlignment="1">
      <alignment horizontal="center" vertical="center" wrapText="1"/>
    </xf>
    <xf numFmtId="0" fontId="13" fillId="0" borderId="22" xfId="0" applyFont="1" applyFill="1" applyBorder="1" applyAlignment="1">
      <alignment horizontal="center" vertical="center" wrapText="1"/>
    </xf>
    <xf numFmtId="0" fontId="13" fillId="0" borderId="23" xfId="0" applyFont="1" applyFill="1" applyBorder="1" applyAlignment="1">
      <alignment horizontal="center" vertical="center" wrapText="1"/>
    </xf>
    <xf numFmtId="164" fontId="13" fillId="0" borderId="8" xfId="3" applyFont="1" applyFill="1" applyBorder="1" applyAlignment="1" applyProtection="1">
      <alignment horizontal="center" vertical="center" wrapText="1"/>
      <protection locked="0"/>
    </xf>
    <xf numFmtId="12" fontId="16" fillId="0" borderId="21" xfId="0" applyNumberFormat="1" applyFont="1" applyFill="1" applyBorder="1" applyAlignment="1">
      <alignment horizontal="center" vertical="center" wrapText="1"/>
    </xf>
    <xf numFmtId="164" fontId="16" fillId="0" borderId="21" xfId="3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20" fillId="0" borderId="0" xfId="6" applyFont="1" applyFill="1" applyAlignment="1">
      <alignment vertical="center" wrapText="1"/>
    </xf>
    <xf numFmtId="0" fontId="13" fillId="0" borderId="0" xfId="0" applyFont="1" applyFill="1" applyAlignment="1">
      <alignment horizontal="center" vertical="center"/>
    </xf>
    <xf numFmtId="0" fontId="20" fillId="0" borderId="0" xfId="0" applyFont="1" applyFill="1" applyAlignment="1">
      <alignment horizontal="center" vertical="center"/>
    </xf>
    <xf numFmtId="42" fontId="13" fillId="0" borderId="21" xfId="4" applyFont="1" applyFill="1" applyBorder="1" applyAlignment="1" applyProtection="1">
      <alignment horizontal="center" vertical="center" wrapText="1"/>
      <protection locked="0"/>
    </xf>
    <xf numFmtId="164" fontId="13" fillId="0" borderId="9" xfId="3" applyFont="1" applyFill="1" applyBorder="1" applyAlignment="1" applyProtection="1">
      <alignment horizontal="center" vertical="center" wrapText="1"/>
      <protection locked="0"/>
    </xf>
    <xf numFmtId="164" fontId="16" fillId="0" borderId="10" xfId="3" applyFont="1" applyFill="1" applyBorder="1" applyAlignment="1">
      <alignment horizontal="center" vertical="center" wrapText="1"/>
    </xf>
    <xf numFmtId="44" fontId="20" fillId="0" borderId="56" xfId="2" applyFont="1" applyFill="1" applyBorder="1"/>
    <xf numFmtId="166" fontId="20" fillId="0" borderId="57" xfId="5" applyFont="1" applyFill="1" applyBorder="1"/>
    <xf numFmtId="166" fontId="20" fillId="0" borderId="0" xfId="5" applyFont="1" applyFill="1"/>
    <xf numFmtId="166" fontId="20" fillId="0" borderId="58" xfId="5" applyFont="1" applyFill="1" applyBorder="1"/>
    <xf numFmtId="0" fontId="20" fillId="0" borderId="0" xfId="0" applyFont="1" applyFill="1" applyAlignment="1">
      <alignment horizontal="center" vertical="center" wrapText="1"/>
    </xf>
    <xf numFmtId="44" fontId="20" fillId="0" borderId="0" xfId="2" applyFont="1" applyFill="1" applyBorder="1"/>
    <xf numFmtId="44" fontId="20" fillId="0" borderId="57" xfId="2" applyFont="1" applyFill="1" applyBorder="1"/>
    <xf numFmtId="44" fontId="20" fillId="0" borderId="58" xfId="2" applyFont="1" applyFill="1" applyBorder="1"/>
    <xf numFmtId="0" fontId="30" fillId="0" borderId="31" xfId="0" applyFont="1" applyFill="1" applyBorder="1" applyAlignment="1">
      <alignment horizontal="center" vertical="center" wrapText="1"/>
    </xf>
    <xf numFmtId="44" fontId="20" fillId="0" borderId="59" xfId="2" applyFont="1" applyFill="1" applyBorder="1"/>
    <xf numFmtId="44" fontId="20" fillId="0" borderId="60" xfId="2" applyFont="1" applyFill="1" applyBorder="1"/>
    <xf numFmtId="0" fontId="13" fillId="0" borderId="1" xfId="0" applyFont="1" applyFill="1" applyBorder="1" applyAlignment="1" applyProtection="1">
      <alignment horizontal="center" vertical="center"/>
      <protection locked="0"/>
    </xf>
    <xf numFmtId="164" fontId="13" fillId="0" borderId="1" xfId="3" applyFont="1" applyFill="1" applyBorder="1" applyAlignment="1" applyProtection="1">
      <alignment horizontal="center" vertical="center"/>
      <protection locked="0"/>
    </xf>
    <xf numFmtId="44" fontId="13" fillId="0" borderId="21" xfId="1" applyNumberFormat="1" applyFont="1" applyFill="1" applyBorder="1" applyAlignment="1" applyProtection="1">
      <alignment horizontal="center" vertical="center"/>
      <protection locked="0"/>
    </xf>
    <xf numFmtId="44" fontId="13" fillId="0" borderId="1" xfId="1" applyNumberFormat="1" applyFont="1" applyFill="1" applyBorder="1" applyAlignment="1" applyProtection="1">
      <alignment horizontal="center" vertical="center"/>
      <protection locked="0"/>
    </xf>
    <xf numFmtId="44" fontId="13" fillId="0" borderId="1" xfId="0" applyNumberFormat="1" applyFont="1" applyFill="1" applyBorder="1" applyAlignment="1" applyProtection="1">
      <alignment horizontal="center" vertical="center"/>
      <protection locked="0"/>
    </xf>
    <xf numFmtId="0" fontId="13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31" fillId="0" borderId="0" xfId="0" applyFont="1" applyFill="1" applyAlignment="1">
      <alignment horizontal="center" vertical="center"/>
    </xf>
    <xf numFmtId="44" fontId="20" fillId="0" borderId="61" xfId="2" applyFont="1" applyFill="1" applyBorder="1"/>
    <xf numFmtId="0" fontId="33" fillId="0" borderId="0" xfId="0" applyFont="1" applyFill="1" applyAlignment="1">
      <alignment vertical="center" wrapText="1"/>
    </xf>
    <xf numFmtId="44" fontId="20" fillId="0" borderId="0" xfId="2" applyFont="1" applyFill="1"/>
    <xf numFmtId="0" fontId="13" fillId="0" borderId="0" xfId="0" applyFont="1" applyFill="1" applyAlignment="1">
      <alignment horizontal="center" vertical="center" wrapText="1"/>
    </xf>
    <xf numFmtId="166" fontId="20" fillId="0" borderId="59" xfId="5" applyFont="1" applyFill="1" applyBorder="1"/>
    <xf numFmtId="166" fontId="20" fillId="0" borderId="60" xfId="5" applyFont="1" applyFill="1" applyBorder="1"/>
    <xf numFmtId="0" fontId="14" fillId="0" borderId="1" xfId="0" applyFont="1" applyFill="1" applyBorder="1" applyAlignment="1">
      <alignment horizontal="center" vertical="center"/>
    </xf>
    <xf numFmtId="0" fontId="34" fillId="0" borderId="1" xfId="0" applyFont="1" applyFill="1" applyBorder="1"/>
    <xf numFmtId="0" fontId="20" fillId="0" borderId="61" xfId="0" applyFont="1" applyFill="1" applyBorder="1"/>
    <xf numFmtId="164" fontId="20" fillId="0" borderId="61" xfId="2" applyNumberFormat="1" applyFont="1" applyFill="1" applyBorder="1"/>
    <xf numFmtId="0" fontId="14" fillId="0" borderId="0" xfId="0" applyFont="1" applyFill="1" applyAlignment="1">
      <alignment horizontal="center" vertical="center"/>
    </xf>
    <xf numFmtId="12" fontId="14" fillId="0" borderId="0" xfId="0" applyNumberFormat="1" applyFont="1" applyFill="1" applyAlignment="1">
      <alignment horizontal="center" vertical="center"/>
    </xf>
    <xf numFmtId="44" fontId="14" fillId="0" borderId="0" xfId="0" applyNumberFormat="1" applyFont="1" applyFill="1" applyAlignment="1">
      <alignment horizontal="center" vertical="center"/>
    </xf>
    <xf numFmtId="164" fontId="14" fillId="0" borderId="0" xfId="0" applyNumberFormat="1" applyFont="1" applyFill="1" applyAlignment="1">
      <alignment horizontal="center" vertical="center"/>
    </xf>
    <xf numFmtId="165" fontId="37" fillId="0" borderId="0" xfId="0" applyNumberFormat="1" applyFont="1" applyFill="1" applyAlignment="1">
      <alignment horizontal="center" vertical="center"/>
    </xf>
    <xf numFmtId="44" fontId="37" fillId="0" borderId="0" xfId="0" applyNumberFormat="1" applyFont="1" applyFill="1" applyAlignment="1">
      <alignment horizontal="center" vertical="center"/>
    </xf>
    <xf numFmtId="0" fontId="14" fillId="0" borderId="0" xfId="0" applyFont="1" applyFill="1" applyAlignment="1">
      <alignment horizontal="center" vertical="center" wrapText="1"/>
    </xf>
    <xf numFmtId="164" fontId="14" fillId="0" borderId="0" xfId="3" applyFont="1" applyFill="1" applyAlignment="1">
      <alignment horizontal="center" vertical="center"/>
    </xf>
    <xf numFmtId="44" fontId="34" fillId="0" borderId="0" xfId="0" applyNumberFormat="1" applyFont="1" applyFill="1"/>
    <xf numFmtId="4" fontId="34" fillId="0" borderId="0" xfId="0" applyNumberFormat="1" applyFont="1" applyFill="1"/>
    <xf numFmtId="0" fontId="34" fillId="0" borderId="0" xfId="0" applyFont="1" applyFill="1"/>
    <xf numFmtId="164" fontId="14" fillId="0" borderId="0" xfId="3" applyFont="1" applyFill="1" applyAlignment="1">
      <alignment horizontal="center" vertical="center" wrapText="1"/>
    </xf>
    <xf numFmtId="164" fontId="31" fillId="0" borderId="0" xfId="3" applyFont="1" applyFill="1" applyAlignment="1">
      <alignment horizontal="center" vertical="center"/>
    </xf>
    <xf numFmtId="12" fontId="5" fillId="2" borderId="19" xfId="0" applyNumberFormat="1" applyFont="1" applyFill="1" applyBorder="1" applyAlignment="1">
      <alignment horizontal="center" vertical="center" wrapText="1"/>
    </xf>
    <xf numFmtId="8" fontId="13" fillId="0" borderId="1" xfId="0" applyNumberFormat="1" applyFont="1" applyBorder="1" applyAlignment="1" applyProtection="1">
      <alignment horizontal="center" vertical="center" wrapText="1"/>
      <protection locked="0"/>
    </xf>
    <xf numFmtId="8" fontId="13" fillId="0" borderId="22" xfId="0" applyNumberFormat="1" applyFont="1" applyBorder="1" applyAlignment="1" applyProtection="1">
      <alignment horizontal="center" vertical="center" wrapText="1"/>
      <protection locked="0"/>
    </xf>
    <xf numFmtId="0" fontId="5" fillId="2" borderId="17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17" fillId="0" borderId="37" xfId="0" applyFont="1" applyBorder="1" applyAlignment="1">
      <alignment horizontal="center" vertical="center" wrapText="1"/>
    </xf>
    <xf numFmtId="0" fontId="17" fillId="0" borderId="38" xfId="0" applyFont="1" applyBorder="1" applyAlignment="1">
      <alignment horizontal="center" vertical="center" wrapText="1"/>
    </xf>
    <xf numFmtId="0" fontId="17" fillId="0" borderId="39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0" fontId="17" fillId="0" borderId="47" xfId="0" applyFont="1" applyBorder="1" applyAlignment="1">
      <alignment horizontal="center" vertical="center" wrapText="1"/>
    </xf>
    <xf numFmtId="0" fontId="17" fillId="0" borderId="48" xfId="0" applyFont="1" applyBorder="1" applyAlignment="1">
      <alignment horizontal="center" vertical="center" wrapText="1"/>
    </xf>
    <xf numFmtId="0" fontId="17" fillId="0" borderId="49" xfId="0" applyFont="1" applyBorder="1" applyAlignment="1">
      <alignment horizontal="center" vertical="center" wrapText="1"/>
    </xf>
    <xf numFmtId="0" fontId="8" fillId="0" borderId="40" xfId="0" applyFont="1" applyBorder="1" applyAlignment="1">
      <alignment horizontal="left" vertical="center"/>
    </xf>
    <xf numFmtId="0" fontId="8" fillId="0" borderId="41" xfId="0" applyFont="1" applyBorder="1" applyAlignment="1">
      <alignment horizontal="left" vertical="center"/>
    </xf>
    <xf numFmtId="0" fontId="8" fillId="0" borderId="42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8" fillId="0" borderId="44" xfId="0" applyFont="1" applyBorder="1" applyAlignment="1">
      <alignment horizontal="left" vertical="center"/>
    </xf>
    <xf numFmtId="0" fontId="8" fillId="0" borderId="50" xfId="0" applyFont="1" applyBorder="1" applyAlignment="1">
      <alignment horizontal="left" vertical="center" wrapText="1"/>
    </xf>
    <xf numFmtId="0" fontId="8" fillId="0" borderId="51" xfId="0" applyFont="1" applyBorder="1" applyAlignment="1">
      <alignment horizontal="left" vertical="center" wrapText="1"/>
    </xf>
    <xf numFmtId="0" fontId="8" fillId="0" borderId="52" xfId="0" applyFont="1" applyBorder="1" applyAlignment="1">
      <alignment horizontal="left" vertical="center" wrapText="1"/>
    </xf>
    <xf numFmtId="9" fontId="5" fillId="2" borderId="4" xfId="1" applyFont="1" applyFill="1" applyBorder="1" applyAlignment="1">
      <alignment horizontal="center" vertical="center" wrapText="1"/>
    </xf>
    <xf numFmtId="9" fontId="5" fillId="2" borderId="3" xfId="1" applyFont="1" applyFill="1" applyBorder="1" applyAlignment="1">
      <alignment horizontal="center" vertical="center" wrapText="1"/>
    </xf>
    <xf numFmtId="9" fontId="5" fillId="2" borderId="13" xfId="1" applyFont="1" applyFill="1" applyBorder="1" applyAlignment="1">
      <alignment horizontal="center" vertical="center" wrapText="1"/>
    </xf>
    <xf numFmtId="0" fontId="8" fillId="0" borderId="8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8" fillId="0" borderId="44" xfId="0" applyFont="1" applyBorder="1" applyAlignment="1">
      <alignment vertical="center"/>
    </xf>
  </cellXfs>
  <cellStyles count="7">
    <cellStyle name="Hipervínculo" xfId="6" builtinId="8"/>
    <cellStyle name="Millares 2" xfId="3" xr:uid="{806581BF-0C38-AC4A-953E-DC132403E1DA}"/>
    <cellStyle name="Moneda" xfId="2" builtinId="4"/>
    <cellStyle name="Moneda [0]" xfId="4" builtinId="7"/>
    <cellStyle name="Moneda 4" xfId="5" xr:uid="{4807D041-4C6F-438A-B734-A1B2F50765E2}"/>
    <cellStyle name="Normal" xfId="0" builtinId="0"/>
    <cellStyle name="Porcentaje" xfId="1" builtinId="5"/>
  </cellStyles>
  <dxfs count="25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2" formatCode="&quot;$&quot;\ #,##0.00;[Red]\-&quot;$&quot;\ #,##0.00"/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2" formatCode="&quot;$&quot;\ #,##0.00;[Red]\-&quot;$&quot;\ #,##0.00"/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2" formatCode="&quot;$&quot;\ #,##0.00;[Red]\-&quot;$&quot;\ #,##0.00"/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2" formatCode="&quot;$&quot;\ #,##0.00;[Red]\-&quot;$&quot;\ #,##0.00"/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2" formatCode="&quot;$&quot;\ #,##0.00;[Red]\-&quot;$&quot;\ #,##0.00"/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2" formatCode="&quot;$&quot;\ #,##0.00;[Red]\-&quot;$&quot;\ #,##0.00"/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2" formatCode="&quot;$&quot;\ #,##0.00;[Red]\-&quot;$&quot;\ #,##0.00"/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2" formatCode="&quot;$&quot;\ #,##0.00;[Red]\-&quot;$&quot;\ #,##0.00"/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2" formatCode="&quot;$&quot;\ #,##0.00;[Red]\-&quot;$&quot;\ #,##0.00"/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2" formatCode="&quot;$&quot;\ #,##0.00;[Red]\-&quot;$&quot;\ #,##0.00"/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2" formatCode="&quot;$&quot;\ #,##0.00;[Red]\-&quot;$&quot;\ #,##0.00"/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2" formatCode="&quot;$&quot;\ #,##0.00;[Red]\-&quot;$&quot;\ #,##0.00"/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2" formatCode="&quot;$&quot;\ #,##0.00;[Red]\-&quot;$&quot;\ #,##0.00"/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2" formatCode="&quot;$&quot;\ #,##0.00;[Red]\-&quot;$&quot;\ #,##0.00"/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2" formatCode="&quot;$&quot;\ #,##0.00;[Red]\-&quot;$&quot;\ #,##0.00"/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2" formatCode="&quot;$&quot;\ #,##0.00;[Red]\-&quot;$&quot;\ #,##0.00"/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2" formatCode="&quot;$&quot;\ #,##0.00;[Red]\-&quot;$&quot;\ #,##0.00"/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2" formatCode="&quot;$&quot;\ #,##0.00;[Red]\-&quot;$&quot;\ #,##0.00"/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2" formatCode="&quot;$&quot;\ #,##0.00;[Red]\-&quot;$&quot;\ #,##0.00"/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2" formatCode="&quot;$&quot;\ #,##0.00;[Red]\-&quot;$&quot;\ #,##0.00"/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2" formatCode="&quot;$&quot;\ #,##0.00;[Red]\-&quot;$&quot;\ #,##0.00"/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2" formatCode="&quot;$&quot;\ #,##0.00;[Red]\-&quot;$&quot;\ #,##0.00"/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2" formatCode="&quot;$&quot;\ #,##0.00;[Red]\-&quot;$&quot;\ #,##0.00"/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2" formatCode="&quot;$&quot;\ #,##0.00;[Red]\-&quot;$&quot;\ #,##0.00"/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2" formatCode="&quot;$&quot;\ #,##0.00;[Red]\-&quot;$&quot;\ #,##0.00"/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2" formatCode="&quot;$&quot;\ #,##0.00;[Red]\-&quot;$&quot;\ #,##0.00"/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2" formatCode="&quot;$&quot;\ #,##0.00;[Red]\-&quot;$&quot;\ #,##0.00"/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2" formatCode="&quot;$&quot;\ #,##0.00;[Red]\-&quot;$&quot;\ #,##0.00"/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2" formatCode="&quot;$&quot;\ #,##0.00;[Red]\-&quot;$&quot;\ #,##0.00"/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2" formatCode="&quot;$&quot;\ #,##0.00;[Red]\-&quot;$&quot;\ #,##0.00"/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2" formatCode="&quot;$&quot;\ #,##0.00;[Red]\-&quot;$&quot;\ #,##0.00"/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2" formatCode="&quot;$&quot;\ #,##0.00;[Red]\-&quot;$&quot;\ #,##0.00"/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2" formatCode="&quot;$&quot;\ #,##0.00;[Red]\-&quot;$&quot;\ #,##0.00"/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2" formatCode="&quot;$&quot;\ #,##0.00;[Red]\-&quot;$&quot;\ #,##0.00"/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2" formatCode="&quot;$&quot;\ #,##0.00;[Red]\-&quot;$&quot;\ #,##0.00"/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2" formatCode="&quot;$&quot;\ #,##0.00;[Red]\-&quot;$&quot;\ #,##0.00"/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2" formatCode="&quot;$&quot;\ #,##0.00;[Red]\-&quot;$&quot;\ #,##0.00"/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3" formatCode="0%"/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3" formatCode="0%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3" formatCode="0%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4" formatCode="_(* #,##0.00_);_(* \(#,##0.00\);_(* &quot;-&quot;??_);_(@_)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4" formatCode="_(* #,##0.00_);_(* \(#,##0.00\);_(* &quot;-&quot;??_);_(@_)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4" formatCode="_-&quot;$&quot;\ * #,##0.00_-;\-&quot;$&quot;\ * #,##0.00_-;_-&quot;$&quot;\ * &quot;-&quot;??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/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4" formatCode="_(* #,##0.00_);_(* \(#,##0.00\);_(* &quot;-&quot;??_);_(@_)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5" formatCode="_-&quot;$&quot;\ * #,##0.00_-;\-&quot;$&quot;\ * #,##0.00_-;_-&quot;$&quot;\ * &quot;-&quot;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4" formatCode="_(* #,##0.00_);_(* \(#,##0.00\);_(* &quot;-&quot;??_);_(@_)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4" formatCode="_(* #,##0.00_);_(* \(#,##0.00\);_(* &quot;-&quot;??_);_(@_)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4" formatCode="_(* #,##0.00_);_(* \(#,##0.00\);_(* &quot;-&quot;??_);_(@_)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4" formatCode="_(* #,##0.00_);_(* \(#,##0.00\);_(* &quot;-&quot;??_);_(@_)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4" formatCode="_(* #,##0.00_);_(* \(#,##0.00\);_(* &quot;-&quot;??_);_(@_)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4" formatCode="_(* #,##0.00_);_(* \(#,##0.00\);_(* &quot;-&quot;??_);_(@_)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4" formatCode="_(* #,##0.00_);_(* \(#,##0.00\);_(* &quot;-&quot;??_);_(@_)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4" formatCode="_(* #,##0.00_);_(* \(#,##0.00\);_(* &quot;-&quot;??_);_(@_)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4" formatCode="_(* #,##0.00_);_(* \(#,##0.00\);_(* &quot;-&quot;??_);_(@_)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4" formatCode="_(* #,##0.00_);_(* \(#,##0.00\);_(* &quot;-&quot;??_);_(@_)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4" formatCode="_(* #,##0.00_);_(* \(#,##0.00\);_(* &quot;-&quot;??_);_(@_)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5" formatCode="_-&quot;$&quot;\ * #,##0.00_-;\-&quot;$&quot;\ * #,##0.00_-;_-&quot;$&quot;\ * &quot;-&quot;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4" formatCode="_-&quot;$&quot;\ * #,##0.00_-;\-&quot;$&quot;\ * #,##0.00_-;_-&quot;$&quot;\ * &quot;-&quot;??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/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4" formatCode="_(* #,##0.00_);_(* \(#,##0.00\);_(* &quot;-&quot;??_);_(@_)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4" formatCode="_(* #,##0.00_);_(* \(#,##0.00\);_(* &quot;-&quot;??_);_(@_)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4" formatCode="_(* #,##0.00_);_(* \(#,##0.00\);_(* &quot;-&quot;??_);_(@_)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4" formatCode="_(* #,##0.00_);_(* \(#,##0.00\);_(* &quot;-&quot;??_);_(@_)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4" formatCode="_(* #,##0.00_);_(* \(#,##0.00\);_(* &quot;-&quot;??_);_(@_)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4" formatCode="_(* #,##0.00_);_(* \(#,##0.00\);_(* &quot;-&quot;??_);_(@_)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4" formatCode="_(* #,##0.00_);_(* \(#,##0.00\);_(* &quot;-&quot;??_);_(@_)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4" formatCode="_(* #,##0.00_);_(* \(#,##0.00\);_(* &quot;-&quot;??_);_(@_)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4" formatCode="_(* #,##0.00_);_(* \(#,##0.00\);_(* &quot;-&quot;??_);_(@_)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4" formatCode="_(* #,##0.00_);_(* \(#,##0.00\);_(* &quot;-&quot;??_);_(@_)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4" formatCode="_(* #,##0.00_);_(* \(#,##0.00\);_(* &quot;-&quot;??_);_(@_)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4" formatCode="_(* #,##0.00_);_(* \(#,##0.00\);_(* &quot;-&quot;??_);_(@_)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4" formatCode="_(* #,##0.00_);_(* \(#,##0.00\);_(* &quot;-&quot;??_);_(@_)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4" formatCode="_(* #,##0.00_);_(* \(#,##0.00\);_(* &quot;-&quot;??_);_(@_)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3" formatCode="0%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auto="1"/>
        <name val="Arial"/>
        <scheme val="none"/>
      </font>
      <numFmt numFmtId="13" formatCode="0%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border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scheme val="none"/>
      </font>
      <fill>
        <patternFill patternType="solid">
          <fgColor indexed="64"/>
          <bgColor rgb="FF00206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4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</font>
      <numFmt numFmtId="164" formatCode="_(* #,##0.00_);_(* \(#,##0.00\);_(* &quot;-&quot;??_);_(@_)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4"/>
        <color auto="1"/>
        <name val="Arial"/>
        <family val="2"/>
        <scheme val="none"/>
      </font>
      <numFmt numFmtId="165" formatCode="_-&quot;$&quot;\ * #,##0.00_-;\-&quot;$&quot;\ * #,##0.00_-;_-&quot;$&quot;\ * &quot;-&quot;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4"/>
        <color auto="1"/>
        <name val="Arial"/>
        <family val="2"/>
        <scheme val="none"/>
      </font>
      <numFmt numFmtId="165" formatCode="_-&quot;$&quot;\ * #,##0.00_-;\-&quot;$&quot;\ * #,##0.00_-;_-&quot;$&quot;\ * &quot;-&quot;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</font>
      <numFmt numFmtId="164" formatCode="_(* #,##0.00_);_(* \(#,##0.00\);_(* &quot;-&quot;??_);_(@_)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4" formatCode="_(* #,##0.00_);_(* \(#,##0.00\);_(* &quot;-&quot;??_);_(@_)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</font>
      <numFmt numFmtId="164" formatCode="_(* #,##0.00_);_(* \(#,##0.00\);_(* &quot;-&quot;??_);_(@_)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4" formatCode="_(* #,##0.00_);_(* \(#,##0.00\);_(* &quot;-&quot;??_);_(@_)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</font>
      <numFmt numFmtId="164" formatCode="_(* #,##0.00_);_(* \(#,##0.00\);_(* &quot;-&quot;??_);_(@_)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4" formatCode="_(* #,##0.00_);_(* \(#,##0.00\);_(* &quot;-&quot;??_);_(@_)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</font>
      <numFmt numFmtId="164" formatCode="_(* #,##0.00_);_(* \(#,##0.00\);_(* &quot;-&quot;??_);_(@_)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4" formatCode="_(* #,##0.00_);_(* \(#,##0.00\);_(* &quot;-&quot;??_);_(@_)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</font>
      <numFmt numFmtId="164" formatCode="_(* #,##0.00_);_(* \(#,##0.00\);_(* &quot;-&quot;??_);_(@_)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4"/>
        <color auto="1"/>
        <name val="Arial"/>
        <family val="2"/>
        <scheme val="none"/>
      </font>
      <numFmt numFmtId="165" formatCode="_-&quot;$&quot;\ * #,##0.00_-;\-&quot;$&quot;\ * #,##0.00_-;_-&quot;$&quot;\ * &quot;-&quot;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4" formatCode="_(* #,##0.00_);_(* \(#,##0.00\);_(* &quot;-&quot;??_);_(@_)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</font>
      <numFmt numFmtId="164" formatCode="_(* #,##0.00_);_(* \(#,##0.00\);_(* &quot;-&quot;??_);_(@_)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4" formatCode="_(* #,##0.00_);_(* \(#,##0.00\);_(* &quot;-&quot;??_);_(@_)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</font>
      <numFmt numFmtId="164" formatCode="_(* #,##0.00_);_(* \(#,##0.00\);_(* &quot;-&quot;??_);_(@_)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4" formatCode="_(* #,##0.00_);_(* \(#,##0.00\);_(* &quot;-&quot;??_);_(@_)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</font>
      <numFmt numFmtId="164" formatCode="_(* #,##0.00_);_(* \(#,##0.00\);_(* &quot;-&quot;??_);_(@_)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</font>
      <numFmt numFmtId="34" formatCode="_-&quot;$&quot;\ * #,##0.00_-;\-&quot;$&quot;\ * #,##0.00_-;_-&quot;$&quot;\ * &quot;-&quot;??_-;_-@_-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7" formatCode="#\ ?/?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</font>
      <numFmt numFmtId="17" formatCode="#\ ?/?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color auto="1"/>
      </font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</dxf>
    <dxf>
      <border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scheme val="none"/>
      </font>
      <fill>
        <patternFill patternType="solid">
          <fgColor indexed="64"/>
          <bgColor rgb="FF002060"/>
        </patternFill>
      </fill>
      <alignment horizontal="center" vertical="center" textRotation="0" wrapText="1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theme="6" tint="0.39994506668294322"/>
          <bgColor theme="6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</dxfs>
  <tableStyles count="5" defaultTableStyle="TableStyleMedium2" defaultPivotStyle="PivotStyleLight16">
    <tableStyle name="Estilo de tabla 1" pivot="0" count="0" xr9:uid="{00000000-0011-0000-FFFF-FFFF00000000}"/>
    <tableStyle name="Estilo de tabla 2" pivot="0" count="0" xr9:uid="{00000000-0011-0000-FFFF-FFFF01000000}"/>
    <tableStyle name="Estilo de tabla 3" pivot="0" count="1" xr9:uid="{00000000-0011-0000-FFFF-FFFF02000000}">
      <tableStyleElement type="firstRowStripe" dxfId="252"/>
    </tableStyle>
    <tableStyle name="Estilo de tabla 3 2" pivot="0" count="1" xr9:uid="{00000000-0011-0000-FFFF-FFFF00000000}">
      <tableStyleElement type="firstRowStripe" dxfId="251"/>
    </tableStyle>
    <tableStyle name="Estilo de tabla 4" pivot="0" count="1" xr9:uid="{00000000-0011-0000-FFFF-FFFF03000000}">
      <tableStyleElement type="firstRowStripe" dxfId="25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2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234950</xdr:colOff>
      <xdr:row>8</xdr:row>
      <xdr:rowOff>158750</xdr:rowOff>
    </xdr:from>
    <xdr:to>
      <xdr:col>0</xdr:col>
      <xdr:colOff>1071151</xdr:colOff>
      <xdr:row>8</xdr:row>
      <xdr:rowOff>904875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660DFD7-0CD4-44A3-8C1C-ECF249C036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4950" y="158750"/>
          <a:ext cx="836201" cy="7461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1119187</xdr:colOff>
      <xdr:row>0</xdr:row>
      <xdr:rowOff>190499</xdr:rowOff>
    </xdr:from>
    <xdr:to>
      <xdr:col>1</xdr:col>
      <xdr:colOff>904873</xdr:colOff>
      <xdr:row>3</xdr:row>
      <xdr:rowOff>203882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4795C55-225B-4E45-850D-2F82C7B937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9187" y="190499"/>
          <a:ext cx="1233486" cy="115638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esktop/Alcald&#237;a%20Bga%202025/Actividades/PDM%202024-2027/Planes%20de%20Acci&#243;n%20PDM/Planes%20de%20acci&#243;n%20Noviembre/Validados/INFRAESTRUCTURA%20OK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wnloads/Informe_Ejecucion_Consolidado_GASTOS_FUNCIONAMIENTO_DEUDA_INVERSION_4958_A_CORTE_3110202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esktop/Alcald&#237;a%20Bga%202025/Seguimiento%20PDM%202024-2027/Plan%20Indicativo%202024-20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esktop/Alcald&#237;a%20Bga%202025/Actividades/PDM%202024-2027/Planes%20de%20Acci&#243;n%20PDM/Plan%20de%20Acci&#243;n%20Agosto%202025/Infraestructura%20Validad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 de Acción-proyectos "/>
      <sheetName val="Plan de Acción-producto"/>
      <sheetName val="ejecución"/>
      <sheetName val="resumen ejecución "/>
      <sheetName val="tabla proyectos"/>
      <sheetName val="Hoja2"/>
      <sheetName val="Hoja3"/>
    </sheetNames>
    <sheetDataSet>
      <sheetData sheetId="0"/>
      <sheetData sheetId="1"/>
      <sheetData sheetId="2"/>
      <sheetData sheetId="3"/>
      <sheetData sheetId="4"/>
      <sheetData sheetId="5">
        <row r="1">
          <cell r="B1"/>
          <cell r="C1"/>
        </row>
        <row r="2">
          <cell r="B2"/>
          <cell r="C2"/>
        </row>
        <row r="3">
          <cell r="B3" t="str">
            <v>BPIN</v>
          </cell>
          <cell r="C3" t="str">
            <v>NOMBRE DEL PROYECTO</v>
          </cell>
        </row>
        <row r="4">
          <cell r="B4">
            <v>2021680010038</v>
          </cell>
          <cell r="C4" t="str">
            <v>MEJORAMIENTO DE LA RED VIAL TERCIARIA EN LOS CORREGIMIENTOS 1 2 Y 3 DEL MUNICIPIO DE BUCARAMANGA SANTANDER</v>
          </cell>
        </row>
        <row r="5">
          <cell r="B5">
            <v>2022680010006</v>
          </cell>
          <cell r="C5" t="str">
            <v>MEJORAMIENTO DE LA MALLA VIAL Y ESPACIO PÚBLICO ENMARCADO DENTRO DE LA ESTRATEGIA PLAN REVITALIZACION DEL ESPACIO PUBLICO CENTRO EN EL BUCARAMANGA SANTANDER</v>
          </cell>
        </row>
        <row r="6">
          <cell r="B6">
            <v>2022680010042</v>
          </cell>
          <cell r="C6" t="str">
            <v>MEJORAMIENTO Y MANTENIMIENTO DE LA RED VIAL URBANA DEL MUNICIPIO DE BUCARAMANGA</v>
          </cell>
        </row>
        <row r="7">
          <cell r="B7">
            <v>2022680010044</v>
          </cell>
          <cell r="C7" t="str">
            <v>ADECUACIÓN Y REFORMAS LOCATIVAS A LAS PLAZAS DE MERCADO DEL MUNICIPIO DE BUCARAMANGA SANTANDER ENTIDAD: BUCARAMANGA</v>
          </cell>
        </row>
        <row r="8">
          <cell r="B8">
            <v>2022680010047</v>
          </cell>
          <cell r="C8" t="str">
            <v>CONSTRUCCIÓN CENTRO VIDA Y ESPACIOS COMPLEMENTARIOS ANTONIA SANTOS EN EL MUNICIPIO DE BUCARAMANGA</v>
          </cell>
        </row>
        <row r="9">
          <cell r="B9">
            <v>2022680010048</v>
          </cell>
          <cell r="C9" t="str">
            <v>ADECUACIÓN DEL EQUIPAMIENTO Y ESCENARIOS DEPORTIVOS DEL MUNICIPIO DE BUCARAMANGA SANTANDER</v>
          </cell>
        </row>
        <row r="10">
          <cell r="B10">
            <v>2022680010049</v>
          </cell>
          <cell r="C10" t="str">
            <v>MEJORAMIENTO DEL ESPACIO PÚBLICO (PLAZOLETA LUIS CARLOS GALÁN Y PARQUE GARCIA ROVIRA) ENMARCADO DENTRO DE LA ESTRATEGIA PLAN CENTRO EN EL MUNICIPIO DE BUCARAMANGA SANTANDER</v>
          </cell>
        </row>
        <row r="11">
          <cell r="B11">
            <v>2022680010054</v>
          </cell>
          <cell r="C11" t="str">
            <v>MEJORAMIENTO DE LA INFRAESTRUCTURA URBANA Y CALIDAD AMBIENTAL DENTRO DE LA ESTRATEGIA CENTRO CAMINABLE EN EL MUNICIPIO DE BUCARAMANGA SANTANDER</v>
          </cell>
        </row>
        <row r="12">
          <cell r="B12">
            <v>2022680010100</v>
          </cell>
          <cell r="C12" t="str">
            <v>CONSTRUCCION DE LA SOLUCION VIAL DE LA CALLE 53 Y CALLE 54 DE LA CONEXION ORIENTE - OCCIDENTE DEL MUNICIPIO DE BUCARAMANGA</v>
          </cell>
        </row>
        <row r="13">
          <cell r="B13">
            <v>2022680010102</v>
          </cell>
          <cell r="C13" t="str">
            <v xml:space="preserve">CONSTRUCCIÓN DE ACUEDUCTOS VEREDALES EN VARIOS SECTORES DEL MUNICIPIO DE BUCARAMANGA SANTANDER </v>
          </cell>
        </row>
        <row r="14">
          <cell r="B14">
            <v>2023680010060</v>
          </cell>
          <cell r="C14" t="str">
            <v>CONSTRUCCCIÓN DEL PUENTE NARIÑO SOBRE EL RIO DE ORO EN LA JURISDICCIÓN DE LOS MUNICIPIOS DE BUCARAMANGA Y GIRÓN DEPARTAMENTO DE SANTANDER</v>
          </cell>
        </row>
        <row r="15">
          <cell r="B15">
            <v>2023680010012</v>
          </cell>
          <cell r="C15" t="str">
            <v>ESTUDIOS Y DISEÑOS PARA EL PROYECTO DE RESTAURACIÓN DEL COLISEO PERALTA INMUEBLE DECLARADO BIEN DE INTERÉS CULTURAL DEL ÁMBITO NACIONAL EN EL MUNICIPIO DE BUCARAMANGA SANTANDER</v>
          </cell>
        </row>
        <row r="16">
          <cell r="B16">
            <v>2023680010038</v>
          </cell>
          <cell r="C16" t="str">
            <v>CONSTRUCCIÓN DEL SALÓN COMUNAL VEREDA VIJAGUAL CORREGIMIENTO NO.1 Y ADECUACIÓN DEL SALÓN COMUNAL RINCÓN DE LA PAZ EN LA COMUNA NO.5 DEL MUNICIPIO DE BUCARAMANGA SANTANDER</v>
          </cell>
        </row>
        <row r="17">
          <cell r="B17">
            <v>2023680010054</v>
          </cell>
          <cell r="C17" t="str">
            <v>CONSTRUCCIÓN DE OBRAS COMPLEMENTARIAS DE ESPACIO PUBLICO A LA INSTITUCIÓN EDUCATIVA RURAL BOSCONIA SEDE B DE LA VEREDA SANTA RITA DEL MUNICIPIO DE BUCARAMANGA BUCARAMANGA</v>
          </cell>
        </row>
        <row r="18">
          <cell r="B18">
            <v>2023680010066</v>
          </cell>
          <cell r="C18" t="str">
            <v>CONSTRUCCIÓN DE OBRAS PROVISIONALES Y DE PROTECCIÓN DE PRIMEROS AUXILIOS DEL BIEN DE INTERÉS CULTURAL PLAZA SAN MATEO DEL MUNICIPIO DE BUCARAMANGA SANTANDER</v>
          </cell>
        </row>
        <row r="19">
          <cell r="B19">
            <v>2024680010007</v>
          </cell>
          <cell r="C19" t="str">
            <v>ACTUALIZACIÓN DE ESTUDIOS Y DISEÑOS DE LA TRONCAL METROPOLITANA NORTE SUR TRAMO 3A INTERSECCIÓN VIAL CARRERA 9NA CON CALLE 45 DEL EN EL MUNICIPIO DE BUCARAMANGA</v>
          </cell>
        </row>
        <row r="20">
          <cell r="B20">
            <v>2024680010043</v>
          </cell>
          <cell r="C20" t="str">
            <v>MANTENIMIENTO PERIODICO DE LA RED VÍAL RURAL DEL MUNICIPIO DE BUCARMANGA SANTANDER</v>
          </cell>
        </row>
        <row r="21">
          <cell r="B21">
            <v>2024680010045</v>
          </cell>
          <cell r="C21" t="str">
            <v>MANTENIMIENTO PERIODIDO DE LA INFRAESTRUCTURA DE PARQUES, EQUIPAMIENTO Y ESPACIO PÚBLICO DEL MUNICIPIO DE BUCARAMANGA SANTANDER</v>
          </cell>
        </row>
        <row r="22">
          <cell r="B22">
            <v>2024680010046</v>
          </cell>
          <cell r="C22" t="str">
            <v>MANTENIMIENTO Y MANEJO INTEGRAL ARBOREO Y DE ZONAS VERDES EN EL MUNICIPIO DE  BUCARAMANGA, SANTANDER 2024680010046</v>
          </cell>
        </row>
        <row r="23">
          <cell r="B23">
            <v>2024680010048</v>
          </cell>
          <cell r="C23" t="str">
            <v>SUBSIDIOS A LOS SERVICIOS PÚBICOS DE ACUEDUCTO, ALCANTARILLADO Y ASELO A LA POBLACIÓN DE ESTRATOS 1, 2 Y 3 DEL MUNICIPIO DE BUCARAMANGA 2024680010048</v>
          </cell>
        </row>
        <row r="24">
          <cell r="B24">
            <v>2024680010049</v>
          </cell>
          <cell r="C24" t="str">
            <v>FORTALECIMIENTO INSTITUCIONAL A LOS PROCESOS MISIONES Y DE GESTIÓN DE LA SECRETARÍA DE INFRAESTRUCTURA DEL MUNICIPIO DE BUCARAMANGA, SANTANDER 2024680010049</v>
          </cell>
        </row>
        <row r="25">
          <cell r="B25">
            <v>2024680010050</v>
          </cell>
          <cell r="C25" t="str">
            <v>ADECUACIÓN DE ESPACIO PÚBLICO EN EL MARCO DEL DESARROLLO DE LA ESTRATEGIA DE PRESUPUESTOS PARTICIPATIVOS DEL MUNICIPIO DE BUCARAMANGA, SANTANDER</v>
          </cell>
        </row>
        <row r="26">
          <cell r="B26">
            <v>2024680010051</v>
          </cell>
          <cell r="C26" t="str">
            <v>MANTENIMIENTO MEJORAMIENTO Y REHABILITACIÓN DE LA RED VIAL URBANA DEL MUNICIPIO DE BUCARAMANGA, SANTANDER</v>
          </cell>
        </row>
        <row r="27">
          <cell r="B27">
            <v>2024680010053</v>
          </cell>
          <cell r="C27" t="str">
            <v>SUMINISTRO DE AGUA POTABLE PARA GARANTIZAR LA COBERTURA DEL MÍNIMO VITAL DE AGUA A LOS SECTORES DE LOS CORREGIMIENTOS 123 DEL MUNICIPIO DE BUCARAMANGA</v>
          </cell>
        </row>
        <row r="28">
          <cell r="B28">
            <v>2024680010075</v>
          </cell>
          <cell r="C28" t="str">
            <v xml:space="preserve">ESTUDIOS Y DISEÑOS PARA SOLUCIÓN VIAL EN LA INTERSECCIÓN DE LA CARRERA 27 CON CALLE 56 Y CONSTRUCCIÓN DE PUENTES PEATONALES DEL MUNICIPIO DE BUCARAMANGA SANTANDER </v>
          </cell>
        </row>
        <row r="29">
          <cell r="B29">
            <v>2024680010076</v>
          </cell>
          <cell r="C29" t="str">
            <v>ADECUACIÓN DEL ESPACIO PÚBLICO Y ZONAS DE PARQUEO DEL MUNICIPIO DE BUCARAMANGA, SANTANDER</v>
          </cell>
        </row>
        <row r="30">
          <cell r="B30">
            <v>2024680010084</v>
          </cell>
          <cell r="C30" t="str">
            <v>ESTUDIOS Y DISEÑOS PARA LA RESTAURACIÓN  DEL BIEN DE INTERÉS CULTURAL DE LA PLAZA SAN MATEO DEL MUNICIPIO DE BUCARAMANGA SANTANDER</v>
          </cell>
        </row>
        <row r="31">
          <cell r="B31">
            <v>2024680010210</v>
          </cell>
          <cell r="C31" t="str">
            <v xml:space="preserve">CONSTRUCCIÓN  DE CONEXIONES E INSTALACIONES INTERNAS A LA RED DE DISTRIBUCIÓN LOCAL DE GAS DOMICILIARIO DE USUARIOS DE MENORES INGRESOS DE LOS ESTRATOS 1, 2 Y 3 DEL MUNICIPIO DE BUCARAMANGA </v>
          </cell>
        </row>
        <row r="32">
          <cell r="B32">
            <v>2024680010215</v>
          </cell>
          <cell r="C32" t="str">
            <v>CONTRUCCIÓN DE POZOS SÉPTICOS PARA EL SANEMIENTO AMBIENTAL EN EL SECTOR RURAL DEL MUNICIPIO DE BUCARAMANGA SANTANDER</v>
          </cell>
        </row>
        <row r="33">
          <cell r="B33">
            <v>2024680010248</v>
          </cell>
          <cell r="C33" t="str">
            <v>CONSTRUCCIÓN DE PUENTES PEATONALES Y MANTENIMIENTO  DE PUENTES VEHICULARES Y PEATONALES  EN EL MUNICIPIO DE BUCARAMANGA</v>
          </cell>
        </row>
        <row r="34">
          <cell r="B34">
            <v>2024680010249</v>
          </cell>
          <cell r="C34" t="str">
            <v>CONSTRUCCIÓN DEL ACUEDUCTOS PARA LAS VEREDAS LA ESMERALDA, SAN IGNACIO Y LA SABANA DEL MUNICIPIO DE BUCARAMANGA</v>
          </cell>
        </row>
        <row r="35">
          <cell r="B35">
            <v>2024680010253</v>
          </cell>
          <cell r="C35" t="str">
            <v>MEJORAMIENTO DE VÍAS RURALES A TRAVÉS DE PLACA HUELLAS EN EL SECTOR RURAL DEL MUNICIPIO DE BUCARAMANGA,SANTANDER</v>
          </cell>
        </row>
        <row r="36">
          <cell r="B36">
            <v>202500000016144</v>
          </cell>
          <cell r="C36" t="str">
            <v>MEJORAMIENTO Y ESPACIO PÚBLICO ENMARCADO DENTRO DE LA ESTRATEGIA "PLAN REVITALIZACIÓN DEL ESPACIO PÚBLICO CENTRO" EN EL MUNICIPIO DE BUCARAMANGA</v>
          </cell>
        </row>
        <row r="37">
          <cell r="B37">
            <v>202500000018145</v>
          </cell>
          <cell r="C37" t="str">
            <v>REPARACIÓN DEL EQUIPAMIENTO COMUNITARIO CASA BÚHO DEL MUNICIPIO DE  BUCARAMANGA, SANTANDER</v>
          </cell>
        </row>
        <row r="38">
          <cell r="B38">
            <v>202500000019302</v>
          </cell>
          <cell r="C38" t="str">
            <v xml:space="preserve">MEJORAMIENTO DE LA INFRAESTRUCTURA URBANA Y CALIDAD AMBIENTAL DENTRO DE LA ESTRATEGIA “CENTRO CAMINABLE” EN EL MUNICIPIO DE BUCARAMANGA   SANTANDER </v>
          </cell>
        </row>
        <row r="39">
          <cell r="B39">
            <v>202500000020181</v>
          </cell>
          <cell r="C39" t="str">
            <v>APOYO AL CONTROL DE CUMPLIMIENTO DEL CONTRATO DE OBRA PARA LA CONSTRUCCION DEL PARQUE BORDE SUR LA VICTORIA EN EL BARRIO LA VICTORIA DEL MUNICIPIO DE BUCARAMANGA SANTANDER</v>
          </cell>
        </row>
        <row r="40">
          <cell r="B40">
            <v>202500000028779</v>
          </cell>
          <cell r="C40" t="str">
            <v>MANTENIMIENTO RUTINARIO DE PUENTES PEATONALES Y VEHICULARES EN EL MUNICIPIO DE BUCARAMANGA</v>
          </cell>
        </row>
        <row r="41">
          <cell r="B41">
            <v>202500000020993</v>
          </cell>
          <cell r="C41" t="str">
            <v>ACTUALIZACIÓN DE LOS ESTUDIOS Y DISEÑOS PARA LA PROPUESTA DE MODIFICACIÓN DE LA INSTITUCIÓN EDUCATIVA TÉCNICO DÁMASO ZAPATA DEL MUNICIPIO DE BUCARAMANGA</v>
          </cell>
        </row>
        <row r="42">
          <cell r="B42">
            <v>202500000027207</v>
          </cell>
          <cell r="C42" t="str">
            <v>Construcción Conexión vial carrera 24 con acceso al barrio diamante 2 del municipio de Bucaramanga</v>
          </cell>
        </row>
        <row r="43">
          <cell r="B43">
            <v>202500000027293</v>
          </cell>
          <cell r="C43" t="str">
            <v>Construcción DE OBRAS ADICIONALES PROVISIONALES Y DE PROTECCIÓN DE PRIMEROS AUXILIOS DEL BIEN DE INTERÉS CULTURAL PLAZA SAN MATEO DEL MUNICIPIO Bucaramanga, Santande</v>
          </cell>
        </row>
        <row r="44">
          <cell r="B44"/>
          <cell r="C44"/>
        </row>
        <row r="45">
          <cell r="B45"/>
          <cell r="C45"/>
        </row>
        <row r="46">
          <cell r="B46"/>
          <cell r="C46"/>
        </row>
        <row r="47">
          <cell r="B47"/>
          <cell r="C47"/>
        </row>
        <row r="48">
          <cell r="B48">
            <v>2020680010029</v>
          </cell>
          <cell r="C48" t="str">
            <v>FORTALECIMIENTO DE LA ADMINISTRACIÓN Y OPERACIÓN DE ALUMBRADO PÚBLICO DE BUCARAMANGA</v>
          </cell>
        </row>
        <row r="49">
          <cell r="B49">
            <v>2020680010114</v>
          </cell>
          <cell r="C49" t="str">
            <v>MANTENIMIENTO DEL SISTEMA DE ALUMBRADO PÚBLICO 2020-2023 DEL MUNICIPIO DE BUCARAMANGA</v>
          </cell>
        </row>
        <row r="50">
          <cell r="B50">
            <v>2023680010042</v>
          </cell>
          <cell r="C50" t="str">
            <v>MODERNIZACIÓN DEL ALUMBRADO PÚBLICO VIAS M2 - FASE 1 DEL MUNICIPIO DE BUCARAMANGA</v>
          </cell>
        </row>
        <row r="51">
          <cell r="B51">
            <v>2024680010082</v>
          </cell>
          <cell r="C51" t="str">
            <v>MODERNIZACIÓN DEL ALUMBRADO PÚBLICO EN DIFERENTES ZONAS DEL MUNICIPIO DE BUCARAMANGA</v>
          </cell>
        </row>
        <row r="52">
          <cell r="B52">
            <v>2024680010085</v>
          </cell>
          <cell r="C52" t="str">
            <v>AMPLIACIÓN DEL ALUMBRADO PUBLICO EN ZONAS RURALES 2024 DEL MUNICIPIO DE BUCARAMANGA</v>
          </cell>
        </row>
        <row r="53">
          <cell r="B53">
            <v>2024680010189</v>
          </cell>
          <cell r="C53" t="str">
            <v>MANTENIMIENTO DEL SISTEMA DE ALUMBRADO PÚBLICO DEL MUNICIPIO DE BUCARAMANGA.</v>
          </cell>
        </row>
        <row r="54">
          <cell r="B54">
            <v>2024680010192</v>
          </cell>
          <cell r="C54" t="str">
            <v>FORTALECIMIENTO DE LA ADMINISTRACIÓN Y OPERACIÓN DE ALUMBRADO PÚBLICO 2024-2027 BUCARAMANGA</v>
          </cell>
        </row>
        <row r="55">
          <cell r="B55">
            <v>2024680010205</v>
          </cell>
          <cell r="C55" t="str">
            <v xml:space="preserve">ADQUISICIÓN DE HERRAMIENTAS TECNOLÓGICAS PARA LA ADMINISTRACIÓN OPERACIÓN Y MANTENIMIENTO DEL ALUMBRADO PÚBLICO DE BUCARAMANGA </v>
          </cell>
        </row>
        <row r="56">
          <cell r="B56">
            <v>2024680010226</v>
          </cell>
          <cell r="C56" t="str">
            <v>MODERNIZACIÓN DEL SISTEMA DE ILUMINACIÓN DEL VIADUCTO PROVINCIAL DE LA CARRERA NOVENA: ALEJANDRO GALVIS RAMÍREZ DEL MUNICIPIO DE BUCARAMANGA</v>
          </cell>
        </row>
        <row r="57">
          <cell r="B57">
            <v>202500000013584</v>
          </cell>
          <cell r="C57" t="str">
            <v>MODERNIZACIÓN DEL ALÚMBRADO PÚBLICO DE LA CARRERA 33 ENTRE EL VIADUCTO LA FLORA Y LA AVENIDA QUEBRADA SECA; CARRERA 33A ENTRE LA CALLE 34 Y LA CALLE 14 Y, CALLE 14 ENTRE LA CARRERA 33A Y LA GLORIETA DEL ESTADIO AMÉRICO MONTANINI DEL MUNICIPIO DE BUCARAMANGA</v>
          </cell>
        </row>
        <row r="58">
          <cell r="B58">
            <v>2024680010113</v>
          </cell>
          <cell r="C58" t="str">
            <v>IMPLEMENTACIÓN DE PILOTOS DE ENERGÍAS ALTERNATIVAS EN EL MUNICIPIO DE BUCARAMANGA</v>
          </cell>
        </row>
        <row r="59">
          <cell r="B59">
            <v>202500000015897</v>
          </cell>
          <cell r="C59" t="str">
            <v xml:space="preserve">MODERNIZACIÓN DEL ALUMBRADO PÚBLICO EN DISTINTOS SECTORES DEL MUNICIPIO DE BUCARAMANGA”, </v>
          </cell>
        </row>
        <row r="60">
          <cell r="B60">
            <v>202500000028264</v>
          </cell>
          <cell r="C60" t="str">
            <v>Elaboración DEL ESTUDIO TÉCNICO DE REFERENCIA PARA LA PRESTACIÓN DEL SERVICIO DE ALUMBRADO PÚBLICO DEL MUNICIPIO DE Bucaramanga</v>
          </cell>
        </row>
        <row r="61">
          <cell r="B61"/>
          <cell r="C61"/>
        </row>
        <row r="62">
          <cell r="B62"/>
          <cell r="C62"/>
        </row>
        <row r="63">
          <cell r="B63"/>
          <cell r="C63"/>
        </row>
        <row r="64">
          <cell r="B64"/>
          <cell r="C64"/>
        </row>
        <row r="66">
          <cell r="B66"/>
          <cell r="C66"/>
        </row>
        <row r="71">
          <cell r="C71"/>
        </row>
        <row r="77">
          <cell r="C77"/>
        </row>
        <row r="83">
          <cell r="B83"/>
        </row>
      </sheetData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a por proyecto"/>
      <sheetName val="resum eje infra"/>
      <sheetName val="eje infra"/>
      <sheetName val="31_10_2025"/>
      <sheetName val="DISPONIBILIDADES"/>
      <sheetName val="COMPROMISOS"/>
      <sheetName val="OBLIGACIONES"/>
      <sheetName val="OTROS"/>
      <sheetName val="PAC"/>
    </sheetNames>
    <sheetDataSet>
      <sheetData sheetId="0"/>
      <sheetData sheetId="1">
        <row r="166">
          <cell r="M166">
            <v>176015983843.67999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 Indicativo"/>
      <sheetName val="Plan Indicativo 2024-2027"/>
    </sheetNames>
    <sheetDataSet>
      <sheetData sheetId="0">
        <row r="8">
          <cell r="A8">
            <v>1</v>
          </cell>
        </row>
        <row r="18">
          <cell r="T18">
            <v>51229</v>
          </cell>
          <cell r="W18">
            <v>51229</v>
          </cell>
          <cell r="AC18" t="str">
            <v>No Acumulativa</v>
          </cell>
        </row>
        <row r="19">
          <cell r="T19">
            <v>2</v>
          </cell>
          <cell r="W19">
            <v>2</v>
          </cell>
          <cell r="AC19" t="str">
            <v>Acumulativa</v>
          </cell>
        </row>
        <row r="20">
          <cell r="T20">
            <v>1</v>
          </cell>
          <cell r="W20">
            <v>0.4</v>
          </cell>
          <cell r="AC20" t="str">
            <v>Acumulativa</v>
          </cell>
        </row>
        <row r="54">
          <cell r="T54">
            <v>300000</v>
          </cell>
          <cell r="W54">
            <v>40000</v>
          </cell>
          <cell r="AC54" t="str">
            <v>Acumulativa</v>
          </cell>
        </row>
        <row r="55">
          <cell r="T55">
            <v>2</v>
          </cell>
          <cell r="W55">
            <v>0</v>
          </cell>
          <cell r="AC55" t="str">
            <v>Acumulativa</v>
          </cell>
        </row>
        <row r="56">
          <cell r="T56">
            <v>100</v>
          </cell>
          <cell r="W56">
            <v>41</v>
          </cell>
          <cell r="AC56" t="str">
            <v>Acumulativa</v>
          </cell>
        </row>
        <row r="57">
          <cell r="T57">
            <v>1605851</v>
          </cell>
          <cell r="W57">
            <v>1605851</v>
          </cell>
          <cell r="AC57" t="str">
            <v>No Acumulativa</v>
          </cell>
        </row>
        <row r="58">
          <cell r="T58">
            <v>50000</v>
          </cell>
          <cell r="W58">
            <v>0</v>
          </cell>
          <cell r="AC58" t="str">
            <v>Acumulativa</v>
          </cell>
        </row>
        <row r="64">
          <cell r="T64">
            <v>1</v>
          </cell>
          <cell r="W64">
            <v>0</v>
          </cell>
          <cell r="AC64" t="str">
            <v>Acumulativa</v>
          </cell>
        </row>
        <row r="65">
          <cell r="T65">
            <v>2</v>
          </cell>
          <cell r="W65">
            <v>0</v>
          </cell>
          <cell r="AC65" t="str">
            <v>Acumulativa</v>
          </cell>
        </row>
        <row r="66">
          <cell r="T66">
            <v>4</v>
          </cell>
          <cell r="W66">
            <v>4</v>
          </cell>
          <cell r="AC66" t="str">
            <v>Acumulativa</v>
          </cell>
        </row>
        <row r="67">
          <cell r="T67">
            <v>80</v>
          </cell>
          <cell r="W67">
            <v>27</v>
          </cell>
          <cell r="AC67" t="str">
            <v>Acumulativa</v>
          </cell>
        </row>
        <row r="69">
          <cell r="T69">
            <v>1000</v>
          </cell>
          <cell r="W69">
            <v>0</v>
          </cell>
          <cell r="AC69" t="str">
            <v>Acumulativa</v>
          </cell>
        </row>
        <row r="101">
          <cell r="T101">
            <v>1</v>
          </cell>
          <cell r="W101">
            <v>0</v>
          </cell>
          <cell r="AC101" t="str">
            <v>No Acumulativa</v>
          </cell>
        </row>
        <row r="103">
          <cell r="T103">
            <v>1</v>
          </cell>
          <cell r="W103">
            <v>0</v>
          </cell>
          <cell r="AC103" t="str">
            <v>Acumulativa</v>
          </cell>
        </row>
        <row r="104">
          <cell r="T104">
            <v>10</v>
          </cell>
          <cell r="W104">
            <v>0</v>
          </cell>
          <cell r="AC104" t="str">
            <v>Acumulativa</v>
          </cell>
        </row>
        <row r="105">
          <cell r="T105">
            <v>1</v>
          </cell>
          <cell r="W105">
            <v>0</v>
          </cell>
          <cell r="AC105" t="str">
            <v>Acumulativa</v>
          </cell>
        </row>
        <row r="106">
          <cell r="T106">
            <v>2</v>
          </cell>
          <cell r="W106">
            <v>0</v>
          </cell>
          <cell r="AC106" t="str">
            <v>Acumulativa</v>
          </cell>
        </row>
        <row r="107">
          <cell r="T107">
            <v>5</v>
          </cell>
          <cell r="W107">
            <v>0</v>
          </cell>
          <cell r="AC107" t="str">
            <v>Acumulativa</v>
          </cell>
        </row>
        <row r="108">
          <cell r="T108">
            <v>1</v>
          </cell>
          <cell r="W108">
            <v>0</v>
          </cell>
          <cell r="AC108" t="str">
            <v>Acumulativa</v>
          </cell>
        </row>
        <row r="109">
          <cell r="T109">
            <v>4</v>
          </cell>
          <cell r="W109">
            <v>1</v>
          </cell>
          <cell r="AC109" t="str">
            <v>Acumulativa</v>
          </cell>
        </row>
        <row r="110">
          <cell r="T110">
            <v>1</v>
          </cell>
          <cell r="W110">
            <v>0</v>
          </cell>
          <cell r="AC110" t="str">
            <v>Acumulativa</v>
          </cell>
        </row>
        <row r="111">
          <cell r="T111">
            <v>20</v>
          </cell>
          <cell r="W111">
            <v>17.16</v>
          </cell>
          <cell r="AC111" t="str">
            <v>Acumulativa</v>
          </cell>
        </row>
        <row r="112">
          <cell r="T112">
            <v>80</v>
          </cell>
          <cell r="W112">
            <v>0</v>
          </cell>
          <cell r="AC112" t="str">
            <v>Acumulativa</v>
          </cell>
        </row>
        <row r="113">
          <cell r="T113">
            <v>5000</v>
          </cell>
          <cell r="W113">
            <v>4000</v>
          </cell>
          <cell r="AC113" t="str">
            <v>Acumulativa</v>
          </cell>
        </row>
        <row r="114">
          <cell r="T114">
            <v>110</v>
          </cell>
          <cell r="W114">
            <v>110</v>
          </cell>
          <cell r="AC114" t="str">
            <v>No Acumulativa</v>
          </cell>
        </row>
        <row r="115">
          <cell r="T115">
            <v>1</v>
          </cell>
          <cell r="W115">
            <v>0</v>
          </cell>
          <cell r="AC115" t="str">
            <v>Acumulativa</v>
          </cell>
        </row>
        <row r="116">
          <cell r="T116">
            <v>1</v>
          </cell>
          <cell r="W116">
            <v>0</v>
          </cell>
          <cell r="AC116" t="str">
            <v>Acumulativa</v>
          </cell>
        </row>
        <row r="117">
          <cell r="T117">
            <v>10000</v>
          </cell>
          <cell r="W117">
            <v>0</v>
          </cell>
          <cell r="AC117" t="str">
            <v>Acumulativa</v>
          </cell>
        </row>
        <row r="133">
          <cell r="T133">
            <v>200</v>
          </cell>
          <cell r="W133">
            <v>0</v>
          </cell>
          <cell r="AC133" t="str">
            <v>Acumulativa</v>
          </cell>
        </row>
        <row r="136">
          <cell r="T136">
            <v>289645</v>
          </cell>
          <cell r="W136">
            <v>289645</v>
          </cell>
          <cell r="AC136" t="str">
            <v>No Acumulativa</v>
          </cell>
        </row>
        <row r="137">
          <cell r="T137">
            <v>18000</v>
          </cell>
          <cell r="W137">
            <v>2400</v>
          </cell>
          <cell r="AC137" t="str">
            <v>Acumulativa</v>
          </cell>
        </row>
        <row r="143">
          <cell r="T143">
            <v>1</v>
          </cell>
          <cell r="W143">
            <v>0</v>
          </cell>
          <cell r="AC143" t="str">
            <v>Acumulativa</v>
          </cell>
        </row>
        <row r="144">
          <cell r="T144">
            <v>4</v>
          </cell>
          <cell r="W144">
            <v>0</v>
          </cell>
          <cell r="AC144" t="str">
            <v>Acumulativa</v>
          </cell>
        </row>
        <row r="153">
          <cell r="T153">
            <v>2</v>
          </cell>
          <cell r="W153">
            <v>1</v>
          </cell>
          <cell r="AC153" t="str">
            <v>Acumulativa</v>
          </cell>
        </row>
        <row r="243">
          <cell r="T243">
            <v>3</v>
          </cell>
          <cell r="W243">
            <v>0</v>
          </cell>
          <cell r="AC243" t="str">
            <v>Acumulativa</v>
          </cell>
        </row>
        <row r="244">
          <cell r="T244">
            <v>10</v>
          </cell>
          <cell r="W244">
            <v>0</v>
          </cell>
          <cell r="AC244" t="str">
            <v>Acumulativa</v>
          </cell>
        </row>
        <row r="259">
          <cell r="T259">
            <v>9</v>
          </cell>
          <cell r="W259">
            <v>9</v>
          </cell>
          <cell r="AC259" t="str">
            <v>No Acumulativa</v>
          </cell>
        </row>
        <row r="260">
          <cell r="T260">
            <v>5</v>
          </cell>
          <cell r="W260">
            <v>1.5</v>
          </cell>
          <cell r="AC260" t="str">
            <v>Acumulativa</v>
          </cell>
        </row>
        <row r="261">
          <cell r="T261">
            <v>4</v>
          </cell>
          <cell r="W261">
            <v>2</v>
          </cell>
          <cell r="AC261" t="str">
            <v>Acumulativa</v>
          </cell>
        </row>
        <row r="311">
          <cell r="T311">
            <v>4100</v>
          </cell>
          <cell r="W311">
            <v>1100</v>
          </cell>
          <cell r="AC311" t="str">
            <v>Acumulativa</v>
          </cell>
        </row>
      </sheetData>
      <sheetData sheetId="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 de Acción-proyectos "/>
      <sheetName val="Plan de Acción-metas"/>
      <sheetName val="Hoja1"/>
      <sheetName val="Hoja2"/>
      <sheetName val="Hoja3"/>
      <sheetName val="Infraestructura Validado"/>
    </sheetNames>
    <sheetDataSet>
      <sheetData sheetId="0"/>
      <sheetData sheetId="1"/>
      <sheetData sheetId="2"/>
      <sheetData sheetId="3">
        <row r="3">
          <cell r="B3" t="str">
            <v>BPIN</v>
          </cell>
        </row>
      </sheetData>
      <sheetData sheetId="4"/>
      <sheetData sheetId="5" refreshError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icrosoft Office User" refreshedDate="45790.440445717592" createdVersion="6" refreshedVersion="6" minRefreshableVersion="3" recordCount="51" xr:uid="{5ECE9B8E-C52C-EE42-B291-17DBFAB392AC}">
  <cacheSource type="worksheet">
    <worksheetSource name="Tabla134"/>
  </cacheSource>
  <cacheFields count="57">
    <cacheField name=" Consecutivo PDM" numFmtId="0">
      <sharedItems containsSemiMixedTypes="0" containsString="0" containsNumber="1" containsInteger="1" minValue="11" maxValue="303" count="41">
        <n v="11"/>
        <n v="12"/>
        <n v="13"/>
        <n v="47"/>
        <n v="48"/>
        <n v="49"/>
        <n v="50"/>
        <n v="51"/>
        <n v="57"/>
        <n v="58"/>
        <n v="59"/>
        <n v="60"/>
        <n v="62"/>
        <n v="93"/>
        <n v="95"/>
        <n v="96"/>
        <n v="97"/>
        <n v="98"/>
        <n v="99"/>
        <n v="100"/>
        <n v="101"/>
        <n v="102"/>
        <n v="103"/>
        <n v="104"/>
        <n v="105"/>
        <n v="106"/>
        <n v="107"/>
        <n v="108"/>
        <n v="109"/>
        <n v="125"/>
        <n v="128"/>
        <n v="129"/>
        <n v="135"/>
        <n v="136"/>
        <n v="145"/>
        <n v="235"/>
        <n v="236"/>
        <n v="251"/>
        <n v="252"/>
        <n v="253"/>
        <n v="303"/>
      </sharedItems>
    </cacheField>
    <cacheField name="Linea Estratégica" numFmtId="0">
      <sharedItems/>
    </cacheField>
    <cacheField name="Sector" numFmtId="0">
      <sharedItems/>
    </cacheField>
    <cacheField name="Cod. Programa" numFmtId="0">
      <sharedItems/>
    </cacheField>
    <cacheField name="Programa" numFmtId="0">
      <sharedItems/>
    </cacheField>
    <cacheField name="Cod. de Producto" numFmtId="0">
      <sharedItems/>
    </cacheField>
    <cacheField name="Meta de Producto" numFmtId="0">
      <sharedItems/>
    </cacheField>
    <cacheField name="Código BPIN" numFmtId="1">
      <sharedItems containsBlank="1" containsMixedTypes="1" containsNumber="1" containsInteger="1" minValue="2022680010100" maxValue="202500000020181"/>
    </cacheField>
    <cacheField name="Nombre del Proyecto" numFmtId="0">
      <sharedItems containsBlank="1" longText="1"/>
    </cacheField>
    <cacheField name="Valor del Proyecto" numFmtId="8">
      <sharedItems containsString="0" containsBlank="1" containsNumber="1" minValue="41728570" maxValue="81553013348.210007"/>
    </cacheField>
    <cacheField name="Valor Vigencia Proyecto" numFmtId="44">
      <sharedItems containsString="0" containsBlank="1" containsNumber="1" minValue="41728570" maxValue="23500000000"/>
    </cacheField>
    <cacheField name="Comuna o Barrio Beneficiado" numFmtId="0">
      <sharedItems containsBlank="1" longText="1"/>
    </cacheField>
    <cacheField name="Población Beneficiada" numFmtId="0">
      <sharedItems containsBlank="1"/>
    </cacheField>
    <cacheField name="Número de Beneficiarios" numFmtId="0">
      <sharedItems containsString="0" containsBlank="1" containsNumber="1" containsInteger="1" minValue="289645" maxValue="605047"/>
    </cacheField>
    <cacheField name="Actividades Realizadas" numFmtId="0">
      <sharedItems containsBlank="1"/>
    </cacheField>
    <cacheField name="Recursos propios 2025" numFmtId="44">
      <sharedItems containsString="0" containsBlank="1" containsNumber="1" minValue="0" maxValue="23500000000"/>
    </cacheField>
    <cacheField name="SGP Educación 2025" numFmtId="44">
      <sharedItems containsNonDate="0" containsString="0" containsBlank="1"/>
    </cacheField>
    <cacheField name="SGP Salud 2025" numFmtId="44">
      <sharedItems containsNonDate="0" containsString="0" containsBlank="1"/>
    </cacheField>
    <cacheField name="SGP Deporte 2025" numFmtId="44">
      <sharedItems containsNonDate="0" containsString="0" containsBlank="1"/>
    </cacheField>
    <cacheField name="SGP Cultura 2025" numFmtId="44">
      <sharedItems containsNonDate="0" containsString="0" containsBlank="1"/>
    </cacheField>
    <cacheField name="SGP Libre inversión 2025" numFmtId="44">
      <sharedItems containsString="0" containsBlank="1" containsNumber="1" minValue="0" maxValue="12354998254.33"/>
    </cacheField>
    <cacheField name="SGP Libre destinación 2025" numFmtId="44">
      <sharedItems containsNonDate="0" containsString="0" containsBlank="1"/>
    </cacheField>
    <cacheField name="SGP Alimentación escolar 2025" numFmtId="44">
      <sharedItems containsNonDate="0" containsString="0" containsBlank="1"/>
    </cacheField>
    <cacheField name="SGP Municipios río Magdalena 2025" numFmtId="44">
      <sharedItems containsNonDate="0" containsString="0" containsBlank="1"/>
    </cacheField>
    <cacheField name="SGP APSB 2025" numFmtId="44">
      <sharedItems containsString="0" containsBlank="1" containsNumber="1" containsInteger="1" minValue="11341999592" maxValue="11341999592"/>
    </cacheField>
    <cacheField name="Crédito 2025" numFmtId="44">
      <sharedItems containsString="0" containsBlank="1" containsNumber="1" containsInteger="1" minValue="0" maxValue="0"/>
    </cacheField>
    <cacheField name="Transferencias de capital - cofinanciación departamento 2025" numFmtId="44">
      <sharedItems containsNonDate="0" containsString="0" containsBlank="1"/>
    </cacheField>
    <cacheField name="Transferencias de capital - cofinanciación nación 2025" numFmtId="44">
      <sharedItems containsNonDate="0" containsString="0" containsBlank="1"/>
    </cacheField>
    <cacheField name="Otros 2025" numFmtId="44">
      <sharedItems containsString="0" containsBlank="1" containsNumber="1" containsInteger="1" minValue="0" maxValue="0"/>
    </cacheField>
    <cacheField name="Recursos del Balance" numFmtId="44">
      <sharedItems containsNonDate="0" containsString="0" containsBlank="1"/>
    </cacheField>
    <cacheField name="Total 2024" numFmtId="44">
      <sharedItems containsSemiMixedTypes="0" containsString="0" containsNumber="1" minValue="0" maxValue="23500000000"/>
    </cacheField>
    <cacheField name="Recursos propios 20252" numFmtId="44">
      <sharedItems containsString="0" containsBlank="1" containsNumber="1" minValue="0" maxValue="10297995919.59"/>
    </cacheField>
    <cacheField name="SGP Educación 20252" numFmtId="44">
      <sharedItems containsNonDate="0" containsString="0" containsBlank="1"/>
    </cacheField>
    <cacheField name="SGP Salud 20252" numFmtId="44">
      <sharedItems containsNonDate="0" containsString="0" containsBlank="1"/>
    </cacheField>
    <cacheField name="SGP Deporte 20252" numFmtId="44">
      <sharedItems containsNonDate="0" containsString="0" containsBlank="1"/>
    </cacheField>
    <cacheField name="SGP Cultura 20252" numFmtId="44">
      <sharedItems containsNonDate="0" containsString="0" containsBlank="1"/>
    </cacheField>
    <cacheField name="SGP Libre inversión 20252" numFmtId="44">
      <sharedItems containsNonDate="0" containsString="0" containsBlank="1"/>
    </cacheField>
    <cacheField name="SGP Libre destinación 20252" numFmtId="44">
      <sharedItems containsNonDate="0" containsString="0" containsBlank="1"/>
    </cacheField>
    <cacheField name="SGP Alimentación escolar 20252" numFmtId="44">
      <sharedItems containsNonDate="0" containsString="0" containsBlank="1"/>
    </cacheField>
    <cacheField name="SGP Municipios río Magdalena 20252" numFmtId="44">
      <sharedItems containsNonDate="0" containsString="0" containsBlank="1"/>
    </cacheField>
    <cacheField name="SGP APSB 20252" numFmtId="44">
      <sharedItems containsString="0" containsBlank="1" containsNumber="1" containsInteger="1" minValue="2589345464" maxValue="2589345464"/>
    </cacheField>
    <cacheField name="Crédito 20252" numFmtId="44">
      <sharedItems containsNonDate="0" containsString="0" containsBlank="1"/>
    </cacheField>
    <cacheField name="Transferencias de capital - cofinanciación departamento 20252" numFmtId="44">
      <sharedItems containsNonDate="0" containsString="0" containsBlank="1"/>
    </cacheField>
    <cacheField name="Transferencias de capital - cofinanciación nación 20252" numFmtId="44">
      <sharedItems containsNonDate="0" containsString="0" containsBlank="1"/>
    </cacheField>
    <cacheField name="Otros 20252" numFmtId="44">
      <sharedItems containsNonDate="0" containsString="0" containsBlank="1"/>
    </cacheField>
    <cacheField name="Recursos del Balance 2025" numFmtId="44">
      <sharedItems containsNonDate="0" containsString="0" containsBlank="1"/>
    </cacheField>
    <cacheField name="Total Recursos Comprometido 2025" numFmtId="44">
      <sharedItems containsSemiMixedTypes="0" containsString="0" containsNumber="1" minValue="0" maxValue="10297995919.59"/>
    </cacheField>
    <cacheField name="Total Recursos Obligados" numFmtId="44">
      <sharedItems containsString="0" containsBlank="1" containsNumber="1" minValue="0" maxValue="6585874153.2600002"/>
    </cacheField>
    <cacheField name="Total Recursos Pagados" numFmtId="44">
      <sharedItems containsString="0" containsBlank="1" containsNumber="1" minValue="0" maxValue="6352250819.9300003"/>
    </cacheField>
    <cacheField name="Ejecución Recursos Comprometidos" numFmtId="0">
      <sharedItems containsMixedTypes="1" containsNumber="1" minValue="0" maxValue="1"/>
    </cacheField>
    <cacheField name="Ejecución Recursos Obligados" numFmtId="0">
      <sharedItems containsMixedTypes="1" containsNumber="1" minValue="0" maxValue="0.36114865290980624"/>
    </cacheField>
    <cacheField name="Ejecución Recursos Pagados" numFmtId="0">
      <sharedItems containsMixedTypes="1" containsNumber="1" minValue="0" maxValue="0.31435723057036868"/>
    </cacheField>
    <cacheField name="Total Recursos Gestionados2" numFmtId="44">
      <sharedItems containsString="0" containsBlank="1" containsNumber="1" containsInteger="1" minValue="0" maxValue="0"/>
    </cacheField>
    <cacheField name="Nivel de Gestión" numFmtId="44">
      <sharedItems/>
    </cacheField>
    <cacheField name="Dependencia" numFmtId="0">
      <sharedItems containsBlank="1"/>
    </cacheField>
    <cacheField name="Responsable" numFmtId="0">
      <sharedItems containsBlank="1"/>
    </cacheField>
    <cacheField name="ODS" numFmtId="0">
      <sharedItems containsBlank="1" containsMixedTypes="1" containsNumber="1" minValue="2.12" maxValue="61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1">
  <r>
    <x v="0"/>
    <s v="Territorio seguro que protege"/>
    <s v="Minas y energía."/>
    <s v="2102"/>
    <s v="Consolidación productiva del sector de energía eléctrica (2102)"/>
    <s v="2102069"/>
    <s v="Garantizar 51.229 lámparas de alumbrado público para la prestación del servicio de alumbrado público en el Municipio de Bucaramanga"/>
    <s v="2024680010192"/>
    <s v="FORTALECIMIENTO  DE LA ADMINISTRACIÓN Y OPERACIÓN DE ALUMBRADO PÚBLICO 2024-2027 BUCARAMANGA"/>
    <n v="77162097935.539993"/>
    <n v="20207108990"/>
    <s v="01 - COMUNA NORTE_x000d__x000a_02 - COMUNA NORORIENTAL_x000d__x000a_03 - COMUNA SAN FRANCISCO_x000d__x000a_04 - COMUNA OCCIDENTAL_x000d__x000a_05 - COMUNA GARCIA ROVIRA_x000d__x000a_06 - COMUNA LA CONCORDIA_x000d__x000a_07 - COMUNA CIUDADELA REAL DE MINAS_x000d__x000a_08 - COMUNA SUROCCIDENTE_x000d__x000a_09 - COMUNA LA PEDREGOSA_x000d__x000a_10 - COMUNA PROVENZA_x000d__x000a_11 - COMUNA SUR_x000d__x000a_12 - COMUNA CABECERA DEL LLANO_x000d__x000a_13 - COMUNA ORIENTAL_x000d__x000a_14 - COMUNA MORRORICO_x000d__x000a_15 - COMUNA CENTRO_x000d__x000a_16 - COMUNA TEJAR_x000d__x000a_17 - COMUNA MUTIS_x000d__x000a_CORREGIMIENTO 1_x000d__x000a_CORREGIMIENTO 2_x000d__x000a_CORREGIMIENTO 3"/>
    <s v="Población en general"/>
    <n v="605047"/>
    <s v="Actividades de mantenimiento y modernización del alumbrado publico"/>
    <n v="20207108990"/>
    <m/>
    <m/>
    <m/>
    <m/>
    <n v="0"/>
    <m/>
    <m/>
    <m/>
    <m/>
    <n v="0"/>
    <m/>
    <m/>
    <m/>
    <m/>
    <n v="20207108990"/>
    <n v="10297995919.59"/>
    <m/>
    <m/>
    <m/>
    <m/>
    <m/>
    <m/>
    <m/>
    <m/>
    <m/>
    <m/>
    <m/>
    <m/>
    <m/>
    <m/>
    <n v="10297995919.59"/>
    <n v="6585874153.2600002"/>
    <n v="6352250819.9300003"/>
    <n v="0.50962242667598934"/>
    <n v="0.32591867330052937"/>
    <n v="0.31435723057036868"/>
    <n v="0"/>
    <s v="_"/>
    <s v="Secretaría de Infraestructura-Alumbrado Público"/>
    <s v="María del Rosario Torres Vargas"/>
    <n v="11.16"/>
  </r>
  <r>
    <x v="0"/>
    <s v="Territorio seguro que protege"/>
    <s v="Minas y energía."/>
    <s v="2102"/>
    <s v="Consolidación productiva del sector de energía eléctrica (2102)"/>
    <s v="2102069"/>
    <s v="Garantizar 51.229 lámparas de alumbrado público para la prestación del servicio de alumbrado público en el Municipio de Bucaramanga"/>
    <s v="2024680010082"/>
    <s v="MODERNIZACIÓN DEL ALUMBRADO PÚBLICO VIAS M2 - FASE 1 DEL MUNICIPIO DE BUCARAMANGA."/>
    <n v="23350833209"/>
    <n v="1053996388"/>
    <m/>
    <m/>
    <m/>
    <m/>
    <n v="0"/>
    <m/>
    <m/>
    <m/>
    <m/>
    <m/>
    <m/>
    <m/>
    <m/>
    <m/>
    <m/>
    <m/>
    <m/>
    <m/>
    <m/>
    <n v="0"/>
    <n v="0"/>
    <m/>
    <m/>
    <m/>
    <m/>
    <m/>
    <m/>
    <m/>
    <m/>
    <m/>
    <m/>
    <m/>
    <m/>
    <m/>
    <m/>
    <n v="0"/>
    <n v="0"/>
    <n v="0"/>
    <e v="#DIV/0!"/>
    <e v="#DIV/0!"/>
    <e v="#DIV/0!"/>
    <m/>
    <s v="_"/>
    <m/>
    <m/>
    <m/>
  </r>
  <r>
    <x v="0"/>
    <s v="Territorio seguro que protege"/>
    <s v="Minas y energía."/>
    <s v="2102"/>
    <s v="Consolidación productiva del sector de energía eléctrica (2102)"/>
    <s v="2102069"/>
    <s v="Garantizar 51.229 lámparas de alumbrado público para la prestación del servicio de alumbrado público en el Municipio de Bucaramanga"/>
    <s v="2024680010189"/>
    <s v="MANTENIMIENTO DEL SISTEMA DE ALUMBRADO PÚBLICO DEL MUNICIPIO DE BUCARAMANGA"/>
    <n v="81553013348.210007"/>
    <n v="19568000000"/>
    <s v="01 - COMUNA NORTE_x000d__x000a_02 - COMUNA NORORIENTAL_x000d__x000a_03 - COMUNA SAN FRANCISCO_x000d__x000a_04 - COMUNA OCCIDENTAL_x000d__x000a_05 - COMUNA GARCIA ROVIRA_x000d__x000a_06 - COMUNA LA CONCORDIA_x000d__x000a_07 - COMUNA CIUDADELA REAL DE MINAS_x000d__x000a_08 - COMUNA SUROCCIDENTE_x000d__x000a_09 - COMUNA LA PEDREGOSA_x000d__x000a_10 - COMUNA PROVENZA_x000d__x000a_11 - COMUNA SUR_x000d__x000a_12 - COMUNA CABECERA DEL LLANO_x000d__x000a_13 - COMUNA ORIENTAL_x000d__x000a_14 - COMUNA MORRORICO_x000d__x000a_15 - COMUNA CENTRO_x000d__x000a_16 - COMUNA TEJAR_x000d__x000a_17 - COMUNA MUTIS_x000d__x000a_CORREGIMIENTO 1_x000d__x000a_CORREGIMIENTO 2_x000d__x000a_CORREGIMIENTO 3"/>
    <s v="Población en general"/>
    <n v="605047"/>
    <s v="Actividades de mantenimiento y modernización del alumbrado publico"/>
    <n v="19568000000"/>
    <m/>
    <m/>
    <m/>
    <m/>
    <m/>
    <m/>
    <m/>
    <m/>
    <m/>
    <m/>
    <m/>
    <m/>
    <m/>
    <m/>
    <n v="19568000000"/>
    <n v="1777745769"/>
    <m/>
    <m/>
    <m/>
    <m/>
    <m/>
    <m/>
    <m/>
    <m/>
    <m/>
    <m/>
    <m/>
    <m/>
    <m/>
    <m/>
    <n v="1777745769"/>
    <n v="223212983.34"/>
    <n v="223212983.34"/>
    <n v="9.084964068887981E-2"/>
    <n v="1.1407041258176615E-2"/>
    <n v="1.1407041258176615E-2"/>
    <m/>
    <s v="_"/>
    <m/>
    <m/>
    <m/>
  </r>
  <r>
    <x v="0"/>
    <s v="Territorio seguro que protege"/>
    <s v="Minas y energía."/>
    <s v="2102"/>
    <s v="Consolidación productiva del sector de energía eléctrica (2102)"/>
    <s v="2102069"/>
    <s v="Garantizar 51.229 lámparas de alumbrado público para la prestación del servicio de alumbrado público en el Municipio de Bucaramanga"/>
    <s v="2024680010226"/>
    <s v="MODERNIZACIÓN DEL SISTEMA DE ILUMINACIÓN DEL VIADUCTO PROVINCIAL DE LA CARRERA NOVENA: ALEJANDRO GALVIS RAMÍREZ DEL MUNICIPIO DE BUCARAMANGA"/>
    <n v="22446003612"/>
    <n v="22446003612"/>
    <m/>
    <m/>
    <m/>
    <m/>
    <n v="0"/>
    <m/>
    <m/>
    <m/>
    <m/>
    <m/>
    <m/>
    <m/>
    <m/>
    <m/>
    <m/>
    <m/>
    <m/>
    <m/>
    <m/>
    <n v="0"/>
    <n v="0"/>
    <m/>
    <m/>
    <m/>
    <m/>
    <m/>
    <m/>
    <m/>
    <m/>
    <m/>
    <m/>
    <m/>
    <m/>
    <m/>
    <m/>
    <n v="0"/>
    <n v="0"/>
    <n v="0"/>
    <e v="#DIV/0!"/>
    <e v="#DIV/0!"/>
    <e v="#DIV/0!"/>
    <m/>
    <s v="_"/>
    <m/>
    <m/>
    <m/>
  </r>
  <r>
    <x v="0"/>
    <s v="Territorio seguro que protege"/>
    <s v="Minas y energía."/>
    <s v="2102"/>
    <s v="Consolidación productiva del sector de energía eléctrica (2102)"/>
    <s v="2102069"/>
    <s v="Garantizar 51.229 lámparas de alumbrado público para la prestación del servicio de alumbrado público en el Municipio de Bucaramanga"/>
    <s v="202500000013584"/>
    <s v="MODERNIZACIÓN DEL ALUMBRADO PÚBLICO DE LA CARRERA 33 ENTRE EL VIADUCTO LA FLORA Y LA AVENIDA QUEBRADA SECA; CARRERA 33A ENTRE LA CALLE 34 Y LA CALLE 14 Y, CALLE 14 ENTRE LA CARRERA 33A Y LA GLORIETA DEL ESTADIO AMÉRICO MONTANINI DEL MUNICIPIO DE BUCARAMANGA, "/>
    <n v="14816314413"/>
    <n v="14816314413"/>
    <m/>
    <m/>
    <m/>
    <m/>
    <n v="14816314413"/>
    <m/>
    <m/>
    <m/>
    <m/>
    <m/>
    <m/>
    <m/>
    <m/>
    <m/>
    <m/>
    <m/>
    <m/>
    <m/>
    <m/>
    <n v="14816314413"/>
    <n v="0"/>
    <m/>
    <m/>
    <m/>
    <m/>
    <m/>
    <m/>
    <m/>
    <m/>
    <m/>
    <m/>
    <m/>
    <m/>
    <m/>
    <m/>
    <n v="0"/>
    <m/>
    <m/>
    <n v="0"/>
    <n v="0"/>
    <n v="0"/>
    <m/>
    <s v="_"/>
    <m/>
    <m/>
    <m/>
  </r>
  <r>
    <x v="0"/>
    <s v="Territorio seguro que protege"/>
    <s v="Minas y energía."/>
    <s v="2102"/>
    <s v="Consolidación productiva del sector de energía eléctrica (2102)"/>
    <s v="2102069"/>
    <s v="Garantizar 51.229 lámparas de alumbrado público para la prestación del servicio de alumbrado público en el Municipio de Bucaramanga"/>
    <s v="202500000015897"/>
    <s v="MODERNIZACIÓN DEL ALUMBRADO PÚBLICO EN DISTINTOS SECTORES DEL MUNICIPIO DE BUCARAMANGA (VARIAS VIAS), "/>
    <n v="23500000000"/>
    <n v="23500000000"/>
    <m/>
    <m/>
    <m/>
    <m/>
    <n v="23500000000"/>
    <m/>
    <m/>
    <m/>
    <m/>
    <m/>
    <m/>
    <m/>
    <m/>
    <m/>
    <m/>
    <m/>
    <m/>
    <m/>
    <m/>
    <n v="23500000000"/>
    <n v="0"/>
    <m/>
    <m/>
    <m/>
    <m/>
    <m/>
    <m/>
    <m/>
    <m/>
    <m/>
    <m/>
    <m/>
    <m/>
    <m/>
    <m/>
    <n v="0"/>
    <m/>
    <m/>
    <n v="0"/>
    <n v="0"/>
    <n v="0"/>
    <m/>
    <s v="_"/>
    <m/>
    <m/>
    <m/>
  </r>
  <r>
    <x v="1"/>
    <s v="Territorio seguro que protege"/>
    <s v="Minas y energía."/>
    <s v="2102"/>
    <s v="Consolidación productiva del sector de energía eléctrica (2102)"/>
    <s v="2102008"/>
    <s v="Elaborar 2 Documentos de estudio técnico para  mejorar la prestacion de servicio de alumbrado público."/>
    <m/>
    <m/>
    <m/>
    <m/>
    <m/>
    <m/>
    <m/>
    <m/>
    <n v="0"/>
    <m/>
    <m/>
    <m/>
    <m/>
    <n v="0"/>
    <m/>
    <m/>
    <m/>
    <m/>
    <n v="0"/>
    <m/>
    <m/>
    <n v="0"/>
    <m/>
    <n v="0"/>
    <n v="0"/>
    <m/>
    <m/>
    <m/>
    <m/>
    <m/>
    <m/>
    <m/>
    <m/>
    <m/>
    <m/>
    <m/>
    <m/>
    <m/>
    <m/>
    <n v="0"/>
    <n v="0"/>
    <n v="0"/>
    <e v="#DIV/0!"/>
    <e v="#DIV/0!"/>
    <e v="#DIV/0!"/>
    <m/>
    <s v="_"/>
    <s v="Secretaría de Infraestructura-Alumbrado Público"/>
    <s v="María del Rosario Torres Vargas"/>
    <n v="11.16"/>
  </r>
  <r>
    <x v="2"/>
    <s v="Territorio seguro que protege"/>
    <s v="Minas y energía."/>
    <s v="2106"/>
    <s v="Gestión de la información en el sector minero energético (2106)"/>
    <s v="2106029"/>
    <s v="Implementar un sistema de gestión y monitoreo de la información del alumbrado público  acorde a RETILAP."/>
    <s v="2024680010205"/>
    <s v="ADQUISICIÓN DE HERRAMIENTAS TECNOLOGICAS PARA LA ADMINSITRACION OPERACIÓN Y MANTENIMIENTO DEL ALUMBRADO PUBLICO DE BUCARAMANGA"/>
    <n v="2485171685.9299998"/>
    <n v="650000000"/>
    <m/>
    <m/>
    <m/>
    <m/>
    <n v="650000000"/>
    <m/>
    <m/>
    <m/>
    <m/>
    <n v="0"/>
    <m/>
    <m/>
    <m/>
    <m/>
    <n v="0"/>
    <m/>
    <m/>
    <m/>
    <m/>
    <n v="650000000"/>
    <n v="0"/>
    <m/>
    <m/>
    <m/>
    <m/>
    <m/>
    <m/>
    <m/>
    <m/>
    <m/>
    <m/>
    <m/>
    <m/>
    <m/>
    <m/>
    <n v="0"/>
    <n v="0"/>
    <n v="0"/>
    <n v="0"/>
    <n v="0"/>
    <n v="0"/>
    <m/>
    <s v="_"/>
    <s v="Secretaría de Infraestructura-Alumbrado Público"/>
    <s v="María del Rosario Torres Vargas"/>
    <n v="16"/>
  </r>
  <r>
    <x v="3"/>
    <s v="Territorio seguro y sostenible"/>
    <s v="Vivienda Ciudad y Territorio"/>
    <s v="4002"/>
    <s v="Ordenamiento Territorial y Desarrollo urbano. (4002)."/>
    <s v="4002020"/>
    <s v="Adecuar 300,000 metros cuadrados de espacio púbico. (4002020)"/>
    <n v="2024680010076"/>
    <s v="ADECUACIÓN DEL ESPACIO PÚBLICO Y ZONAS DE PARQUEO DEL MUNICIPIO DE BUCARAMANGA, SANTANDER"/>
    <n v="1040039097"/>
    <n v="1040039097"/>
    <m/>
    <m/>
    <m/>
    <m/>
    <n v="1040039097"/>
    <m/>
    <m/>
    <m/>
    <m/>
    <n v="0"/>
    <m/>
    <m/>
    <m/>
    <m/>
    <n v="0"/>
    <m/>
    <m/>
    <n v="0"/>
    <m/>
    <n v="1040039097"/>
    <n v="0"/>
    <m/>
    <m/>
    <m/>
    <m/>
    <m/>
    <m/>
    <m/>
    <m/>
    <m/>
    <m/>
    <m/>
    <m/>
    <m/>
    <m/>
    <n v="0"/>
    <m/>
    <m/>
    <n v="0"/>
    <n v="0"/>
    <n v="0"/>
    <m/>
    <s v="_"/>
    <s v="Secretaría de Infraestructura"/>
    <s v="María del Rosario Torres Vargas"/>
    <n v="11.13"/>
  </r>
  <r>
    <x v="3"/>
    <s v="Territorio seguro y sostenible"/>
    <s v="Vivienda Ciudad y Territorio"/>
    <s v="4002"/>
    <s v="Ordenamiento Territorial y Desarrollo urbano. (4002)."/>
    <s v="4002020"/>
    <s v="Adecuar 300,000 metros cuadrados de espacio púbico. (4002020)"/>
    <n v="2024680010050"/>
    <s v="ADECUACIÓN DE ESPACIO PÚBLICO EN EL MARCO DEL DESARROLLO DE LA ESTRATEGIA DE PRESUPUESTOS PARTICIPATIVOS DEL MUNICIPIO DE BUCARAMANGA, SANTANDER"/>
    <n v="45114109841.129997"/>
    <n v="22910408662"/>
    <m/>
    <m/>
    <m/>
    <m/>
    <n v="22910408662"/>
    <m/>
    <m/>
    <m/>
    <m/>
    <m/>
    <m/>
    <m/>
    <m/>
    <m/>
    <m/>
    <m/>
    <m/>
    <m/>
    <m/>
    <n v="22910408662"/>
    <n v="0"/>
    <m/>
    <m/>
    <m/>
    <m/>
    <m/>
    <m/>
    <m/>
    <m/>
    <m/>
    <m/>
    <m/>
    <m/>
    <m/>
    <m/>
    <n v="0"/>
    <m/>
    <m/>
    <n v="0"/>
    <n v="0"/>
    <n v="0"/>
    <m/>
    <s v="_"/>
    <m/>
    <m/>
    <m/>
  </r>
  <r>
    <x v="3"/>
    <s v="Territorio seguro y sostenible"/>
    <s v="Vivienda Ciudad y Territorio"/>
    <s v="4002"/>
    <s v="Ordenamiento Territorial y Desarrollo urbano. (4002)."/>
    <s v="4002020"/>
    <s v="Adecuar 300,000 metros cuadrados de espacio púbico. (4002020)"/>
    <n v="2024680010050"/>
    <s v="ADECUACIÓN DE ESPACIO PÚBLICO EN EL MARCO DEL DESARROLLO DE LA ESTRATEGIA DE PRESUPUESTOS PARTICIPATIVOS DEL MUNICIPIO DE BUCARAMANGA, SANTANDER"/>
    <m/>
    <n v="1224198361"/>
    <m/>
    <m/>
    <m/>
    <m/>
    <n v="1224198361"/>
    <m/>
    <m/>
    <m/>
    <m/>
    <m/>
    <m/>
    <m/>
    <m/>
    <m/>
    <m/>
    <m/>
    <m/>
    <m/>
    <m/>
    <n v="1224198361"/>
    <n v="0"/>
    <m/>
    <m/>
    <m/>
    <m/>
    <m/>
    <m/>
    <m/>
    <m/>
    <m/>
    <m/>
    <m/>
    <m/>
    <m/>
    <m/>
    <n v="0"/>
    <m/>
    <m/>
    <n v="0"/>
    <n v="0"/>
    <n v="0"/>
    <m/>
    <s v="_"/>
    <m/>
    <m/>
    <m/>
  </r>
  <r>
    <x v="3"/>
    <s v="Territorio seguro y sostenible"/>
    <s v="Vivienda Ciudad y Territorio"/>
    <s v="4002"/>
    <s v="Ordenamiento Territorial y Desarrollo urbano. (4002)."/>
    <s v="4002020"/>
    <s v="Adecuar 300,000 metros cuadrados de espacio púbico. (4002020)"/>
    <n v="202500000019302"/>
    <s v="MEJORAMIENTO DE LA INFRAESTRUCTURA URBANA Y CALIDAD AMBIENTAL DENTRO DE LA ESTRATEGIA CENTRO CAMINABLE EN EL MUNICIPIO DE BUCARAMANGA, SANTANDER"/>
    <n v="2740728019.29"/>
    <n v="2740728019.29"/>
    <m/>
    <m/>
    <m/>
    <m/>
    <n v="2740728019.29"/>
    <m/>
    <m/>
    <m/>
    <m/>
    <m/>
    <m/>
    <m/>
    <m/>
    <m/>
    <m/>
    <m/>
    <m/>
    <m/>
    <m/>
    <n v="2740728019.29"/>
    <n v="2740728019.29"/>
    <m/>
    <m/>
    <m/>
    <m/>
    <m/>
    <m/>
    <m/>
    <m/>
    <m/>
    <m/>
    <m/>
    <m/>
    <m/>
    <m/>
    <n v="2740728019.29"/>
    <m/>
    <m/>
    <n v="1"/>
    <n v="0"/>
    <n v="0"/>
    <m/>
    <s v="_"/>
    <m/>
    <m/>
    <m/>
  </r>
  <r>
    <x v="3"/>
    <s v="Territorio seguro y sostenible"/>
    <s v="Vivienda Ciudad y Territorio"/>
    <s v="4002"/>
    <s v="Ordenamiento Territorial y Desarrollo urbano. (4002)."/>
    <s v="4002020"/>
    <s v="Adecuar 300,000 metros cuadrados de espacio púbico. (4002020)"/>
    <n v="202500000020181"/>
    <s v="APOYO AL CONTROL DE CUMPLIMIENTO DEL CONTRATO DE OBRA PARA LA CONSTRUCCION  DEL PARQUE BORDE SUR LA VICTORIA EN EL BARRIO LAVICTORIA  EN  EL MUNICIPIO DE BUCARAMANGA"/>
    <n v="785643475"/>
    <n v="785643475"/>
    <m/>
    <m/>
    <m/>
    <m/>
    <n v="785643475"/>
    <m/>
    <m/>
    <m/>
    <m/>
    <m/>
    <m/>
    <m/>
    <m/>
    <m/>
    <m/>
    <m/>
    <m/>
    <m/>
    <m/>
    <n v="785643475"/>
    <m/>
    <m/>
    <m/>
    <m/>
    <m/>
    <m/>
    <m/>
    <m/>
    <m/>
    <m/>
    <m/>
    <m/>
    <m/>
    <m/>
    <m/>
    <n v="0"/>
    <m/>
    <m/>
    <n v="0"/>
    <n v="0"/>
    <n v="0"/>
    <m/>
    <s v="_"/>
    <m/>
    <m/>
    <m/>
  </r>
  <r>
    <x v="4"/>
    <s v="Territorio seguro y sostenible"/>
    <s v="Vivienda Ciudad y Territorio"/>
    <s v="4002"/>
    <s v="Ordenamiento Territorial y Desarrollo urbano. (4002)."/>
    <s v="4002021"/>
    <s v="Construir 2 parques nuevos en el municipio"/>
    <m/>
    <m/>
    <m/>
    <m/>
    <m/>
    <m/>
    <m/>
    <m/>
    <n v="0"/>
    <m/>
    <m/>
    <m/>
    <m/>
    <n v="0"/>
    <m/>
    <m/>
    <m/>
    <m/>
    <n v="0"/>
    <m/>
    <m/>
    <n v="0"/>
    <m/>
    <n v="0"/>
    <n v="0"/>
    <m/>
    <m/>
    <m/>
    <m/>
    <m/>
    <m/>
    <m/>
    <m/>
    <m/>
    <m/>
    <m/>
    <m/>
    <m/>
    <m/>
    <n v="0"/>
    <m/>
    <m/>
    <e v="#DIV/0!"/>
    <e v="#DIV/0!"/>
    <e v="#DIV/0!"/>
    <m/>
    <s v="_"/>
    <s v="Secretaría de Infraestructura"/>
    <s v="María del Rosario Torres Vargas"/>
    <n v="11.13"/>
  </r>
  <r>
    <x v="5"/>
    <s v="Territorio seguro y sostenible"/>
    <s v="Vivienda Ciudad y Territorio"/>
    <s v="4002"/>
    <s v="Ordenamiento Territorial y Desarrollo urbano. (4002)."/>
    <s v="4002022"/>
    <s v="Mantener 100 parques en el municipio"/>
    <n v="2024680010045"/>
    <s v="MANTENIMIENTO PERIODIDO DE LA INFRAESTRUCTURA DE PARQUES, EQUIPAMIENTO Y ESPACIO PÚBLICO DEL MUNICIPIO DE BUCARAMANGA SANTANDER"/>
    <m/>
    <n v="3000000000"/>
    <m/>
    <m/>
    <m/>
    <m/>
    <n v="3000000000"/>
    <m/>
    <m/>
    <m/>
    <m/>
    <n v="0"/>
    <m/>
    <m/>
    <m/>
    <m/>
    <n v="0"/>
    <m/>
    <m/>
    <n v="0"/>
    <m/>
    <n v="3000000000"/>
    <n v="0"/>
    <m/>
    <m/>
    <m/>
    <m/>
    <m/>
    <m/>
    <m/>
    <m/>
    <m/>
    <m/>
    <m/>
    <m/>
    <m/>
    <m/>
    <n v="0"/>
    <m/>
    <m/>
    <n v="0"/>
    <n v="0"/>
    <n v="0"/>
    <m/>
    <s v="_"/>
    <s v="Secretaría de Infraestructura"/>
    <s v="María del Rosario Torres Vargas"/>
    <n v="11.13"/>
  </r>
  <r>
    <x v="6"/>
    <s v="Territorio seguro y sostenible"/>
    <s v="Vivienda Ciudad y Territorio"/>
    <s v="4002"/>
    <s v="Ordenamiento Territorial y Desarrollo urbano. (4002)."/>
    <s v="4002026"/>
    <s v="Mantener 1,605,851 metros cuadrados de zonas verdes"/>
    <n v="2024680010046"/>
    <s v="MANTENIMIENTO Y MANEJO INTEGRAL ARBOREO Y DE ZONAS VERDES EN EL MUNICIPIO DE  BUCARAMANGA, SANTANDER"/>
    <m/>
    <n v="10000000000"/>
    <m/>
    <m/>
    <m/>
    <m/>
    <n v="10000000000"/>
    <m/>
    <m/>
    <m/>
    <m/>
    <n v="0"/>
    <m/>
    <m/>
    <m/>
    <m/>
    <n v="0"/>
    <m/>
    <m/>
    <n v="0"/>
    <m/>
    <n v="10000000000"/>
    <n v="617856243"/>
    <m/>
    <m/>
    <m/>
    <m/>
    <m/>
    <m/>
    <m/>
    <m/>
    <m/>
    <m/>
    <m/>
    <m/>
    <m/>
    <m/>
    <n v="617856243"/>
    <m/>
    <m/>
    <n v="6.1785624300000001E-2"/>
    <n v="0"/>
    <n v="0"/>
    <m/>
    <s v="_"/>
    <s v="Secretaría de Infraestructura"/>
    <s v="María del Rosario Torres Vargas"/>
    <n v="11.13"/>
  </r>
  <r>
    <x v="7"/>
    <s v="Territorio seguro y sostenible"/>
    <s v="Minas y energía."/>
    <s v="2102"/>
    <s v="Consolidación productiva del sector de energía eléctrica_x000a_(2102)"/>
    <s v="2102062"/>
    <s v="Apoyar la implementacion de proyectos de fuentes no convencionales de energía que beneficie a 50.000 personas"/>
    <n v="2024680010113"/>
    <s v="IMPLEMENTACIÓN DE PILOTOS DE ENERGIAS ALTERNATIVAS EN EL MUNICPIO DE  BUCARAMANGA"/>
    <n v="3000000000"/>
    <n v="3000000000"/>
    <m/>
    <m/>
    <m/>
    <m/>
    <n v="3000000000"/>
    <m/>
    <m/>
    <m/>
    <m/>
    <n v="0"/>
    <m/>
    <m/>
    <m/>
    <m/>
    <n v="0"/>
    <m/>
    <m/>
    <m/>
    <m/>
    <n v="3000000000"/>
    <n v="0"/>
    <m/>
    <m/>
    <m/>
    <m/>
    <m/>
    <m/>
    <m/>
    <m/>
    <m/>
    <m/>
    <m/>
    <m/>
    <m/>
    <m/>
    <n v="0"/>
    <m/>
    <m/>
    <n v="0"/>
    <n v="0"/>
    <n v="0"/>
    <m/>
    <s v="_"/>
    <s v="Secretaría de Infraestructura"/>
    <s v="María del Rosario Torres Vargas"/>
    <n v="7.11"/>
  </r>
  <r>
    <x v="8"/>
    <s v="Territorio seguro y sostenible"/>
    <s v="Vivienda Ciudad y Territorio"/>
    <s v="4003"/>
    <s v="Acceso de la población a los servicios de agua potable y saneamiento básico._x000a_(4003)"/>
    <s v="4003015"/>
    <s v="Construir 1 acueducto en el sector rural del municipio"/>
    <n v="2024680010249"/>
    <s v="CONSTRUCCIÓN DEL ACUEDUCTOS PARA LAS VEREDAS LA ESMERALDA, SAN IGNACIO Y LA SABANA DEL MUNICIPIO DE BUCARAMANGA"/>
    <m/>
    <n v="12183386530"/>
    <m/>
    <m/>
    <m/>
    <m/>
    <n v="8657015035.7099991"/>
    <m/>
    <m/>
    <m/>
    <m/>
    <n v="0"/>
    <m/>
    <m/>
    <m/>
    <m/>
    <n v="0"/>
    <m/>
    <m/>
    <n v="0"/>
    <m/>
    <n v="8657015035.7099991"/>
    <m/>
    <m/>
    <m/>
    <m/>
    <m/>
    <m/>
    <m/>
    <m/>
    <m/>
    <m/>
    <m/>
    <m/>
    <m/>
    <m/>
    <m/>
    <n v="0"/>
    <m/>
    <m/>
    <n v="0"/>
    <n v="0"/>
    <n v="0"/>
    <m/>
    <s v="_"/>
    <s v="Secretaría de Infraestructura"/>
    <s v="María del Rosario Torres Vargas"/>
    <n v="6.11"/>
  </r>
  <r>
    <x v="9"/>
    <s v="Territorio seguro y sostenible"/>
    <s v="Vivienda Ciudad y Territorio"/>
    <s v="4003"/>
    <s v="Acceso de la población a los servicios de agua potable y saneamiento básico._x000a_(4003)"/>
    <s v="4003017"/>
    <s v="Optimizar 2 acueductos en el sector rural o en barrios legalizados del municipio"/>
    <n v="2022680010102"/>
    <s v="CONSTRUCCIÓN DE ACUEDUCTOS VEREDALES EN VARIOS SECTORES DEL MUNICIPIO DE BUCARAMANGA SANTANDER (SEGUNDA ETAPA CAPILLA BAJA)"/>
    <m/>
    <n v="1237783964"/>
    <m/>
    <m/>
    <m/>
    <m/>
    <n v="1237783964"/>
    <m/>
    <m/>
    <m/>
    <m/>
    <n v="0"/>
    <m/>
    <m/>
    <m/>
    <m/>
    <n v="0"/>
    <m/>
    <m/>
    <n v="0"/>
    <m/>
    <n v="1237783964"/>
    <m/>
    <m/>
    <m/>
    <m/>
    <m/>
    <m/>
    <m/>
    <m/>
    <m/>
    <m/>
    <m/>
    <m/>
    <m/>
    <m/>
    <m/>
    <n v="0"/>
    <m/>
    <m/>
    <n v="0"/>
    <n v="0"/>
    <n v="0"/>
    <m/>
    <s v="_"/>
    <s v="Secretaría de Infraestructura"/>
    <s v="María del Rosario Torres Vargas"/>
    <n v="6.11"/>
  </r>
  <r>
    <x v="10"/>
    <s v="Territorio seguro y sostenible"/>
    <s v="Vivienda Ciudad y Territorio"/>
    <s v="4003"/>
    <s v="Acceso de la población a los servicios de agua potable y saneamiento básico._x000a_(4003)"/>
    <s v="4003020"/>
    <s v="Optimizar 4 alcantarillados en barrios legalizados del municipio"/>
    <m/>
    <m/>
    <m/>
    <m/>
    <m/>
    <m/>
    <m/>
    <m/>
    <n v="0"/>
    <m/>
    <m/>
    <m/>
    <m/>
    <n v="0"/>
    <m/>
    <m/>
    <m/>
    <m/>
    <n v="0"/>
    <m/>
    <m/>
    <n v="0"/>
    <m/>
    <n v="0"/>
    <m/>
    <m/>
    <m/>
    <m/>
    <m/>
    <m/>
    <m/>
    <m/>
    <m/>
    <m/>
    <m/>
    <m/>
    <m/>
    <m/>
    <m/>
    <n v="0"/>
    <m/>
    <m/>
    <e v="#DIV/0!"/>
    <e v="#DIV/0!"/>
    <e v="#DIV/0!"/>
    <m/>
    <s v="_"/>
    <s v="Secretaría de Infraestructura"/>
    <s v="María del Rosario Torres Vargas"/>
    <n v="611"/>
  </r>
  <r>
    <x v="11"/>
    <s v="Territorio seguro y sostenible"/>
    <s v="Vivienda Ciudad y Territorio"/>
    <s v="4003"/>
    <s v="Acceso de la población a los servicios de agua potable y saneamiento básico._x000a_(4003)"/>
    <s v="4003044"/>
    <s v="Constuir 80 unidades sanitarias con saneamiento básico para vivienda rural"/>
    <n v="2024680010215"/>
    <s v="CONTRUCCIÓN DE POZOS SÉPTICOS PARA EL SANEMIENTO AMBIENTAL EN EL SECTOR RURAL DEL MUNICIPIO DE BUCARAMANGA SANTANDER"/>
    <m/>
    <n v="2316613470"/>
    <m/>
    <m/>
    <m/>
    <m/>
    <n v="2316613470"/>
    <m/>
    <m/>
    <m/>
    <m/>
    <n v="0"/>
    <m/>
    <m/>
    <m/>
    <m/>
    <n v="0"/>
    <m/>
    <m/>
    <n v="0"/>
    <m/>
    <n v="2316613470"/>
    <m/>
    <m/>
    <m/>
    <m/>
    <m/>
    <m/>
    <m/>
    <m/>
    <m/>
    <m/>
    <m/>
    <m/>
    <m/>
    <m/>
    <m/>
    <n v="0"/>
    <m/>
    <m/>
    <n v="0"/>
    <n v="0"/>
    <n v="0"/>
    <m/>
    <s v="_"/>
    <s v="Secretaría de Infraestructura"/>
    <s v="María del Rosario Torres Vargas"/>
    <n v="6.11"/>
  </r>
  <r>
    <x v="12"/>
    <s v="Territorio seguro y sostenible"/>
    <s v="Vivienda Ciudad y Territorio"/>
    <s v="4002"/>
    <s v="Ordenamiento Territorial y Desarrollo urbano. (4002)."/>
    <s v="4002020"/>
    <s v="Adecuar 1000 metros cuadrado de equipamientos comunitarios complementarios para los programas y/o proyectos de soluciones de vivienda en espacio público del municipio "/>
    <m/>
    <m/>
    <m/>
    <m/>
    <m/>
    <m/>
    <m/>
    <m/>
    <n v="0"/>
    <m/>
    <m/>
    <m/>
    <m/>
    <n v="0"/>
    <m/>
    <m/>
    <m/>
    <m/>
    <n v="0"/>
    <m/>
    <m/>
    <n v="0"/>
    <m/>
    <n v="0"/>
    <m/>
    <m/>
    <m/>
    <m/>
    <m/>
    <m/>
    <m/>
    <m/>
    <m/>
    <m/>
    <m/>
    <m/>
    <m/>
    <m/>
    <m/>
    <n v="0"/>
    <m/>
    <m/>
    <e v="#DIV/0!"/>
    <e v="#DIV/0!"/>
    <e v="#DIV/0!"/>
    <m/>
    <s v="_"/>
    <s v="Secretaría de Infraestructura"/>
    <s v="María del Rosario Torres Vargas"/>
    <n v="11.13"/>
  </r>
  <r>
    <x v="13"/>
    <s v="Territorio seguro que progresa"/>
    <s v="Agricultura y desarrollo rural"/>
    <s v="1709"/>
    <s v="Infraestructura productiva y comercialización (1709)"/>
    <s v="1709078"/>
    <s v="Adecuar 1 Plaza de mercado"/>
    <m/>
    <m/>
    <m/>
    <m/>
    <m/>
    <m/>
    <m/>
    <m/>
    <n v="0"/>
    <m/>
    <m/>
    <m/>
    <m/>
    <n v="0"/>
    <m/>
    <m/>
    <m/>
    <m/>
    <n v="0"/>
    <m/>
    <m/>
    <n v="0"/>
    <m/>
    <n v="0"/>
    <m/>
    <m/>
    <m/>
    <m/>
    <m/>
    <m/>
    <m/>
    <m/>
    <m/>
    <m/>
    <m/>
    <m/>
    <m/>
    <m/>
    <m/>
    <n v="0"/>
    <m/>
    <m/>
    <e v="#DIV/0!"/>
    <e v="#DIV/0!"/>
    <e v="#DIV/0!"/>
    <m/>
    <s v="_"/>
    <s v="Secretaría de Infraestructura"/>
    <s v="María del Rosario Torres Vargas"/>
    <n v="2.12"/>
  </r>
  <r>
    <x v="14"/>
    <s v="Territorio seguro que progresa"/>
    <s v="Transporte."/>
    <s v="2401"/>
    <s v="Infraestructura red vial primaria (2401)."/>
    <s v="2401008"/>
    <s v="Mejorar 1 Vía primaria de los corredores estratégicos del municipio. "/>
    <m/>
    <m/>
    <m/>
    <m/>
    <m/>
    <m/>
    <m/>
    <m/>
    <n v="0"/>
    <m/>
    <m/>
    <m/>
    <m/>
    <n v="0"/>
    <m/>
    <m/>
    <m/>
    <m/>
    <n v="0"/>
    <m/>
    <m/>
    <n v="0"/>
    <m/>
    <n v="0"/>
    <m/>
    <m/>
    <m/>
    <m/>
    <m/>
    <m/>
    <m/>
    <m/>
    <m/>
    <m/>
    <m/>
    <m/>
    <m/>
    <m/>
    <m/>
    <n v="0"/>
    <m/>
    <m/>
    <e v="#DIV/0!"/>
    <e v="#DIV/0!"/>
    <e v="#DIV/0!"/>
    <m/>
    <s v="_"/>
    <s v="Secretaría de Infraestructura"/>
    <s v="María del Rosario Torres Vargas"/>
    <n v="11"/>
  </r>
  <r>
    <x v="15"/>
    <s v="Territorio seguro que progresa"/>
    <s v="Transporte."/>
    <s v="2402"/>
    <s v="Infraestructura red vial regional (2402)"/>
    <s v="2402120"/>
    <s v="Realizar mantenimiento a 10 puentes peatonales"/>
    <n v="2024680010248"/>
    <s v="CONSTRUCCIÓN DE PUENTES PEATONALES Y MANTENIMIENTO  DE PUENTES VEHICULARES Y PEATONALES  EN EL MUNICIPIO DE BUCARAMANGA"/>
    <m/>
    <n v="500000000"/>
    <m/>
    <m/>
    <m/>
    <m/>
    <n v="350000000"/>
    <m/>
    <m/>
    <m/>
    <m/>
    <n v="150000000"/>
    <m/>
    <m/>
    <m/>
    <m/>
    <n v="0"/>
    <m/>
    <m/>
    <n v="0"/>
    <m/>
    <n v="500000000"/>
    <m/>
    <m/>
    <m/>
    <m/>
    <m/>
    <m/>
    <m/>
    <m/>
    <m/>
    <m/>
    <m/>
    <m/>
    <m/>
    <m/>
    <m/>
    <n v="0"/>
    <m/>
    <m/>
    <n v="0"/>
    <n v="0"/>
    <n v="0"/>
    <m/>
    <s v="_"/>
    <s v="Secretaría de Infraestructura"/>
    <s v="María del Rosario Torres Vargas"/>
    <n v="11"/>
  </r>
  <r>
    <x v="16"/>
    <s v="Territorio seguro que progresa"/>
    <s v="Transporte."/>
    <s v="2402"/>
    <s v="Infraestructura red vial regional (2402)"/>
    <s v="2402119"/>
    <s v="Construir 1 Puente en vía urbana existente de la ciudad "/>
    <n v="2023680010060"/>
    <s v="CONSTRUCCCIÓN DEL PUENTE NARIÑO SOBRE EL RIO DE ORO EN LA JURISDICCIÓN DE LOS MUNICIPIOS DE BUCARAMANGA Y GIRÓN DEPARTAMENTO DE SANTANDER"/>
    <m/>
    <n v="4716067533"/>
    <m/>
    <m/>
    <m/>
    <m/>
    <n v="4716067533"/>
    <m/>
    <m/>
    <m/>
    <m/>
    <n v="0"/>
    <m/>
    <m/>
    <m/>
    <m/>
    <n v="0"/>
    <m/>
    <m/>
    <n v="0"/>
    <m/>
    <n v="4716067533"/>
    <m/>
    <m/>
    <m/>
    <m/>
    <m/>
    <m/>
    <m/>
    <m/>
    <m/>
    <m/>
    <m/>
    <m/>
    <m/>
    <m/>
    <m/>
    <n v="0"/>
    <m/>
    <m/>
    <n v="0"/>
    <n v="0"/>
    <n v="0"/>
    <m/>
    <s v="_"/>
    <s v="Secretaría de Infraestructura"/>
    <s v="María del Rosario Torres Vargas"/>
    <n v="11"/>
  </r>
  <r>
    <x v="17"/>
    <s v="Territorio seguro que progresa"/>
    <s v="Transporte."/>
    <s v="2401"/>
    <s v="Infraestructura red vial primaria (2401)"/>
    <s v="2401039"/>
    <s v="Construir 2 puentes peatonales en la red vial de la ciudad"/>
    <n v="2024680010248"/>
    <s v="CONSTRUCCIÓN DE PUENTES PEATONALES Y MANTENIMIENTO  DE PUENTES VEHICULARES Y PEATONALES  EN EL MUNICIPIO DE BUCARAMANGA"/>
    <m/>
    <n v="3000000000"/>
    <m/>
    <m/>
    <m/>
    <m/>
    <n v="3000000000"/>
    <m/>
    <m/>
    <m/>
    <m/>
    <n v="0"/>
    <m/>
    <m/>
    <m/>
    <m/>
    <n v="0"/>
    <m/>
    <m/>
    <n v="0"/>
    <m/>
    <n v="3000000000"/>
    <m/>
    <m/>
    <m/>
    <m/>
    <m/>
    <m/>
    <m/>
    <m/>
    <m/>
    <m/>
    <m/>
    <m/>
    <m/>
    <m/>
    <m/>
    <n v="0"/>
    <m/>
    <m/>
    <n v="0"/>
    <n v="0"/>
    <n v="0"/>
    <m/>
    <s v="_"/>
    <s v="Secretaría de Infraestructura"/>
    <s v="María del Rosario Torres Vargas"/>
    <n v="11"/>
  </r>
  <r>
    <x v="18"/>
    <s v="Territorio seguro que progresa"/>
    <s v="Transporte."/>
    <s v="2402"/>
    <s v="Infraestructura red vial regional (2402)"/>
    <s v="2402083"/>
    <s v="Realizar mantenimiento a 5 Puentes vehiculares de la red vial urbana"/>
    <n v="2024680010248"/>
    <s v="CONSTRUCCIÓN DE PUENTES PEATONALES Y MANTENIMIENTO  DE PUENTES VEHICULARES Y PEATONALES  EN EL MUNICIPIO DE BUCARAMANGA"/>
    <m/>
    <n v="4000000000"/>
    <m/>
    <m/>
    <m/>
    <m/>
    <n v="4000000000"/>
    <m/>
    <m/>
    <m/>
    <m/>
    <n v="0"/>
    <m/>
    <m/>
    <m/>
    <m/>
    <n v="0"/>
    <m/>
    <m/>
    <n v="0"/>
    <m/>
    <n v="4000000000"/>
    <m/>
    <m/>
    <m/>
    <m/>
    <m/>
    <m/>
    <m/>
    <m/>
    <m/>
    <m/>
    <m/>
    <m/>
    <m/>
    <m/>
    <m/>
    <n v="0"/>
    <m/>
    <m/>
    <n v="0"/>
    <n v="0"/>
    <n v="0"/>
    <m/>
    <s v="_"/>
    <s v="Secretaría de Infraestructura"/>
    <s v="María del Rosario Torres Vargas"/>
    <n v="11"/>
  </r>
  <r>
    <x v="19"/>
    <s v="Territorio seguro que progresa"/>
    <s v="Transporte."/>
    <s v="2402"/>
    <s v="Infraestructura red vial regional (2402)"/>
    <s v="2402044"/>
    <s v="Construir 1 Puente vehicular en vía terciaria de la ciudad"/>
    <m/>
    <m/>
    <m/>
    <m/>
    <m/>
    <m/>
    <m/>
    <m/>
    <n v="0"/>
    <m/>
    <m/>
    <m/>
    <m/>
    <n v="0"/>
    <m/>
    <m/>
    <m/>
    <m/>
    <n v="0"/>
    <m/>
    <m/>
    <n v="0"/>
    <m/>
    <n v="0"/>
    <m/>
    <m/>
    <m/>
    <m/>
    <m/>
    <m/>
    <m/>
    <m/>
    <m/>
    <m/>
    <m/>
    <m/>
    <m/>
    <m/>
    <m/>
    <n v="0"/>
    <m/>
    <m/>
    <e v="#DIV/0!"/>
    <e v="#DIV/0!"/>
    <e v="#DIV/0!"/>
    <m/>
    <s v="_"/>
    <s v="Secretaría de Infraestructura"/>
    <s v="María del Rosario Torres Vargas"/>
    <n v="11"/>
  </r>
  <r>
    <x v="20"/>
    <s v="Territorio seguro que progresa"/>
    <s v="Transporte."/>
    <s v="2402"/>
    <s v="Infraestructura red vial regional (2402)"/>
    <s v="2402118"/>
    <s v="Realizar 4 Estudios de preinversión para la red vial regional"/>
    <n v="2024680010248"/>
    <s v="CONSTRUCCIÓN DE PUENTES PEATONALES Y MANTENIMIENTO  DE PUENTES VEHICULARES Y PEATONALES  EN EL MUNICIPIO DE BUCARAMANGA"/>
    <m/>
    <n v="1500000000"/>
    <m/>
    <m/>
    <m/>
    <m/>
    <n v="1500000000"/>
    <m/>
    <m/>
    <m/>
    <m/>
    <n v="0"/>
    <m/>
    <m/>
    <m/>
    <m/>
    <n v="0"/>
    <m/>
    <m/>
    <n v="0"/>
    <m/>
    <n v="1500000000"/>
    <m/>
    <m/>
    <m/>
    <m/>
    <m/>
    <m/>
    <m/>
    <m/>
    <m/>
    <m/>
    <m/>
    <m/>
    <m/>
    <m/>
    <m/>
    <n v="0"/>
    <m/>
    <m/>
    <n v="0"/>
    <n v="0"/>
    <n v="0"/>
    <m/>
    <s v="_"/>
    <s v="Secretaría de Infraestructura"/>
    <s v="María del Rosario Torres Vargas"/>
    <n v="11"/>
  </r>
  <r>
    <x v="21"/>
    <s v="Territorio seguro que progresa"/>
    <s v="Transporte."/>
    <s v="2402"/>
    <s v="Infraestructura red vial regional (2402)"/>
    <s v="2402113"/>
    <s v="Construir 1 Vía urbana en la ciudad. "/>
    <n v="2022680010100"/>
    <s v="CONSTRUCCION DE LA SOLUCION VIAL DE LA CALLE 53 Y CALLE 54 DE LA CONEXION ORIENTE - OCCIDENTE DEL MUNICIPIO DE BUCARAMANGA"/>
    <m/>
    <n v="3591809429"/>
    <m/>
    <m/>
    <m/>
    <m/>
    <n v="3591809429"/>
    <m/>
    <m/>
    <m/>
    <m/>
    <n v="0"/>
    <m/>
    <m/>
    <m/>
    <m/>
    <n v="0"/>
    <m/>
    <m/>
    <n v="0"/>
    <m/>
    <n v="3591809429"/>
    <m/>
    <m/>
    <m/>
    <m/>
    <m/>
    <m/>
    <m/>
    <m/>
    <m/>
    <m/>
    <m/>
    <m/>
    <m/>
    <m/>
    <m/>
    <n v="0"/>
    <m/>
    <m/>
    <n v="0"/>
    <n v="0"/>
    <n v="0"/>
    <m/>
    <s v="_"/>
    <s v="Secretaría de Infraestructura"/>
    <s v="María del Rosario Torres Vargas"/>
    <n v="11"/>
  </r>
  <r>
    <x v="22"/>
    <s v="Territorio seguro que progresa"/>
    <s v="Transporte."/>
    <s v="2402"/>
    <s v="Infraestructura red vial regional (2402)"/>
    <s v="2402114"/>
    <s v="Mejorar 20 Km de Vías urbanas del municipio"/>
    <n v="2024680010051"/>
    <s v="MANTENIMIENTO MEJORAMIENTO Y REHABILITACIÓN DE LA RED VIAL URBANA DEL MUNICIPIO DE BUCARAMANGA, SANTANDER"/>
    <n v="26606590298.330002"/>
    <n v="21906587548.330002"/>
    <m/>
    <m/>
    <m/>
    <m/>
    <n v="8547294004"/>
    <m/>
    <m/>
    <m/>
    <m/>
    <n v="12354998254.33"/>
    <m/>
    <m/>
    <m/>
    <m/>
    <n v="0"/>
    <m/>
    <m/>
    <n v="0"/>
    <m/>
    <n v="20902292258.330002"/>
    <m/>
    <m/>
    <m/>
    <m/>
    <m/>
    <m/>
    <m/>
    <m/>
    <m/>
    <m/>
    <m/>
    <m/>
    <m/>
    <m/>
    <m/>
    <n v="0"/>
    <m/>
    <m/>
    <n v="0"/>
    <n v="0"/>
    <n v="0"/>
    <m/>
    <s v="_"/>
    <s v="Secretaría de Infraestructura"/>
    <s v="María del Rosario Torres Vargas"/>
    <n v="11"/>
  </r>
  <r>
    <x v="22"/>
    <s v="Territorio seguro que progresa"/>
    <s v="Transporte."/>
    <s v="2402"/>
    <s v="Infraestructura red vial regional (2402)"/>
    <s v="2402114"/>
    <s v="Mejorar 20 Km de Vías urbanas del municipio"/>
    <n v="202500000016144"/>
    <s v="MEJORAMIENTO DE LA MALLA VIAL Y ESPACIO PÚBLICO ENMARCADO DENTRO DE LA ESTRATEGIA_x000a_“PLAN REVITALIZACION DEL ESPACIO PUBLICO CENTRO” EN EL MUNICIPIO DE BUCARAMANGA, SANTANDER&quot;"/>
    <n v="1004295290"/>
    <n v="1004295290"/>
    <m/>
    <m/>
    <m/>
    <m/>
    <n v="1004295290"/>
    <m/>
    <m/>
    <m/>
    <m/>
    <m/>
    <m/>
    <m/>
    <m/>
    <m/>
    <m/>
    <m/>
    <m/>
    <m/>
    <m/>
    <n v="1004295290"/>
    <n v="1004295290"/>
    <m/>
    <m/>
    <m/>
    <m/>
    <m/>
    <m/>
    <m/>
    <m/>
    <m/>
    <m/>
    <m/>
    <m/>
    <m/>
    <m/>
    <n v="1004295290"/>
    <n v="52343428.079999998"/>
    <n v="52343428.079999998"/>
    <n v="1"/>
    <n v="5.211955945745797E-2"/>
    <n v="5.211955945745797E-2"/>
    <m/>
    <s v="_"/>
    <m/>
    <m/>
    <m/>
  </r>
  <r>
    <x v="23"/>
    <s v="Territorio seguro que progresa"/>
    <s v="Transporte."/>
    <s v="2402"/>
    <s v="Infraestructura red vial regional (2402)"/>
    <s v="2402115"/>
    <s v="Realizar mantenimiento periódico o rutinario a 80 Km de vías urbanas"/>
    <m/>
    <m/>
    <m/>
    <m/>
    <m/>
    <m/>
    <m/>
    <m/>
    <n v="0"/>
    <m/>
    <m/>
    <m/>
    <m/>
    <n v="0"/>
    <m/>
    <m/>
    <m/>
    <m/>
    <n v="0"/>
    <m/>
    <m/>
    <n v="0"/>
    <m/>
    <n v="0"/>
    <m/>
    <m/>
    <m/>
    <m/>
    <m/>
    <m/>
    <m/>
    <m/>
    <m/>
    <m/>
    <m/>
    <m/>
    <m/>
    <m/>
    <m/>
    <n v="0"/>
    <m/>
    <m/>
    <e v="#DIV/0!"/>
    <e v="#DIV/0!"/>
    <e v="#DIV/0!"/>
    <m/>
    <s v="_"/>
    <s v="Secretaría de Infraestructura"/>
    <s v="María del Rosario Torres Vargas"/>
    <n v="11"/>
  </r>
  <r>
    <x v="24"/>
    <s v="Territorio seguro que progresa"/>
    <s v="Transporte."/>
    <s v="2402"/>
    <s v="Infraestructura red vial regional (2402)"/>
    <s v="2402042"/>
    <s v="Construir 5.000 metros líneales de placa huella en la zona rural"/>
    <n v="2024680010253"/>
    <s v="MEJORAMIENTO DE VÍAS RURALES A TRAVÉS DE PLACA HUELLAS EN EL SECTOR RURAL DEL MUNICIPIO DE BUCARAMANGA,SANTANDER"/>
    <m/>
    <n v="6500000000"/>
    <m/>
    <m/>
    <m/>
    <m/>
    <n v="6100000000"/>
    <m/>
    <m/>
    <m/>
    <m/>
    <n v="400000000"/>
    <m/>
    <m/>
    <m/>
    <m/>
    <n v="0"/>
    <m/>
    <m/>
    <n v="0"/>
    <m/>
    <n v="6500000000"/>
    <m/>
    <m/>
    <m/>
    <m/>
    <m/>
    <m/>
    <m/>
    <m/>
    <m/>
    <m/>
    <m/>
    <m/>
    <m/>
    <m/>
    <m/>
    <n v="0"/>
    <m/>
    <m/>
    <n v="0"/>
    <n v="0"/>
    <n v="0"/>
    <m/>
    <s v="_"/>
    <s v="Secretaría de Infraestructura"/>
    <s v="María del Rosario Torres Vargas"/>
    <n v="11"/>
  </r>
  <r>
    <x v="25"/>
    <s v="Territorio seguro que progresa"/>
    <s v="Transporte."/>
    <s v="2402"/>
    <s v="Infraestructura red vial regional (2402)"/>
    <s v="2402112"/>
    <s v="Realizar el mantenimiento periódico o rutinario a 110 Km de Vías terciarias de la malla vial rural de la ciudad por año. "/>
    <n v="2024680010043"/>
    <s v="MANTENIMIENTO PERIODICO DE LA RED VÍAL RURAL DEL MUNICIPIO DE BUCARMANGA SANTANDER"/>
    <n v="4620379446"/>
    <n v="3000000000"/>
    <s v="CORREGIMIENTOS 1 Y 2"/>
    <s v="Población en general"/>
    <m/>
    <s v="MANTENIMIENTO PERIÓDICO DE LA RED VIAL RURAL DEL MUNICIPIO DE BUCARAMANGA"/>
    <n v="3000000000"/>
    <m/>
    <m/>
    <m/>
    <m/>
    <n v="0"/>
    <m/>
    <m/>
    <m/>
    <m/>
    <n v="0"/>
    <m/>
    <m/>
    <n v="0"/>
    <m/>
    <n v="3000000000"/>
    <n v="181922373"/>
    <m/>
    <m/>
    <m/>
    <m/>
    <m/>
    <m/>
    <m/>
    <m/>
    <m/>
    <m/>
    <m/>
    <m/>
    <m/>
    <m/>
    <n v="181922373"/>
    <n v="0"/>
    <n v="0"/>
    <n v="6.0640790999999999E-2"/>
    <n v="0"/>
    <n v="0"/>
    <m/>
    <s v="_"/>
    <s v="Secretaría de Infraestructura"/>
    <s v="María del Rosario Torres Vargas"/>
    <n v="11"/>
  </r>
  <r>
    <x v="26"/>
    <s v="Territorio seguro que progresa"/>
    <s v="Transporte."/>
    <s v="2402"/>
    <s v="Infraestructura red vial regional (2402)"/>
    <s v="2402070"/>
    <s v="Construir 1 Paso deprimido en vía urbana de la ciudad"/>
    <m/>
    <m/>
    <m/>
    <m/>
    <m/>
    <m/>
    <m/>
    <m/>
    <n v="0"/>
    <m/>
    <m/>
    <m/>
    <m/>
    <n v="0"/>
    <m/>
    <m/>
    <m/>
    <m/>
    <n v="0"/>
    <m/>
    <m/>
    <n v="0"/>
    <m/>
    <n v="0"/>
    <m/>
    <m/>
    <m/>
    <m/>
    <m/>
    <m/>
    <m/>
    <m/>
    <m/>
    <m/>
    <m/>
    <m/>
    <m/>
    <m/>
    <m/>
    <n v="0"/>
    <m/>
    <m/>
    <e v="#DIV/0!"/>
    <e v="#DIV/0!"/>
    <e v="#DIV/0!"/>
    <m/>
    <s v="_"/>
    <s v="Secretaría de Infraestructura"/>
    <s v="María del Rosario Torres Vargas"/>
    <n v="11"/>
  </r>
  <r>
    <x v="27"/>
    <s v="Territorio seguro que progresa"/>
    <s v="Transporte."/>
    <s v="2402"/>
    <s v="Infraestructura red vial regional (2402)"/>
    <s v="2402062"/>
    <s v="Construir 1 intercambiador en vía urbana de la ciudad"/>
    <m/>
    <m/>
    <m/>
    <m/>
    <m/>
    <m/>
    <m/>
    <m/>
    <n v="0"/>
    <m/>
    <m/>
    <m/>
    <m/>
    <n v="0"/>
    <m/>
    <m/>
    <m/>
    <m/>
    <n v="0"/>
    <m/>
    <m/>
    <n v="0"/>
    <m/>
    <n v="0"/>
    <m/>
    <m/>
    <m/>
    <m/>
    <m/>
    <m/>
    <m/>
    <m/>
    <m/>
    <m/>
    <m/>
    <m/>
    <m/>
    <m/>
    <m/>
    <n v="0"/>
    <m/>
    <m/>
    <e v="#DIV/0!"/>
    <e v="#DIV/0!"/>
    <e v="#DIV/0!"/>
    <m/>
    <s v="_"/>
    <s v="Secretaría de Infraestructura"/>
    <s v="María del Rosario Torres Vargas"/>
    <n v="11"/>
  </r>
  <r>
    <x v="28"/>
    <s v="Territorio seguro que progresa"/>
    <s v="Transporte."/>
    <s v="2402"/>
    <s v="Infraestructura red vial regional (2402)"/>
    <s v="2402094"/>
    <s v="Realizar mantenimiento y/o adecuación y/o reubicación a 10.000 mts de ciclo infraestructuras urbanas del municipio"/>
    <m/>
    <m/>
    <m/>
    <m/>
    <m/>
    <m/>
    <m/>
    <m/>
    <n v="0"/>
    <m/>
    <m/>
    <m/>
    <m/>
    <n v="0"/>
    <m/>
    <m/>
    <m/>
    <m/>
    <n v="0"/>
    <m/>
    <m/>
    <n v="0"/>
    <m/>
    <n v="0"/>
    <m/>
    <m/>
    <m/>
    <m/>
    <m/>
    <m/>
    <m/>
    <m/>
    <m/>
    <m/>
    <m/>
    <m/>
    <m/>
    <m/>
    <m/>
    <n v="0"/>
    <m/>
    <m/>
    <e v="#DIV/0!"/>
    <e v="#DIV/0!"/>
    <e v="#DIV/0!"/>
    <m/>
    <s v="_"/>
    <s v="Secretaría de Infraestructura"/>
    <s v="María del Rosario Torres Vargas"/>
    <n v="11.13"/>
  </r>
  <r>
    <x v="29"/>
    <s v="Territorio seguro que progresa"/>
    <s v="Minas y energía."/>
    <s v="2101"/>
    <s v="Acceso al servicio público domiciliario de gas combustible. (2101)"/>
    <s v="2101016"/>
    <s v="Conectar a 200 viviendas con redes domiciliarias de gas combustible en el municipio. "/>
    <n v="2024680010210"/>
    <s v="CONSTRUCCIÓN  DE CONEXIONES E INSTALACIONES INTERNAS A LA RED DE DISTRIBUCIÓN LOCAL DE GAS DOMICILIARIO DE USUARIOS DE MENORES INGRESOS DE LOS ESTRATOS 1, 2 Y 3 DEL MUNICIPIO DE BUCARAMANGA "/>
    <n v="923225475"/>
    <n v="923225475"/>
    <m/>
    <m/>
    <m/>
    <m/>
    <n v="500000000"/>
    <m/>
    <m/>
    <m/>
    <m/>
    <n v="0"/>
    <m/>
    <m/>
    <m/>
    <m/>
    <n v="0"/>
    <m/>
    <m/>
    <n v="0"/>
    <m/>
    <n v="500000000"/>
    <m/>
    <m/>
    <m/>
    <m/>
    <m/>
    <m/>
    <m/>
    <m/>
    <m/>
    <m/>
    <m/>
    <m/>
    <m/>
    <m/>
    <m/>
    <n v="0"/>
    <m/>
    <m/>
    <n v="0"/>
    <n v="0"/>
    <n v="0"/>
    <m/>
    <s v="_"/>
    <s v="Secretaría de Infraestructura"/>
    <s v="María del Rosario Torres Vargas"/>
    <n v="10"/>
  </r>
  <r>
    <x v="30"/>
    <s v="Territorio seguro que progresa"/>
    <s v="Vivienda Ciudad y Territorio"/>
    <s v="4003"/>
    <s v="Acceso de la población a los servicios de agua potable y saneamiento básico (4003)."/>
    <s v="4003047"/>
    <s v="Beneficiar a 289.645 usuarios con subsidios al consumo en los servicios públicos domiciliarios de acueducto, alcantarillado y aseo en los estratos 1, 2 y 3."/>
    <n v="2024680010048"/>
    <s v="SUBSIDIOS A LOS SERVICIOS PÚBICOS DE ACUEDUCTO, ALCANTARILLADO Y ASELO A LA POBLACIÓN DE ESTRATOS 1, 2 Y 3 DEL MUNICIPIO DE BUCARAMANGA"/>
    <n v="37914658856.470001"/>
    <n v="11341999592"/>
    <s v="Todas las comunas del municipio  de Bucaramanga"/>
    <s v="Población en general"/>
    <n v="289645"/>
    <s v="Pago subsidios a los estratos 1, 2, 3 y pilas publicas"/>
    <m/>
    <m/>
    <m/>
    <m/>
    <m/>
    <m/>
    <m/>
    <m/>
    <m/>
    <n v="11341999592"/>
    <n v="0"/>
    <m/>
    <m/>
    <n v="0"/>
    <m/>
    <n v="11341999592"/>
    <m/>
    <m/>
    <m/>
    <m/>
    <m/>
    <m/>
    <m/>
    <m/>
    <m/>
    <n v="2589345464"/>
    <m/>
    <m/>
    <m/>
    <m/>
    <m/>
    <n v="2589345464"/>
    <n v="2589345464"/>
    <n v="2589345464"/>
    <n v="0.22829708668182078"/>
    <n v="0.22829708668182078"/>
    <n v="0.22829708668182078"/>
    <m/>
    <s v="_"/>
    <s v="Secretaría de Infraestructura"/>
    <s v="María del Rosario Torres Vargas"/>
    <s v="6,10,11"/>
  </r>
  <r>
    <x v="31"/>
    <s v="Territorio seguro que progresa"/>
    <s v="Vivienda Ciudad y Territorio"/>
    <s v="4003"/>
    <s v="Acceso de la población a los servicios de agua potable y saneamiento básico (4003)."/>
    <s v="4003048"/>
    <s v="Transportar y entregar 18.000 metros cúbicos de Agua potable en carrotanques para garantizar el mínimo vital de agua en zonas sin cobertura del municipio."/>
    <n v="2024680010053"/>
    <s v="SUMINISTRO DE AGUA POTABLE PARA GARANTIZAR LA COBERTURA DEL MÍNIMO VITAL DE AGUA A LOS SECTORES DE LOS CORREGIMIENTOS 1, 2, Y 3 DEL MUNICIPIO DE BUCARAMANGA, SANTANDER"/>
    <m/>
    <n v="200000000"/>
    <m/>
    <m/>
    <m/>
    <m/>
    <n v="200000000"/>
    <m/>
    <m/>
    <m/>
    <m/>
    <n v="0"/>
    <m/>
    <m/>
    <m/>
    <m/>
    <n v="0"/>
    <m/>
    <m/>
    <n v="0"/>
    <m/>
    <n v="200000000"/>
    <m/>
    <m/>
    <m/>
    <m/>
    <m/>
    <m/>
    <m/>
    <m/>
    <m/>
    <m/>
    <m/>
    <m/>
    <m/>
    <m/>
    <m/>
    <n v="0"/>
    <m/>
    <m/>
    <n v="0"/>
    <n v="0"/>
    <n v="0"/>
    <m/>
    <s v="_"/>
    <s v="Secretaría de Infraestructura"/>
    <s v="María del Rosario Torres Vargas"/>
    <s v="6,10,11"/>
  </r>
  <r>
    <x v="32"/>
    <s v="Territorio seguro que integra"/>
    <s v="Deporte y recreación"/>
    <s v="4302"/>
    <s v="Formacion y preparacion de deportistas (4302)"/>
    <s v="4302015"/>
    <s v="Construir y dotar (1) pista "/>
    <m/>
    <m/>
    <m/>
    <m/>
    <m/>
    <m/>
    <m/>
    <m/>
    <n v="0"/>
    <m/>
    <m/>
    <m/>
    <m/>
    <n v="0"/>
    <m/>
    <m/>
    <m/>
    <m/>
    <n v="0"/>
    <m/>
    <m/>
    <n v="0"/>
    <m/>
    <n v="0"/>
    <m/>
    <m/>
    <m/>
    <m/>
    <m/>
    <m/>
    <m/>
    <m/>
    <m/>
    <m/>
    <m/>
    <m/>
    <m/>
    <m/>
    <m/>
    <n v="0"/>
    <m/>
    <m/>
    <e v="#DIV/0!"/>
    <e v="#DIV/0!"/>
    <e v="#DIV/0!"/>
    <m/>
    <s v="_"/>
    <s v="Secretaría de Infraestructura"/>
    <s v="María del Rosario Torres Vargas"/>
    <n v="3"/>
  </r>
  <r>
    <x v="33"/>
    <s v="Territorio seguro que integra"/>
    <s v="Deporte y recreación"/>
    <s v="4301"/>
    <s v="Fomento a la recreación, la actividad física y el deporte (4301)."/>
    <s v="4301011"/>
    <s v="Realizar adecuaciones a 4 parques recreativos que tenga en cuenta un enfoque en nuevas disciplinas deportivas."/>
    <m/>
    <m/>
    <m/>
    <m/>
    <m/>
    <m/>
    <m/>
    <m/>
    <n v="0"/>
    <m/>
    <m/>
    <m/>
    <m/>
    <n v="0"/>
    <m/>
    <m/>
    <m/>
    <m/>
    <n v="0"/>
    <m/>
    <m/>
    <n v="0"/>
    <m/>
    <n v="0"/>
    <m/>
    <m/>
    <m/>
    <m/>
    <m/>
    <m/>
    <m/>
    <m/>
    <m/>
    <m/>
    <m/>
    <m/>
    <m/>
    <m/>
    <m/>
    <n v="0"/>
    <m/>
    <m/>
    <e v="#DIV/0!"/>
    <e v="#DIV/0!"/>
    <e v="#DIV/0!"/>
    <m/>
    <s v="_"/>
    <s v="Secretaría de Infraestructura"/>
    <s v="María del Rosario Torres Vargas"/>
    <n v="3"/>
  </r>
  <r>
    <x v="34"/>
    <s v="Territorio seguro que integra"/>
    <s v="Cultura."/>
    <s v="3302"/>
    <s v="Gestión, protección y salvaguardia del patrimonio cultural colombiano. (3302)"/>
    <s v="3302073"/>
    <s v="Brindar 2 servicios de restauración del patrimonio cultural material inmueble de bienes de patrimonio cultural  en el municipio de Bucaramanga_x000a_"/>
    <m/>
    <m/>
    <m/>
    <m/>
    <m/>
    <m/>
    <m/>
    <m/>
    <n v="0"/>
    <m/>
    <m/>
    <m/>
    <m/>
    <n v="0"/>
    <m/>
    <m/>
    <m/>
    <m/>
    <n v="0"/>
    <m/>
    <m/>
    <n v="0"/>
    <m/>
    <n v="0"/>
    <m/>
    <m/>
    <m/>
    <m/>
    <m/>
    <m/>
    <m/>
    <m/>
    <m/>
    <m/>
    <m/>
    <m/>
    <m/>
    <m/>
    <m/>
    <n v="0"/>
    <m/>
    <m/>
    <e v="#DIV/0!"/>
    <e v="#DIV/0!"/>
    <e v="#DIV/0!"/>
    <m/>
    <s v="_"/>
    <s v="Secretaría de Infraestructura"/>
    <s v="María del Rosario Torres Vargas"/>
    <n v="11"/>
  </r>
  <r>
    <x v="35"/>
    <s v="Territorio seguro que genera valor"/>
    <s v="Gobierno territorial"/>
    <s v="4502"/>
    <s v="Fortalecimiento del buen gobierno para el respeto y garantía de los derechos humanos (4502)"/>
    <s v="4502007"/>
    <s v="&quot;Construir tres (03) salones comunales en el Municipio de Bucaramanga (4502007).&quot;"/>
    <m/>
    <m/>
    <m/>
    <m/>
    <m/>
    <m/>
    <m/>
    <m/>
    <n v="0"/>
    <m/>
    <m/>
    <m/>
    <m/>
    <n v="0"/>
    <m/>
    <m/>
    <m/>
    <m/>
    <n v="0"/>
    <m/>
    <m/>
    <n v="0"/>
    <m/>
    <n v="0"/>
    <m/>
    <m/>
    <m/>
    <m/>
    <m/>
    <m/>
    <m/>
    <m/>
    <m/>
    <m/>
    <m/>
    <m/>
    <m/>
    <m/>
    <m/>
    <n v="0"/>
    <m/>
    <m/>
    <e v="#DIV/0!"/>
    <e v="#DIV/0!"/>
    <e v="#DIV/0!"/>
    <m/>
    <s v="_"/>
    <s v="Secretaría de Infraestructura"/>
    <s v="María del Rosario Torres Vargas"/>
    <n v="10.11"/>
  </r>
  <r>
    <x v="36"/>
    <s v="Territorio seguro que genera valor"/>
    <s v="Gobierno territorial"/>
    <s v="4502"/>
    <s v="Fortalecimiento del buen gobierno para el respeto y garantía de los derechos humanos (4502)"/>
    <s v="4502003"/>
    <s v="Adecuar diez (10) salones comunales en el Municipio de Bucaramanga (4502003)."/>
    <m/>
    <m/>
    <m/>
    <m/>
    <m/>
    <m/>
    <m/>
    <m/>
    <n v="0"/>
    <m/>
    <m/>
    <m/>
    <m/>
    <n v="0"/>
    <m/>
    <m/>
    <m/>
    <m/>
    <n v="0"/>
    <m/>
    <m/>
    <n v="0"/>
    <m/>
    <n v="0"/>
    <m/>
    <m/>
    <m/>
    <m/>
    <m/>
    <m/>
    <m/>
    <m/>
    <m/>
    <m/>
    <m/>
    <m/>
    <m/>
    <m/>
    <m/>
    <n v="0"/>
    <m/>
    <m/>
    <e v="#DIV/0!"/>
    <e v="#DIV/0!"/>
    <e v="#DIV/0!"/>
    <m/>
    <s v="_"/>
    <s v="Secretaría de Infraestructura"/>
    <s v="María del Rosario Torres Vargas"/>
    <n v="10"/>
  </r>
  <r>
    <x v="37"/>
    <s v="Territorio seguro que genera valor"/>
    <s v="Gobierno territorial"/>
    <s v="4599"/>
    <s v="Fortalecimiento a la gestión y dirección de la administración pública territorial (4599)"/>
    <s v="4599031"/>
    <s v="Asistir técnicamente a nueve (9) dependencias de la administración municipal para el diseño, seguimiento y ejecución de  proyectos estratégicos de la ciudad en el área de infraestructura"/>
    <n v="2024680010049"/>
    <s v="FORTALECIMIENTO INSTITUCIONAL A LOS PROCESOS MISIONES Y DE GESTIÓN DE LA SECRETARÍA DE INFRAESTRUCTURA DEL MUNICIPIO DE BUCARAMANGA, SANTANDER"/>
    <n v="25285976257.360001"/>
    <n v="8458271430"/>
    <s v="Todas las comunas del municipio  de Bucaramanga"/>
    <s v="Población en general"/>
    <n v="605047"/>
    <s v="Diseños de infraestructura social, acompañamiento para el seguimiento de obras, seguimiento financiero a la inversion"/>
    <n v="8458271430"/>
    <m/>
    <m/>
    <m/>
    <m/>
    <m/>
    <m/>
    <m/>
    <m/>
    <m/>
    <m/>
    <m/>
    <m/>
    <m/>
    <m/>
    <n v="8458271430"/>
    <n v="7285980000"/>
    <m/>
    <m/>
    <m/>
    <m/>
    <m/>
    <m/>
    <m/>
    <m/>
    <m/>
    <m/>
    <m/>
    <m/>
    <m/>
    <m/>
    <n v="7285980000"/>
    <n v="3054693332.8900003"/>
    <n v="1747226666.2500002"/>
    <n v="0.86140295452779059"/>
    <n v="0.36114865290980624"/>
    <n v="0.2065701817102836"/>
    <m/>
    <s v="_"/>
    <s v="Secretaría de Infraestructura"/>
    <s v="María del Rosario Torres Vargas"/>
    <n v="16"/>
  </r>
  <r>
    <x v="38"/>
    <s v="Territorio seguro que genera valor"/>
    <s v="Gobierno territorial"/>
    <s v="4599"/>
    <s v="Fortalecimiento a la gestión y dirección de la administración pública territorial (4599)"/>
    <s v="4599011"/>
    <s v="Adecuar cinco (05) sedes de bienes inmuebles que son propiedad municipal para fortalecer los procesos administrativos y promover el desarrollo de capacidades dentro de la administración"/>
    <n v="202500000018145"/>
    <s v="REPARACION DEL EQUIPAMIENTO COMUNITARIO CASA BUHO DEL MUNICIPIO DE BUCARAMANGA, SANTANDER"/>
    <n v="41728570"/>
    <n v="41728570"/>
    <m/>
    <m/>
    <m/>
    <m/>
    <n v="41728570"/>
    <m/>
    <m/>
    <m/>
    <m/>
    <n v="0"/>
    <m/>
    <m/>
    <m/>
    <m/>
    <n v="0"/>
    <m/>
    <m/>
    <n v="0"/>
    <m/>
    <n v="41728570"/>
    <m/>
    <m/>
    <m/>
    <m/>
    <m/>
    <m/>
    <m/>
    <m/>
    <m/>
    <m/>
    <m/>
    <m/>
    <m/>
    <m/>
    <m/>
    <n v="0"/>
    <m/>
    <m/>
    <n v="0"/>
    <n v="0"/>
    <n v="0"/>
    <m/>
    <s v="_"/>
    <s v="Secretaría de Infraestructura"/>
    <s v="María del Rosario Torres Vargas"/>
    <n v="16"/>
  </r>
  <r>
    <x v="39"/>
    <s v="Territorio seguro que genera valor"/>
    <s v="Gobierno territorial"/>
    <s v="4599"/>
    <s v="Fortalecimiento a la gestión y dirección de la administración pública territorial (4599)"/>
    <s v="4599006"/>
    <s v="Elaborar (04) estudios de preinversión para la  realización de documentos en las fases de pre-factibilidad, factibilidad o definitivos para la consolidación de la infraestructura social en el municipio"/>
    <n v="2024680010084"/>
    <s v="ESTUDIOS Y DISEÑOS PARA LA RESTAURACIÓN  DEL BIEN DE INTERÉS CULTURAL DE LA PLAZA SAN MATEO DEL MUNICIPIO DE BUCARAMANGA SANTANDER"/>
    <m/>
    <n v="1800000000"/>
    <m/>
    <m/>
    <m/>
    <m/>
    <n v="1800000000"/>
    <m/>
    <m/>
    <m/>
    <m/>
    <n v="0"/>
    <m/>
    <m/>
    <m/>
    <m/>
    <n v="0"/>
    <m/>
    <m/>
    <n v="0"/>
    <m/>
    <n v="1800000000"/>
    <m/>
    <m/>
    <m/>
    <m/>
    <m/>
    <m/>
    <m/>
    <m/>
    <m/>
    <m/>
    <m/>
    <m/>
    <m/>
    <m/>
    <m/>
    <n v="0"/>
    <m/>
    <m/>
    <n v="0"/>
    <n v="0"/>
    <n v="0"/>
    <m/>
    <s v="_"/>
    <s v="Secretaría de Infraestructura"/>
    <s v="María del Rosario Torres Vargas"/>
    <n v="16"/>
  </r>
  <r>
    <x v="40"/>
    <s v="Territorio seguro que protege"/>
    <s v="Minas y energía."/>
    <s v="2102"/>
    <s v="Consolidación productiva del sector de energía eléctrica (2102)"/>
    <s v="2102010"/>
    <s v="Implementar 4.100 metros de redes de alumbrado público (artístico y/o navideño) en el sector comercial, parques o lugares de desarrollo turístico.  "/>
    <m/>
    <m/>
    <m/>
    <m/>
    <m/>
    <m/>
    <m/>
    <m/>
    <n v="0"/>
    <m/>
    <m/>
    <m/>
    <m/>
    <n v="0"/>
    <m/>
    <m/>
    <m/>
    <m/>
    <n v="0"/>
    <m/>
    <m/>
    <m/>
    <m/>
    <n v="0"/>
    <n v="0"/>
    <m/>
    <m/>
    <m/>
    <m/>
    <m/>
    <m/>
    <m/>
    <m/>
    <m/>
    <m/>
    <m/>
    <m/>
    <m/>
    <m/>
    <n v="0"/>
    <m/>
    <m/>
    <e v="#DIV/0!"/>
    <e v="#DIV/0!"/>
    <e v="#DIV/0!"/>
    <m/>
    <s v="_"/>
    <s v="Secretaría de Infraestructura-Alumbrado Público"/>
    <s v="María del Rosario Torres Vargas"/>
    <n v="1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009EEA8-924C-8F4A-929A-C497F697B4C2}" name="TablaDinámica1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 rowHeaderCaption="">
  <location ref="A3:C45" firstHeaderRow="0" firstDataRow="1" firstDataCol="1"/>
  <pivotFields count="57">
    <pivotField axis="axisRow" showAll="0">
      <items count="4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numFmtId="44"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numFmtId="44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0"/>
  </rowFields>
  <rowItems count="4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 t="grand">
      <x/>
    </i>
  </rowItems>
  <colFields count="1">
    <field x="-2"/>
  </colFields>
  <colItems count="2">
    <i>
      <x/>
    </i>
    <i i="1">
      <x v="1"/>
    </i>
  </colItems>
  <dataFields count="2">
    <dataField name="Suma de Recursos propios 20252" fld="31" baseField="0" baseItem="0"/>
    <dataField name="Suma de SGP APSB 20252" fld="40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23E42F0-7504-40FC-A72F-C1878563BB53}" name="Tabla134" displayName="Tabla134" ref="A10:BF77" totalsRowCount="1" headerRowDxfId="238" dataDxfId="236" totalsRowDxfId="234" headerRowBorderDxfId="237" tableBorderDxfId="235">
  <autoFilter ref="A10:BF76" xr:uid="{00000000-0009-0000-0100-000002000000}"/>
  <tableColumns count="58">
    <tableColumn id="1" xr3:uid="{D3C0B913-DFBB-4742-816A-8D370DBE4C39}" name=" Consecutivo PDM" dataDxfId="233" totalsRowDxfId="232"/>
    <tableColumn id="2" xr3:uid="{4299E03E-4AF2-4C90-88F0-4CE829FCE051}" name="Linea Estratégica" dataDxfId="231" totalsRowDxfId="230"/>
    <tableColumn id="5" xr3:uid="{853F8BEF-826E-495B-A7A4-DB97F06B241D}" name="Sector" dataDxfId="229" totalsRowDxfId="228"/>
    <tableColumn id="14" xr3:uid="{B7AC2D3F-CA6E-472B-BE98-F1FFA84804DB}" name="Cod. Programa" dataDxfId="227" totalsRowDxfId="226"/>
    <tableColumn id="15" xr3:uid="{F29917ED-1AEA-4988-AB98-B323DC846861}" name="Programa" dataDxfId="225" totalsRowDxfId="224"/>
    <tableColumn id="16" xr3:uid="{E971EDA6-1870-40DB-A77F-5FEF07B683D6}" name="Cod. de Producto" dataDxfId="223" totalsRowDxfId="222"/>
    <tableColumn id="17" xr3:uid="{4DCBE6EF-FCEC-4D38-93FF-1BF0468B9282}" name="Meta de Producto" dataDxfId="221" totalsRowDxfId="220"/>
    <tableColumn id="28" xr3:uid="{F89EE5C0-70DB-4D4A-AAA7-39A0229BCEFB}" name="Código BPIN" dataDxfId="219" totalsRowDxfId="218"/>
    <tableColumn id="29" xr3:uid="{AF5D9E9F-D917-4EF6-A5A4-9AF726729756}" name="Nombre del Proyecto" dataDxfId="217" totalsRowDxfId="216"/>
    <tableColumn id="30" xr3:uid="{2D9297F2-FBFF-40F6-BDEB-64373D60EC7B}" name="Valor del Proyecto" totalsRowFunction="sum" dataDxfId="215" totalsRowDxfId="214"/>
    <tableColumn id="31" xr3:uid="{15E3ACEF-D5EA-4DDD-8803-9F8956BE10E1}" name="Valor Vigencia Proyecto" totalsRowFunction="sum" dataDxfId="213" totalsRowDxfId="212">
      <calculatedColumnFormula>IFERROR(VLOOKUP(Tabla134[[#This Row],[Código BPIN]],#REF!,2,0),0)</calculatedColumnFormula>
    </tableColumn>
    <tableColumn id="32" xr3:uid="{C1096198-4D82-4F2D-B00D-63763EF0B09F}" name="Comuna o Barrio Beneficiado" dataDxfId="211" totalsRowDxfId="210"/>
    <tableColumn id="33" xr3:uid="{731A8216-8E22-4307-AC45-6C651011B71C}" name="Población Beneficiada" dataDxfId="209" totalsRowDxfId="208"/>
    <tableColumn id="34" xr3:uid="{92E1A5A3-BF4D-44A0-A1D6-2A496390CE85}" name="Número de Beneficiarios" dataDxfId="207" totalsRowDxfId="206"/>
    <tableColumn id="44" xr3:uid="{7AE9380D-8510-4A95-AA03-0067CCF71ED9}" name="Actividades Realizadas" dataDxfId="205" totalsRowDxfId="204"/>
    <tableColumn id="46" xr3:uid="{38D817B5-1D8E-4F27-A5AE-7E98EF418145}" name="Recursos propios 2025" totalsRowFunction="sum" dataDxfId="203" totalsRowDxfId="202">
      <calculatedColumnFormula>IFERROR(VLOOKUP(Tabla134[[#This Row],[Código BPIN]],#REF!,5,0),0)</calculatedColumnFormula>
    </tableColumn>
    <tableColumn id="47" xr3:uid="{F575986F-80B3-4931-A461-0287221A2A9D}" name="SGP Educación 2025" dataDxfId="201" totalsRowDxfId="200"/>
    <tableColumn id="48" xr3:uid="{737C84AC-E78C-46B2-8A11-C0B162897022}" name="SGP Salud 2025" dataDxfId="199" totalsRowDxfId="198"/>
    <tableColumn id="36" xr3:uid="{A50E2180-30A5-4AAF-ABED-DE3B7CB68496}" name="SGP Deporte 2025" dataDxfId="197" totalsRowDxfId="196"/>
    <tableColumn id="35" xr3:uid="{EE34C942-57CF-4337-9F31-23B2344F439C}" name="SGP Cultura 2025" dataDxfId="195" totalsRowDxfId="194"/>
    <tableColumn id="13" xr3:uid="{D7AC0163-47A1-4C0E-B76D-8C3149404D79}" name="SGP Libre inversión 2025" dataDxfId="193" totalsRowDxfId="192">
      <calculatedColumnFormula>IFERROR(VLOOKUP(Tabla134[[#This Row],[Código BPIN]],#REF!,6,0),0)</calculatedColumnFormula>
    </tableColumn>
    <tableColumn id="12" xr3:uid="{E7D6EEB5-A451-4460-A68B-FD325C2AEE82}" name="SGP Libre destinación 2025" dataDxfId="191" totalsRowDxfId="190"/>
    <tableColumn id="11" xr3:uid="{A5BE615B-5027-45C9-9D53-714BDDA929E5}" name="SGP Alimentación escolar 2025" dataDxfId="189" totalsRowDxfId="188"/>
    <tableColumn id="10" xr3:uid="{FD30198C-43CE-4D6F-8C79-55EAE0187806}" name="SGP Municipios río Magdalena 2025" dataDxfId="187" totalsRowDxfId="186"/>
    <tableColumn id="9" xr3:uid="{A06DC216-15EE-405E-AEF6-E55075B32DA3}" name="SGP APSB 2025" dataDxfId="185" totalsRowDxfId="184">
      <calculatedColumnFormula>IFERROR(VLOOKUP(Tabla134[[#This Row],[Código BPIN]],#REF!,7,0),0)</calculatedColumnFormula>
    </tableColumn>
    <tableColumn id="8" xr3:uid="{43375DF2-FB7F-4405-8C5B-B85C6DF56033}" name="Crédito 2025" dataDxfId="183" totalsRowDxfId="182"/>
    <tableColumn id="7" xr3:uid="{6A79817E-963F-49AD-86E8-44FED37F3B59}" name="Transferencias de capital - cofinanciación departamento 2025" dataDxfId="181" totalsRowDxfId="180"/>
    <tableColumn id="6" xr3:uid="{8BB6FF73-D03F-4957-8AA7-1D6A12C4A790}" name="Transferencias de capital - cofinanciación nación 2025" dataDxfId="179" totalsRowDxfId="178"/>
    <tableColumn id="49" xr3:uid="{57BCAF4C-DC1C-479D-BFD5-FC2E243E8081}" name="Otros 2025" dataDxfId="177" totalsRowDxfId="176"/>
    <tableColumn id="3" xr3:uid="{836FD9D3-E6E3-4205-983E-41CD46AEE063}" name="Recursos del Balance" dataDxfId="175" totalsRowDxfId="174"/>
    <tableColumn id="50" xr3:uid="{D27D5CCB-E982-4B45-AE23-452D5DF99152}" name="Total 2025" totalsRowFunction="custom" dataDxfId="173" totalsRowDxfId="172" dataCellStyle="Millares 2">
      <calculatedColumnFormula>+Tabla134[[#This Row],[Recursos propios 2025]]+Tabla134[[#This Row],[SGP Educación 2025]]+Tabla134[[#This Row],[SGP Salud 2025]]+Tabla134[[#This Row],[SGP Deporte 2025]]+Tabla134[[#This Row],[SGP Cultura 2025]]+Tabla134[[#This Row],[SGP Libre inversión 2025]]+Tabla134[[#This Row],[SGP Libre destinación 2025]]+Tabla134[[#This Row],[SGP Alimentación escolar 2025]]+Tabla134[[#This Row],[SGP Municipios río Magdalena 2025]]+Tabla134[[#This Row],[SGP APSB 2025]]+Tabla134[[#This Row],[Crédito 2025]]+Tabla134[[#This Row],[Transferencias de capital - cofinanciación departamento 2025]]+Tabla134[[#This Row],[Transferencias de capital - cofinanciación nación 2025]]+Tabla134[[#This Row],[Otros 2025]]+Tabla134[[#This Row],[Recursos del Balance]]</calculatedColumnFormula>
      <totalsRowFormula>SUM(Tabla134[Total 2025])</totalsRowFormula>
    </tableColumn>
    <tableColumn id="51" xr3:uid="{4522E087-EF0C-413A-BA37-15A2C0FC3F21}" name="Recursos propios 20252" dataDxfId="171" totalsRowDxfId="170">
      <calculatedColumnFormula>IFERROR(VLOOKUP(Tabla134[[#This Row],[Código BPIN]],#REF!,8,0),0)</calculatedColumnFormula>
    </tableColumn>
    <tableColumn id="52" xr3:uid="{2C9EF788-C869-4A8F-9CF9-0C87A17568F0}" name="SGP Educación 20252" dataDxfId="169" totalsRowDxfId="168">
      <calculatedColumnFormula>IFERROR(VLOOKUP(Tabla134[[#This Row],[Código BPIN]],#REF!,9,0),0)</calculatedColumnFormula>
    </tableColumn>
    <tableColumn id="53" xr3:uid="{C1DAD78A-2CE3-43EB-975A-77FA69EBAEAD}" name="SGP Salud 20252" dataDxfId="167" totalsRowDxfId="166"/>
    <tableColumn id="62" xr3:uid="{1BEB4A71-D702-4415-85E5-F8631A0B3E6D}" name="SGP Deporte 20252" dataDxfId="165" totalsRowDxfId="164"/>
    <tableColumn id="61" xr3:uid="{6269339D-2031-42F5-AF79-355CB46B9BF6}" name="SGP Cultura 20252" dataDxfId="163" totalsRowDxfId="162"/>
    <tableColumn id="45" xr3:uid="{D0736989-D40F-4BBC-B730-A642912026DA}" name="SGP Libre inversión 20252" dataDxfId="161" totalsRowDxfId="160">
      <calculatedColumnFormula>IFERROR(VLOOKUP(Tabla134[[#This Row],[Código BPIN]],#REF!,9,0),0)</calculatedColumnFormula>
    </tableColumn>
    <tableColumn id="43" xr3:uid="{0F3B9473-EC73-4DB9-9F8A-95F7EB7077A4}" name="SGP Libre destinación 20252" dataDxfId="159" totalsRowDxfId="158"/>
    <tableColumn id="42" xr3:uid="{8CF9123F-0B19-4587-9A79-F77FB50E1E4B}" name="SGP Alimentación escolar 20252" dataDxfId="157" totalsRowDxfId="156"/>
    <tableColumn id="41" xr3:uid="{D59F7DD8-4A12-4C04-BD2E-C5BD33CEF148}" name="SGP Municipios río Magdalena 20252" dataDxfId="155" totalsRowDxfId="154"/>
    <tableColumn id="40" xr3:uid="{8723647B-2B33-47DE-8F29-2C5BDD442E49}" name="SGP APSB 20252" dataDxfId="153" totalsRowDxfId="152">
      <calculatedColumnFormula>IFERROR(VLOOKUP(Tabla134[[#This Row],[Código BPIN]],#REF!,10,0),0)</calculatedColumnFormula>
    </tableColumn>
    <tableColumn id="39" xr3:uid="{4D6602AC-77E7-4B7D-885F-5E3B6AEC9439}" name="Crédito 20252" dataDxfId="151" totalsRowDxfId="150"/>
    <tableColumn id="38" xr3:uid="{1C2D5368-BCF2-402A-A426-C55F94387D10}" name="Transferencias de capital - cofinanciación departamento 20252" dataDxfId="149" totalsRowDxfId="148"/>
    <tableColumn id="37" xr3:uid="{2E3960F9-D6A0-4AD9-814E-640D11D8726F}" name="Transferencias de capital - cofinanciación nación 20252" dataDxfId="147" totalsRowDxfId="146"/>
    <tableColumn id="54" xr3:uid="{7D26D847-B6CA-497F-9EBD-7E3C4EC2BA2E}" name="Otros 20252" dataDxfId="145" totalsRowDxfId="144"/>
    <tableColumn id="4" xr3:uid="{BB634FC3-6C25-46FC-A374-B82DC172613D}" name="Recursos del Balance 2025" dataDxfId="143" totalsRowDxfId="142"/>
    <tableColumn id="55" xr3:uid="{310B8383-D95A-4B04-88FF-927FF0E917F3}" name="Total Recursos Comprometido 2025" totalsRowFunction="sum" dataDxfId="141" totalsRowDxfId="140">
      <calculatedColumnFormula>+Tabla134[[#This Row],[Recursos propios 20252]]+Tabla134[[#This Row],[SGP Educación 20252]]+Tabla134[[#This Row],[SGP Salud 20252]]+Tabla134[[#This Row],[SGP Deporte 20252]]+Tabla134[[#This Row],[SGP Cultura 20252]]+Tabla134[[#This Row],[SGP Libre inversión 20252]]+Tabla134[[#This Row],[SGP Libre destinación 20252]]+Tabla134[[#This Row],[SGP Alimentación escolar 20252]]+Tabla134[[#This Row],[SGP Municipios río Magdalena 20252]]+Tabla134[[#This Row],[SGP APSB 20252]]+Tabla134[[#This Row],[Crédito 20252]]+Tabla134[[#This Row],[Transferencias de capital - cofinanciación departamento 20252]]+Tabla134[[#This Row],[Transferencias de capital - cofinanciación nación 20252]]+Tabla134[[#This Row],[Otros 20252]]+Tabla134[[#This Row],[Recursos del Balance 2025]]</calculatedColumnFormula>
    </tableColumn>
    <tableColumn id="20" xr3:uid="{81032706-02FC-4C54-AAE2-C60C7F362A41}" name="Total Recursos Obligados" totalsRowFunction="sum" dataDxfId="139" totalsRowDxfId="138">
      <calculatedColumnFormula>SUM(Tabla134[[#This Row],[Recursos propios 20252]:[Recursos del Balance 2025]])</calculatedColumnFormula>
    </tableColumn>
    <tableColumn id="21" xr3:uid="{60B68595-5273-4737-B146-2E98044DF4C4}" name="Total Recursos Pagados" totalsRowFunction="sum" dataDxfId="137" totalsRowDxfId="136">
      <calculatedColumnFormula>IFERROR(VLOOKUP(Tabla134[[#This Row],[Código BPIN]],#REF!,5,0),0)</calculatedColumnFormula>
    </tableColumn>
    <tableColumn id="56" xr3:uid="{5DCAADE5-AB41-4AC0-ABDD-38F9BEB9D15B}" name="Ejecución Recursos Comprometidos" dataDxfId="135" totalsRowDxfId="134">
      <calculatedColumnFormula>+Tabla134[[#This Row],[Total Recursos Comprometido 2025]]/Tabla134[[#This Row],[Total 2025]]</calculatedColumnFormula>
    </tableColumn>
    <tableColumn id="24" xr3:uid="{386E2064-FC33-4F21-BC02-F141BA121249}" name="Ejecución Recursos Obligados" dataDxfId="133" totalsRowDxfId="132">
      <calculatedColumnFormula>+Tabla134[[#This Row],[Total Recursos Obligados]]/Tabla134[[#This Row],[Total 2025]]</calculatedColumnFormula>
    </tableColumn>
    <tableColumn id="23" xr3:uid="{B208257A-0D9B-4325-A816-8BF5C97CA941}" name="Ejecución Recursos Pagados" dataDxfId="131" totalsRowDxfId="130">
      <calculatedColumnFormula>+Tabla134[[#This Row],[Total Recursos Pagados]]/Tabla134[[#This Row],[Total 2025]]</calculatedColumnFormula>
    </tableColumn>
    <tableColumn id="18" xr3:uid="{EE6919C4-3B0D-441E-8682-4E2C63DD2B34}" name="Total Recursos Gestionados2" dataDxfId="129" totalsRowDxfId="128"/>
    <tableColumn id="57" xr3:uid="{A50135D5-10BF-40BB-A8F4-60373EF5CB76}" name="Nivel de Gestión" dataDxfId="127" totalsRowDxfId="126">
      <calculatedColumnFormula>IF(Tabla134[[#This Row],[Total Recursos Gestionados2]]=0,"_",IF(Tabla134[[#This Row],[Ejecución Recursos Comprometidos]]=0,100%,Tabla134[[#This Row],[Total Recursos Gestionados2]]/Tabla134[[#This Row],[Ejecución Recursos Comprometidos]]))</calculatedColumnFormula>
    </tableColumn>
    <tableColumn id="58" xr3:uid="{FF0C1B4E-F496-452E-8B0B-7FDF5F50E0A3}" name="Dependencia" dataDxfId="125" totalsRowDxfId="124"/>
    <tableColumn id="59" xr3:uid="{F399165B-3BA1-440D-8D26-BAFC45CC9891}" name="Responsable" dataDxfId="123" totalsRowDxfId="122"/>
    <tableColumn id="60" xr3:uid="{03965564-2127-4FB0-9A1E-04E9AB225E9F}" name="ODS" dataDxfId="121" totalsRowDxfId="120"/>
    <tableColumn id="19" xr3:uid="{A8D59AB7-43D7-4DE2-9204-7CCE70D919EC}" name="Columna1" dataDxfId="119" totalsRowDxfId="118"/>
  </tableColumns>
  <tableStyleInfo name="Estilo de tabla 3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Tabla1" displayName="Tabla1" ref="A10:BE54" totalsRowCount="1" headerRowDxfId="117" dataDxfId="115" headerRowBorderDxfId="116" tableBorderDxfId="114">
  <tableColumns count="57">
    <tableColumn id="1" xr3:uid="{00000000-0010-0000-0100-000001000000}" name=" Consecutivo PDM" dataDxfId="113" totalsRowDxfId="56"/>
    <tableColumn id="2" xr3:uid="{00000000-0010-0000-0100-000002000000}" name="Linea Estratégica" dataDxfId="112" totalsRowDxfId="55"/>
    <tableColumn id="5" xr3:uid="{00000000-0010-0000-0100-000005000000}" name="Sector" dataDxfId="111" totalsRowDxfId="54"/>
    <tableColumn id="14" xr3:uid="{00000000-0010-0000-0100-00000E000000}" name="Cod. Programa" dataDxfId="110" totalsRowDxfId="53"/>
    <tableColumn id="15" xr3:uid="{00000000-0010-0000-0100-00000F000000}" name="Programa" dataDxfId="109" totalsRowDxfId="52"/>
    <tableColumn id="16" xr3:uid="{00000000-0010-0000-0100-000010000000}" name="Cod. de Producto" dataDxfId="108" totalsRowDxfId="51"/>
    <tableColumn id="17" xr3:uid="{00000000-0010-0000-0100-000011000000}" name="Meta de Producto" dataDxfId="107" totalsRowDxfId="50"/>
    <tableColumn id="18" xr3:uid="{00000000-0010-0000-0100-000012000000}" name="Cod. Indicador de Producto" dataDxfId="106" totalsRowDxfId="49"/>
    <tableColumn id="19" xr3:uid="{00000000-0010-0000-0100-000013000000}" name="Indicador de Producto" dataDxfId="105" totalsRowDxfId="48"/>
    <tableColumn id="20" xr3:uid="{00000000-0010-0000-0100-000014000000}" name="LÍnea Base" dataDxfId="104" totalsRowDxfId="47"/>
    <tableColumn id="21" xr3:uid="{00000000-0010-0000-0100-000015000000}" name="Unidad de Medida2" dataDxfId="103" totalsRowDxfId="46"/>
    <tableColumn id="22" xr3:uid="{00000000-0010-0000-0100-000016000000}" name="Tipo de Meta" dataDxfId="102" totalsRowDxfId="45"/>
    <tableColumn id="23" xr3:uid="{00000000-0010-0000-0100-000017000000}" name="Meta Programada Cuatrienio3" dataDxfId="101" totalsRowDxfId="44"/>
    <tableColumn id="24" xr3:uid="{00000000-0010-0000-0100-000018000000}" name="Meta Programada Vigencia" dataDxfId="100" totalsRowDxfId="43"/>
    <tableColumn id="25" xr3:uid="{00000000-0010-0000-0100-000019000000}" name="Logro Vigencia" dataDxfId="99" totalsRowDxfId="42"/>
    <tableColumn id="41" xr3:uid="{00000000-0010-0000-0100-000029000000}" name="Porcentaje Avance Vigencia" totalsRowFunction="custom" dataDxfId="98" totalsRowDxfId="41">
      <calculatedColumnFormula>IF(N11=0," -",IF(Q11&gt;100%,100%,Q11))</calculatedColumnFormula>
      <totalsRowFormula>+AVERAGE(Tabla1[Porcentaje Avance Vigencia])</totalsRowFormula>
    </tableColumn>
    <tableColumn id="26" xr3:uid="{00000000-0010-0000-0100-00001A000000}" name="Porcentaje Avance VigenciaR" dataDxfId="97" totalsRowDxfId="40">
      <calculatedColumnFormula>+Tabla1[[#This Row],[Logro Vigencia]]/Tabla1[[#This Row],[Meta Programada Vigencia]]</calculatedColumnFormula>
    </tableColumn>
    <tableColumn id="46" xr3:uid="{00000000-0010-0000-0100-00002E000000}" name="Recursos propios" dataDxfId="96" totalsRowDxfId="39"/>
    <tableColumn id="47" xr3:uid="{00000000-0010-0000-0100-00002F000000}" name="SGP Educación" dataDxfId="95" totalsRowDxfId="38"/>
    <tableColumn id="48" xr3:uid="{00000000-0010-0000-0100-000030000000}" name="SGP Salud" dataDxfId="94" totalsRowDxfId="37"/>
    <tableColumn id="36" xr3:uid="{00000000-0010-0000-0100-000024000000}" name="SGP Deporte" dataDxfId="93" totalsRowDxfId="36"/>
    <tableColumn id="35" xr3:uid="{00000000-0010-0000-0100-000023000000}" name="SGP Cultura" dataDxfId="92" totalsRowDxfId="35"/>
    <tableColumn id="13" xr3:uid="{00000000-0010-0000-0100-00000D000000}" name="SGP Libre inversión" dataDxfId="91" totalsRowDxfId="34"/>
    <tableColumn id="12" xr3:uid="{00000000-0010-0000-0100-00000C000000}" name="SGP Libre destinación" dataDxfId="90" totalsRowDxfId="33"/>
    <tableColumn id="11" xr3:uid="{00000000-0010-0000-0100-00000B000000}" name="SGP Alimentación escolar" dataDxfId="89" totalsRowDxfId="32"/>
    <tableColumn id="9" xr3:uid="{00000000-0010-0000-0100-000009000000}" name="SGP APSB" dataDxfId="88" totalsRowDxfId="31"/>
    <tableColumn id="8" xr3:uid="{00000000-0010-0000-0100-000008000000}" name="Crédito" dataDxfId="87" totalsRowDxfId="30"/>
    <tableColumn id="7" xr3:uid="{00000000-0010-0000-0100-000007000000}" name="Transferencias de capital - cofinanciación departamento" dataDxfId="86" totalsRowDxfId="29"/>
    <tableColumn id="6" xr3:uid="{00000000-0010-0000-0100-000006000000}" name="Transferencias de capital - cofinanciación nación" dataDxfId="85" totalsRowDxfId="28"/>
    <tableColumn id="49" xr3:uid="{00000000-0010-0000-0100-000031000000}" name="Otros" dataDxfId="84" totalsRowDxfId="27"/>
    <tableColumn id="27" xr3:uid="{00000000-0010-0000-0100-00001B000000}" name="Recursos del Balance" dataDxfId="83" totalsRowDxfId="26"/>
    <tableColumn id="50" xr3:uid="{00000000-0010-0000-0100-000032000000}" name="Total 2025" totalsRowFunction="sum" dataDxfId="82" totalsRowDxfId="25">
      <calculatedColumnFormula>SUM(Tabla1[[#This Row],[Recursos propios]:[Recursos del Balance]])</calculatedColumnFormula>
    </tableColumn>
    <tableColumn id="51" xr3:uid="{00000000-0010-0000-0100-000033000000}" name="Recursos propios2" dataDxfId="81" totalsRowDxfId="24"/>
    <tableColumn id="52" xr3:uid="{00000000-0010-0000-0100-000034000000}" name="SGP Educación2" dataDxfId="80" totalsRowDxfId="23"/>
    <tableColumn id="53" xr3:uid="{00000000-0010-0000-0100-000035000000}" name="SGP Salud 20254" dataDxfId="79" totalsRowDxfId="22"/>
    <tableColumn id="62" xr3:uid="{00000000-0010-0000-0100-00003E000000}" name="SGP Deporte 20255" dataDxfId="78" totalsRowDxfId="21"/>
    <tableColumn id="61" xr3:uid="{00000000-0010-0000-0100-00003D000000}" name="SGP Cultura 20256" dataDxfId="77" totalsRowDxfId="20"/>
    <tableColumn id="45" xr3:uid="{00000000-0010-0000-0100-00002D000000}" name="SGP Libre inversión 20257" dataDxfId="76" totalsRowDxfId="19"/>
    <tableColumn id="43" xr3:uid="{00000000-0010-0000-0100-00002B000000}" name="SGP Libre destinación 20258" dataDxfId="75" totalsRowDxfId="18"/>
    <tableColumn id="42" xr3:uid="{00000000-0010-0000-0100-00002A000000}" name="SGP Alimentación escolar 20259" dataDxfId="74" totalsRowDxfId="17"/>
    <tableColumn id="40" xr3:uid="{00000000-0010-0000-0100-000028000000}" name="SGP APSB 202511" dataDxfId="73" totalsRowDxfId="16"/>
    <tableColumn id="39" xr3:uid="{00000000-0010-0000-0100-000027000000}" name="Crédito 202512" dataDxfId="72" totalsRowDxfId="15"/>
    <tableColumn id="38" xr3:uid="{00000000-0010-0000-0100-000026000000}" name="Transferencias de capital - cofinanciación departamento 202513" dataDxfId="71" totalsRowDxfId="14"/>
    <tableColumn id="37" xr3:uid="{00000000-0010-0000-0100-000025000000}" name="Transferencias de capital - cofinanciación nación 202514" dataDxfId="70" totalsRowDxfId="13"/>
    <tableColumn id="54" xr3:uid="{00000000-0010-0000-0100-000036000000}" name="Otros 202515" dataDxfId="69" totalsRowDxfId="12"/>
    <tableColumn id="10" xr3:uid="{00000000-0010-0000-0100-00000A000000}" name="Recursos del Balance2" dataDxfId="68" totalsRowDxfId="11"/>
    <tableColumn id="55" xr3:uid="{00000000-0010-0000-0100-000037000000}" name="Total Recursos Comprometido 2025" totalsRowFunction="custom" dataDxfId="67" totalsRowDxfId="10">
      <calculatedColumnFormula>SUM(Tabla1[[#This Row],[Recursos propios2]:[Recursos del Balance2]])</calculatedColumnFormula>
      <totalsRowFormula>+SUM(Tabla1[Total Recursos Comprometido 2025])</totalsRowFormula>
    </tableColumn>
    <tableColumn id="3" xr3:uid="{00000000-0010-0000-0100-000003000000}" name="Total Recursos Obligados" totalsRowFunction="custom" dataDxfId="66" totalsRowDxfId="9">
      <totalsRowFormula>+SUM(Tabla1[Total Recursos Obligados])</totalsRowFormula>
    </tableColumn>
    <tableColumn id="4" xr3:uid="{00000000-0010-0000-0100-000004000000}" name="Total Recursos Pagados" totalsRowFunction="custom" dataDxfId="65" totalsRowDxfId="8">
      <totalsRowFormula>+SUM(Tabla1[Total Recursos Pagados])</totalsRowFormula>
    </tableColumn>
    <tableColumn id="30" xr3:uid="{00000000-0010-0000-0100-00001E000000}" name="Ejecución Recursos Comprometidos" dataDxfId="64" totalsRowDxfId="7" dataCellStyle="Porcentaje">
      <calculatedColumnFormula>+Tabla1[[#This Row],[Total Recursos Comprometido 2025]]/Tabla1[[#This Row],[Total 2025]]</calculatedColumnFormula>
    </tableColumn>
    <tableColumn id="44" xr3:uid="{00000000-0010-0000-0100-00002C000000}" name="Ejecución Recursos Obligados" dataDxfId="63" totalsRowDxfId="6" dataCellStyle="Porcentaje">
      <calculatedColumnFormula>+Tabla1[[#This Row],[Total Recursos Obligados]]/Tabla1[[#This Row],[Total 2025]]</calculatedColumnFormula>
    </tableColumn>
    <tableColumn id="34" xr3:uid="{00000000-0010-0000-0100-000022000000}" name="Ejecución Recursos Pagados" dataDxfId="62" totalsRowDxfId="5" dataCellStyle="Porcentaje">
      <calculatedColumnFormula>+Tabla1[[#This Row],[Total Recursos Pagados]]/Tabla1[[#This Row],[Total 2025]]</calculatedColumnFormula>
    </tableColumn>
    <tableColumn id="31" xr3:uid="{00000000-0010-0000-0100-00001F000000}" name="Total Recursos Gestionados2" dataDxfId="61" totalsRowDxfId="4"/>
    <tableColumn id="33" xr3:uid="{00000000-0010-0000-0100-000021000000}" name="Nivel de Gestión" dataDxfId="60" totalsRowDxfId="3">
      <calculatedColumnFormula>+[4]!Tabla1[[#This Row],[Total Recursos Gestionados2]]/[4]!Tabla1[[#This Row],[Total Recursos Comprometido 2024]]</calculatedColumnFormula>
    </tableColumn>
    <tableColumn id="58" xr3:uid="{00000000-0010-0000-0100-00003A000000}" name="Dependencia" dataDxfId="59" totalsRowDxfId="2"/>
    <tableColumn id="59" xr3:uid="{00000000-0010-0000-0100-00003B000000}" name="Responsable" dataDxfId="58" totalsRowDxfId="1"/>
    <tableColumn id="60" xr3:uid="{00000000-0010-0000-0100-00003C000000}" name="ODS" dataDxfId="57" totalsRowDxfId="0"/>
  </tableColumns>
  <tableStyleInfo name="Estilo de tabla 3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44C799-8A89-D345-AECE-D9E8803EBD98}">
  <dimension ref="A3:C45"/>
  <sheetViews>
    <sheetView workbookViewId="0">
      <selection activeCell="B45" sqref="B45:C45"/>
    </sheetView>
  </sheetViews>
  <sheetFormatPr baseColWidth="10" defaultRowHeight="14.25"/>
  <cols>
    <col min="1" max="1" width="12" bestFit="1" customWidth="1"/>
    <col min="2" max="2" width="28.125" style="107" bestFit="1" customWidth="1"/>
    <col min="3" max="3" width="23.125" bestFit="1" customWidth="1"/>
  </cols>
  <sheetData>
    <row r="3" spans="1:3">
      <c r="A3" s="105" t="s">
        <v>310</v>
      </c>
      <c r="B3" t="s">
        <v>311</v>
      </c>
      <c r="C3" t="s">
        <v>312</v>
      </c>
    </row>
    <row r="4" spans="1:3">
      <c r="A4" s="106">
        <v>11</v>
      </c>
      <c r="B4">
        <v>12075741688.59</v>
      </c>
    </row>
    <row r="5" spans="1:3">
      <c r="A5" s="106">
        <v>12</v>
      </c>
      <c r="B5">
        <v>0</v>
      </c>
    </row>
    <row r="6" spans="1:3">
      <c r="A6" s="106">
        <v>13</v>
      </c>
      <c r="B6">
        <v>0</v>
      </c>
    </row>
    <row r="7" spans="1:3">
      <c r="A7" s="106">
        <v>47</v>
      </c>
      <c r="B7">
        <v>2740728019.29</v>
      </c>
    </row>
    <row r="8" spans="1:3">
      <c r="A8" s="106">
        <v>48</v>
      </c>
      <c r="B8">
        <v>0</v>
      </c>
    </row>
    <row r="9" spans="1:3">
      <c r="A9" s="106">
        <v>49</v>
      </c>
      <c r="B9">
        <v>0</v>
      </c>
    </row>
    <row r="10" spans="1:3">
      <c r="A10" s="106">
        <v>50</v>
      </c>
      <c r="B10">
        <v>617856243</v>
      </c>
    </row>
    <row r="11" spans="1:3">
      <c r="A11" s="106">
        <v>51</v>
      </c>
      <c r="B11">
        <v>0</v>
      </c>
    </row>
    <row r="12" spans="1:3">
      <c r="A12" s="106">
        <v>57</v>
      </c>
      <c r="B12"/>
    </row>
    <row r="13" spans="1:3">
      <c r="A13" s="106">
        <v>58</v>
      </c>
      <c r="B13"/>
    </row>
    <row r="14" spans="1:3">
      <c r="A14" s="106">
        <v>59</v>
      </c>
      <c r="B14"/>
    </row>
    <row r="15" spans="1:3">
      <c r="A15" s="106">
        <v>60</v>
      </c>
      <c r="B15"/>
    </row>
    <row r="16" spans="1:3">
      <c r="A16" s="106">
        <v>62</v>
      </c>
      <c r="B16"/>
    </row>
    <row r="17" spans="1:2">
      <c r="A17" s="106">
        <v>93</v>
      </c>
      <c r="B17"/>
    </row>
    <row r="18" spans="1:2">
      <c r="A18" s="106">
        <v>95</v>
      </c>
      <c r="B18"/>
    </row>
    <row r="19" spans="1:2">
      <c r="A19" s="106">
        <v>96</v>
      </c>
      <c r="B19"/>
    </row>
    <row r="20" spans="1:2">
      <c r="A20" s="106">
        <v>97</v>
      </c>
      <c r="B20"/>
    </row>
    <row r="21" spans="1:2">
      <c r="A21" s="106">
        <v>98</v>
      </c>
      <c r="B21"/>
    </row>
    <row r="22" spans="1:2">
      <c r="A22" s="106">
        <v>99</v>
      </c>
      <c r="B22"/>
    </row>
    <row r="23" spans="1:2">
      <c r="A23" s="106">
        <v>100</v>
      </c>
      <c r="B23"/>
    </row>
    <row r="24" spans="1:2">
      <c r="A24" s="106">
        <v>101</v>
      </c>
      <c r="B24"/>
    </row>
    <row r="25" spans="1:2">
      <c r="A25" s="106">
        <v>102</v>
      </c>
      <c r="B25"/>
    </row>
    <row r="26" spans="1:2">
      <c r="A26" s="106">
        <v>103</v>
      </c>
      <c r="B26">
        <v>1004295290</v>
      </c>
    </row>
    <row r="27" spans="1:2">
      <c r="A27" s="106">
        <v>104</v>
      </c>
      <c r="B27"/>
    </row>
    <row r="28" spans="1:2">
      <c r="A28" s="106">
        <v>105</v>
      </c>
      <c r="B28"/>
    </row>
    <row r="29" spans="1:2">
      <c r="A29" s="106">
        <v>106</v>
      </c>
      <c r="B29">
        <v>181922373</v>
      </c>
    </row>
    <row r="30" spans="1:2">
      <c r="A30" s="106">
        <v>107</v>
      </c>
      <c r="B30"/>
    </row>
    <row r="31" spans="1:2">
      <c r="A31" s="106">
        <v>108</v>
      </c>
      <c r="B31"/>
    </row>
    <row r="32" spans="1:2">
      <c r="A32" s="106">
        <v>109</v>
      </c>
      <c r="B32"/>
    </row>
    <row r="33" spans="1:3">
      <c r="A33" s="106">
        <v>125</v>
      </c>
      <c r="B33"/>
    </row>
    <row r="34" spans="1:3">
      <c r="A34" s="106">
        <v>128</v>
      </c>
      <c r="B34"/>
      <c r="C34">
        <v>2589345464</v>
      </c>
    </row>
    <row r="35" spans="1:3">
      <c r="A35" s="106">
        <v>129</v>
      </c>
      <c r="B35"/>
    </row>
    <row r="36" spans="1:3">
      <c r="A36" s="106">
        <v>135</v>
      </c>
      <c r="B36"/>
    </row>
    <row r="37" spans="1:3">
      <c r="A37" s="106">
        <v>136</v>
      </c>
      <c r="B37"/>
    </row>
    <row r="38" spans="1:3">
      <c r="A38" s="106">
        <v>145</v>
      </c>
      <c r="B38"/>
    </row>
    <row r="39" spans="1:3">
      <c r="A39" s="106">
        <v>235</v>
      </c>
      <c r="B39"/>
    </row>
    <row r="40" spans="1:3">
      <c r="A40" s="106">
        <v>236</v>
      </c>
      <c r="B40"/>
    </row>
    <row r="41" spans="1:3">
      <c r="A41" s="106">
        <v>251</v>
      </c>
      <c r="B41">
        <v>7285980000</v>
      </c>
    </row>
    <row r="42" spans="1:3">
      <c r="A42" s="106">
        <v>252</v>
      </c>
      <c r="B42"/>
    </row>
    <row r="43" spans="1:3">
      <c r="A43" s="106">
        <v>253</v>
      </c>
      <c r="B43"/>
    </row>
    <row r="44" spans="1:3">
      <c r="A44" s="106">
        <v>303</v>
      </c>
      <c r="B44">
        <v>0</v>
      </c>
    </row>
    <row r="45" spans="1:3">
      <c r="A45" s="106" t="s">
        <v>309</v>
      </c>
      <c r="B45">
        <v>23906523613.880001</v>
      </c>
      <c r="C45">
        <v>2589345464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040026-91F4-4EF9-81D3-95DC46766C61}">
  <sheetPr>
    <tabColor theme="8" tint="-0.249977111117893"/>
  </sheetPr>
  <dimension ref="A1:BF95"/>
  <sheetViews>
    <sheetView showGridLines="0" topLeftCell="A9" zoomScale="60" zoomScaleNormal="60" workbookViewId="0">
      <pane ySplit="2" topLeftCell="A11" activePane="bottomLeft" state="frozen"/>
      <selection activeCell="O9" sqref="O9"/>
      <selection pane="bottomLeft" activeCell="A9" sqref="A9:G9"/>
    </sheetView>
  </sheetViews>
  <sheetFormatPr baseColWidth="10" defaultColWidth="11.125" defaultRowHeight="49.9" customHeight="1"/>
  <cols>
    <col min="1" max="4" width="14.125" style="4" customWidth="1"/>
    <col min="5" max="5" width="38.125" style="4" customWidth="1"/>
    <col min="6" max="6" width="14.125" style="4" customWidth="1"/>
    <col min="7" max="7" width="52.5" style="4" customWidth="1"/>
    <col min="8" max="8" width="24.625" style="183" customWidth="1"/>
    <col min="9" max="9" width="17" style="184" customWidth="1"/>
    <col min="10" max="10" width="45.375" style="184" customWidth="1"/>
    <col min="11" max="11" width="31.375" style="190" customWidth="1"/>
    <col min="12" max="12" width="59.125" style="4" customWidth="1"/>
    <col min="13" max="13" width="26.625" style="4" customWidth="1"/>
    <col min="14" max="14" width="28.625" style="4" customWidth="1"/>
    <col min="15" max="15" width="27.125" style="4" customWidth="1"/>
    <col min="16" max="16" width="29.625" style="4" customWidth="1"/>
    <col min="17" max="17" width="17.625" style="4" customWidth="1"/>
    <col min="18" max="20" width="18.125" style="4" customWidth="1"/>
    <col min="21" max="21" width="31.5" style="4" customWidth="1"/>
    <col min="22" max="24" width="18.125" style="4" customWidth="1"/>
    <col min="25" max="26" width="28.5" style="4" customWidth="1"/>
    <col min="27" max="27" width="24.625" style="4" customWidth="1"/>
    <col min="28" max="28" width="21.625" style="4" customWidth="1"/>
    <col min="29" max="29" width="22.75" style="4" customWidth="1"/>
    <col min="30" max="30" width="25.375" style="4" customWidth="1"/>
    <col min="31" max="31" width="48.125" style="4" bestFit="1" customWidth="1"/>
    <col min="32" max="32" width="23.25" style="4" customWidth="1"/>
    <col min="33" max="33" width="17.125" style="4" customWidth="1"/>
    <col min="34" max="34" width="13.75" style="4" customWidth="1"/>
    <col min="35" max="35" width="15.75" style="4" customWidth="1"/>
    <col min="36" max="36" width="15.5" style="4" customWidth="1"/>
    <col min="37" max="37" width="22" style="4" customWidth="1"/>
    <col min="38" max="38" width="18.375" style="4" customWidth="1"/>
    <col min="39" max="39" width="22.625" style="4" customWidth="1"/>
    <col min="40" max="40" width="25" style="4" customWidth="1"/>
    <col min="41" max="41" width="29.375" style="4" customWidth="1"/>
    <col min="42" max="42" width="25.125" style="4" customWidth="1"/>
    <col min="43" max="44" width="33.375" style="4" customWidth="1"/>
    <col min="45" max="46" width="20.5" style="4" customWidth="1"/>
    <col min="47" max="47" width="49.125" style="4" customWidth="1"/>
    <col min="48" max="48" width="53.125" style="4" customWidth="1"/>
    <col min="49" max="49" width="45.125" style="4" customWidth="1"/>
    <col min="50" max="53" width="27.125" style="4" customWidth="1"/>
    <col min="54" max="54" width="25.625" style="4" customWidth="1"/>
    <col min="55" max="55" width="17.625" style="4" customWidth="1"/>
    <col min="56" max="56" width="19.625" style="24" customWidth="1"/>
    <col min="57" max="57" width="21.125" style="4" customWidth="1"/>
    <col min="58" max="58" width="22.625" style="1" bestFit="1" customWidth="1"/>
    <col min="59" max="59" width="33" style="1" bestFit="1" customWidth="1"/>
    <col min="60" max="60" width="26" style="1" bestFit="1" customWidth="1"/>
    <col min="61" max="61" width="24.125" style="1" bestFit="1" customWidth="1"/>
    <col min="62" max="62" width="35.125" style="1" bestFit="1" customWidth="1"/>
    <col min="63" max="63" width="30.125" style="1" bestFit="1" customWidth="1"/>
    <col min="64" max="64" width="31.125" style="1" bestFit="1" customWidth="1"/>
    <col min="65" max="65" width="38" style="1" bestFit="1" customWidth="1"/>
    <col min="66" max="66" width="40.125" style="1" bestFit="1" customWidth="1"/>
    <col min="67" max="67" width="43.125" style="1" bestFit="1" customWidth="1"/>
    <col min="68" max="68" width="48.625" style="1" bestFit="1" customWidth="1"/>
    <col min="69" max="69" width="39.125" style="1" bestFit="1" customWidth="1"/>
    <col min="70" max="70" width="26.625" style="1" bestFit="1" customWidth="1"/>
    <col min="71" max="71" width="47" style="1" bestFit="1" customWidth="1"/>
    <col min="72" max="72" width="40" style="1" bestFit="1" customWidth="1"/>
    <col min="73" max="73" width="83.625" style="1" bestFit="1" customWidth="1"/>
    <col min="74" max="74" width="21.125" style="1" bestFit="1" customWidth="1"/>
    <col min="75" max="75" width="31.125" style="1" bestFit="1" customWidth="1"/>
    <col min="76" max="76" width="27.125" style="1" bestFit="1" customWidth="1"/>
    <col min="77" max="77" width="56.625" style="1" bestFit="1" customWidth="1"/>
    <col min="78" max="78" width="24.125" style="1" bestFit="1" customWidth="1"/>
    <col min="79" max="79" width="22.625" style="1" bestFit="1" customWidth="1"/>
    <col min="80" max="80" width="33.625" style="1" bestFit="1" customWidth="1"/>
    <col min="81" max="81" width="29" style="1" bestFit="1" customWidth="1"/>
    <col min="82" max="82" width="29.625" style="1" bestFit="1" customWidth="1"/>
    <col min="83" max="83" width="36.125" style="1" bestFit="1" customWidth="1"/>
    <col min="84" max="84" width="38.625" style="1" bestFit="1" customWidth="1"/>
    <col min="85" max="85" width="42" style="1" bestFit="1" customWidth="1"/>
    <col min="86" max="86" width="47.125" style="1" bestFit="1" customWidth="1"/>
    <col min="87" max="87" width="37.625" style="1" bestFit="1" customWidth="1"/>
    <col min="88" max="88" width="25.125" style="1" bestFit="1" customWidth="1"/>
    <col min="89" max="89" width="45.125" style="1" bestFit="1" customWidth="1"/>
    <col min="90" max="90" width="38.125" style="1" bestFit="1" customWidth="1"/>
    <col min="91" max="91" width="82.125" style="1" bestFit="1" customWidth="1"/>
    <col min="92" max="92" width="22" style="1" bestFit="1" customWidth="1"/>
    <col min="93" max="93" width="32.125" style="1" bestFit="1" customWidth="1"/>
    <col min="94" max="94" width="28" style="1" bestFit="1" customWidth="1"/>
    <col min="95" max="95" width="57.125" style="1" bestFit="1" customWidth="1"/>
    <col min="96" max="96" width="25.125" style="1" bestFit="1" customWidth="1"/>
    <col min="97" max="97" width="23.125" style="1" bestFit="1" customWidth="1"/>
    <col min="98" max="98" width="34.125" style="1" bestFit="1" customWidth="1"/>
    <col min="99" max="99" width="29.125" style="1" bestFit="1" customWidth="1"/>
    <col min="100" max="100" width="30.125" style="1" bestFit="1" customWidth="1"/>
    <col min="101" max="101" width="37.125" style="1" bestFit="1" customWidth="1"/>
    <col min="102" max="102" width="39.125" style="1" bestFit="1" customWidth="1"/>
    <col min="103" max="103" width="42.125" style="1" bestFit="1" customWidth="1"/>
    <col min="104" max="104" width="48" style="1" bestFit="1" customWidth="1"/>
    <col min="105" max="105" width="38.125" style="1" bestFit="1" customWidth="1"/>
    <col min="106" max="106" width="25.625" style="1" bestFit="1" customWidth="1"/>
    <col min="107" max="107" width="46" style="1" bestFit="1" customWidth="1"/>
    <col min="108" max="108" width="39.125" style="1" bestFit="1" customWidth="1"/>
    <col min="109" max="109" width="82.625" style="1" bestFit="1" customWidth="1"/>
    <col min="110" max="110" width="20" style="1" bestFit="1" customWidth="1"/>
    <col min="111" max="111" width="30.125" style="1" bestFit="1" customWidth="1"/>
    <col min="112" max="112" width="26" style="1" bestFit="1" customWidth="1"/>
    <col min="113" max="113" width="55.125" style="1" bestFit="1" customWidth="1"/>
    <col min="114" max="114" width="23.125" style="1" bestFit="1" customWidth="1"/>
    <col min="115" max="115" width="21.125" style="1" bestFit="1" customWidth="1"/>
    <col min="116" max="116" width="32.125" style="1" bestFit="1" customWidth="1"/>
    <col min="117" max="117" width="27.625" style="1" bestFit="1" customWidth="1"/>
    <col min="118" max="118" width="28.125" style="1" bestFit="1" customWidth="1"/>
    <col min="119" max="119" width="35.125" style="1" bestFit="1" customWidth="1"/>
    <col min="120" max="120" width="37.125" style="1" bestFit="1" customWidth="1"/>
    <col min="121" max="121" width="40.125" style="1" bestFit="1" customWidth="1"/>
    <col min="122" max="122" width="46" style="1" bestFit="1" customWidth="1"/>
    <col min="123" max="123" width="36.125" style="1" bestFit="1" customWidth="1"/>
    <col min="124" max="124" width="24" style="1" bestFit="1" customWidth="1"/>
    <col min="125" max="125" width="44.125" style="1" bestFit="1" customWidth="1"/>
    <col min="126" max="126" width="37.125" style="1" bestFit="1" customWidth="1"/>
    <col min="127" max="127" width="80.625" style="1" bestFit="1" customWidth="1"/>
    <col min="128" max="128" width="37.125" style="1" bestFit="1" customWidth="1"/>
    <col min="129" max="129" width="22.625" style="1" bestFit="1" customWidth="1"/>
    <col min="130" max="130" width="33" style="1" bestFit="1" customWidth="1"/>
    <col min="131" max="131" width="28.625" style="1" bestFit="1" customWidth="1"/>
    <col min="132" max="132" width="58.125" style="1" bestFit="1" customWidth="1"/>
    <col min="133" max="133" width="26" style="1" bestFit="1" customWidth="1"/>
    <col min="134" max="134" width="24.125" style="1" bestFit="1" customWidth="1"/>
    <col min="135" max="135" width="35.125" style="1" bestFit="1" customWidth="1"/>
    <col min="136" max="136" width="30.125" style="1" bestFit="1" customWidth="1"/>
    <col min="137" max="137" width="31.125" style="1" bestFit="1" customWidth="1"/>
    <col min="138" max="138" width="38" style="1" bestFit="1" customWidth="1"/>
    <col min="139" max="139" width="40.125" style="1" bestFit="1" customWidth="1"/>
    <col min="140" max="140" width="43.125" style="1" bestFit="1" customWidth="1"/>
    <col min="141" max="141" width="48.625" style="1" bestFit="1" customWidth="1"/>
    <col min="142" max="142" width="39.125" style="1" bestFit="1" customWidth="1"/>
    <col min="143" max="143" width="26.625" style="1" bestFit="1" customWidth="1"/>
    <col min="144" max="144" width="47" style="1" bestFit="1" customWidth="1"/>
    <col min="145" max="145" width="40" style="1" bestFit="1" customWidth="1"/>
    <col min="146" max="146" width="83.625" style="1" bestFit="1" customWidth="1"/>
    <col min="147" max="147" width="21.125" style="1" bestFit="1" customWidth="1"/>
    <col min="148" max="148" width="31.125" style="1" bestFit="1" customWidth="1"/>
    <col min="149" max="149" width="27.125" style="1" bestFit="1" customWidth="1"/>
    <col min="150" max="150" width="56.625" style="1" bestFit="1" customWidth="1"/>
    <col min="151" max="151" width="24.125" style="1" bestFit="1" customWidth="1"/>
    <col min="152" max="152" width="22.625" style="1" bestFit="1" customWidth="1"/>
    <col min="153" max="153" width="33.625" style="1" bestFit="1" customWidth="1"/>
    <col min="154" max="154" width="29" style="1" bestFit="1" customWidth="1"/>
    <col min="155" max="155" width="29.625" style="1" bestFit="1" customWidth="1"/>
    <col min="156" max="156" width="36.125" style="1" bestFit="1" customWidth="1"/>
    <col min="157" max="157" width="38.625" style="1" bestFit="1" customWidth="1"/>
    <col min="158" max="158" width="42" style="1" bestFit="1" customWidth="1"/>
    <col min="159" max="159" width="47.125" style="1" bestFit="1" customWidth="1"/>
    <col min="160" max="160" width="37.625" style="1" bestFit="1" customWidth="1"/>
    <col min="161" max="161" width="25.125" style="1" bestFit="1" customWidth="1"/>
    <col min="162" max="162" width="45.125" style="1" bestFit="1" customWidth="1"/>
    <col min="163" max="163" width="38.125" style="1" bestFit="1" customWidth="1"/>
    <col min="164" max="164" width="82.125" style="1" bestFit="1" customWidth="1"/>
    <col min="165" max="165" width="22" style="1" bestFit="1" customWidth="1"/>
    <col min="166" max="166" width="32.125" style="1" bestFit="1" customWidth="1"/>
    <col min="167" max="167" width="28" style="1" bestFit="1" customWidth="1"/>
    <col min="168" max="168" width="57.125" style="1" bestFit="1" customWidth="1"/>
    <col min="169" max="169" width="25.125" style="1" bestFit="1" customWidth="1"/>
    <col min="170" max="170" width="23.125" style="1" bestFit="1" customWidth="1"/>
    <col min="171" max="171" width="34.125" style="1" bestFit="1" customWidth="1"/>
    <col min="172" max="172" width="29.125" style="1" bestFit="1" customWidth="1"/>
    <col min="173" max="173" width="30.125" style="1" bestFit="1" customWidth="1"/>
    <col min="174" max="174" width="37.125" style="1" bestFit="1" customWidth="1"/>
    <col min="175" max="175" width="39.125" style="1" bestFit="1" customWidth="1"/>
    <col min="176" max="176" width="42.125" style="1" bestFit="1" customWidth="1"/>
    <col min="177" max="177" width="48" style="1" bestFit="1" customWidth="1"/>
    <col min="178" max="178" width="38.125" style="1" bestFit="1" customWidth="1"/>
    <col min="179" max="179" width="25.625" style="1" bestFit="1" customWidth="1"/>
    <col min="180" max="180" width="46" style="1" bestFit="1" customWidth="1"/>
    <col min="181" max="181" width="39.125" style="1" bestFit="1" customWidth="1"/>
    <col min="182" max="182" width="82.625" style="1" bestFit="1" customWidth="1"/>
    <col min="183" max="183" width="20" style="1" bestFit="1" customWidth="1"/>
    <col min="184" max="184" width="30.125" style="1" bestFit="1" customWidth="1"/>
    <col min="185" max="185" width="26" style="1" bestFit="1" customWidth="1"/>
    <col min="186" max="186" width="55.125" style="1" bestFit="1" customWidth="1"/>
    <col min="187" max="187" width="23.125" style="1" bestFit="1" customWidth="1"/>
    <col min="188" max="188" width="21.125" style="1" bestFit="1" customWidth="1"/>
    <col min="189" max="189" width="32.125" style="1" bestFit="1" customWidth="1"/>
    <col min="190" max="190" width="27.625" style="1" bestFit="1" customWidth="1"/>
    <col min="191" max="191" width="28.125" style="1" bestFit="1" customWidth="1"/>
    <col min="192" max="192" width="35.125" style="1" bestFit="1" customWidth="1"/>
    <col min="193" max="193" width="37.125" style="1" bestFit="1" customWidth="1"/>
    <col min="194" max="194" width="40.125" style="1" bestFit="1" customWidth="1"/>
    <col min="195" max="195" width="46" style="1" bestFit="1" customWidth="1"/>
    <col min="196" max="196" width="36.125" style="1" bestFit="1" customWidth="1"/>
    <col min="197" max="197" width="24" style="1" bestFit="1" customWidth="1"/>
    <col min="198" max="198" width="44.125" style="1" bestFit="1" customWidth="1"/>
    <col min="199" max="199" width="37.125" style="1" bestFit="1" customWidth="1"/>
    <col min="200" max="200" width="80.625" style="1" bestFit="1" customWidth="1"/>
    <col min="201" max="201" width="37.125" style="1" bestFit="1" customWidth="1"/>
    <col min="202" max="202" width="22.625" style="1" bestFit="1" customWidth="1"/>
    <col min="203" max="203" width="33" style="1" bestFit="1" customWidth="1"/>
    <col min="204" max="204" width="28.625" style="1" bestFit="1" customWidth="1"/>
    <col min="205" max="205" width="58.125" style="1" bestFit="1" customWidth="1"/>
    <col min="206" max="206" width="26" style="1" bestFit="1" customWidth="1"/>
    <col min="207" max="207" width="24.125" style="1" bestFit="1" customWidth="1"/>
    <col min="208" max="208" width="35.125" style="1" bestFit="1" customWidth="1"/>
    <col min="209" max="209" width="30.125" style="1" bestFit="1" customWidth="1"/>
    <col min="210" max="210" width="31.125" style="1" bestFit="1" customWidth="1"/>
    <col min="211" max="211" width="38" style="1" bestFit="1" customWidth="1"/>
    <col min="212" max="212" width="40.125" style="1" bestFit="1" customWidth="1"/>
    <col min="213" max="213" width="43.125" style="1" bestFit="1" customWidth="1"/>
    <col min="214" max="214" width="48.625" style="1" bestFit="1" customWidth="1"/>
    <col min="215" max="215" width="39.125" style="1" bestFit="1" customWidth="1"/>
    <col min="216" max="216" width="26.625" style="1" bestFit="1" customWidth="1"/>
    <col min="217" max="217" width="47" style="1" bestFit="1" customWidth="1"/>
    <col min="218" max="218" width="40" style="1" bestFit="1" customWidth="1"/>
    <col min="219" max="219" width="83.625" style="1" bestFit="1" customWidth="1"/>
    <col min="220" max="220" width="21.125" style="1" bestFit="1" customWidth="1"/>
    <col min="221" max="221" width="31.125" style="1" bestFit="1" customWidth="1"/>
    <col min="222" max="222" width="27.125" style="1" bestFit="1" customWidth="1"/>
    <col min="223" max="223" width="56.625" style="1" bestFit="1" customWidth="1"/>
    <col min="224" max="224" width="24.125" style="1" bestFit="1" customWidth="1"/>
    <col min="225" max="225" width="22.625" style="1" bestFit="1" customWidth="1"/>
    <col min="226" max="226" width="33.625" style="1" bestFit="1" customWidth="1"/>
    <col min="227" max="227" width="29" style="1" bestFit="1" customWidth="1"/>
    <col min="228" max="228" width="29.625" style="1" bestFit="1" customWidth="1"/>
    <col min="229" max="229" width="36.125" style="1" bestFit="1" customWidth="1"/>
    <col min="230" max="230" width="38.625" style="1" bestFit="1" customWidth="1"/>
    <col min="231" max="231" width="42" style="1" bestFit="1" customWidth="1"/>
    <col min="232" max="232" width="47.125" style="1" bestFit="1" customWidth="1"/>
    <col min="233" max="233" width="37.625" style="1" bestFit="1" customWidth="1"/>
    <col min="234" max="234" width="25.125" style="1" bestFit="1" customWidth="1"/>
    <col min="235" max="235" width="45.125" style="1" bestFit="1" customWidth="1"/>
    <col min="236" max="236" width="38.125" style="1" bestFit="1" customWidth="1"/>
    <col min="237" max="237" width="82.125" style="1" bestFit="1" customWidth="1"/>
    <col min="238" max="238" width="22" style="1" bestFit="1" customWidth="1"/>
    <col min="239" max="239" width="32.125" style="1" bestFit="1" customWidth="1"/>
    <col min="240" max="240" width="28" style="1" bestFit="1" customWidth="1"/>
    <col min="241" max="241" width="57.125" style="1" bestFit="1" customWidth="1"/>
    <col min="242" max="242" width="25.125" style="1" bestFit="1" customWidth="1"/>
    <col min="243" max="243" width="23.125" style="1" bestFit="1" customWidth="1"/>
    <col min="244" max="244" width="34.125" style="1" bestFit="1" customWidth="1"/>
    <col min="245" max="245" width="29.125" style="1" bestFit="1" customWidth="1"/>
    <col min="246" max="246" width="30.125" style="1" bestFit="1" customWidth="1"/>
    <col min="247" max="247" width="37.125" style="1" bestFit="1" customWidth="1"/>
    <col min="248" max="248" width="39.125" style="1" bestFit="1" customWidth="1"/>
    <col min="249" max="249" width="42.125" style="1" bestFit="1" customWidth="1"/>
    <col min="250" max="250" width="48" style="1" bestFit="1" customWidth="1"/>
    <col min="251" max="251" width="38.125" style="1" bestFit="1" customWidth="1"/>
    <col min="252" max="252" width="25.625" style="1" bestFit="1" customWidth="1"/>
    <col min="253" max="253" width="46" style="1" bestFit="1" customWidth="1"/>
    <col min="254" max="254" width="39.125" style="1" bestFit="1" customWidth="1"/>
    <col min="255" max="255" width="82.625" style="1" bestFit="1" customWidth="1"/>
    <col min="256" max="256" width="20" style="1" bestFit="1" customWidth="1"/>
    <col min="257" max="257" width="30.125" style="1" bestFit="1" customWidth="1"/>
    <col min="258" max="258" width="26" style="1" bestFit="1" customWidth="1"/>
    <col min="259" max="259" width="55.125" style="1" bestFit="1" customWidth="1"/>
    <col min="260" max="260" width="23.125" style="1" bestFit="1" customWidth="1"/>
    <col min="261" max="261" width="21.125" style="1" bestFit="1" customWidth="1"/>
    <col min="262" max="262" width="32.125" style="1" bestFit="1" customWidth="1"/>
    <col min="263" max="263" width="27.625" style="1" bestFit="1" customWidth="1"/>
    <col min="264" max="264" width="28.125" style="1" bestFit="1" customWidth="1"/>
    <col min="265" max="265" width="35.125" style="1" bestFit="1" customWidth="1"/>
    <col min="266" max="266" width="37.125" style="1" bestFit="1" customWidth="1"/>
    <col min="267" max="267" width="40.125" style="1" bestFit="1" customWidth="1"/>
    <col min="268" max="268" width="46" style="1" bestFit="1" customWidth="1"/>
    <col min="269" max="269" width="36.125" style="1" bestFit="1" customWidth="1"/>
    <col min="270" max="270" width="24" style="1" bestFit="1" customWidth="1"/>
    <col min="271" max="271" width="44.125" style="1" bestFit="1" customWidth="1"/>
    <col min="272" max="272" width="37.125" style="1" bestFit="1" customWidth="1"/>
    <col min="273" max="273" width="80.625" style="1" bestFit="1" customWidth="1"/>
    <col min="274" max="274" width="37.125" style="1" bestFit="1" customWidth="1"/>
    <col min="275" max="275" width="22.625" style="1" bestFit="1" customWidth="1"/>
    <col min="276" max="276" width="33" style="1" bestFit="1" customWidth="1"/>
    <col min="277" max="277" width="28.625" style="1" bestFit="1" customWidth="1"/>
    <col min="278" max="278" width="58.125" style="1" bestFit="1" customWidth="1"/>
    <col min="279" max="279" width="26" style="1" bestFit="1" customWidth="1"/>
    <col min="280" max="280" width="24.125" style="1" bestFit="1" customWidth="1"/>
    <col min="281" max="281" width="35.125" style="1" bestFit="1" customWidth="1"/>
    <col min="282" max="282" width="30.125" style="1" bestFit="1" customWidth="1"/>
    <col min="283" max="283" width="31.125" style="1" bestFit="1" customWidth="1"/>
    <col min="284" max="284" width="38" style="1" bestFit="1" customWidth="1"/>
    <col min="285" max="285" width="40.125" style="1" bestFit="1" customWidth="1"/>
    <col min="286" max="286" width="43.125" style="1" bestFit="1" customWidth="1"/>
    <col min="287" max="287" width="48.625" style="1" bestFit="1" customWidth="1"/>
    <col min="288" max="288" width="39.125" style="1" bestFit="1" customWidth="1"/>
    <col min="289" max="289" width="26.625" style="1" bestFit="1" customWidth="1"/>
    <col min="290" max="290" width="47" style="1" bestFit="1" customWidth="1"/>
    <col min="291" max="291" width="40" style="1" bestFit="1" customWidth="1"/>
    <col min="292" max="292" width="83.625" style="1" bestFit="1" customWidth="1"/>
    <col min="293" max="293" width="21.125" style="1" bestFit="1" customWidth="1"/>
    <col min="294" max="294" width="31.125" style="1" bestFit="1" customWidth="1"/>
    <col min="295" max="295" width="27.125" style="1" bestFit="1" customWidth="1"/>
    <col min="296" max="296" width="56.625" style="1" bestFit="1" customWidth="1"/>
    <col min="297" max="297" width="24.125" style="1" bestFit="1" customWidth="1"/>
    <col min="298" max="298" width="22.625" style="1" bestFit="1" customWidth="1"/>
    <col min="299" max="299" width="33.625" style="1" bestFit="1" customWidth="1"/>
    <col min="300" max="300" width="29" style="1" bestFit="1" customWidth="1"/>
    <col min="301" max="301" width="29.625" style="1" bestFit="1" customWidth="1"/>
    <col min="302" max="302" width="36.125" style="1" bestFit="1" customWidth="1"/>
    <col min="303" max="303" width="38.625" style="1" bestFit="1" customWidth="1"/>
    <col min="304" max="304" width="42" style="1" bestFit="1" customWidth="1"/>
    <col min="305" max="305" width="47.125" style="1" bestFit="1" customWidth="1"/>
    <col min="306" max="306" width="37.625" style="1" bestFit="1" customWidth="1"/>
    <col min="307" max="307" width="25.125" style="1" bestFit="1" customWidth="1"/>
    <col min="308" max="308" width="45.125" style="1" bestFit="1" customWidth="1"/>
    <col min="309" max="309" width="38.125" style="1" bestFit="1" customWidth="1"/>
    <col min="310" max="310" width="82.125" style="1" bestFit="1" customWidth="1"/>
    <col min="311" max="311" width="22" style="1" bestFit="1" customWidth="1"/>
    <col min="312" max="312" width="32.125" style="1" bestFit="1" customWidth="1"/>
    <col min="313" max="313" width="28" style="1" bestFit="1" customWidth="1"/>
    <col min="314" max="314" width="57.125" style="1" bestFit="1" customWidth="1"/>
    <col min="315" max="315" width="25.125" style="1" bestFit="1" customWidth="1"/>
    <col min="316" max="316" width="23.125" style="1" bestFit="1" customWidth="1"/>
    <col min="317" max="317" width="34.125" style="1" bestFit="1" customWidth="1"/>
    <col min="318" max="318" width="29.125" style="1" bestFit="1" customWidth="1"/>
    <col min="319" max="319" width="30.125" style="1" bestFit="1" customWidth="1"/>
    <col min="320" max="320" width="37.125" style="1" bestFit="1" customWidth="1"/>
    <col min="321" max="321" width="39.125" style="1" bestFit="1" customWidth="1"/>
    <col min="322" max="322" width="42.125" style="1" bestFit="1" customWidth="1"/>
    <col min="323" max="323" width="48" style="1" bestFit="1" customWidth="1"/>
    <col min="324" max="324" width="38.125" style="1" bestFit="1" customWidth="1"/>
    <col min="325" max="325" width="25.625" style="1" bestFit="1" customWidth="1"/>
    <col min="326" max="326" width="46" style="1" bestFit="1" customWidth="1"/>
    <col min="327" max="327" width="39.125" style="1" bestFit="1" customWidth="1"/>
    <col min="328" max="328" width="82.625" style="1" bestFit="1" customWidth="1"/>
    <col min="329" max="329" width="20" style="1" bestFit="1" customWidth="1"/>
    <col min="330" max="330" width="30.125" style="1" bestFit="1" customWidth="1"/>
    <col min="331" max="331" width="26" style="1" bestFit="1" customWidth="1"/>
    <col min="332" max="332" width="55.125" style="1" bestFit="1" customWidth="1"/>
    <col min="333" max="333" width="23.125" style="1" bestFit="1" customWidth="1"/>
    <col min="334" max="334" width="21.125" style="1" bestFit="1" customWidth="1"/>
    <col min="335" max="335" width="32.125" style="1" bestFit="1" customWidth="1"/>
    <col min="336" max="336" width="27.625" style="1" bestFit="1" customWidth="1"/>
    <col min="337" max="337" width="28.125" style="1" bestFit="1" customWidth="1"/>
    <col min="338" max="338" width="35.125" style="1" bestFit="1" customWidth="1"/>
    <col min="339" max="339" width="37.125" style="1" bestFit="1" customWidth="1"/>
    <col min="340" max="340" width="40.125" style="1" bestFit="1" customWidth="1"/>
    <col min="341" max="341" width="46" style="1" bestFit="1" customWidth="1"/>
    <col min="342" max="342" width="36.125" style="1" bestFit="1" customWidth="1"/>
    <col min="343" max="343" width="24" style="1" bestFit="1" customWidth="1"/>
    <col min="344" max="344" width="44.125" style="1" bestFit="1" customWidth="1"/>
    <col min="345" max="345" width="37.125" style="1" bestFit="1" customWidth="1"/>
    <col min="346" max="346" width="80.625" style="1" bestFit="1" customWidth="1"/>
    <col min="347" max="347" width="37.125" style="1" bestFit="1" customWidth="1"/>
    <col min="348" max="16384" width="11.125" style="1"/>
  </cols>
  <sheetData>
    <row r="1" spans="1:58" ht="49.9" hidden="1" customHeight="1" thickTop="1">
      <c r="A1" s="266"/>
      <c r="B1" s="267"/>
      <c r="C1" s="272" t="s">
        <v>31</v>
      </c>
      <c r="D1" s="273"/>
      <c r="E1" s="273"/>
      <c r="F1" s="273"/>
      <c r="G1" s="273"/>
      <c r="H1" s="273"/>
      <c r="I1" s="273"/>
      <c r="J1" s="273"/>
      <c r="K1" s="273"/>
      <c r="L1" s="273"/>
      <c r="M1" s="273"/>
      <c r="N1" s="273"/>
      <c r="O1" s="273"/>
      <c r="P1" s="273"/>
      <c r="Q1" s="273"/>
      <c r="R1" s="273"/>
      <c r="S1" s="273"/>
      <c r="T1" s="273"/>
      <c r="U1" s="273"/>
      <c r="V1" s="273"/>
      <c r="W1" s="273"/>
      <c r="X1" s="273"/>
      <c r="Y1" s="273"/>
      <c r="Z1" s="273"/>
      <c r="AA1" s="273"/>
      <c r="AB1" s="273"/>
      <c r="AC1" s="273"/>
      <c r="AD1" s="273"/>
      <c r="AE1" s="273"/>
      <c r="AF1" s="273"/>
      <c r="AG1" s="273"/>
      <c r="AH1" s="273"/>
      <c r="AI1" s="273"/>
      <c r="AJ1" s="273"/>
      <c r="AK1" s="273"/>
      <c r="AL1" s="273"/>
      <c r="AM1" s="273"/>
      <c r="AN1" s="273"/>
      <c r="AO1" s="273"/>
      <c r="AP1" s="273"/>
      <c r="AQ1" s="273"/>
      <c r="AR1" s="273"/>
      <c r="AS1" s="273"/>
      <c r="AT1" s="273"/>
      <c r="AU1" s="273"/>
      <c r="AV1" s="273"/>
      <c r="AW1" s="273"/>
      <c r="AX1" s="273"/>
      <c r="AY1" s="273"/>
      <c r="AZ1" s="273"/>
      <c r="BA1" s="273"/>
      <c r="BB1" s="274"/>
      <c r="BC1" s="281" t="s">
        <v>32</v>
      </c>
      <c r="BD1" s="282"/>
      <c r="BE1" s="283"/>
    </row>
    <row r="2" spans="1:58" ht="49.9" hidden="1" customHeight="1">
      <c r="A2" s="268"/>
      <c r="B2" s="269"/>
      <c r="C2" s="275"/>
      <c r="D2" s="276"/>
      <c r="E2" s="276"/>
      <c r="F2" s="276"/>
      <c r="G2" s="276"/>
      <c r="H2" s="276"/>
      <c r="I2" s="276"/>
      <c r="J2" s="276"/>
      <c r="K2" s="276"/>
      <c r="L2" s="276"/>
      <c r="M2" s="276"/>
      <c r="N2" s="276"/>
      <c r="O2" s="276"/>
      <c r="P2" s="276"/>
      <c r="Q2" s="276"/>
      <c r="R2" s="276"/>
      <c r="S2" s="276"/>
      <c r="T2" s="276"/>
      <c r="U2" s="276"/>
      <c r="V2" s="276"/>
      <c r="W2" s="276"/>
      <c r="X2" s="276"/>
      <c r="Y2" s="276"/>
      <c r="Z2" s="276"/>
      <c r="AA2" s="276"/>
      <c r="AB2" s="276"/>
      <c r="AC2" s="276"/>
      <c r="AD2" s="276"/>
      <c r="AE2" s="276"/>
      <c r="AF2" s="276"/>
      <c r="AG2" s="276"/>
      <c r="AH2" s="276"/>
      <c r="AI2" s="276"/>
      <c r="AJ2" s="276"/>
      <c r="AK2" s="276"/>
      <c r="AL2" s="276"/>
      <c r="AM2" s="276"/>
      <c r="AN2" s="276"/>
      <c r="AO2" s="276"/>
      <c r="AP2" s="276"/>
      <c r="AQ2" s="276"/>
      <c r="AR2" s="276"/>
      <c r="AS2" s="276"/>
      <c r="AT2" s="276"/>
      <c r="AU2" s="276"/>
      <c r="AV2" s="276"/>
      <c r="AW2" s="276"/>
      <c r="AX2" s="276"/>
      <c r="AY2" s="276"/>
      <c r="AZ2" s="276"/>
      <c r="BA2" s="276"/>
      <c r="BB2" s="277"/>
      <c r="BC2" s="284" t="s">
        <v>274</v>
      </c>
      <c r="BD2" s="285"/>
      <c r="BE2" s="286"/>
    </row>
    <row r="3" spans="1:58" ht="49.9" hidden="1" customHeight="1">
      <c r="A3" s="268"/>
      <c r="B3" s="269"/>
      <c r="C3" s="275"/>
      <c r="D3" s="276"/>
      <c r="E3" s="276"/>
      <c r="F3" s="276"/>
      <c r="G3" s="276"/>
      <c r="H3" s="276"/>
      <c r="I3" s="276"/>
      <c r="J3" s="276"/>
      <c r="K3" s="276"/>
      <c r="L3" s="276"/>
      <c r="M3" s="276"/>
      <c r="N3" s="276"/>
      <c r="O3" s="276"/>
      <c r="P3" s="276"/>
      <c r="Q3" s="276"/>
      <c r="R3" s="276"/>
      <c r="S3" s="276"/>
      <c r="T3" s="276"/>
      <c r="U3" s="276"/>
      <c r="V3" s="276"/>
      <c r="W3" s="276"/>
      <c r="X3" s="276"/>
      <c r="Y3" s="276"/>
      <c r="Z3" s="276"/>
      <c r="AA3" s="276"/>
      <c r="AB3" s="276"/>
      <c r="AC3" s="276"/>
      <c r="AD3" s="276"/>
      <c r="AE3" s="276"/>
      <c r="AF3" s="276"/>
      <c r="AG3" s="276"/>
      <c r="AH3" s="276"/>
      <c r="AI3" s="276"/>
      <c r="AJ3" s="276"/>
      <c r="AK3" s="276"/>
      <c r="AL3" s="276"/>
      <c r="AM3" s="276"/>
      <c r="AN3" s="276"/>
      <c r="AO3" s="276"/>
      <c r="AP3" s="276"/>
      <c r="AQ3" s="276"/>
      <c r="AR3" s="276"/>
      <c r="AS3" s="276"/>
      <c r="AT3" s="276"/>
      <c r="AU3" s="276"/>
      <c r="AV3" s="276"/>
      <c r="AW3" s="276"/>
      <c r="AX3" s="276"/>
      <c r="AY3" s="276"/>
      <c r="AZ3" s="276"/>
      <c r="BA3" s="276"/>
      <c r="BB3" s="277"/>
      <c r="BC3" s="284" t="s">
        <v>275</v>
      </c>
      <c r="BD3" s="285"/>
      <c r="BE3" s="286"/>
    </row>
    <row r="4" spans="1:58" ht="49.9" hidden="1" customHeight="1" thickBot="1">
      <c r="A4" s="270"/>
      <c r="B4" s="271"/>
      <c r="C4" s="278"/>
      <c r="D4" s="279"/>
      <c r="E4" s="279"/>
      <c r="F4" s="279"/>
      <c r="G4" s="279"/>
      <c r="H4" s="279"/>
      <c r="I4" s="279"/>
      <c r="J4" s="279"/>
      <c r="K4" s="279"/>
      <c r="L4" s="279"/>
      <c r="M4" s="279"/>
      <c r="N4" s="279"/>
      <c r="O4" s="279"/>
      <c r="P4" s="279"/>
      <c r="Q4" s="279"/>
      <c r="R4" s="279"/>
      <c r="S4" s="279"/>
      <c r="T4" s="279"/>
      <c r="U4" s="279"/>
      <c r="V4" s="279"/>
      <c r="W4" s="279"/>
      <c r="X4" s="279"/>
      <c r="Y4" s="279"/>
      <c r="Z4" s="279"/>
      <c r="AA4" s="279"/>
      <c r="AB4" s="279"/>
      <c r="AC4" s="279"/>
      <c r="AD4" s="279"/>
      <c r="AE4" s="279"/>
      <c r="AF4" s="279"/>
      <c r="AG4" s="279"/>
      <c r="AH4" s="279"/>
      <c r="AI4" s="279"/>
      <c r="AJ4" s="279"/>
      <c r="AK4" s="279"/>
      <c r="AL4" s="279"/>
      <c r="AM4" s="279"/>
      <c r="AN4" s="279"/>
      <c r="AO4" s="279"/>
      <c r="AP4" s="279"/>
      <c r="AQ4" s="279"/>
      <c r="AR4" s="279"/>
      <c r="AS4" s="279"/>
      <c r="AT4" s="279"/>
      <c r="AU4" s="279"/>
      <c r="AV4" s="279"/>
      <c r="AW4" s="279"/>
      <c r="AX4" s="279"/>
      <c r="AY4" s="279"/>
      <c r="AZ4" s="279"/>
      <c r="BA4" s="279"/>
      <c r="BB4" s="280"/>
      <c r="BC4" s="287" t="s">
        <v>276</v>
      </c>
      <c r="BD4" s="288"/>
      <c r="BE4" s="289"/>
    </row>
    <row r="5" spans="1:58" ht="49.9" hidden="1" customHeight="1" thickTop="1">
      <c r="H5" s="4"/>
      <c r="I5" s="4"/>
      <c r="J5" s="4"/>
      <c r="K5" s="138"/>
      <c r="BE5" s="11"/>
    </row>
    <row r="6" spans="1:58" ht="49.9" hidden="1" customHeight="1" thickBot="1">
      <c r="B6" s="3" t="s">
        <v>28</v>
      </c>
      <c r="C6" s="6"/>
      <c r="D6" s="6"/>
      <c r="E6" s="6"/>
      <c r="F6" s="6"/>
      <c r="G6" s="6"/>
      <c r="H6" s="6"/>
      <c r="I6" s="6"/>
      <c r="J6" s="6"/>
      <c r="K6" s="139"/>
      <c r="L6" s="6"/>
      <c r="M6" s="6"/>
      <c r="N6" s="6"/>
      <c r="O6" s="7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12"/>
      <c r="BD6" s="25"/>
      <c r="BE6" s="13"/>
    </row>
    <row r="7" spans="1:58" ht="49.9" hidden="1" customHeight="1" thickBot="1">
      <c r="A7" s="1"/>
      <c r="B7" s="8">
        <v>2025</v>
      </c>
      <c r="C7" s="6"/>
      <c r="D7" s="6"/>
      <c r="E7" s="6"/>
      <c r="F7" s="6"/>
      <c r="G7" s="6"/>
      <c r="H7" s="6"/>
      <c r="I7" s="6"/>
      <c r="J7" s="6"/>
      <c r="K7" s="139"/>
      <c r="L7" s="6"/>
      <c r="M7" s="6"/>
      <c r="N7" s="6"/>
      <c r="O7" s="7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12"/>
      <c r="BD7" s="25"/>
      <c r="BE7" s="13"/>
    </row>
    <row r="8" spans="1:58" ht="49.9" hidden="1" customHeight="1" thickBot="1">
      <c r="A8" s="1"/>
      <c r="B8" s="1"/>
      <c r="C8" s="7"/>
      <c r="D8" s="6"/>
      <c r="E8" s="6"/>
      <c r="F8" s="6"/>
      <c r="G8" s="6"/>
      <c r="H8" s="6"/>
      <c r="I8" s="6"/>
      <c r="J8" s="6"/>
      <c r="K8" s="139"/>
      <c r="L8" s="6"/>
      <c r="M8" s="6"/>
      <c r="N8" s="6"/>
      <c r="O8" s="7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12"/>
      <c r="BD8" s="25"/>
      <c r="BE8" s="13"/>
    </row>
    <row r="9" spans="1:58" s="2" customFormat="1" ht="84.75" customHeight="1" thickBot="1">
      <c r="A9" s="258" t="s">
        <v>27</v>
      </c>
      <c r="B9" s="258"/>
      <c r="C9" s="258"/>
      <c r="D9" s="258"/>
      <c r="E9" s="258"/>
      <c r="F9" s="258"/>
      <c r="G9" s="258"/>
      <c r="H9" s="259" t="s">
        <v>25</v>
      </c>
      <c r="I9" s="260"/>
      <c r="J9" s="260"/>
      <c r="K9" s="260"/>
      <c r="L9" s="260"/>
      <c r="M9" s="260"/>
      <c r="N9" s="260"/>
      <c r="O9" s="261"/>
      <c r="P9" s="262" t="s">
        <v>24</v>
      </c>
      <c r="Q9" s="263"/>
      <c r="R9" s="263"/>
      <c r="S9" s="263"/>
      <c r="T9" s="263"/>
      <c r="U9" s="263"/>
      <c r="V9" s="263"/>
      <c r="W9" s="263"/>
      <c r="X9" s="263"/>
      <c r="Y9" s="263"/>
      <c r="Z9" s="263"/>
      <c r="AA9" s="263"/>
      <c r="AB9" s="263"/>
      <c r="AC9" s="263"/>
      <c r="AD9" s="264"/>
      <c r="AE9" s="265"/>
      <c r="AF9" s="259" t="s">
        <v>23</v>
      </c>
      <c r="AG9" s="260"/>
      <c r="AH9" s="260"/>
      <c r="AI9" s="260"/>
      <c r="AJ9" s="260"/>
      <c r="AK9" s="260"/>
      <c r="AL9" s="260"/>
      <c r="AM9" s="260"/>
      <c r="AN9" s="260"/>
      <c r="AO9" s="260"/>
      <c r="AP9" s="260"/>
      <c r="AQ9" s="260"/>
      <c r="AR9" s="260"/>
      <c r="AS9" s="260"/>
      <c r="AT9" s="260"/>
      <c r="AU9" s="260"/>
      <c r="AV9" s="260"/>
      <c r="AW9" s="260"/>
      <c r="AX9" s="259" t="s">
        <v>42</v>
      </c>
      <c r="AY9" s="260"/>
      <c r="AZ9" s="261"/>
      <c r="BA9" s="260" t="s">
        <v>44</v>
      </c>
      <c r="BB9" s="260"/>
      <c r="BC9" s="256" t="s">
        <v>22</v>
      </c>
      <c r="BD9" s="257"/>
      <c r="BE9" s="14"/>
    </row>
    <row r="10" spans="1:58" s="2" customFormat="1" ht="49.9" customHeight="1" thickBot="1">
      <c r="A10" s="39" t="s">
        <v>20</v>
      </c>
      <c r="B10" s="39" t="s">
        <v>19</v>
      </c>
      <c r="C10" s="39" t="s">
        <v>18</v>
      </c>
      <c r="D10" s="39" t="s">
        <v>17</v>
      </c>
      <c r="E10" s="39" t="s">
        <v>16</v>
      </c>
      <c r="F10" s="39" t="s">
        <v>15</v>
      </c>
      <c r="G10" s="39" t="s">
        <v>14</v>
      </c>
      <c r="H10" s="253" t="s">
        <v>34</v>
      </c>
      <c r="I10" s="39" t="s">
        <v>8</v>
      </c>
      <c r="J10" s="39" t="s">
        <v>7</v>
      </c>
      <c r="K10" s="39" t="s">
        <v>6</v>
      </c>
      <c r="L10" s="39" t="s">
        <v>5</v>
      </c>
      <c r="M10" s="39" t="s">
        <v>4</v>
      </c>
      <c r="N10" s="39" t="s">
        <v>3</v>
      </c>
      <c r="O10" s="58" t="s">
        <v>2</v>
      </c>
      <c r="P10" s="39" t="s">
        <v>279</v>
      </c>
      <c r="Q10" s="39" t="s">
        <v>280</v>
      </c>
      <c r="R10" s="39" t="s">
        <v>281</v>
      </c>
      <c r="S10" s="39" t="s">
        <v>282</v>
      </c>
      <c r="T10" s="39" t="s">
        <v>283</v>
      </c>
      <c r="U10" s="39" t="s">
        <v>284</v>
      </c>
      <c r="V10" s="39" t="s">
        <v>285</v>
      </c>
      <c r="W10" s="39" t="s">
        <v>286</v>
      </c>
      <c r="X10" s="39" t="s">
        <v>287</v>
      </c>
      <c r="Y10" s="39" t="s">
        <v>288</v>
      </c>
      <c r="Z10" s="39" t="s">
        <v>289</v>
      </c>
      <c r="AA10" s="39" t="s">
        <v>290</v>
      </c>
      <c r="AB10" s="39" t="s">
        <v>291</v>
      </c>
      <c r="AC10" s="39" t="s">
        <v>292</v>
      </c>
      <c r="AD10" s="39" t="s">
        <v>61</v>
      </c>
      <c r="AE10" s="39" t="s">
        <v>316</v>
      </c>
      <c r="AF10" s="39" t="s">
        <v>293</v>
      </c>
      <c r="AG10" s="39" t="s">
        <v>294</v>
      </c>
      <c r="AH10" s="39" t="s">
        <v>295</v>
      </c>
      <c r="AI10" s="39" t="s">
        <v>296</v>
      </c>
      <c r="AJ10" s="39" t="s">
        <v>297</v>
      </c>
      <c r="AK10" s="39" t="s">
        <v>298</v>
      </c>
      <c r="AL10" s="39" t="s">
        <v>299</v>
      </c>
      <c r="AM10" s="39" t="s">
        <v>300</v>
      </c>
      <c r="AN10" s="39" t="s">
        <v>301</v>
      </c>
      <c r="AO10" s="39" t="s">
        <v>302</v>
      </c>
      <c r="AP10" s="39" t="s">
        <v>303</v>
      </c>
      <c r="AQ10" s="39" t="s">
        <v>304</v>
      </c>
      <c r="AR10" s="39" t="s">
        <v>305</v>
      </c>
      <c r="AS10" s="39" t="s">
        <v>306</v>
      </c>
      <c r="AT10" s="39" t="s">
        <v>307</v>
      </c>
      <c r="AU10" s="39" t="s">
        <v>308</v>
      </c>
      <c r="AV10" s="39" t="s">
        <v>35</v>
      </c>
      <c r="AW10" s="59" t="s">
        <v>36</v>
      </c>
      <c r="AX10" s="39" t="s">
        <v>41</v>
      </c>
      <c r="AY10" s="39" t="s">
        <v>39</v>
      </c>
      <c r="AZ10" s="39" t="s">
        <v>38</v>
      </c>
      <c r="BA10" s="43" t="s">
        <v>43</v>
      </c>
      <c r="BB10" s="59" t="s">
        <v>40</v>
      </c>
      <c r="BC10" s="39" t="s">
        <v>1</v>
      </c>
      <c r="BD10" s="39" t="s">
        <v>0</v>
      </c>
      <c r="BE10" s="41" t="s">
        <v>21</v>
      </c>
      <c r="BF10" s="140" t="s">
        <v>317</v>
      </c>
    </row>
    <row r="11" spans="1:58" s="215" customFormat="1" ht="49.9" customHeight="1">
      <c r="A11" s="191">
        <v>11</v>
      </c>
      <c r="B11" s="191" t="s">
        <v>63</v>
      </c>
      <c r="C11" s="191" t="s">
        <v>64</v>
      </c>
      <c r="D11" s="191" t="s">
        <v>65</v>
      </c>
      <c r="E11" s="191" t="s">
        <v>66</v>
      </c>
      <c r="F11" s="191">
        <v>2102069</v>
      </c>
      <c r="G11" s="191" t="s">
        <v>68</v>
      </c>
      <c r="H11" s="192">
        <v>2024680010192</v>
      </c>
      <c r="I11" s="193" t="s">
        <v>232</v>
      </c>
      <c r="J11" s="194">
        <v>76321596723.880005</v>
      </c>
      <c r="K11" s="194">
        <v>28156124724.849998</v>
      </c>
      <c r="L11" s="193" t="s">
        <v>233</v>
      </c>
      <c r="M11" s="193" t="s">
        <v>234</v>
      </c>
      <c r="N11" s="193">
        <v>605047</v>
      </c>
      <c r="O11" s="195" t="s">
        <v>235</v>
      </c>
      <c r="P11" s="194">
        <v>20071124724.849998</v>
      </c>
      <c r="Q11" s="141"/>
      <c r="R11" s="141"/>
      <c r="S11" s="141"/>
      <c r="T11" s="141"/>
      <c r="U11" s="141">
        <f>IFERROR(VLOOKUP(Tabla134[[#This Row],[Código BPIN]],#REF!,6,0),0)</f>
        <v>0</v>
      </c>
      <c r="V11" s="141"/>
      <c r="W11" s="141"/>
      <c r="X11" s="141"/>
      <c r="Y11" s="141">
        <f>IFERROR(VLOOKUP(Tabla134[[#This Row],[Código BPIN]],#REF!,7,0),0)</f>
        <v>0</v>
      </c>
      <c r="Z11" s="141"/>
      <c r="AA11" s="141"/>
      <c r="AB11" s="141"/>
      <c r="AC11" s="211">
        <v>8085000000</v>
      </c>
      <c r="AD11" s="141"/>
      <c r="AE11" s="196">
        <f>+Tabla134[[#This Row],[Recursos propios 2025]]+Tabla134[[#This Row],[SGP Educación 2025]]+Tabla134[[#This Row],[SGP Salud 2025]]+Tabla134[[#This Row],[SGP Deporte 2025]]+Tabla134[[#This Row],[SGP Cultura 2025]]+Tabla134[[#This Row],[SGP Libre inversión 2025]]+Tabla134[[#This Row],[SGP Libre destinación 2025]]+Tabla134[[#This Row],[SGP Alimentación escolar 2025]]+Tabla134[[#This Row],[SGP Municipios río Magdalena 2025]]+Tabla134[[#This Row],[SGP APSB 2025]]+Tabla134[[#This Row],[Crédito 2025]]+Tabla134[[#This Row],[Transferencias de capital - cofinanciación departamento 2025]]+Tabla134[[#This Row],[Transferencias de capital - cofinanciación nación 2025]]+Tabla134[[#This Row],[Otros 2025]]+Tabla134[[#This Row],[Recursos del Balance]]</f>
        <v>28156124724.849998</v>
      </c>
      <c r="AF11" s="212">
        <v>18071711120.330002</v>
      </c>
      <c r="AG11" s="141"/>
      <c r="AH11" s="141"/>
      <c r="AI11" s="141"/>
      <c r="AJ11" s="141"/>
      <c r="AK11" s="141">
        <f>IFERROR(VLOOKUP(Tabla134[[#This Row],[Código BPIN]],#REF!,9,0),0)</f>
        <v>0</v>
      </c>
      <c r="AL11" s="141"/>
      <c r="AM11" s="141"/>
      <c r="AN11" s="141"/>
      <c r="AO11" s="141">
        <f>IFERROR(VLOOKUP(Tabla134[[#This Row],[Código BPIN]],#REF!,10,0),0)</f>
        <v>0</v>
      </c>
      <c r="AP11" s="141"/>
      <c r="AQ11" s="141"/>
      <c r="AR11" s="141"/>
      <c r="AS11" s="213">
        <v>3613439795.6900001</v>
      </c>
      <c r="AT11" s="141"/>
      <c r="AU11" s="141">
        <f>+Tabla134[[#This Row],[Recursos propios 20252]]+Tabla134[[#This Row],[SGP Educación 20252]]+Tabla134[[#This Row],[SGP Salud 20252]]+Tabla134[[#This Row],[SGP Deporte 20252]]+Tabla134[[#This Row],[SGP Cultura 20252]]+Tabla134[[#This Row],[SGP Libre inversión 20252]]+Tabla134[[#This Row],[SGP Libre destinación 20252]]+Tabla134[[#This Row],[SGP Alimentación escolar 20252]]+Tabla134[[#This Row],[SGP Municipios río Magdalena 20252]]+Tabla134[[#This Row],[SGP APSB 20252]]+Tabla134[[#This Row],[Crédito 20252]]+Tabla134[[#This Row],[Transferencias de capital - cofinanciación departamento 20252]]+Tabla134[[#This Row],[Transferencias de capital - cofinanciación nación 20252]]+Tabla134[[#This Row],[Otros 20252]]+Tabla134[[#This Row],[Recursos del Balance 2025]]</f>
        <v>21685150916.02</v>
      </c>
      <c r="AV11" s="212">
        <v>19798754010.02</v>
      </c>
      <c r="AW11" s="214">
        <v>19665541343.34</v>
      </c>
      <c r="AX11" s="143">
        <f>+Tabla134[[#This Row],[Total Recursos Comprometido 2025]]/Tabla134[[#This Row],[Total 2025]]</f>
        <v>0.77017526836287764</v>
      </c>
      <c r="AY11" s="144">
        <f>+Tabla134[[#This Row],[Total Recursos Obligados]]/Tabla134[[#This Row],[Total 2025]]</f>
        <v>0.70317752188908444</v>
      </c>
      <c r="AZ11" s="145">
        <f>+Tabla134[[#This Row],[Total Recursos Pagados]]/Tabla134[[#This Row],[Total 2025]]</f>
        <v>0.69844630734937785</v>
      </c>
      <c r="BA11" s="146">
        <v>0</v>
      </c>
      <c r="BB11" s="197" t="str">
        <f>IF(Tabla134[[#This Row],[Total Recursos Gestionados2]]=0,"_",IF(Tabla134[[#This Row],[Ejecución Recursos Comprometidos]]=0,100%,Tabla134[[#This Row],[Total Recursos Gestionados2]]/Tabla134[[#This Row],[Ejecución Recursos Comprometidos]]))</f>
        <v>_</v>
      </c>
      <c r="BC11" s="198" t="s">
        <v>269</v>
      </c>
      <c r="BD11" s="199" t="s">
        <v>270</v>
      </c>
      <c r="BE11" s="200">
        <v>11.16</v>
      </c>
      <c r="BF11" s="206"/>
    </row>
    <row r="12" spans="1:58" s="215" customFormat="1" ht="49.9" customHeight="1">
      <c r="A12" s="191">
        <v>11</v>
      </c>
      <c r="B12" s="191" t="s">
        <v>63</v>
      </c>
      <c r="C12" s="191" t="s">
        <v>64</v>
      </c>
      <c r="D12" s="191" t="s">
        <v>65</v>
      </c>
      <c r="E12" s="191" t="s">
        <v>66</v>
      </c>
      <c r="F12" s="191">
        <v>2102069</v>
      </c>
      <c r="G12" s="191" t="s">
        <v>68</v>
      </c>
      <c r="H12" s="192">
        <v>2024680010082</v>
      </c>
      <c r="I12" s="193" t="s">
        <v>236</v>
      </c>
      <c r="J12" s="194">
        <v>23350833209</v>
      </c>
      <c r="K12" s="194">
        <v>0</v>
      </c>
      <c r="L12" s="193"/>
      <c r="M12" s="193"/>
      <c r="N12" s="193"/>
      <c r="O12" s="195"/>
      <c r="P12" s="194">
        <f>IFERROR(VLOOKUP(Tabla134[[#This Row],[Código BPIN]],#REF!,5,0),0)</f>
        <v>0</v>
      </c>
      <c r="Q12" s="141"/>
      <c r="R12" s="141"/>
      <c r="S12" s="141"/>
      <c r="T12" s="141"/>
      <c r="U12" s="141">
        <f>IFERROR(VLOOKUP(Tabla134[[#This Row],[Código BPIN]],#REF!,6,0),0)</f>
        <v>0</v>
      </c>
      <c r="V12" s="141"/>
      <c r="W12" s="141"/>
      <c r="X12" s="141"/>
      <c r="Y12" s="141">
        <f>IFERROR(VLOOKUP(Tabla134[[#This Row],[Código BPIN]],#REF!,7,0),0)</f>
        <v>0</v>
      </c>
      <c r="Z12" s="141"/>
      <c r="AA12" s="141"/>
      <c r="AB12" s="141"/>
      <c r="AC12" s="141"/>
      <c r="AD12" s="141"/>
      <c r="AE12" s="196">
        <f>+Tabla134[[#This Row],[Recursos propios 2025]]+Tabla134[[#This Row],[SGP Educación 2025]]+Tabla134[[#This Row],[SGP Salud 2025]]+Tabla134[[#This Row],[SGP Deporte 2025]]+Tabla134[[#This Row],[SGP Cultura 2025]]+Tabla134[[#This Row],[SGP Libre inversión 2025]]+Tabla134[[#This Row],[SGP Libre destinación 2025]]+Tabla134[[#This Row],[SGP Alimentación escolar 2025]]+Tabla134[[#This Row],[SGP Municipios río Magdalena 2025]]+Tabla134[[#This Row],[SGP APSB 2025]]+Tabla134[[#This Row],[Crédito 2025]]+Tabla134[[#This Row],[Transferencias de capital - cofinanciación departamento 2025]]+Tabla134[[#This Row],[Transferencias de capital - cofinanciación nación 2025]]+Tabla134[[#This Row],[Otros 2025]]+Tabla134[[#This Row],[Recursos del Balance]]</f>
        <v>0</v>
      </c>
      <c r="AF12" s="142">
        <f>IFERROR(VLOOKUP(Tabla134[[#This Row],[Código BPIN]],#REF!,8,0),0)</f>
        <v>0</v>
      </c>
      <c r="AG12" s="141">
        <f>IFERROR(VLOOKUP(Tabla134[[#This Row],[Código BPIN]],#REF!,9,0),0)</f>
        <v>0</v>
      </c>
      <c r="AH12" s="141"/>
      <c r="AI12" s="141"/>
      <c r="AJ12" s="141"/>
      <c r="AK12" s="141">
        <f>IFERROR(VLOOKUP(Tabla134[[#This Row],[Código BPIN]],#REF!,9,0),0)</f>
        <v>0</v>
      </c>
      <c r="AL12" s="141"/>
      <c r="AM12" s="141"/>
      <c r="AN12" s="141"/>
      <c r="AO12" s="141">
        <f>IFERROR(VLOOKUP(Tabla134[[#This Row],[Código BPIN]],#REF!,10,0),0)</f>
        <v>0</v>
      </c>
      <c r="AP12" s="141"/>
      <c r="AQ12" s="141"/>
      <c r="AR12" s="141"/>
      <c r="AS12" s="141"/>
      <c r="AT12" s="141"/>
      <c r="AU12" s="141">
        <f>+Tabla134[[#This Row],[Recursos propios 20252]]+Tabla134[[#This Row],[SGP Educación 20252]]+Tabla134[[#This Row],[SGP Salud 20252]]+Tabla134[[#This Row],[SGP Deporte 20252]]+Tabla134[[#This Row],[SGP Cultura 20252]]+Tabla134[[#This Row],[SGP Libre inversión 20252]]+Tabla134[[#This Row],[SGP Libre destinación 20252]]+Tabla134[[#This Row],[SGP Alimentación escolar 20252]]+Tabla134[[#This Row],[SGP Municipios río Magdalena 20252]]+Tabla134[[#This Row],[SGP APSB 20252]]+Tabla134[[#This Row],[Crédito 20252]]+Tabla134[[#This Row],[Transferencias de capital - cofinanciación departamento 20252]]+Tabla134[[#This Row],[Transferencias de capital - cofinanciación nación 20252]]+Tabla134[[#This Row],[Otros 20252]]+Tabla134[[#This Row],[Recursos del Balance 2025]]</f>
        <v>0</v>
      </c>
      <c r="AV12" s="141">
        <f>SUM(Tabla134[[#This Row],[Recursos propios 20252]:[Recursos del Balance 2025]])</f>
        <v>0</v>
      </c>
      <c r="AW12" s="201">
        <f>IFERROR(VLOOKUP(Tabla134[[#This Row],[Código BPIN]],#REF!,5,0),0)</f>
        <v>0</v>
      </c>
      <c r="AX12" s="143" t="e">
        <f>+Tabla134[[#This Row],[Total Recursos Comprometido 2025]]/Tabla134[[#This Row],[Total 2025]]</f>
        <v>#DIV/0!</v>
      </c>
      <c r="AY12" s="144" t="e">
        <f>+Tabla134[[#This Row],[Total Recursos Obligados]]/Tabla134[[#This Row],[Total 2025]]</f>
        <v>#DIV/0!</v>
      </c>
      <c r="AZ12" s="145" t="e">
        <f>+Tabla134[[#This Row],[Total Recursos Pagados]]/Tabla134[[#This Row],[Total 2025]]</f>
        <v>#DIV/0!</v>
      </c>
      <c r="BA12" s="146"/>
      <c r="BB12" s="197" t="str">
        <f>IF(Tabla134[[#This Row],[Total Recursos Gestionados2]]=0,"_",IF(Tabla134[[#This Row],[Ejecución Recursos Comprometidos]]=0,100%,Tabla134[[#This Row],[Total Recursos Gestionados2]]/Tabla134[[#This Row],[Ejecución Recursos Comprometidos]]))</f>
        <v>_</v>
      </c>
      <c r="BC12" s="198"/>
      <c r="BD12" s="199"/>
      <c r="BE12" s="200"/>
      <c r="BF12" s="206"/>
    </row>
    <row r="13" spans="1:58" s="207" customFormat="1" ht="49.9" customHeight="1">
      <c r="A13" s="191">
        <v>11</v>
      </c>
      <c r="B13" s="191" t="s">
        <v>63</v>
      </c>
      <c r="C13" s="191" t="s">
        <v>64</v>
      </c>
      <c r="D13" s="191" t="s">
        <v>65</v>
      </c>
      <c r="E13" s="191" t="s">
        <v>66</v>
      </c>
      <c r="F13" s="191">
        <v>2102069</v>
      </c>
      <c r="G13" s="191" t="s">
        <v>68</v>
      </c>
      <c r="H13" s="192">
        <v>2024680010189</v>
      </c>
      <c r="I13" s="193" t="s">
        <v>237</v>
      </c>
      <c r="J13" s="194">
        <v>80324210940.5</v>
      </c>
      <c r="K13" s="194">
        <v>17594358904.150002</v>
      </c>
      <c r="L13" s="193" t="s">
        <v>233</v>
      </c>
      <c r="M13" s="193" t="s">
        <v>234</v>
      </c>
      <c r="N13" s="193">
        <v>605047</v>
      </c>
      <c r="O13" s="195" t="s">
        <v>235</v>
      </c>
      <c r="P13" s="194">
        <v>17594358904.150002</v>
      </c>
      <c r="Q13" s="141"/>
      <c r="R13" s="141"/>
      <c r="S13" s="141"/>
      <c r="T13" s="141"/>
      <c r="U13" s="141">
        <f>IFERROR(VLOOKUP(Tabla134[[#This Row],[Código BPIN]],#REF!,6,0),0)</f>
        <v>0</v>
      </c>
      <c r="V13" s="141"/>
      <c r="W13" s="141"/>
      <c r="X13" s="141"/>
      <c r="Y13" s="141">
        <f>IFERROR(VLOOKUP(Tabla134[[#This Row],[Código BPIN]],#REF!,7,0),0)</f>
        <v>0</v>
      </c>
      <c r="Z13" s="141"/>
      <c r="AA13" s="141"/>
      <c r="AB13" s="141"/>
      <c r="AC13" s="141"/>
      <c r="AD13" s="141"/>
      <c r="AE13" s="196">
        <f>+Tabla134[[#This Row],[Recursos propios 2025]]+Tabla134[[#This Row],[SGP Educación 2025]]+Tabla134[[#This Row],[SGP Salud 2025]]+Tabla134[[#This Row],[SGP Deporte 2025]]+Tabla134[[#This Row],[SGP Cultura 2025]]+Tabla134[[#This Row],[SGP Libre inversión 2025]]+Tabla134[[#This Row],[SGP Libre destinación 2025]]+Tabla134[[#This Row],[SGP Alimentación escolar 2025]]+Tabla134[[#This Row],[SGP Municipios río Magdalena 2025]]+Tabla134[[#This Row],[SGP APSB 2025]]+Tabla134[[#This Row],[Crédito 2025]]+Tabla134[[#This Row],[Transferencias de capital - cofinanciación departamento 2025]]+Tabla134[[#This Row],[Transferencias de capital - cofinanciación nación 2025]]+Tabla134[[#This Row],[Otros 2025]]+Tabla134[[#This Row],[Recursos del Balance]]</f>
        <v>17594358904.150002</v>
      </c>
      <c r="AF13" s="142">
        <v>2377836816.29</v>
      </c>
      <c r="AG13" s="141">
        <f>IFERROR(VLOOKUP(Tabla134[[#This Row],[Código BPIN]],#REF!,9,0),0)</f>
        <v>0</v>
      </c>
      <c r="AH13" s="141"/>
      <c r="AI13" s="141"/>
      <c r="AJ13" s="141"/>
      <c r="AK13" s="141">
        <f>IFERROR(VLOOKUP(Tabla134[[#This Row],[Código BPIN]],#REF!,9,0),0)</f>
        <v>0</v>
      </c>
      <c r="AL13" s="141"/>
      <c r="AM13" s="141"/>
      <c r="AN13" s="141"/>
      <c r="AO13" s="141">
        <f>IFERROR(VLOOKUP(Tabla134[[#This Row],[Código BPIN]],#REF!,10,0),0)</f>
        <v>0</v>
      </c>
      <c r="AP13" s="141"/>
      <c r="AQ13" s="141"/>
      <c r="AR13" s="141"/>
      <c r="AS13" s="141"/>
      <c r="AT13" s="141"/>
      <c r="AU13" s="141">
        <f>+Tabla134[[#This Row],[Recursos propios 20252]]+Tabla134[[#This Row],[SGP Educación 20252]]+Tabla134[[#This Row],[SGP Salud 20252]]+Tabla134[[#This Row],[SGP Deporte 20252]]+Tabla134[[#This Row],[SGP Cultura 20252]]+Tabla134[[#This Row],[SGP Libre inversión 20252]]+Tabla134[[#This Row],[SGP Libre destinación 20252]]+Tabla134[[#This Row],[SGP Alimentación escolar 20252]]+Tabla134[[#This Row],[SGP Municipios río Magdalena 20252]]+Tabla134[[#This Row],[SGP APSB 20252]]+Tabla134[[#This Row],[Crédito 20252]]+Tabla134[[#This Row],[Transferencias de capital - cofinanciación departamento 20252]]+Tabla134[[#This Row],[Transferencias de capital - cofinanciación nación 20252]]+Tabla134[[#This Row],[Otros 20252]]+Tabla134[[#This Row],[Recursos del Balance 2025]]</f>
        <v>2377836816.29</v>
      </c>
      <c r="AV13" s="141">
        <v>1586843707.3800001</v>
      </c>
      <c r="AW13" s="141">
        <v>1586843707.3800001</v>
      </c>
      <c r="AX13" s="143">
        <f>+Tabla134[[#This Row],[Total Recursos Comprometido 2025]]/Tabla134[[#This Row],[Total 2025]]</f>
        <v>0.1351476816656921</v>
      </c>
      <c r="AY13" s="144">
        <f>+Tabla134[[#This Row],[Total Recursos Obligados]]/Tabla134[[#This Row],[Total 2025]]</f>
        <v>9.0190481848458223E-2</v>
      </c>
      <c r="AZ13" s="145">
        <f>+Tabla134[[#This Row],[Total Recursos Pagados]]/Tabla134[[#This Row],[Total 2025]]</f>
        <v>9.0190481848458223E-2</v>
      </c>
      <c r="BA13" s="146"/>
      <c r="BB13" s="197" t="str">
        <f>IF(Tabla134[[#This Row],[Total Recursos Gestionados2]]=0,"_",IF(Tabla134[[#This Row],[Ejecución Recursos Comprometidos]]=0,100%,Tabla134[[#This Row],[Total Recursos Gestionados2]]/Tabla134[[#This Row],[Ejecución Recursos Comprometidos]]))</f>
        <v>_</v>
      </c>
      <c r="BC13" s="198"/>
      <c r="BD13" s="199"/>
      <c r="BE13" s="200"/>
      <c r="BF13" s="206"/>
    </row>
    <row r="14" spans="1:58" s="207" customFormat="1" ht="49.9" customHeight="1">
      <c r="A14" s="191">
        <v>11</v>
      </c>
      <c r="B14" s="191" t="s">
        <v>63</v>
      </c>
      <c r="C14" s="191" t="s">
        <v>64</v>
      </c>
      <c r="D14" s="191" t="s">
        <v>65</v>
      </c>
      <c r="E14" s="191" t="s">
        <v>66</v>
      </c>
      <c r="F14" s="191">
        <v>2102069</v>
      </c>
      <c r="G14" s="191" t="s">
        <v>68</v>
      </c>
      <c r="H14" s="192">
        <v>2024680010226</v>
      </c>
      <c r="I14" s="193" t="s">
        <v>238</v>
      </c>
      <c r="J14" s="194">
        <v>23500000000</v>
      </c>
      <c r="K14" s="194">
        <v>0</v>
      </c>
      <c r="L14" s="193"/>
      <c r="M14" s="193"/>
      <c r="N14" s="193"/>
      <c r="O14" s="195"/>
      <c r="P14" s="194">
        <f>IFERROR(VLOOKUP(Tabla134[[#This Row],[Código BPIN]],#REF!,5,0),0)</f>
        <v>0</v>
      </c>
      <c r="Q14" s="141"/>
      <c r="R14" s="141"/>
      <c r="S14" s="141"/>
      <c r="T14" s="141"/>
      <c r="U14" s="141">
        <f>IFERROR(VLOOKUP(Tabla134[[#This Row],[Código BPIN]],#REF!,6,0),0)</f>
        <v>0</v>
      </c>
      <c r="V14" s="141"/>
      <c r="W14" s="141"/>
      <c r="X14" s="141"/>
      <c r="Y14" s="141">
        <f>IFERROR(VLOOKUP(Tabla134[[#This Row],[Código BPIN]],#REF!,7,0),0)</f>
        <v>0</v>
      </c>
      <c r="Z14" s="141"/>
      <c r="AA14" s="141"/>
      <c r="AB14" s="141"/>
      <c r="AC14" s="141"/>
      <c r="AD14" s="141"/>
      <c r="AE14" s="196">
        <f>+Tabla134[[#This Row],[Recursos propios 2025]]+Tabla134[[#This Row],[SGP Educación 2025]]+Tabla134[[#This Row],[SGP Salud 2025]]+Tabla134[[#This Row],[SGP Deporte 2025]]+Tabla134[[#This Row],[SGP Cultura 2025]]+Tabla134[[#This Row],[SGP Libre inversión 2025]]+Tabla134[[#This Row],[SGP Libre destinación 2025]]+Tabla134[[#This Row],[SGP Alimentación escolar 2025]]+Tabla134[[#This Row],[SGP Municipios río Magdalena 2025]]+Tabla134[[#This Row],[SGP APSB 2025]]+Tabla134[[#This Row],[Crédito 2025]]+Tabla134[[#This Row],[Transferencias de capital - cofinanciación departamento 2025]]+Tabla134[[#This Row],[Transferencias de capital - cofinanciación nación 2025]]+Tabla134[[#This Row],[Otros 2025]]+Tabla134[[#This Row],[Recursos del Balance]]</f>
        <v>0</v>
      </c>
      <c r="AF14" s="142">
        <f>IFERROR(VLOOKUP(Tabla134[[#This Row],[Código BPIN]],#REF!,8,0),0)</f>
        <v>0</v>
      </c>
      <c r="AG14" s="141">
        <f>IFERROR(VLOOKUP(Tabla134[[#This Row],[Código BPIN]],#REF!,9,0),0)</f>
        <v>0</v>
      </c>
      <c r="AH14" s="141"/>
      <c r="AI14" s="141"/>
      <c r="AJ14" s="141"/>
      <c r="AK14" s="141">
        <f>IFERROR(VLOOKUP(Tabla134[[#This Row],[Código BPIN]],#REF!,9,0),0)</f>
        <v>0</v>
      </c>
      <c r="AL14" s="141"/>
      <c r="AM14" s="141"/>
      <c r="AN14" s="141"/>
      <c r="AO14" s="141">
        <f>IFERROR(VLOOKUP(Tabla134[[#This Row],[Código BPIN]],#REF!,10,0),0)</f>
        <v>0</v>
      </c>
      <c r="AP14" s="141"/>
      <c r="AQ14" s="141"/>
      <c r="AR14" s="141"/>
      <c r="AS14" s="141"/>
      <c r="AT14" s="141"/>
      <c r="AU14" s="141">
        <f>+Tabla134[[#This Row],[Recursos propios 20252]]+Tabla134[[#This Row],[SGP Educación 20252]]+Tabla134[[#This Row],[SGP Salud 20252]]+Tabla134[[#This Row],[SGP Deporte 20252]]+Tabla134[[#This Row],[SGP Cultura 20252]]+Tabla134[[#This Row],[SGP Libre inversión 20252]]+Tabla134[[#This Row],[SGP Libre destinación 20252]]+Tabla134[[#This Row],[SGP Alimentación escolar 20252]]+Tabla134[[#This Row],[SGP Municipios río Magdalena 20252]]+Tabla134[[#This Row],[SGP APSB 20252]]+Tabla134[[#This Row],[Crédito 20252]]+Tabla134[[#This Row],[Transferencias de capital - cofinanciación departamento 20252]]+Tabla134[[#This Row],[Transferencias de capital - cofinanciación nación 20252]]+Tabla134[[#This Row],[Otros 20252]]+Tabla134[[#This Row],[Recursos del Balance 2025]]</f>
        <v>0</v>
      </c>
      <c r="AV14" s="141">
        <f>SUM(Tabla134[[#This Row],[Recursos propios 20252]:[Recursos del Balance 2025]])</f>
        <v>0</v>
      </c>
      <c r="AW14" s="201">
        <f>IFERROR(VLOOKUP(Tabla134[[#This Row],[Código BPIN]],#REF!,5,0),0)</f>
        <v>0</v>
      </c>
      <c r="AX14" s="143" t="e">
        <f>+Tabla134[[#This Row],[Total Recursos Comprometido 2025]]/Tabla134[[#This Row],[Total 2025]]</f>
        <v>#DIV/0!</v>
      </c>
      <c r="AY14" s="144" t="e">
        <f>+Tabla134[[#This Row],[Total Recursos Obligados]]/Tabla134[[#This Row],[Total 2025]]</f>
        <v>#DIV/0!</v>
      </c>
      <c r="AZ14" s="145" t="e">
        <f>+Tabla134[[#This Row],[Total Recursos Pagados]]/Tabla134[[#This Row],[Total 2025]]</f>
        <v>#DIV/0!</v>
      </c>
      <c r="BA14" s="146"/>
      <c r="BB14" s="197" t="str">
        <f>IF(Tabla134[[#This Row],[Total Recursos Gestionados2]]=0,"_",IF(Tabla134[[#This Row],[Ejecución Recursos Comprometidos]]=0,100%,Tabla134[[#This Row],[Total Recursos Gestionados2]]/Tabla134[[#This Row],[Ejecución Recursos Comprometidos]]))</f>
        <v>_</v>
      </c>
      <c r="BC14" s="198"/>
      <c r="BD14" s="199"/>
      <c r="BE14" s="200"/>
      <c r="BF14" s="206"/>
    </row>
    <row r="15" spans="1:58" s="207" customFormat="1" ht="49.9" customHeight="1">
      <c r="A15" s="191">
        <v>11</v>
      </c>
      <c r="B15" s="191" t="s">
        <v>63</v>
      </c>
      <c r="C15" s="191" t="s">
        <v>64</v>
      </c>
      <c r="D15" s="191" t="s">
        <v>65</v>
      </c>
      <c r="E15" s="191" t="s">
        <v>66</v>
      </c>
      <c r="F15" s="191">
        <v>2102069</v>
      </c>
      <c r="G15" s="191" t="s">
        <v>68</v>
      </c>
      <c r="H15" s="202">
        <v>202500000013584</v>
      </c>
      <c r="I15" s="193" t="s">
        <v>239</v>
      </c>
      <c r="J15" s="194">
        <v>14816314413</v>
      </c>
      <c r="K15" s="194">
        <v>14816314413</v>
      </c>
      <c r="L15" s="193"/>
      <c r="M15" s="193"/>
      <c r="N15" s="193"/>
      <c r="O15" s="195"/>
      <c r="P15" s="194">
        <v>11316314413</v>
      </c>
      <c r="Q15" s="141"/>
      <c r="R15" s="141"/>
      <c r="S15" s="141"/>
      <c r="T15" s="141"/>
      <c r="U15" s="141">
        <f>IFERROR(VLOOKUP(Tabla134[[#This Row],[Código BPIN]],#REF!,6,0),0)</f>
        <v>0</v>
      </c>
      <c r="V15" s="141"/>
      <c r="W15" s="141"/>
      <c r="X15" s="141"/>
      <c r="Y15" s="141">
        <f>IFERROR(VLOOKUP(Tabla134[[#This Row],[Código BPIN]],#REF!,7,0),0)</f>
        <v>0</v>
      </c>
      <c r="Z15" s="141"/>
      <c r="AA15" s="141"/>
      <c r="AB15" s="141"/>
      <c r="AC15" s="211">
        <v>3500000000</v>
      </c>
      <c r="AD15" s="141"/>
      <c r="AE15" s="194">
        <f>+Tabla134[[#This Row],[Recursos propios 2025]]+Tabla134[[#This Row],[SGP Educación 2025]]+Tabla134[[#This Row],[SGP Salud 2025]]+Tabla134[[#This Row],[SGP Deporte 2025]]+Tabla134[[#This Row],[SGP Cultura 2025]]+Tabla134[[#This Row],[SGP Libre inversión 2025]]+Tabla134[[#This Row],[SGP Libre destinación 2025]]+Tabla134[[#This Row],[SGP Alimentación escolar 2025]]+Tabla134[[#This Row],[SGP Municipios río Magdalena 2025]]+Tabla134[[#This Row],[SGP APSB 2025]]+Tabla134[[#This Row],[Crédito 2025]]+Tabla134[[#This Row],[Transferencias de capital - cofinanciación departamento 2025]]+Tabla134[[#This Row],[Transferencias de capital - cofinanciación nación 2025]]+Tabla134[[#This Row],[Otros 2025]]+Tabla134[[#This Row],[Recursos del Balance]]</f>
        <v>14816314413</v>
      </c>
      <c r="AF15" s="142">
        <f>IFERROR(VLOOKUP(Tabla134[[#This Row],[Código BPIN]],#REF!,8,0),0)</f>
        <v>0</v>
      </c>
      <c r="AG15" s="141">
        <f>IFERROR(VLOOKUP(Tabla134[[#This Row],[Código BPIN]],#REF!,9,0),0)</f>
        <v>0</v>
      </c>
      <c r="AH15" s="141"/>
      <c r="AI15" s="141"/>
      <c r="AJ15" s="141"/>
      <c r="AK15" s="141">
        <f>IFERROR(VLOOKUP(Tabla134[[#This Row],[Código BPIN]],#REF!,9,0),0)</f>
        <v>0</v>
      </c>
      <c r="AL15" s="141"/>
      <c r="AM15" s="141"/>
      <c r="AN15" s="141"/>
      <c r="AO15" s="141">
        <f>IFERROR(VLOOKUP(Tabla134[[#This Row],[Código BPIN]],#REF!,10,0),0)</f>
        <v>0</v>
      </c>
      <c r="AP15" s="141"/>
      <c r="AQ15" s="141"/>
      <c r="AR15" s="141"/>
      <c r="AS15" s="141"/>
      <c r="AT15" s="141"/>
      <c r="AU15" s="141">
        <f>+Tabla134[[#This Row],[Recursos propios 20252]]+Tabla134[[#This Row],[SGP Educación 20252]]+Tabla134[[#This Row],[SGP Salud 20252]]+Tabla134[[#This Row],[SGP Deporte 20252]]+Tabla134[[#This Row],[SGP Cultura 20252]]+Tabla134[[#This Row],[SGP Libre inversión 20252]]+Tabla134[[#This Row],[SGP Libre destinación 20252]]+Tabla134[[#This Row],[SGP Alimentación escolar 20252]]+Tabla134[[#This Row],[SGP Municipios río Magdalena 20252]]+Tabla134[[#This Row],[SGP APSB 20252]]+Tabla134[[#This Row],[Crédito 20252]]+Tabla134[[#This Row],[Transferencias de capital - cofinanciación departamento 20252]]+Tabla134[[#This Row],[Transferencias de capital - cofinanciación nación 20252]]+Tabla134[[#This Row],[Otros 20252]]+Tabla134[[#This Row],[Recursos del Balance 2025]]</f>
        <v>0</v>
      </c>
      <c r="AV15" s="141">
        <f>SUM(Tabla134[[#This Row],[Recursos propios 20252]:[Recursos del Balance 2025]])</f>
        <v>0</v>
      </c>
      <c r="AW15" s="201">
        <f>IFERROR(VLOOKUP(Tabla134[[#This Row],[Código BPIN]],#REF!,5,0),0)</f>
        <v>0</v>
      </c>
      <c r="AX15" s="143">
        <f>+Tabla134[[#This Row],[Total Recursos Comprometido 2025]]/Tabla134[[#This Row],[Total 2025]]</f>
        <v>0</v>
      </c>
      <c r="AY15" s="144">
        <f>+Tabla134[[#This Row],[Total Recursos Obligados]]/Tabla134[[#This Row],[Total 2025]]</f>
        <v>0</v>
      </c>
      <c r="AZ15" s="145">
        <f>+Tabla134[[#This Row],[Total Recursos Pagados]]/Tabla134[[#This Row],[Total 2025]]</f>
        <v>0</v>
      </c>
      <c r="BA15" s="146"/>
      <c r="BB15" s="197" t="str">
        <f>IF(Tabla134[[#This Row],[Total Recursos Gestionados2]]=0,"_",IF(Tabla134[[#This Row],[Ejecución Recursos Comprometidos]]=0,100%,Tabla134[[#This Row],[Total Recursos Gestionados2]]/Tabla134[[#This Row],[Ejecución Recursos Comprometidos]]))</f>
        <v>_</v>
      </c>
      <c r="BC15" s="198"/>
      <c r="BD15" s="199"/>
      <c r="BE15" s="200"/>
      <c r="BF15" s="206"/>
    </row>
    <row r="16" spans="1:58" s="207" customFormat="1" ht="49.9" customHeight="1">
      <c r="A16" s="191">
        <v>11</v>
      </c>
      <c r="B16" s="191" t="s">
        <v>63</v>
      </c>
      <c r="C16" s="191" t="s">
        <v>64</v>
      </c>
      <c r="D16" s="191" t="s">
        <v>65</v>
      </c>
      <c r="E16" s="191" t="s">
        <v>66</v>
      </c>
      <c r="F16" s="191">
        <v>2102069</v>
      </c>
      <c r="G16" s="191" t="s">
        <v>329</v>
      </c>
      <c r="H16" s="202">
        <v>202500000031016</v>
      </c>
      <c r="I16" s="193" t="s">
        <v>330</v>
      </c>
      <c r="J16" s="194">
        <v>256160154</v>
      </c>
      <c r="K16" s="194">
        <v>256160154</v>
      </c>
      <c r="L16" s="193"/>
      <c r="M16" s="193"/>
      <c r="N16" s="193"/>
      <c r="O16" s="195"/>
      <c r="P16" s="194">
        <v>256160154</v>
      </c>
      <c r="Q16" s="141"/>
      <c r="R16" s="141"/>
      <c r="S16" s="141"/>
      <c r="T16" s="141"/>
      <c r="U16" s="141">
        <f>IFERROR(VLOOKUP(Tabla134[[#This Row],[Código BPIN]],#REF!,6,0),0)</f>
        <v>0</v>
      </c>
      <c r="V16" s="141"/>
      <c r="W16" s="141"/>
      <c r="X16" s="141"/>
      <c r="Y16" s="141">
        <f>IFERROR(VLOOKUP(Tabla134[[#This Row],[Código BPIN]],#REF!,7,0),0)</f>
        <v>0</v>
      </c>
      <c r="Z16" s="141"/>
      <c r="AA16" s="141"/>
      <c r="AB16" s="141"/>
      <c r="AC16" s="216"/>
      <c r="AD16" s="141"/>
      <c r="AE16" s="194">
        <f>+Tabla134[[#This Row],[Recursos propios 2025]]+Tabla134[[#This Row],[SGP Educación 2025]]+Tabla134[[#This Row],[SGP Salud 2025]]+Tabla134[[#This Row],[SGP Deporte 2025]]+Tabla134[[#This Row],[SGP Cultura 2025]]+Tabla134[[#This Row],[SGP Libre inversión 2025]]+Tabla134[[#This Row],[SGP Libre destinación 2025]]+Tabla134[[#This Row],[SGP Alimentación escolar 2025]]+Tabla134[[#This Row],[SGP Municipios río Magdalena 2025]]+Tabla134[[#This Row],[SGP APSB 2025]]+Tabla134[[#This Row],[Crédito 2025]]+Tabla134[[#This Row],[Transferencias de capital - cofinanciación departamento 2025]]+Tabla134[[#This Row],[Transferencias de capital - cofinanciación nación 2025]]+Tabla134[[#This Row],[Otros 2025]]+Tabla134[[#This Row],[Recursos del Balance]]</f>
        <v>256160154</v>
      </c>
      <c r="AF16" s="213">
        <v>121740391.5</v>
      </c>
      <c r="AG16" s="141">
        <f>IFERROR(VLOOKUP(Tabla134[[#This Row],[Código BPIN]],#REF!,9,0),0)</f>
        <v>0</v>
      </c>
      <c r="AH16" s="141"/>
      <c r="AI16" s="141"/>
      <c r="AJ16" s="141"/>
      <c r="AK16" s="141">
        <f>IFERROR(VLOOKUP(Tabla134[[#This Row],[Código BPIN]],#REF!,9,0),0)</f>
        <v>0</v>
      </c>
      <c r="AL16" s="141"/>
      <c r="AM16" s="141"/>
      <c r="AN16" s="141"/>
      <c r="AO16" s="141">
        <f>IFERROR(VLOOKUP(Tabla134[[#This Row],[Código BPIN]],#REF!,10,0),0)</f>
        <v>0</v>
      </c>
      <c r="AP16" s="141"/>
      <c r="AQ16" s="141"/>
      <c r="AR16" s="141"/>
      <c r="AS16" s="141"/>
      <c r="AT16" s="141"/>
      <c r="AU16" s="141">
        <f>+Tabla134[[#This Row],[Recursos propios 20252]]+Tabla134[[#This Row],[SGP Educación 20252]]+Tabla134[[#This Row],[SGP Salud 20252]]+Tabla134[[#This Row],[SGP Deporte 20252]]+Tabla134[[#This Row],[SGP Cultura 20252]]+Tabla134[[#This Row],[SGP Libre inversión 20252]]+Tabla134[[#This Row],[SGP Libre destinación 20252]]+Tabla134[[#This Row],[SGP Alimentación escolar 20252]]+Tabla134[[#This Row],[SGP Municipios río Magdalena 20252]]+Tabla134[[#This Row],[SGP APSB 20252]]+Tabla134[[#This Row],[Crédito 20252]]+Tabla134[[#This Row],[Transferencias de capital - cofinanciación departamento 20252]]+Tabla134[[#This Row],[Transferencias de capital - cofinanciación nación 20252]]+Tabla134[[#This Row],[Otros 20252]]+Tabla134[[#This Row],[Recursos del Balance 2025]]</f>
        <v>121740391.5</v>
      </c>
      <c r="AV16" s="217">
        <v>23504995.370000001</v>
      </c>
      <c r="AW16" s="218">
        <v>23504995.370000001</v>
      </c>
      <c r="AX16" s="143">
        <f>+Tabla134[[#This Row],[Total Recursos Comprometido 2025]]/Tabla134[[#This Row],[Total 2025]]</f>
        <v>0.47525108647459668</v>
      </c>
      <c r="AY16" s="144">
        <f>+Tabla134[[#This Row],[Total Recursos Obligados]]/Tabla134[[#This Row],[Total 2025]]</f>
        <v>9.1758983600548585E-2</v>
      </c>
      <c r="AZ16" s="145">
        <f>+Tabla134[[#This Row],[Total Recursos Pagados]]/Tabla134[[#This Row],[Total 2025]]</f>
        <v>9.1758983600548585E-2</v>
      </c>
      <c r="BA16" s="146"/>
      <c r="BB16" s="197" t="str">
        <f>IF(Tabla134[[#This Row],[Total Recursos Gestionados2]]=0,"_",IF(Tabla134[[#This Row],[Ejecución Recursos Comprometidos]]=0,100%,Tabla134[[#This Row],[Total Recursos Gestionados2]]/Tabla134[[#This Row],[Ejecución Recursos Comprometidos]]))</f>
        <v>_</v>
      </c>
      <c r="BC16" s="198"/>
      <c r="BD16" s="199"/>
      <c r="BE16" s="200"/>
      <c r="BF16" s="206"/>
    </row>
    <row r="17" spans="1:58" s="207" customFormat="1" ht="49.9" customHeight="1">
      <c r="A17" s="191">
        <v>11</v>
      </c>
      <c r="B17" s="191" t="s">
        <v>63</v>
      </c>
      <c r="C17" s="191" t="s">
        <v>64</v>
      </c>
      <c r="D17" s="191" t="s">
        <v>65</v>
      </c>
      <c r="E17" s="191" t="s">
        <v>66</v>
      </c>
      <c r="F17" s="191">
        <v>2102069</v>
      </c>
      <c r="G17" s="191" t="s">
        <v>68</v>
      </c>
      <c r="H17" s="202">
        <v>202500000015897</v>
      </c>
      <c r="I17" s="193" t="s">
        <v>240</v>
      </c>
      <c r="J17" s="194">
        <v>23500000000</v>
      </c>
      <c r="K17" s="194">
        <v>21353465207</v>
      </c>
      <c r="L17" s="193"/>
      <c r="M17" s="193"/>
      <c r="N17" s="193"/>
      <c r="O17" s="195"/>
      <c r="P17" s="194">
        <v>21353465207</v>
      </c>
      <c r="Q17" s="141"/>
      <c r="R17" s="141"/>
      <c r="S17" s="141"/>
      <c r="T17" s="141"/>
      <c r="U17" s="141">
        <f>IFERROR(VLOOKUP(Tabla134[[#This Row],[Código BPIN]],#REF!,6,0),0)</f>
        <v>0</v>
      </c>
      <c r="V17" s="141"/>
      <c r="W17" s="141"/>
      <c r="X17" s="141"/>
      <c r="Y17" s="141">
        <f>IFERROR(VLOOKUP(Tabla134[[#This Row],[Código BPIN]],#REF!,7,0),0)</f>
        <v>0</v>
      </c>
      <c r="Z17" s="141"/>
      <c r="AA17" s="141"/>
      <c r="AB17" s="141"/>
      <c r="AC17" s="141"/>
      <c r="AD17" s="141"/>
      <c r="AE17" s="194">
        <f>+Tabla134[[#This Row],[Recursos propios 2025]]+Tabla134[[#This Row],[SGP Educación 2025]]+Tabla134[[#This Row],[SGP Salud 2025]]+Tabla134[[#This Row],[SGP Deporte 2025]]+Tabla134[[#This Row],[SGP Cultura 2025]]+Tabla134[[#This Row],[SGP Libre inversión 2025]]+Tabla134[[#This Row],[SGP Libre destinación 2025]]+Tabla134[[#This Row],[SGP Alimentación escolar 2025]]+Tabla134[[#This Row],[SGP Municipios río Magdalena 2025]]+Tabla134[[#This Row],[SGP APSB 2025]]+Tabla134[[#This Row],[Crédito 2025]]+Tabla134[[#This Row],[Transferencias de capital - cofinanciación departamento 2025]]+Tabla134[[#This Row],[Transferencias de capital - cofinanciación nación 2025]]+Tabla134[[#This Row],[Otros 2025]]+Tabla134[[#This Row],[Recursos del Balance]]</f>
        <v>21353465207</v>
      </c>
      <c r="AF17" s="142">
        <v>20819628073</v>
      </c>
      <c r="AG17" s="141">
        <f>IFERROR(VLOOKUP(Tabla134[[#This Row],[Código BPIN]],#REF!,9,0),0)</f>
        <v>0</v>
      </c>
      <c r="AH17" s="141"/>
      <c r="AI17" s="141"/>
      <c r="AJ17" s="141"/>
      <c r="AK17" s="141">
        <f>IFERROR(VLOOKUP(Tabla134[[#This Row],[Código BPIN]],#REF!,9,0),0)</f>
        <v>0</v>
      </c>
      <c r="AL17" s="141"/>
      <c r="AM17" s="141"/>
      <c r="AN17" s="141"/>
      <c r="AO17" s="141">
        <f>IFERROR(VLOOKUP(Tabla134[[#This Row],[Código BPIN]],#REF!,10,0),0)</f>
        <v>0</v>
      </c>
      <c r="AP17" s="141"/>
      <c r="AQ17" s="141"/>
      <c r="AR17" s="141"/>
      <c r="AS17" s="141"/>
      <c r="AT17" s="141"/>
      <c r="AU17" s="141">
        <f>+Tabla134[[#This Row],[Recursos propios 20252]]+Tabla134[[#This Row],[SGP Educación 20252]]+Tabla134[[#This Row],[SGP Salud 20252]]+Tabla134[[#This Row],[SGP Deporte 20252]]+Tabla134[[#This Row],[SGP Cultura 20252]]+Tabla134[[#This Row],[SGP Libre inversión 20252]]+Tabla134[[#This Row],[SGP Libre destinación 20252]]+Tabla134[[#This Row],[SGP Alimentación escolar 20252]]+Tabla134[[#This Row],[SGP Municipios río Magdalena 20252]]+Tabla134[[#This Row],[SGP APSB 20252]]+Tabla134[[#This Row],[Crédito 20252]]+Tabla134[[#This Row],[Transferencias de capital - cofinanciación departamento 20252]]+Tabla134[[#This Row],[Transferencias de capital - cofinanciación nación 20252]]+Tabla134[[#This Row],[Otros 20252]]+Tabla134[[#This Row],[Recursos del Balance 2025]]</f>
        <v>20819628073</v>
      </c>
      <c r="AV17" s="141">
        <v>0</v>
      </c>
      <c r="AW17" s="201">
        <f>IFERROR(VLOOKUP(Tabla134[[#This Row],[Código BPIN]],#REF!,5,0),0)</f>
        <v>0</v>
      </c>
      <c r="AX17" s="143">
        <f>+Tabla134[[#This Row],[Total Recursos Comprometido 2025]]/Tabla134[[#This Row],[Total 2025]]</f>
        <v>0.97499997640546887</v>
      </c>
      <c r="AY17" s="144">
        <f>+Tabla134[[#This Row],[Total Recursos Obligados]]/Tabla134[[#This Row],[Total 2025]]</f>
        <v>0</v>
      </c>
      <c r="AZ17" s="145">
        <f>+Tabla134[[#This Row],[Total Recursos Pagados]]/Tabla134[[#This Row],[Total 2025]]</f>
        <v>0</v>
      </c>
      <c r="BA17" s="146"/>
      <c r="BB17" s="197" t="str">
        <f>IF(Tabla134[[#This Row],[Total Recursos Gestionados2]]=0,"_",IF(Tabla134[[#This Row],[Ejecución Recursos Comprometidos]]=0,100%,Tabla134[[#This Row],[Total Recursos Gestionados2]]/Tabla134[[#This Row],[Ejecución Recursos Comprometidos]]))</f>
        <v>_</v>
      </c>
      <c r="BC17" s="198"/>
      <c r="BD17" s="199"/>
      <c r="BE17" s="200"/>
      <c r="BF17" s="206"/>
    </row>
    <row r="18" spans="1:58" s="207" customFormat="1" ht="49.9" customHeight="1">
      <c r="A18" s="191">
        <v>12</v>
      </c>
      <c r="B18" s="191" t="s">
        <v>63</v>
      </c>
      <c r="C18" s="191" t="s">
        <v>64</v>
      </c>
      <c r="D18" s="191" t="s">
        <v>65</v>
      </c>
      <c r="E18" s="191" t="s">
        <v>66</v>
      </c>
      <c r="F18" s="191">
        <v>2102008</v>
      </c>
      <c r="G18" s="191" t="s">
        <v>72</v>
      </c>
      <c r="H18" s="202">
        <v>202500000028264</v>
      </c>
      <c r="I18" s="193" t="s">
        <v>321</v>
      </c>
      <c r="J18" s="194">
        <v>2500000000</v>
      </c>
      <c r="K18" s="194">
        <v>2500000000</v>
      </c>
      <c r="L18" s="193"/>
      <c r="M18" s="193"/>
      <c r="N18" s="193"/>
      <c r="O18" s="195"/>
      <c r="P18" s="203">
        <f>IFERROR(VLOOKUP(Tabla134[[#This Row],[Código BPIN]],#REF!,5,0),0)</f>
        <v>0</v>
      </c>
      <c r="Q18" s="141"/>
      <c r="R18" s="141"/>
      <c r="S18" s="141"/>
      <c r="T18" s="141"/>
      <c r="U18" s="141">
        <v>2500000000</v>
      </c>
      <c r="V18" s="141"/>
      <c r="W18" s="141"/>
      <c r="X18" s="141"/>
      <c r="Y18" s="141">
        <f>IFERROR(VLOOKUP(Tabla134[[#This Row],[Código BPIN]],#REF!,7,0),0)</f>
        <v>0</v>
      </c>
      <c r="Z18" s="141"/>
      <c r="AA18" s="141"/>
      <c r="AB18" s="141"/>
      <c r="AC18" s="141"/>
      <c r="AD18" s="141"/>
      <c r="AE18" s="194">
        <f>+Tabla134[[#This Row],[Recursos propios 2025]]+Tabla134[[#This Row],[SGP Educación 2025]]+Tabla134[[#This Row],[SGP Salud 2025]]+Tabla134[[#This Row],[SGP Deporte 2025]]+Tabla134[[#This Row],[SGP Cultura 2025]]+Tabla134[[#This Row],[SGP Libre inversión 2025]]+Tabla134[[#This Row],[SGP Libre destinación 2025]]+Tabla134[[#This Row],[SGP Alimentación escolar 2025]]+Tabla134[[#This Row],[SGP Municipios río Magdalena 2025]]+Tabla134[[#This Row],[SGP APSB 2025]]+Tabla134[[#This Row],[Crédito 2025]]+Tabla134[[#This Row],[Transferencias de capital - cofinanciación departamento 2025]]+Tabla134[[#This Row],[Transferencias de capital - cofinanciación nación 2025]]+Tabla134[[#This Row],[Otros 2025]]+Tabla134[[#This Row],[Recursos del Balance]]</f>
        <v>2500000000</v>
      </c>
      <c r="AF18" s="142"/>
      <c r="AG18" s="141">
        <f>IFERROR(VLOOKUP(Tabla134[[#This Row],[Código BPIN]],#REF!,9,0),0)</f>
        <v>0</v>
      </c>
      <c r="AH18" s="141"/>
      <c r="AI18" s="141"/>
      <c r="AJ18" s="141"/>
      <c r="AK18" s="141">
        <v>2500000000</v>
      </c>
      <c r="AL18" s="141"/>
      <c r="AM18" s="141"/>
      <c r="AN18" s="141"/>
      <c r="AO18" s="141">
        <f>IFERROR(VLOOKUP(Tabla134[[#This Row],[Código BPIN]],#REF!,10,0),0)</f>
        <v>0</v>
      </c>
      <c r="AP18" s="141"/>
      <c r="AQ18" s="141"/>
      <c r="AR18" s="141"/>
      <c r="AS18" s="141"/>
      <c r="AT18" s="141"/>
      <c r="AU18" s="141">
        <f>+Tabla134[[#This Row],[Recursos propios 20252]]+Tabla134[[#This Row],[SGP Educación 20252]]+Tabla134[[#This Row],[SGP Salud 20252]]+Tabla134[[#This Row],[SGP Deporte 20252]]+Tabla134[[#This Row],[SGP Cultura 20252]]+Tabla134[[#This Row],[SGP Libre inversión 20252]]+Tabla134[[#This Row],[SGP Libre destinación 20252]]+Tabla134[[#This Row],[SGP Alimentación escolar 20252]]+Tabla134[[#This Row],[SGP Municipios río Magdalena 20252]]+Tabla134[[#This Row],[SGP APSB 20252]]+Tabla134[[#This Row],[Crédito 20252]]+Tabla134[[#This Row],[Transferencias de capital - cofinanciación departamento 20252]]+Tabla134[[#This Row],[Transferencias de capital - cofinanciación nación 20252]]+Tabla134[[#This Row],[Otros 20252]]+Tabla134[[#This Row],[Recursos del Balance 2025]]</f>
        <v>2500000000</v>
      </c>
      <c r="AV18" s="141">
        <v>1250000000</v>
      </c>
      <c r="AW18" s="201">
        <v>1250000000</v>
      </c>
      <c r="AX18" s="143">
        <f>+Tabla134[[#This Row],[Total Recursos Comprometido 2025]]/Tabla134[[#This Row],[Total 2025]]</f>
        <v>1</v>
      </c>
      <c r="AY18" s="144">
        <f>+Tabla134[[#This Row],[Total Recursos Obligados]]/Tabla134[[#This Row],[Total 2025]]</f>
        <v>0.5</v>
      </c>
      <c r="AZ18" s="145">
        <f>+Tabla134[[#This Row],[Total Recursos Pagados]]/Tabla134[[#This Row],[Total 2025]]</f>
        <v>0.5</v>
      </c>
      <c r="BA18" s="146"/>
      <c r="BB18" s="197" t="str">
        <f>IF(Tabla134[[#This Row],[Total Recursos Gestionados2]]=0,"_",IF(Tabla134[[#This Row],[Ejecución Recursos Comprometidos]]=0,100%,Tabla134[[#This Row],[Total Recursos Gestionados2]]/Tabla134[[#This Row],[Ejecución Recursos Comprometidos]]))</f>
        <v>_</v>
      </c>
      <c r="BC18" s="198" t="s">
        <v>269</v>
      </c>
      <c r="BD18" s="199" t="s">
        <v>270</v>
      </c>
      <c r="BE18" s="200">
        <v>11.16</v>
      </c>
      <c r="BF18" s="206"/>
    </row>
    <row r="19" spans="1:58" s="207" customFormat="1" ht="49.9" customHeight="1">
      <c r="A19" s="191">
        <v>13</v>
      </c>
      <c r="B19" s="191" t="s">
        <v>63</v>
      </c>
      <c r="C19" s="191" t="s">
        <v>64</v>
      </c>
      <c r="D19" s="191" t="s">
        <v>74</v>
      </c>
      <c r="E19" s="191" t="s">
        <v>75</v>
      </c>
      <c r="F19" s="219">
        <v>2106033</v>
      </c>
      <c r="G19" s="191" t="s">
        <v>77</v>
      </c>
      <c r="H19" s="202">
        <v>2024680010205</v>
      </c>
      <c r="I19" s="193" t="s">
        <v>241</v>
      </c>
      <c r="J19" s="194">
        <v>2485171685.9299998</v>
      </c>
      <c r="K19" s="194">
        <v>950000000</v>
      </c>
      <c r="L19" s="193"/>
      <c r="M19" s="193"/>
      <c r="N19" s="193"/>
      <c r="O19" s="195"/>
      <c r="P19" s="203">
        <v>650000000</v>
      </c>
      <c r="Q19" s="141"/>
      <c r="R19" s="141"/>
      <c r="S19" s="141"/>
      <c r="T19" s="141"/>
      <c r="U19" s="141">
        <f>IFERROR(VLOOKUP(Tabla134[[#This Row],[Código BPIN]],#REF!,6,0),0)</f>
        <v>0</v>
      </c>
      <c r="V19" s="141"/>
      <c r="W19" s="141"/>
      <c r="X19" s="141"/>
      <c r="Y19" s="141">
        <f>IFERROR(VLOOKUP(Tabla134[[#This Row],[Código BPIN]],#REF!,7,0),0)</f>
        <v>0</v>
      </c>
      <c r="Z19" s="141"/>
      <c r="AA19" s="141"/>
      <c r="AB19" s="141"/>
      <c r="AC19" s="211">
        <v>300000000</v>
      </c>
      <c r="AD19" s="141"/>
      <c r="AE19" s="194">
        <f>+Tabla134[[#This Row],[Recursos propios 2025]]+Tabla134[[#This Row],[SGP Educación 2025]]+Tabla134[[#This Row],[SGP Salud 2025]]+Tabla134[[#This Row],[SGP Deporte 2025]]+Tabla134[[#This Row],[SGP Cultura 2025]]+Tabla134[[#This Row],[SGP Libre inversión 2025]]+Tabla134[[#This Row],[SGP Libre destinación 2025]]+Tabla134[[#This Row],[SGP Alimentación escolar 2025]]+Tabla134[[#This Row],[SGP Municipios río Magdalena 2025]]+Tabla134[[#This Row],[SGP APSB 2025]]+Tabla134[[#This Row],[Crédito 2025]]+Tabla134[[#This Row],[Transferencias de capital - cofinanciación departamento 2025]]+Tabla134[[#This Row],[Transferencias de capital - cofinanciación nación 2025]]+Tabla134[[#This Row],[Otros 2025]]+Tabla134[[#This Row],[Recursos del Balance]]</f>
        <v>950000000</v>
      </c>
      <c r="AF19" s="142">
        <v>595583589</v>
      </c>
      <c r="AG19" s="141">
        <f>IFERROR(VLOOKUP(Tabla134[[#This Row],[Código BPIN]],#REF!,9,0),0)</f>
        <v>0</v>
      </c>
      <c r="AH19" s="141"/>
      <c r="AI19" s="141"/>
      <c r="AJ19" s="141"/>
      <c r="AK19" s="141">
        <f>IFERROR(VLOOKUP(Tabla134[[#This Row],[Código BPIN]],#REF!,9,0),0)</f>
        <v>0</v>
      </c>
      <c r="AL19" s="141"/>
      <c r="AM19" s="141"/>
      <c r="AN19" s="141"/>
      <c r="AO19" s="141">
        <f>IFERROR(VLOOKUP(Tabla134[[#This Row],[Código BPIN]],#REF!,10,0),0)</f>
        <v>0</v>
      </c>
      <c r="AP19" s="141"/>
      <c r="AQ19" s="141"/>
      <c r="AR19" s="141"/>
      <c r="AS19" s="141"/>
      <c r="AT19" s="141"/>
      <c r="AU19" s="141">
        <f>+Tabla134[[#This Row],[Recursos propios 20252]]+Tabla134[[#This Row],[SGP Educación 20252]]+Tabla134[[#This Row],[SGP Salud 20252]]+Tabla134[[#This Row],[SGP Deporte 20252]]+Tabla134[[#This Row],[SGP Cultura 20252]]+Tabla134[[#This Row],[SGP Libre inversión 20252]]+Tabla134[[#This Row],[SGP Libre destinación 20252]]+Tabla134[[#This Row],[SGP Alimentación escolar 20252]]+Tabla134[[#This Row],[SGP Municipios río Magdalena 20252]]+Tabla134[[#This Row],[SGP APSB 20252]]+Tabla134[[#This Row],[Crédito 20252]]+Tabla134[[#This Row],[Transferencias de capital - cofinanciación departamento 20252]]+Tabla134[[#This Row],[Transferencias de capital - cofinanciación nación 20252]]+Tabla134[[#This Row],[Otros 20252]]+Tabla134[[#This Row],[Recursos del Balance 2025]]</f>
        <v>595583589</v>
      </c>
      <c r="AV19" s="141">
        <v>132836637.95999999</v>
      </c>
      <c r="AW19" s="141">
        <v>74015178.340000004</v>
      </c>
      <c r="AX19" s="143">
        <f>+Tabla134[[#This Row],[Total Recursos Comprometido 2025]]/Tabla134[[#This Row],[Total 2025]]</f>
        <v>0.62693009368421049</v>
      </c>
      <c r="AY19" s="144">
        <f>+Tabla134[[#This Row],[Total Recursos Obligados]]/Tabla134[[#This Row],[Total 2025]]</f>
        <v>0.13982803995789472</v>
      </c>
      <c r="AZ19" s="145">
        <f>+Tabla134[[#This Row],[Total Recursos Pagados]]/Tabla134[[#This Row],[Total 2025]]</f>
        <v>7.791071404210527E-2</v>
      </c>
      <c r="BA19" s="146"/>
      <c r="BB19" s="197" t="str">
        <f>IF(Tabla134[[#This Row],[Total Recursos Gestionados2]]=0,"_",IF(Tabla134[[#This Row],[Ejecución Recursos Comprometidos]]=0,100%,Tabla134[[#This Row],[Total Recursos Gestionados2]]/Tabla134[[#This Row],[Ejecución Recursos Comprometidos]]))</f>
        <v>_</v>
      </c>
      <c r="BC19" s="198" t="s">
        <v>269</v>
      </c>
      <c r="BD19" s="199" t="s">
        <v>270</v>
      </c>
      <c r="BE19" s="200">
        <v>16</v>
      </c>
      <c r="BF19" s="206" t="s">
        <v>341</v>
      </c>
    </row>
    <row r="20" spans="1:58" s="207" customFormat="1" ht="49.9" customHeight="1">
      <c r="A20" s="191">
        <v>47</v>
      </c>
      <c r="B20" s="191" t="s">
        <v>78</v>
      </c>
      <c r="C20" s="191" t="s">
        <v>79</v>
      </c>
      <c r="D20" s="191" t="s">
        <v>80</v>
      </c>
      <c r="E20" s="191" t="s">
        <v>81</v>
      </c>
      <c r="F20" s="191">
        <v>4002020</v>
      </c>
      <c r="G20" s="191" t="s">
        <v>83</v>
      </c>
      <c r="H20" s="202">
        <v>2024680010076</v>
      </c>
      <c r="I20" s="193" t="s">
        <v>242</v>
      </c>
      <c r="J20" s="194">
        <v>5721370066</v>
      </c>
      <c r="K20" s="194">
        <v>1040039097</v>
      </c>
      <c r="L20" s="193"/>
      <c r="M20" s="193"/>
      <c r="N20" s="193"/>
      <c r="O20" s="195"/>
      <c r="P20" s="203">
        <v>1040039097</v>
      </c>
      <c r="Q20" s="141"/>
      <c r="R20" s="141"/>
      <c r="S20" s="141"/>
      <c r="T20" s="141"/>
      <c r="U20" s="141">
        <f>IFERROR(VLOOKUP(Tabla134[[#This Row],[Código BPIN]],#REF!,6,0),0)</f>
        <v>0</v>
      </c>
      <c r="V20" s="141"/>
      <c r="W20" s="141"/>
      <c r="X20" s="141"/>
      <c r="Y20" s="141">
        <f>IFERROR(VLOOKUP(Tabla134[[#This Row],[Código BPIN]],#REF!,7,0),0)</f>
        <v>0</v>
      </c>
      <c r="Z20" s="141"/>
      <c r="AA20" s="141"/>
      <c r="AB20" s="141"/>
      <c r="AC20" s="141"/>
      <c r="AD20" s="141"/>
      <c r="AE20" s="194">
        <f>+Tabla134[[#This Row],[Recursos propios 2025]]+Tabla134[[#This Row],[SGP Educación 2025]]+Tabla134[[#This Row],[SGP Salud 2025]]+Tabla134[[#This Row],[SGP Deporte 2025]]+Tabla134[[#This Row],[SGP Cultura 2025]]+Tabla134[[#This Row],[SGP Libre inversión 2025]]+Tabla134[[#This Row],[SGP Libre destinación 2025]]+Tabla134[[#This Row],[SGP Alimentación escolar 2025]]+Tabla134[[#This Row],[SGP Municipios río Magdalena 2025]]+Tabla134[[#This Row],[SGP APSB 2025]]+Tabla134[[#This Row],[Crédito 2025]]+Tabla134[[#This Row],[Transferencias de capital - cofinanciación departamento 2025]]+Tabla134[[#This Row],[Transferencias de capital - cofinanciación nación 2025]]+Tabla134[[#This Row],[Otros 2025]]+Tabla134[[#This Row],[Recursos del Balance]]</f>
        <v>1040039097</v>
      </c>
      <c r="AF20" s="142">
        <f>IFERROR(VLOOKUP(Tabla134[[#This Row],[Código BPIN]],#REF!,8,0),0)</f>
        <v>0</v>
      </c>
      <c r="AG20" s="141">
        <f>IFERROR(VLOOKUP(Tabla134[[#This Row],[Código BPIN]],#REF!,9,0),0)</f>
        <v>0</v>
      </c>
      <c r="AH20" s="141"/>
      <c r="AI20" s="141"/>
      <c r="AJ20" s="141"/>
      <c r="AK20" s="141">
        <f>IFERROR(VLOOKUP(Tabla134[[#This Row],[Código BPIN]],#REF!,9,0),0)</f>
        <v>0</v>
      </c>
      <c r="AL20" s="141"/>
      <c r="AM20" s="141"/>
      <c r="AN20" s="141"/>
      <c r="AO20" s="141">
        <f>IFERROR(VLOOKUP(Tabla134[[#This Row],[Código BPIN]],#REF!,10,0),0)</f>
        <v>0</v>
      </c>
      <c r="AP20" s="141"/>
      <c r="AQ20" s="141"/>
      <c r="AR20" s="141"/>
      <c r="AS20" s="141"/>
      <c r="AT20" s="141"/>
      <c r="AU20" s="141">
        <f>+Tabla134[[#This Row],[Recursos propios 20252]]+Tabla134[[#This Row],[SGP Educación 20252]]+Tabla134[[#This Row],[SGP Salud 20252]]+Tabla134[[#This Row],[SGP Deporte 20252]]+Tabla134[[#This Row],[SGP Cultura 20252]]+Tabla134[[#This Row],[SGP Libre inversión 20252]]+Tabla134[[#This Row],[SGP Libre destinación 20252]]+Tabla134[[#This Row],[SGP Alimentación escolar 20252]]+Tabla134[[#This Row],[SGP Municipios río Magdalena 20252]]+Tabla134[[#This Row],[SGP APSB 20252]]+Tabla134[[#This Row],[Crédito 20252]]+Tabla134[[#This Row],[Transferencias de capital - cofinanciación departamento 20252]]+Tabla134[[#This Row],[Transferencias de capital - cofinanciación nación 20252]]+Tabla134[[#This Row],[Otros 20252]]+Tabla134[[#This Row],[Recursos del Balance 2025]]</f>
        <v>0</v>
      </c>
      <c r="AV20" s="141">
        <f>SUM(Tabla134[[#This Row],[Recursos propios 20252]:[Recursos del Balance 2025]])</f>
        <v>0</v>
      </c>
      <c r="AW20" s="201">
        <f>IFERROR(VLOOKUP(Tabla134[[#This Row],[Código BPIN]],#REF!,5,0),0)</f>
        <v>0</v>
      </c>
      <c r="AX20" s="143">
        <f>+Tabla134[[#This Row],[Total Recursos Comprometido 2025]]/Tabla134[[#This Row],[Total 2025]]</f>
        <v>0</v>
      </c>
      <c r="AY20" s="144">
        <f>+Tabla134[[#This Row],[Total Recursos Obligados]]/Tabla134[[#This Row],[Total 2025]]</f>
        <v>0</v>
      </c>
      <c r="AZ20" s="145">
        <f>+Tabla134[[#This Row],[Total Recursos Pagados]]/Tabla134[[#This Row],[Total 2025]]</f>
        <v>0</v>
      </c>
      <c r="BA20" s="146"/>
      <c r="BB20" s="197" t="str">
        <f>IF(Tabla134[[#This Row],[Total Recursos Gestionados2]]=0,"_",IF(Tabla134[[#This Row],[Ejecución Recursos Comprometidos]]=0,100%,Tabla134[[#This Row],[Total Recursos Gestionados2]]/Tabla134[[#This Row],[Ejecución Recursos Comprometidos]]))</f>
        <v>_</v>
      </c>
      <c r="BC20" s="198" t="s">
        <v>271</v>
      </c>
      <c r="BD20" s="199" t="s">
        <v>270</v>
      </c>
      <c r="BE20" s="200">
        <v>11.13</v>
      </c>
      <c r="BF20" s="206"/>
    </row>
    <row r="21" spans="1:58" s="207" customFormat="1" ht="49.9" customHeight="1">
      <c r="A21" s="191">
        <v>47</v>
      </c>
      <c r="B21" s="191" t="s">
        <v>78</v>
      </c>
      <c r="C21" s="191" t="s">
        <v>79</v>
      </c>
      <c r="D21" s="191" t="s">
        <v>80</v>
      </c>
      <c r="E21" s="191" t="s">
        <v>81</v>
      </c>
      <c r="F21" s="191">
        <v>4002020</v>
      </c>
      <c r="G21" s="191" t="s">
        <v>83</v>
      </c>
      <c r="H21" s="202">
        <v>2024680010050</v>
      </c>
      <c r="I21" s="193" t="s">
        <v>243</v>
      </c>
      <c r="J21" s="194">
        <v>41233302310.129997</v>
      </c>
      <c r="K21" s="194">
        <v>20253799492.029999</v>
      </c>
      <c r="L21" s="193"/>
      <c r="M21" s="193"/>
      <c r="N21" s="193"/>
      <c r="O21" s="195"/>
      <c r="P21" s="203">
        <v>19029601131.029999</v>
      </c>
      <c r="Q21" s="141"/>
      <c r="R21" s="141"/>
      <c r="S21" s="141"/>
      <c r="T21" s="141"/>
      <c r="U21" s="141">
        <f>IFERROR(VLOOKUP(Tabla134[[#This Row],[Código BPIN]],#REF!,6,0),0)</f>
        <v>0</v>
      </c>
      <c r="V21" s="141"/>
      <c r="W21" s="141"/>
      <c r="X21" s="141"/>
      <c r="Y21" s="141">
        <f>IFERROR(VLOOKUP(Tabla134[[#This Row],[Código BPIN]],#REF!,7,0),0)</f>
        <v>0</v>
      </c>
      <c r="Z21" s="141"/>
      <c r="AA21" s="141"/>
      <c r="AB21" s="141"/>
      <c r="AC21" s="141">
        <v>1224198361</v>
      </c>
      <c r="AD21" s="141"/>
      <c r="AE21" s="194">
        <f>+Tabla134[[#This Row],[Recursos propios 2025]]+Tabla134[[#This Row],[SGP Educación 2025]]+Tabla134[[#This Row],[SGP Salud 2025]]+Tabla134[[#This Row],[SGP Deporte 2025]]+Tabla134[[#This Row],[SGP Cultura 2025]]+Tabla134[[#This Row],[SGP Libre inversión 2025]]+Tabla134[[#This Row],[SGP Libre destinación 2025]]+Tabla134[[#This Row],[SGP Alimentación escolar 2025]]+Tabla134[[#This Row],[SGP Municipios río Magdalena 2025]]+Tabla134[[#This Row],[SGP APSB 2025]]+Tabla134[[#This Row],[Crédito 2025]]+Tabla134[[#This Row],[Transferencias de capital - cofinanciación departamento 2025]]+Tabla134[[#This Row],[Transferencias de capital - cofinanciación nación 2025]]+Tabla134[[#This Row],[Otros 2025]]+Tabla134[[#This Row],[Recursos del Balance]]</f>
        <v>20253799492.029999</v>
      </c>
      <c r="AF21" s="142">
        <v>18237234398.130001</v>
      </c>
      <c r="AG21" s="141">
        <f>IFERROR(VLOOKUP(Tabla134[[#This Row],[Código BPIN]],#REF!,9,0),0)</f>
        <v>0</v>
      </c>
      <c r="AH21" s="141"/>
      <c r="AI21" s="141"/>
      <c r="AJ21" s="141"/>
      <c r="AK21" s="141">
        <f>IFERROR(VLOOKUP(Tabla134[[#This Row],[Código BPIN]],#REF!,9,0),0)</f>
        <v>0</v>
      </c>
      <c r="AL21" s="141"/>
      <c r="AM21" s="141"/>
      <c r="AN21" s="141"/>
      <c r="AO21" s="141">
        <f>IFERROR(VLOOKUP(Tabla134[[#This Row],[Código BPIN]],#REF!,10,0),0)</f>
        <v>0</v>
      </c>
      <c r="AP21" s="141"/>
      <c r="AQ21" s="141"/>
      <c r="AR21" s="141"/>
      <c r="AS21" s="141"/>
      <c r="AT21" s="141"/>
      <c r="AU21" s="141">
        <f>+Tabla134[[#This Row],[Recursos propios 20252]]+Tabla134[[#This Row],[SGP Educación 20252]]+Tabla134[[#This Row],[SGP Salud 20252]]+Tabla134[[#This Row],[SGP Deporte 20252]]+Tabla134[[#This Row],[SGP Cultura 20252]]+Tabla134[[#This Row],[SGP Libre inversión 20252]]+Tabla134[[#This Row],[SGP Libre destinación 20252]]+Tabla134[[#This Row],[SGP Alimentación escolar 20252]]+Tabla134[[#This Row],[SGP Municipios río Magdalena 20252]]+Tabla134[[#This Row],[SGP APSB 20252]]+Tabla134[[#This Row],[Crédito 20252]]+Tabla134[[#This Row],[Transferencias de capital - cofinanciación departamento 20252]]+Tabla134[[#This Row],[Transferencias de capital - cofinanciación nación 20252]]+Tabla134[[#This Row],[Otros 20252]]+Tabla134[[#This Row],[Recursos del Balance 2025]]</f>
        <v>18237234398.130001</v>
      </c>
      <c r="AV21" s="212">
        <v>10224746748.309999</v>
      </c>
      <c r="AW21" s="214">
        <v>10224746748.309999</v>
      </c>
      <c r="AX21" s="143">
        <f>+Tabla134[[#This Row],[Total Recursos Comprometido 2025]]/Tabla134[[#This Row],[Total 2025]]</f>
        <v>0.90043521983647912</v>
      </c>
      <c r="AY21" s="144">
        <f>+Tabla134[[#This Row],[Total Recursos Obligados]]/Tabla134[[#This Row],[Total 2025]]</f>
        <v>0.50483104428546866</v>
      </c>
      <c r="AZ21" s="145">
        <f>+Tabla134[[#This Row],[Total Recursos Pagados]]/Tabla134[[#This Row],[Total 2025]]</f>
        <v>0.50483104428546866</v>
      </c>
      <c r="BA21" s="146"/>
      <c r="BB21" s="197" t="str">
        <f>IF(Tabla134[[#This Row],[Total Recursos Gestionados2]]=0,"_",IF(Tabla134[[#This Row],[Ejecución Recursos Comprometidos]]=0,100%,Tabla134[[#This Row],[Total Recursos Gestionados2]]/Tabla134[[#This Row],[Ejecución Recursos Comprometidos]]))</f>
        <v>_</v>
      </c>
      <c r="BC21" s="198"/>
      <c r="BD21" s="199"/>
      <c r="BE21" s="200"/>
      <c r="BF21" s="206"/>
    </row>
    <row r="22" spans="1:58" s="207" customFormat="1" ht="49.9" customHeight="1">
      <c r="A22" s="191">
        <v>47</v>
      </c>
      <c r="B22" s="191" t="s">
        <v>78</v>
      </c>
      <c r="C22" s="191" t="s">
        <v>79</v>
      </c>
      <c r="D22" s="191" t="s">
        <v>80</v>
      </c>
      <c r="E22" s="191" t="s">
        <v>81</v>
      </c>
      <c r="F22" s="191">
        <v>4002020</v>
      </c>
      <c r="G22" s="191" t="s">
        <v>83</v>
      </c>
      <c r="H22" s="202">
        <v>202500000019302</v>
      </c>
      <c r="I22" s="193" t="s">
        <v>244</v>
      </c>
      <c r="J22" s="194">
        <v>2883228019.29</v>
      </c>
      <c r="K22" s="194">
        <v>2883228019.29</v>
      </c>
      <c r="L22" s="193"/>
      <c r="M22" s="193"/>
      <c r="N22" s="193"/>
      <c r="O22" s="195"/>
      <c r="P22" s="203">
        <v>0</v>
      </c>
      <c r="Q22" s="141"/>
      <c r="R22" s="141"/>
      <c r="S22" s="141"/>
      <c r="T22" s="141"/>
      <c r="U22" s="141">
        <f>IFERROR(VLOOKUP(Tabla134[[#This Row],[Código BPIN]],#REF!,6,0),0)</f>
        <v>0</v>
      </c>
      <c r="V22" s="141"/>
      <c r="W22" s="141"/>
      <c r="X22" s="141"/>
      <c r="Y22" s="141">
        <f>IFERROR(VLOOKUP(Tabla134[[#This Row],[Código BPIN]],#REF!,7,0),0)</f>
        <v>0</v>
      </c>
      <c r="Z22" s="141"/>
      <c r="AA22" s="141"/>
      <c r="AB22" s="141"/>
      <c r="AC22" s="141">
        <v>2883228019.29</v>
      </c>
      <c r="AD22" s="141"/>
      <c r="AE22" s="194">
        <f>+Tabla134[[#This Row],[Recursos propios 2025]]+Tabla134[[#This Row],[SGP Educación 2025]]+Tabla134[[#This Row],[SGP Salud 2025]]+Tabla134[[#This Row],[SGP Deporte 2025]]+Tabla134[[#This Row],[SGP Cultura 2025]]+Tabla134[[#This Row],[SGP Libre inversión 2025]]+Tabla134[[#This Row],[SGP Libre destinación 2025]]+Tabla134[[#This Row],[SGP Alimentación escolar 2025]]+Tabla134[[#This Row],[SGP Municipios río Magdalena 2025]]+Tabla134[[#This Row],[SGP APSB 2025]]+Tabla134[[#This Row],[Crédito 2025]]+Tabla134[[#This Row],[Transferencias de capital - cofinanciación departamento 2025]]+Tabla134[[#This Row],[Transferencias de capital - cofinanciación nación 2025]]+Tabla134[[#This Row],[Otros 2025]]+Tabla134[[#This Row],[Recursos del Balance]]</f>
        <v>2883228019.29</v>
      </c>
      <c r="AF22" s="142">
        <v>0</v>
      </c>
      <c r="AG22" s="141">
        <f>IFERROR(VLOOKUP(Tabla134[[#This Row],[Código BPIN]],#REF!,9,0),0)</f>
        <v>0</v>
      </c>
      <c r="AH22" s="141"/>
      <c r="AI22" s="141"/>
      <c r="AJ22" s="141"/>
      <c r="AK22" s="141">
        <f>IFERROR(VLOOKUP(Tabla134[[#This Row],[Código BPIN]],#REF!,9,0),0)</f>
        <v>0</v>
      </c>
      <c r="AL22" s="141"/>
      <c r="AM22" s="141"/>
      <c r="AN22" s="141"/>
      <c r="AO22" s="141">
        <f>IFERROR(VLOOKUP(Tabla134[[#This Row],[Código BPIN]],#REF!,10,0),0)</f>
        <v>0</v>
      </c>
      <c r="AP22" s="141"/>
      <c r="AQ22" s="141"/>
      <c r="AR22" s="141"/>
      <c r="AS22" s="141">
        <v>2883228019.29</v>
      </c>
      <c r="AT22" s="141"/>
      <c r="AU22" s="141">
        <f>+Tabla134[[#This Row],[Recursos propios 20252]]+Tabla134[[#This Row],[SGP Educación 20252]]+Tabla134[[#This Row],[SGP Salud 20252]]+Tabla134[[#This Row],[SGP Deporte 20252]]+Tabla134[[#This Row],[SGP Cultura 20252]]+Tabla134[[#This Row],[SGP Libre inversión 20252]]+Tabla134[[#This Row],[SGP Libre destinación 20252]]+Tabla134[[#This Row],[SGP Alimentación escolar 20252]]+Tabla134[[#This Row],[SGP Municipios río Magdalena 20252]]+Tabla134[[#This Row],[SGP APSB 20252]]+Tabla134[[#This Row],[Crédito 20252]]+Tabla134[[#This Row],[Transferencias de capital - cofinanciación departamento 20252]]+Tabla134[[#This Row],[Transferencias de capital - cofinanciación nación 20252]]+Tabla134[[#This Row],[Otros 20252]]+Tabla134[[#This Row],[Recursos del Balance 2025]]</f>
        <v>2883228019.29</v>
      </c>
      <c r="AV22" s="220">
        <v>2563218752.29</v>
      </c>
      <c r="AW22" s="221">
        <v>2563218752.29</v>
      </c>
      <c r="AX22" s="143">
        <f>+Tabla134[[#This Row],[Total Recursos Comprometido 2025]]/Tabla134[[#This Row],[Total 2025]]</f>
        <v>1</v>
      </c>
      <c r="AY22" s="144">
        <f>+Tabla134[[#This Row],[Total Recursos Obligados]]/Tabla134[[#This Row],[Total 2025]]</f>
        <v>0.88901007313365288</v>
      </c>
      <c r="AZ22" s="145">
        <f>+Tabla134[[#This Row],[Total Recursos Pagados]]/Tabla134[[#This Row],[Total 2025]]</f>
        <v>0.88901007313365288</v>
      </c>
      <c r="BA22" s="146"/>
      <c r="BB22" s="197" t="str">
        <f>IF(Tabla134[[#This Row],[Total Recursos Gestionados2]]=0,"_",IF(Tabla134[[#This Row],[Ejecución Recursos Comprometidos]]=0,100%,Tabla134[[#This Row],[Total Recursos Gestionados2]]/Tabla134[[#This Row],[Ejecución Recursos Comprometidos]]))</f>
        <v>_</v>
      </c>
      <c r="BC22" s="198"/>
      <c r="BD22" s="199"/>
      <c r="BE22" s="200"/>
      <c r="BF22" s="206"/>
    </row>
    <row r="23" spans="1:58" s="207" customFormat="1" ht="49.9" customHeight="1">
      <c r="A23" s="191">
        <v>47</v>
      </c>
      <c r="B23" s="191" t="s">
        <v>78</v>
      </c>
      <c r="C23" s="191" t="s">
        <v>79</v>
      </c>
      <c r="D23" s="191" t="s">
        <v>80</v>
      </c>
      <c r="E23" s="191" t="s">
        <v>81</v>
      </c>
      <c r="F23" s="191">
        <v>4002020</v>
      </c>
      <c r="G23" s="191" t="s">
        <v>83</v>
      </c>
      <c r="H23" s="202">
        <v>202500000020181</v>
      </c>
      <c r="I23" s="193" t="s">
        <v>278</v>
      </c>
      <c r="J23" s="194">
        <v>785643475</v>
      </c>
      <c r="K23" s="194">
        <v>785643475</v>
      </c>
      <c r="L23" s="222"/>
      <c r="M23" s="222"/>
      <c r="N23" s="222"/>
      <c r="O23" s="222"/>
      <c r="P23" s="203">
        <f>IFERROR(VLOOKUP(Tabla134[[#This Row],[Código BPIN]],#REF!,5,0),0)</f>
        <v>0</v>
      </c>
      <c r="Q23" s="141"/>
      <c r="R23" s="141"/>
      <c r="S23" s="141"/>
      <c r="T23" s="141"/>
      <c r="U23" s="141">
        <f>IFERROR(VLOOKUP(Tabla134[[#This Row],[Código BPIN]],#REF!,6,0),0)</f>
        <v>0</v>
      </c>
      <c r="V23" s="141"/>
      <c r="W23" s="141"/>
      <c r="X23" s="141"/>
      <c r="Y23" s="141">
        <f>IFERROR(VLOOKUP(Tabla134[[#This Row],[Código BPIN]],#REF!,7,0),0)</f>
        <v>0</v>
      </c>
      <c r="Z23" s="141"/>
      <c r="AA23" s="141"/>
      <c r="AB23" s="141"/>
      <c r="AC23" s="141">
        <v>785643475</v>
      </c>
      <c r="AD23" s="223"/>
      <c r="AE23" s="194">
        <f>+Tabla134[[#This Row],[Recursos propios 2025]]+Tabla134[[#This Row],[SGP Educación 2025]]+Tabla134[[#This Row],[SGP Salud 2025]]+Tabla134[[#This Row],[SGP Deporte 2025]]+Tabla134[[#This Row],[SGP Cultura 2025]]+Tabla134[[#This Row],[SGP Libre inversión 2025]]+Tabla134[[#This Row],[SGP Libre destinación 2025]]+Tabla134[[#This Row],[SGP Alimentación escolar 2025]]+Tabla134[[#This Row],[SGP Municipios río Magdalena 2025]]+Tabla134[[#This Row],[SGP APSB 2025]]+Tabla134[[#This Row],[Crédito 2025]]+Tabla134[[#This Row],[Transferencias de capital - cofinanciación departamento 2025]]+Tabla134[[#This Row],[Transferencias de capital - cofinanciación nación 2025]]+Tabla134[[#This Row],[Otros 2025]]+Tabla134[[#This Row],[Recursos del Balance]]</f>
        <v>785643475</v>
      </c>
      <c r="AF23" s="142">
        <f>IFERROR(VLOOKUP(Tabla134[[#This Row],[Código BPIN]],#REF!,8,0),0)</f>
        <v>0</v>
      </c>
      <c r="AG23" s="141">
        <f>IFERROR(VLOOKUP(Tabla134[[#This Row],[Código BPIN]],#REF!,9,0),0)</f>
        <v>0</v>
      </c>
      <c r="AH23" s="141"/>
      <c r="AI23" s="141"/>
      <c r="AJ23" s="141"/>
      <c r="AK23" s="141">
        <f>IFERROR(VLOOKUP(Tabla134[[#This Row],[Código BPIN]],#REF!,9,0),0)</f>
        <v>0</v>
      </c>
      <c r="AL23" s="141"/>
      <c r="AM23" s="141"/>
      <c r="AN23" s="141"/>
      <c r="AO23" s="141">
        <f>IFERROR(VLOOKUP(Tabla134[[#This Row],[Código BPIN]],#REF!,10,0),0)</f>
        <v>0</v>
      </c>
      <c r="AP23" s="141"/>
      <c r="AQ23" s="141"/>
      <c r="AR23" s="141"/>
      <c r="AS23" s="141">
        <v>679931678</v>
      </c>
      <c r="AT23" s="141"/>
      <c r="AU23" s="141">
        <f>+Tabla134[[#This Row],[Recursos propios 20252]]+Tabla134[[#This Row],[SGP Educación 20252]]+Tabla134[[#This Row],[SGP Salud 20252]]+Tabla134[[#This Row],[SGP Deporte 20252]]+Tabla134[[#This Row],[SGP Cultura 20252]]+Tabla134[[#This Row],[SGP Libre inversión 20252]]+Tabla134[[#This Row],[SGP Libre destinación 20252]]+Tabla134[[#This Row],[SGP Alimentación escolar 20252]]+Tabla134[[#This Row],[SGP Municipios río Magdalena 20252]]+Tabla134[[#This Row],[SGP APSB 20252]]+Tabla134[[#This Row],[Crédito 20252]]+Tabla134[[#This Row],[Transferencias de capital - cofinanciación departamento 20252]]+Tabla134[[#This Row],[Transferencias de capital - cofinanciación nación 20252]]+Tabla134[[#This Row],[Otros 20252]]+Tabla134[[#This Row],[Recursos del Balance 2025]]</f>
        <v>679931678</v>
      </c>
      <c r="AV23" s="141">
        <v>0</v>
      </c>
      <c r="AW23" s="201">
        <f>IFERROR(VLOOKUP(Tabla134[[#This Row],[Código BPIN]],#REF!,5,0),0)</f>
        <v>0</v>
      </c>
      <c r="AX23" s="224">
        <f>+Tabla134[[#This Row],[Total Recursos Comprometido 2025]]/Tabla134[[#This Row],[Total 2025]]</f>
        <v>0.86544558649837955</v>
      </c>
      <c r="AY23" s="225">
        <f>+Tabla134[[#This Row],[Total Recursos Obligados]]/Tabla134[[#This Row],[Total 2025]]</f>
        <v>0</v>
      </c>
      <c r="AZ23" s="225">
        <f>+Tabla134[[#This Row],[Total Recursos Pagados]]/Tabla134[[#This Row],[Total 2025]]</f>
        <v>0</v>
      </c>
      <c r="BA23" s="225"/>
      <c r="BB23" s="226" t="str">
        <f>IF(Tabla134[[#This Row],[Total Recursos Gestionados2]]=0,"_",IF(Tabla134[[#This Row],[Ejecución Recursos Comprometidos]]=0,100%,Tabla134[[#This Row],[Total Recursos Gestionados2]]/Tabla134[[#This Row],[Ejecución Recursos Comprometidos]]))</f>
        <v>_</v>
      </c>
      <c r="BC23" s="227"/>
      <c r="BD23" s="228"/>
      <c r="BE23" s="227"/>
      <c r="BF23" s="206"/>
    </row>
    <row r="24" spans="1:58" s="229" customFormat="1" ht="49.9" customHeight="1">
      <c r="A24" s="191">
        <v>47</v>
      </c>
      <c r="B24" s="191" t="s">
        <v>78</v>
      </c>
      <c r="C24" s="191" t="s">
        <v>79</v>
      </c>
      <c r="D24" s="191" t="s">
        <v>80</v>
      </c>
      <c r="E24" s="191" t="s">
        <v>81</v>
      </c>
      <c r="F24" s="191">
        <v>4002020</v>
      </c>
      <c r="G24" s="191" t="s">
        <v>113</v>
      </c>
      <c r="H24" s="202">
        <v>202500000023367</v>
      </c>
      <c r="I24" s="193" t="s">
        <v>331</v>
      </c>
      <c r="J24" s="194">
        <v>737531392.89999998</v>
      </c>
      <c r="K24" s="194">
        <v>798881660</v>
      </c>
      <c r="L24" s="193"/>
      <c r="M24" s="193"/>
      <c r="N24" s="193"/>
      <c r="O24" s="195"/>
      <c r="P24" s="203">
        <v>798881660</v>
      </c>
      <c r="Q24" s="141"/>
      <c r="R24" s="141"/>
      <c r="S24" s="141"/>
      <c r="T24" s="141"/>
      <c r="U24" s="141">
        <f>IFERROR(VLOOKUP(Tabla134[[#This Row],[Código BPIN]],#REF!,6,0),0)</f>
        <v>0</v>
      </c>
      <c r="V24" s="141"/>
      <c r="W24" s="141"/>
      <c r="X24" s="141"/>
      <c r="Y24" s="141">
        <f>IFERROR(VLOOKUP(Tabla134[[#This Row],[Código BPIN]],#REF!,7,0),0)</f>
        <v>0</v>
      </c>
      <c r="Z24" s="141"/>
      <c r="AA24" s="141"/>
      <c r="AB24" s="141"/>
      <c r="AC24" s="141"/>
      <c r="AD24" s="141"/>
      <c r="AE24" s="194">
        <f>+Tabla134[[#This Row],[Recursos propios 2025]]+Tabla134[[#This Row],[SGP Educación 2025]]+Tabla134[[#This Row],[SGP Salud 2025]]+Tabla134[[#This Row],[SGP Deporte 2025]]+Tabla134[[#This Row],[SGP Cultura 2025]]+Tabla134[[#This Row],[SGP Libre inversión 2025]]+Tabla134[[#This Row],[SGP Libre destinación 2025]]+Tabla134[[#This Row],[SGP Alimentación escolar 2025]]+Tabla134[[#This Row],[SGP Municipios río Magdalena 2025]]+Tabla134[[#This Row],[SGP APSB 2025]]+Tabla134[[#This Row],[Crédito 2025]]+Tabla134[[#This Row],[Transferencias de capital - cofinanciación departamento 2025]]+Tabla134[[#This Row],[Transferencias de capital - cofinanciación nación 2025]]+Tabla134[[#This Row],[Otros 2025]]+Tabla134[[#This Row],[Recursos del Balance]]</f>
        <v>798881660</v>
      </c>
      <c r="AF24" s="142">
        <f>IFERROR(VLOOKUP(Tabla134[[#This Row],[Código BPIN]],#REF!,8,0),0)</f>
        <v>0</v>
      </c>
      <c r="AG24" s="141">
        <f>IFERROR(VLOOKUP(Tabla134[[#This Row],[Código BPIN]],#REF!,9,0),0)</f>
        <v>0</v>
      </c>
      <c r="AH24" s="141"/>
      <c r="AI24" s="141"/>
      <c r="AJ24" s="141"/>
      <c r="AK24" s="141">
        <f>IFERROR(VLOOKUP(Tabla134[[#This Row],[Código BPIN]],#REF!,9,0),0)</f>
        <v>0</v>
      </c>
      <c r="AL24" s="141"/>
      <c r="AM24" s="141"/>
      <c r="AN24" s="141"/>
      <c r="AO24" s="141">
        <f>IFERROR(VLOOKUP(Tabla134[[#This Row],[Código BPIN]],#REF!,10,0),0)</f>
        <v>0</v>
      </c>
      <c r="AP24" s="141"/>
      <c r="AQ24" s="141"/>
      <c r="AR24" s="141"/>
      <c r="AS24" s="141"/>
      <c r="AT24" s="141"/>
      <c r="AU24" s="141">
        <f>+Tabla134[[#This Row],[Recursos propios 20252]]+Tabla134[[#This Row],[SGP Educación 20252]]+Tabla134[[#This Row],[SGP Salud 20252]]+Tabla134[[#This Row],[SGP Deporte 20252]]+Tabla134[[#This Row],[SGP Cultura 20252]]+Tabla134[[#This Row],[SGP Libre inversión 20252]]+Tabla134[[#This Row],[SGP Libre destinación 20252]]+Tabla134[[#This Row],[SGP Alimentación escolar 20252]]+Tabla134[[#This Row],[SGP Municipios río Magdalena 20252]]+Tabla134[[#This Row],[SGP APSB 20252]]+Tabla134[[#This Row],[Crédito 20252]]+Tabla134[[#This Row],[Transferencias de capital - cofinanciación departamento 20252]]+Tabla134[[#This Row],[Transferencias de capital - cofinanciación nación 20252]]+Tabla134[[#This Row],[Otros 20252]]+Tabla134[[#This Row],[Recursos del Balance 2025]]</f>
        <v>0</v>
      </c>
      <c r="AV24" s="141">
        <f>SUM(Tabla134[[#This Row],[Recursos propios 20252]:[Recursos del Balance 2025]])</f>
        <v>0</v>
      </c>
      <c r="AW24" s="201">
        <f>IFERROR(VLOOKUP(Tabla134[[#This Row],[Código BPIN]],#REF!,5,0),0)</f>
        <v>0</v>
      </c>
      <c r="AX24" s="143">
        <f>+Tabla134[[#This Row],[Total Recursos Comprometido 2025]]/Tabla134[[#This Row],[Total 2025]]</f>
        <v>0</v>
      </c>
      <c r="AY24" s="144">
        <f>+Tabla134[[#This Row],[Total Recursos Obligados]]/Tabla134[[#This Row],[Total 2025]]</f>
        <v>0</v>
      </c>
      <c r="AZ24" s="145">
        <f>+Tabla134[[#This Row],[Total Recursos Pagados]]/Tabla134[[#This Row],[Total 2025]]</f>
        <v>0</v>
      </c>
      <c r="BA24" s="146"/>
      <c r="BB24" s="197" t="str">
        <f>IF(Tabla134[[#This Row],[Total Recursos Gestionados2]]=0,"_",IF(Tabla134[[#This Row],[Ejecución Recursos Comprometidos]]=0,100%,Tabla134[[#This Row],[Total Recursos Gestionados2]]/Tabla134[[#This Row],[Ejecución Recursos Comprometidos]]))</f>
        <v>_</v>
      </c>
      <c r="BC24" s="198" t="s">
        <v>271</v>
      </c>
      <c r="BD24" s="199" t="s">
        <v>270</v>
      </c>
      <c r="BE24" s="200">
        <v>11.13</v>
      </c>
      <c r="BF24" s="206"/>
    </row>
    <row r="25" spans="1:58" s="229" customFormat="1" ht="49.9" customHeight="1">
      <c r="A25" s="191">
        <v>47</v>
      </c>
      <c r="B25" s="191" t="s">
        <v>78</v>
      </c>
      <c r="C25" s="191" t="s">
        <v>79</v>
      </c>
      <c r="D25" s="191" t="s">
        <v>80</v>
      </c>
      <c r="E25" s="191" t="s">
        <v>81</v>
      </c>
      <c r="F25" s="191">
        <v>4002020</v>
      </c>
      <c r="G25" s="191"/>
      <c r="H25" s="202">
        <v>202500000028857</v>
      </c>
      <c r="I25" s="193" t="s">
        <v>357</v>
      </c>
      <c r="J25" s="194">
        <v>1177574673.5999999</v>
      </c>
      <c r="K25" s="194">
        <v>1177574673</v>
      </c>
      <c r="L25" s="193"/>
      <c r="M25" s="193"/>
      <c r="N25" s="193"/>
      <c r="O25" s="195"/>
      <c r="P25" s="203">
        <f>IFERROR(VLOOKUP(Tabla134[[#This Row],[Código BPIN]],#REF!,5,0),0)</f>
        <v>0</v>
      </c>
      <c r="Q25" s="141"/>
      <c r="R25" s="141"/>
      <c r="S25" s="141"/>
      <c r="T25" s="141"/>
      <c r="U25" s="141">
        <f>IFERROR(VLOOKUP(Tabla134[[#This Row],[Código BPIN]],#REF!,6,0),0)</f>
        <v>0</v>
      </c>
      <c r="V25" s="141"/>
      <c r="W25" s="141"/>
      <c r="X25" s="141"/>
      <c r="Y25" s="141">
        <f>IFERROR(VLOOKUP(Tabla134[[#This Row],[Código BPIN]],#REF!,7,0),0)</f>
        <v>0</v>
      </c>
      <c r="Z25" s="141"/>
      <c r="AA25" s="141"/>
      <c r="AB25" s="141"/>
      <c r="AC25" s="141">
        <v>1177574673</v>
      </c>
      <c r="AD25" s="141"/>
      <c r="AE25" s="194">
        <f>+Tabla134[[#This Row],[Recursos propios 2025]]+Tabla134[[#This Row],[SGP Educación 2025]]+Tabla134[[#This Row],[SGP Salud 2025]]+Tabla134[[#This Row],[SGP Deporte 2025]]+Tabla134[[#This Row],[SGP Cultura 2025]]+Tabla134[[#This Row],[SGP Libre inversión 2025]]+Tabla134[[#This Row],[SGP Libre destinación 2025]]+Tabla134[[#This Row],[SGP Alimentación escolar 2025]]+Tabla134[[#This Row],[SGP Municipios río Magdalena 2025]]+Tabla134[[#This Row],[SGP APSB 2025]]+Tabla134[[#This Row],[Crédito 2025]]+Tabla134[[#This Row],[Transferencias de capital - cofinanciación departamento 2025]]+Tabla134[[#This Row],[Transferencias de capital - cofinanciación nación 2025]]+Tabla134[[#This Row],[Otros 2025]]+Tabla134[[#This Row],[Recursos del Balance]]</f>
        <v>1177574673</v>
      </c>
      <c r="AF25" s="142">
        <f>IFERROR(VLOOKUP(Tabla134[[#This Row],[Código BPIN]],#REF!,8,0),0)</f>
        <v>0</v>
      </c>
      <c r="AG25" s="141">
        <f>IFERROR(VLOOKUP(Tabla134[[#This Row],[Código BPIN]],#REF!,9,0),0)</f>
        <v>0</v>
      </c>
      <c r="AH25" s="141"/>
      <c r="AI25" s="141"/>
      <c r="AJ25" s="141"/>
      <c r="AK25" s="141">
        <f>IFERROR(VLOOKUP(Tabla134[[#This Row],[Código BPIN]],#REF!,9,0),0)</f>
        <v>0</v>
      </c>
      <c r="AL25" s="141"/>
      <c r="AM25" s="141"/>
      <c r="AN25" s="141"/>
      <c r="AO25" s="141">
        <f>IFERROR(VLOOKUP(Tabla134[[#This Row],[Código BPIN]],#REF!,10,0),0)</f>
        <v>0</v>
      </c>
      <c r="AP25" s="141"/>
      <c r="AQ25" s="141"/>
      <c r="AR25" s="141"/>
      <c r="AS25" s="141"/>
      <c r="AT25" s="141"/>
      <c r="AU25" s="141">
        <f>+Tabla134[[#This Row],[Recursos propios 20252]]+Tabla134[[#This Row],[SGP Educación 20252]]+Tabla134[[#This Row],[SGP Salud 20252]]+Tabla134[[#This Row],[SGP Deporte 20252]]+Tabla134[[#This Row],[SGP Cultura 20252]]+Tabla134[[#This Row],[SGP Libre inversión 20252]]+Tabla134[[#This Row],[SGP Libre destinación 20252]]+Tabla134[[#This Row],[SGP Alimentación escolar 20252]]+Tabla134[[#This Row],[SGP Municipios río Magdalena 20252]]+Tabla134[[#This Row],[SGP APSB 20252]]+Tabla134[[#This Row],[Crédito 20252]]+Tabla134[[#This Row],[Transferencias de capital - cofinanciación departamento 20252]]+Tabla134[[#This Row],[Transferencias de capital - cofinanciación nación 20252]]+Tabla134[[#This Row],[Otros 20252]]+Tabla134[[#This Row],[Recursos del Balance 2025]]</f>
        <v>0</v>
      </c>
      <c r="AV25" s="141">
        <f>SUM(Tabla134[[#This Row],[Recursos propios 20252]:[Recursos del Balance 2025]])</f>
        <v>0</v>
      </c>
      <c r="AW25" s="201">
        <f>IFERROR(VLOOKUP(Tabla134[[#This Row],[Código BPIN]],#REF!,5,0),0)</f>
        <v>0</v>
      </c>
      <c r="AX25" s="143">
        <f>+Tabla134[[#This Row],[Total Recursos Comprometido 2025]]/Tabla134[[#This Row],[Total 2025]]</f>
        <v>0</v>
      </c>
      <c r="AY25" s="144">
        <f>+Tabla134[[#This Row],[Total Recursos Obligados]]/Tabla134[[#This Row],[Total 2025]]</f>
        <v>0</v>
      </c>
      <c r="AZ25" s="145">
        <f>+Tabla134[[#This Row],[Total Recursos Pagados]]/Tabla134[[#This Row],[Total 2025]]</f>
        <v>0</v>
      </c>
      <c r="BA25" s="146"/>
      <c r="BB25" s="197" t="str">
        <f>IF(Tabla134[[#This Row],[Total Recursos Gestionados2]]=0,"_",IF(Tabla134[[#This Row],[Ejecución Recursos Comprometidos]]=0,100%,Tabla134[[#This Row],[Total Recursos Gestionados2]]/Tabla134[[#This Row],[Ejecución Recursos Comprometidos]]))</f>
        <v>_</v>
      </c>
      <c r="BC25" s="198"/>
      <c r="BD25" s="199"/>
      <c r="BE25" s="200"/>
      <c r="BF25" s="206"/>
    </row>
    <row r="26" spans="1:58" s="207" customFormat="1" ht="49.9" customHeight="1">
      <c r="A26" s="191">
        <v>48</v>
      </c>
      <c r="B26" s="191" t="s">
        <v>78</v>
      </c>
      <c r="C26" s="191" t="s">
        <v>79</v>
      </c>
      <c r="D26" s="191" t="s">
        <v>80</v>
      </c>
      <c r="E26" s="191" t="s">
        <v>81</v>
      </c>
      <c r="F26" s="191">
        <v>4002021</v>
      </c>
      <c r="G26" s="191" t="s">
        <v>87</v>
      </c>
      <c r="H26" s="202">
        <v>202500000030966</v>
      </c>
      <c r="I26" s="193" t="s">
        <v>332</v>
      </c>
      <c r="J26" s="194">
        <v>13270134917.379999</v>
      </c>
      <c r="K26" s="194">
        <v>1990520237.6099999</v>
      </c>
      <c r="L26" s="193"/>
      <c r="M26" s="193"/>
      <c r="N26" s="193"/>
      <c r="O26" s="195"/>
      <c r="P26" s="203">
        <f>IFERROR(VLOOKUP(Tabla134[[#This Row],[Código BPIN]],#REF!,5,0),0)</f>
        <v>0</v>
      </c>
      <c r="Q26" s="141"/>
      <c r="R26" s="141"/>
      <c r="S26" s="141"/>
      <c r="T26" s="141"/>
      <c r="U26" s="141">
        <f>IFERROR(VLOOKUP(Tabla134[[#This Row],[Código BPIN]],#REF!,6,0),0)</f>
        <v>0</v>
      </c>
      <c r="V26" s="141"/>
      <c r="W26" s="141"/>
      <c r="X26" s="141"/>
      <c r="Y26" s="141">
        <f>IFERROR(VLOOKUP(Tabla134[[#This Row],[Código BPIN]],#REF!,7,0),0)</f>
        <v>0</v>
      </c>
      <c r="Z26" s="141"/>
      <c r="AA26" s="141"/>
      <c r="AB26" s="141"/>
      <c r="AC26" s="196">
        <v>1990520237.6099999</v>
      </c>
      <c r="AD26" s="141"/>
      <c r="AE26" s="194">
        <f>+Tabla134[[#This Row],[Recursos propios 2025]]+Tabla134[[#This Row],[SGP Educación 2025]]+Tabla134[[#This Row],[SGP Salud 2025]]+Tabla134[[#This Row],[SGP Deporte 2025]]+Tabla134[[#This Row],[SGP Cultura 2025]]+Tabla134[[#This Row],[SGP Libre inversión 2025]]+Tabla134[[#This Row],[SGP Libre destinación 2025]]+Tabla134[[#This Row],[SGP Alimentación escolar 2025]]+Tabla134[[#This Row],[SGP Municipios río Magdalena 2025]]+Tabla134[[#This Row],[SGP APSB 2025]]+Tabla134[[#This Row],[Crédito 2025]]+Tabla134[[#This Row],[Transferencias de capital - cofinanciación departamento 2025]]+Tabla134[[#This Row],[Transferencias de capital - cofinanciación nación 2025]]+Tabla134[[#This Row],[Otros 2025]]+Tabla134[[#This Row],[Recursos del Balance]]</f>
        <v>1990520237.6099999</v>
      </c>
      <c r="AF26" s="142">
        <f>IFERROR(VLOOKUP(Tabla134[[#This Row],[Código BPIN]],#REF!,8,0),0)</f>
        <v>0</v>
      </c>
      <c r="AG26" s="141">
        <f>IFERROR(VLOOKUP(Tabla134[[#This Row],[Código BPIN]],#REF!,9,0),0)</f>
        <v>0</v>
      </c>
      <c r="AH26" s="141"/>
      <c r="AI26" s="141"/>
      <c r="AJ26" s="141"/>
      <c r="AK26" s="141">
        <f>IFERROR(VLOOKUP(Tabla134[[#This Row],[Código BPIN]],#REF!,9,0),0)</f>
        <v>0</v>
      </c>
      <c r="AL26" s="141"/>
      <c r="AM26" s="141"/>
      <c r="AN26" s="141"/>
      <c r="AO26" s="141">
        <f>IFERROR(VLOOKUP(Tabla134[[#This Row],[Código BPIN]],#REF!,10,0),0)</f>
        <v>0</v>
      </c>
      <c r="AP26" s="141"/>
      <c r="AQ26" s="141"/>
      <c r="AR26" s="141"/>
      <c r="AS26" s="141"/>
      <c r="AT26" s="141"/>
      <c r="AU26" s="141">
        <f>+Tabla134[[#This Row],[Recursos propios 20252]]+Tabla134[[#This Row],[SGP Educación 20252]]+Tabla134[[#This Row],[SGP Salud 20252]]+Tabla134[[#This Row],[SGP Deporte 20252]]+Tabla134[[#This Row],[SGP Cultura 20252]]+Tabla134[[#This Row],[SGP Libre inversión 20252]]+Tabla134[[#This Row],[SGP Libre destinación 20252]]+Tabla134[[#This Row],[SGP Alimentación escolar 20252]]+Tabla134[[#This Row],[SGP Municipios río Magdalena 20252]]+Tabla134[[#This Row],[SGP APSB 20252]]+Tabla134[[#This Row],[Crédito 20252]]+Tabla134[[#This Row],[Transferencias de capital - cofinanciación departamento 20252]]+Tabla134[[#This Row],[Transferencias de capital - cofinanciación nación 20252]]+Tabla134[[#This Row],[Otros 20252]]+Tabla134[[#This Row],[Recursos del Balance 2025]]</f>
        <v>0</v>
      </c>
      <c r="AV26" s="141">
        <f>SUM(Tabla134[[#This Row],[Recursos propios 20252]:[Recursos del Balance 2025]])</f>
        <v>0</v>
      </c>
      <c r="AW26" s="201">
        <f>IFERROR(VLOOKUP(Tabla134[[#This Row],[Código BPIN]],#REF!,5,0),0)</f>
        <v>0</v>
      </c>
      <c r="AX26" s="143">
        <f>+Tabla134[[#This Row],[Total Recursos Comprometido 2025]]/Tabla134[[#This Row],[Total 2025]]</f>
        <v>0</v>
      </c>
      <c r="AY26" s="144">
        <f>+Tabla134[[#This Row],[Total Recursos Obligados]]/Tabla134[[#This Row],[Total 2025]]</f>
        <v>0</v>
      </c>
      <c r="AZ26" s="145">
        <f>+Tabla134[[#This Row],[Total Recursos Pagados]]/Tabla134[[#This Row],[Total 2025]]</f>
        <v>0</v>
      </c>
      <c r="BA26" s="146"/>
      <c r="BB26" s="197" t="str">
        <f>IF(Tabla134[[#This Row],[Total Recursos Gestionados2]]=0,"_",IF(Tabla134[[#This Row],[Ejecución Recursos Comprometidos]]=0,100%,Tabla134[[#This Row],[Total Recursos Gestionados2]]/Tabla134[[#This Row],[Ejecución Recursos Comprometidos]]))</f>
        <v>_</v>
      </c>
      <c r="BC26" s="198" t="s">
        <v>271</v>
      </c>
      <c r="BD26" s="199" t="s">
        <v>270</v>
      </c>
      <c r="BE26" s="200">
        <v>11.13</v>
      </c>
      <c r="BF26" s="206"/>
    </row>
    <row r="27" spans="1:58" s="207" customFormat="1" ht="49.9" customHeight="1">
      <c r="A27" s="191">
        <v>49</v>
      </c>
      <c r="B27" s="191" t="s">
        <v>78</v>
      </c>
      <c r="C27" s="191" t="s">
        <v>79</v>
      </c>
      <c r="D27" s="191" t="s">
        <v>80</v>
      </c>
      <c r="E27" s="191" t="s">
        <v>81</v>
      </c>
      <c r="F27" s="191">
        <v>4002022</v>
      </c>
      <c r="G27" s="191" t="s">
        <v>358</v>
      </c>
      <c r="H27" s="202">
        <v>202500000031111</v>
      </c>
      <c r="I27" s="193" t="s">
        <v>333</v>
      </c>
      <c r="J27" s="194">
        <v>11217544586</v>
      </c>
      <c r="K27" s="194">
        <v>1726740978</v>
      </c>
      <c r="L27" s="193"/>
      <c r="M27" s="193"/>
      <c r="N27" s="193"/>
      <c r="O27" s="195"/>
      <c r="P27" s="203">
        <f>IFERROR(VLOOKUP(Tabla134[[#This Row],[Código BPIN]],#REF!,5,0),0)</f>
        <v>0</v>
      </c>
      <c r="Q27" s="141"/>
      <c r="R27" s="141"/>
      <c r="S27" s="141"/>
      <c r="T27" s="141"/>
      <c r="U27" s="141">
        <f>IFERROR(VLOOKUP(Tabla134[[#This Row],[Código BPIN]],#REF!,6,0),0)</f>
        <v>0</v>
      </c>
      <c r="V27" s="141"/>
      <c r="W27" s="141"/>
      <c r="X27" s="141"/>
      <c r="Y27" s="141">
        <f>IFERROR(VLOOKUP(Tabla134[[#This Row],[Código BPIN]],#REF!,7,0),0)</f>
        <v>0</v>
      </c>
      <c r="Z27" s="141"/>
      <c r="AA27" s="141"/>
      <c r="AB27" s="141"/>
      <c r="AC27" s="213">
        <v>1726740978</v>
      </c>
      <c r="AD27" s="141"/>
      <c r="AE27" s="194">
        <f>+Tabla134[[#This Row],[Recursos propios 2025]]+Tabla134[[#This Row],[SGP Educación 2025]]+Tabla134[[#This Row],[SGP Salud 2025]]+Tabla134[[#This Row],[SGP Deporte 2025]]+Tabla134[[#This Row],[SGP Cultura 2025]]+Tabla134[[#This Row],[SGP Libre inversión 2025]]+Tabla134[[#This Row],[SGP Libre destinación 2025]]+Tabla134[[#This Row],[SGP Alimentación escolar 2025]]+Tabla134[[#This Row],[SGP Municipios río Magdalena 2025]]+Tabla134[[#This Row],[SGP APSB 2025]]+Tabla134[[#This Row],[Crédito 2025]]+Tabla134[[#This Row],[Transferencias de capital - cofinanciación departamento 2025]]+Tabla134[[#This Row],[Transferencias de capital - cofinanciación nación 2025]]+Tabla134[[#This Row],[Otros 2025]]+Tabla134[[#This Row],[Recursos del Balance]]</f>
        <v>1726740978</v>
      </c>
      <c r="AF27" s="142">
        <f>IFERROR(VLOOKUP(Tabla134[[#This Row],[Código BPIN]],#REF!,8,0),0)</f>
        <v>0</v>
      </c>
      <c r="AG27" s="141">
        <f>IFERROR(VLOOKUP(Tabla134[[#This Row],[Código BPIN]],#REF!,9,0),0)</f>
        <v>0</v>
      </c>
      <c r="AH27" s="141"/>
      <c r="AI27" s="141"/>
      <c r="AJ27" s="141"/>
      <c r="AK27" s="141">
        <f>IFERROR(VLOOKUP(Tabla134[[#This Row],[Código BPIN]],#REF!,9,0),0)</f>
        <v>0</v>
      </c>
      <c r="AL27" s="141"/>
      <c r="AM27" s="141"/>
      <c r="AN27" s="141"/>
      <c r="AO27" s="141">
        <f>IFERROR(VLOOKUP(Tabla134[[#This Row],[Código BPIN]],#REF!,10,0),0)</f>
        <v>0</v>
      </c>
      <c r="AP27" s="141"/>
      <c r="AQ27" s="141"/>
      <c r="AR27" s="141"/>
      <c r="AS27" s="141"/>
      <c r="AT27" s="141"/>
      <c r="AU27" s="141">
        <f>+Tabla134[[#This Row],[Recursos propios 20252]]+Tabla134[[#This Row],[SGP Educación 20252]]+Tabla134[[#This Row],[SGP Salud 20252]]+Tabla134[[#This Row],[SGP Deporte 20252]]+Tabla134[[#This Row],[SGP Cultura 20252]]+Tabla134[[#This Row],[SGP Libre inversión 20252]]+Tabla134[[#This Row],[SGP Libre destinación 20252]]+Tabla134[[#This Row],[SGP Alimentación escolar 20252]]+Tabla134[[#This Row],[SGP Municipios río Magdalena 20252]]+Tabla134[[#This Row],[SGP APSB 20252]]+Tabla134[[#This Row],[Crédito 20252]]+Tabla134[[#This Row],[Transferencias de capital - cofinanciación departamento 20252]]+Tabla134[[#This Row],[Transferencias de capital - cofinanciación nación 20252]]+Tabla134[[#This Row],[Otros 20252]]+Tabla134[[#This Row],[Recursos del Balance 2025]]</f>
        <v>0</v>
      </c>
      <c r="AV27" s="141">
        <v>0</v>
      </c>
      <c r="AW27" s="201">
        <v>0</v>
      </c>
      <c r="AX27" s="143">
        <f>+Tabla134[[#This Row],[Total Recursos Comprometido 2025]]/Tabla134[[#This Row],[Total 2025]]</f>
        <v>0</v>
      </c>
      <c r="AY27" s="144">
        <f>+Tabla134[[#This Row],[Total Recursos Obligados]]/Tabla134[[#This Row],[Total 2025]]</f>
        <v>0</v>
      </c>
      <c r="AZ27" s="145">
        <f>+Tabla134[[#This Row],[Total Recursos Pagados]]/Tabla134[[#This Row],[Total 2025]]</f>
        <v>0</v>
      </c>
      <c r="BA27" s="146"/>
      <c r="BB27" s="197" t="str">
        <f>IF(Tabla134[[#This Row],[Total Recursos Gestionados2]]=0,"_",IF(Tabla134[[#This Row],[Ejecución Recursos Comprometidos]]=0,100%,Tabla134[[#This Row],[Total Recursos Gestionados2]]/Tabla134[[#This Row],[Ejecución Recursos Comprometidos]]))</f>
        <v>_</v>
      </c>
      <c r="BC27" s="198"/>
      <c r="BD27" s="199"/>
      <c r="BE27" s="200"/>
      <c r="BF27" s="206"/>
    </row>
    <row r="28" spans="1:58" s="207" customFormat="1" ht="49.9" customHeight="1">
      <c r="A28" s="191">
        <v>49</v>
      </c>
      <c r="B28" s="191" t="s">
        <v>78</v>
      </c>
      <c r="C28" s="191" t="s">
        <v>79</v>
      </c>
      <c r="D28" s="191" t="s">
        <v>80</v>
      </c>
      <c r="E28" s="191" t="s">
        <v>81</v>
      </c>
      <c r="F28" s="191">
        <v>4002022</v>
      </c>
      <c r="G28" s="191" t="s">
        <v>90</v>
      </c>
      <c r="H28" s="202">
        <v>2024680010045</v>
      </c>
      <c r="I28" s="193" t="s">
        <v>245</v>
      </c>
      <c r="J28" s="194">
        <v>6853612187.1400003</v>
      </c>
      <c r="K28" s="194">
        <v>3000000000</v>
      </c>
      <c r="L28" s="193"/>
      <c r="M28" s="193"/>
      <c r="N28" s="193"/>
      <c r="O28" s="195"/>
      <c r="P28" s="203">
        <v>3000000000</v>
      </c>
      <c r="Q28" s="141"/>
      <c r="R28" s="141"/>
      <c r="S28" s="141"/>
      <c r="T28" s="141"/>
      <c r="U28" s="141">
        <f>IFERROR(VLOOKUP(Tabla134[[#This Row],[Código BPIN]],#REF!,6,0),0)</f>
        <v>0</v>
      </c>
      <c r="V28" s="141"/>
      <c r="W28" s="141"/>
      <c r="X28" s="141"/>
      <c r="Y28" s="141">
        <f>IFERROR(VLOOKUP(Tabla134[[#This Row],[Código BPIN]],#REF!,7,0),0)</f>
        <v>0</v>
      </c>
      <c r="Z28" s="141"/>
      <c r="AA28" s="141"/>
      <c r="AB28" s="141"/>
      <c r="AC28" s="141"/>
      <c r="AD28" s="141"/>
      <c r="AE28" s="194">
        <f>+Tabla134[[#This Row],[Recursos propios 2025]]+Tabla134[[#This Row],[SGP Educación 2025]]+Tabla134[[#This Row],[SGP Salud 2025]]+Tabla134[[#This Row],[SGP Deporte 2025]]+Tabla134[[#This Row],[SGP Cultura 2025]]+Tabla134[[#This Row],[SGP Libre inversión 2025]]+Tabla134[[#This Row],[SGP Libre destinación 2025]]+Tabla134[[#This Row],[SGP Alimentación escolar 2025]]+Tabla134[[#This Row],[SGP Municipios río Magdalena 2025]]+Tabla134[[#This Row],[SGP APSB 2025]]+Tabla134[[#This Row],[Crédito 2025]]+Tabla134[[#This Row],[Transferencias de capital - cofinanciación departamento 2025]]+Tabla134[[#This Row],[Transferencias de capital - cofinanciación nación 2025]]+Tabla134[[#This Row],[Otros 2025]]+Tabla134[[#This Row],[Recursos del Balance]]</f>
        <v>3000000000</v>
      </c>
      <c r="AF28" s="142">
        <f>IFERROR(VLOOKUP(Tabla134[[#This Row],[Código BPIN]],#REF!,8,0),0)</f>
        <v>0</v>
      </c>
      <c r="AG28" s="141">
        <f>IFERROR(VLOOKUP(Tabla134[[#This Row],[Código BPIN]],#REF!,9,0),0)</f>
        <v>0</v>
      </c>
      <c r="AH28" s="141"/>
      <c r="AI28" s="141"/>
      <c r="AJ28" s="141"/>
      <c r="AK28" s="141">
        <f>IFERROR(VLOOKUP(Tabla134[[#This Row],[Código BPIN]],#REF!,9,0),0)</f>
        <v>0</v>
      </c>
      <c r="AL28" s="141"/>
      <c r="AM28" s="141"/>
      <c r="AN28" s="141"/>
      <c r="AO28" s="141">
        <f>IFERROR(VLOOKUP(Tabla134[[#This Row],[Código BPIN]],#REF!,10,0),0)</f>
        <v>0</v>
      </c>
      <c r="AP28" s="141"/>
      <c r="AQ28" s="141"/>
      <c r="AR28" s="141"/>
      <c r="AS28" s="141"/>
      <c r="AT28" s="141"/>
      <c r="AU28" s="141">
        <f>+Tabla134[[#This Row],[Recursos propios 20252]]+Tabla134[[#This Row],[SGP Educación 20252]]+Tabla134[[#This Row],[SGP Salud 20252]]+Tabla134[[#This Row],[SGP Deporte 20252]]+Tabla134[[#This Row],[SGP Cultura 20252]]+Tabla134[[#This Row],[SGP Libre inversión 20252]]+Tabla134[[#This Row],[SGP Libre destinación 20252]]+Tabla134[[#This Row],[SGP Alimentación escolar 20252]]+Tabla134[[#This Row],[SGP Municipios río Magdalena 20252]]+Tabla134[[#This Row],[SGP APSB 20252]]+Tabla134[[#This Row],[Crédito 20252]]+Tabla134[[#This Row],[Transferencias de capital - cofinanciación departamento 20252]]+Tabla134[[#This Row],[Transferencias de capital - cofinanciación nación 20252]]+Tabla134[[#This Row],[Otros 20252]]+Tabla134[[#This Row],[Recursos del Balance 2025]]</f>
        <v>0</v>
      </c>
      <c r="AV28" s="141">
        <f>SUM(Tabla134[[#This Row],[Recursos propios 20252]:[Recursos del Balance 2025]])</f>
        <v>0</v>
      </c>
      <c r="AW28" s="201">
        <f>IFERROR(VLOOKUP(Tabla134[[#This Row],[Código BPIN]],#REF!,5,0),0)</f>
        <v>0</v>
      </c>
      <c r="AX28" s="143">
        <f>+Tabla134[[#This Row],[Total Recursos Comprometido 2025]]/Tabla134[[#This Row],[Total 2025]]</f>
        <v>0</v>
      </c>
      <c r="AY28" s="144">
        <f>+Tabla134[[#This Row],[Total Recursos Obligados]]/Tabla134[[#This Row],[Total 2025]]</f>
        <v>0</v>
      </c>
      <c r="AZ28" s="145">
        <f>+Tabla134[[#This Row],[Total Recursos Pagados]]/Tabla134[[#This Row],[Total 2025]]</f>
        <v>0</v>
      </c>
      <c r="BA28" s="146"/>
      <c r="BB28" s="197" t="str">
        <f>IF(Tabla134[[#This Row],[Total Recursos Gestionados2]]=0,"_",IF(Tabla134[[#This Row],[Ejecución Recursos Comprometidos]]=0,100%,Tabla134[[#This Row],[Total Recursos Gestionados2]]/Tabla134[[#This Row],[Ejecución Recursos Comprometidos]]))</f>
        <v>_</v>
      </c>
      <c r="BC28" s="198" t="s">
        <v>271</v>
      </c>
      <c r="BD28" s="199" t="s">
        <v>270</v>
      </c>
      <c r="BE28" s="200">
        <v>11.13</v>
      </c>
      <c r="BF28" s="206"/>
    </row>
    <row r="29" spans="1:58" s="207" customFormat="1" ht="49.9" customHeight="1">
      <c r="A29" s="191">
        <v>50</v>
      </c>
      <c r="B29" s="191" t="s">
        <v>78</v>
      </c>
      <c r="C29" s="191" t="s">
        <v>79</v>
      </c>
      <c r="D29" s="191" t="s">
        <v>80</v>
      </c>
      <c r="E29" s="191" t="s">
        <v>81</v>
      </c>
      <c r="F29" s="191">
        <v>4002026</v>
      </c>
      <c r="G29" s="191" t="s">
        <v>93</v>
      </c>
      <c r="H29" s="202">
        <v>2024680010046</v>
      </c>
      <c r="I29" s="193" t="s">
        <v>246</v>
      </c>
      <c r="J29" s="194">
        <v>31363395582</v>
      </c>
      <c r="K29" s="194">
        <v>10000000000</v>
      </c>
      <c r="L29" s="193"/>
      <c r="M29" s="193"/>
      <c r="N29" s="193"/>
      <c r="O29" s="195"/>
      <c r="P29" s="203">
        <v>10000000000</v>
      </c>
      <c r="Q29" s="141"/>
      <c r="R29" s="141"/>
      <c r="S29" s="141"/>
      <c r="T29" s="141"/>
      <c r="U29" s="141">
        <f>IFERROR(VLOOKUP(Tabla134[[#This Row],[Código BPIN]],#REF!,6,0),0)</f>
        <v>0</v>
      </c>
      <c r="V29" s="141"/>
      <c r="W29" s="141"/>
      <c r="X29" s="141"/>
      <c r="Y29" s="141">
        <f>IFERROR(VLOOKUP(Tabla134[[#This Row],[Código BPIN]],#REF!,7,0),0)</f>
        <v>0</v>
      </c>
      <c r="Z29" s="141"/>
      <c r="AA29" s="141"/>
      <c r="AB29" s="141"/>
      <c r="AC29" s="141"/>
      <c r="AD29" s="141"/>
      <c r="AE29" s="194">
        <f>+Tabla134[[#This Row],[Recursos propios 2025]]+Tabla134[[#This Row],[SGP Educación 2025]]+Tabla134[[#This Row],[SGP Salud 2025]]+Tabla134[[#This Row],[SGP Deporte 2025]]+Tabla134[[#This Row],[SGP Cultura 2025]]+Tabla134[[#This Row],[SGP Libre inversión 2025]]+Tabla134[[#This Row],[SGP Libre destinación 2025]]+Tabla134[[#This Row],[SGP Alimentación escolar 2025]]+Tabla134[[#This Row],[SGP Municipios río Magdalena 2025]]+Tabla134[[#This Row],[SGP APSB 2025]]+Tabla134[[#This Row],[Crédito 2025]]+Tabla134[[#This Row],[Transferencias de capital - cofinanciación departamento 2025]]+Tabla134[[#This Row],[Transferencias de capital - cofinanciación nación 2025]]+Tabla134[[#This Row],[Otros 2025]]+Tabla134[[#This Row],[Recursos del Balance]]</f>
        <v>10000000000</v>
      </c>
      <c r="AF29" s="142">
        <v>7812383896.8900003</v>
      </c>
      <c r="AG29" s="141">
        <f>IFERROR(VLOOKUP(Tabla134[[#This Row],[Código BPIN]],#REF!,9,0),0)</f>
        <v>0</v>
      </c>
      <c r="AH29" s="141"/>
      <c r="AI29" s="141"/>
      <c r="AJ29" s="141"/>
      <c r="AK29" s="141">
        <f>IFERROR(VLOOKUP(Tabla134[[#This Row],[Código BPIN]],#REF!,9,0),0)</f>
        <v>0</v>
      </c>
      <c r="AL29" s="141"/>
      <c r="AM29" s="141"/>
      <c r="AN29" s="141"/>
      <c r="AO29" s="141">
        <f>IFERROR(VLOOKUP(Tabla134[[#This Row],[Código BPIN]],#REF!,10,0),0)</f>
        <v>0</v>
      </c>
      <c r="AP29" s="141"/>
      <c r="AQ29" s="141"/>
      <c r="AR29" s="141"/>
      <c r="AS29" s="141"/>
      <c r="AT29" s="141"/>
      <c r="AU29" s="141">
        <f>+Tabla134[[#This Row],[Recursos propios 20252]]+Tabla134[[#This Row],[SGP Educación 20252]]+Tabla134[[#This Row],[SGP Salud 20252]]+Tabla134[[#This Row],[SGP Deporte 20252]]+Tabla134[[#This Row],[SGP Cultura 20252]]+Tabla134[[#This Row],[SGP Libre inversión 20252]]+Tabla134[[#This Row],[SGP Libre destinación 20252]]+Tabla134[[#This Row],[SGP Alimentación escolar 20252]]+Tabla134[[#This Row],[SGP Municipios río Magdalena 20252]]+Tabla134[[#This Row],[SGP APSB 20252]]+Tabla134[[#This Row],[Crédito 20252]]+Tabla134[[#This Row],[Transferencias de capital - cofinanciación departamento 20252]]+Tabla134[[#This Row],[Transferencias de capital - cofinanciación nación 20252]]+Tabla134[[#This Row],[Otros 20252]]+Tabla134[[#This Row],[Recursos del Balance 2025]]</f>
        <v>7812383896.8900003</v>
      </c>
      <c r="AV29" s="212">
        <v>1540007604</v>
      </c>
      <c r="AW29" s="214">
        <v>1540007604</v>
      </c>
      <c r="AX29" s="143">
        <f>+Tabla134[[#This Row],[Total Recursos Comprometido 2025]]/Tabla134[[#This Row],[Total 2025]]</f>
        <v>0.78123838968900006</v>
      </c>
      <c r="AY29" s="144">
        <f>+Tabla134[[#This Row],[Total Recursos Obligados]]/Tabla134[[#This Row],[Total 2025]]</f>
        <v>0.15400076039999999</v>
      </c>
      <c r="AZ29" s="145">
        <f>+Tabla134[[#This Row],[Total Recursos Pagados]]/Tabla134[[#This Row],[Total 2025]]</f>
        <v>0.15400076039999999</v>
      </c>
      <c r="BA29" s="146"/>
      <c r="BB29" s="197" t="str">
        <f>IF(Tabla134[[#This Row],[Total Recursos Gestionados2]]=0,"_",IF(Tabla134[[#This Row],[Ejecución Recursos Comprometidos]]=0,100%,Tabla134[[#This Row],[Total Recursos Gestionados2]]/Tabla134[[#This Row],[Ejecución Recursos Comprometidos]]))</f>
        <v>_</v>
      </c>
      <c r="BC29" s="198" t="s">
        <v>271</v>
      </c>
      <c r="BD29" s="199" t="s">
        <v>270</v>
      </c>
      <c r="BE29" s="200">
        <v>11.13</v>
      </c>
      <c r="BF29" s="206"/>
    </row>
    <row r="30" spans="1:58" s="207" customFormat="1" ht="49.9" customHeight="1">
      <c r="A30" s="191">
        <v>51</v>
      </c>
      <c r="B30" s="191" t="s">
        <v>78</v>
      </c>
      <c r="C30" s="191" t="s">
        <v>64</v>
      </c>
      <c r="D30" s="191" t="s">
        <v>65</v>
      </c>
      <c r="E30" s="191" t="s">
        <v>95</v>
      </c>
      <c r="F30" s="191">
        <v>2102062</v>
      </c>
      <c r="G30" s="191" t="s">
        <v>97</v>
      </c>
      <c r="H30" s="202">
        <v>2024680010113</v>
      </c>
      <c r="I30" s="193" t="s">
        <v>247</v>
      </c>
      <c r="J30" s="194">
        <v>3000000000</v>
      </c>
      <c r="K30" s="194">
        <f>IFERROR(VLOOKUP(Tabla134[[#This Row],[Código BPIN]],#REF!,2,0),0)</f>
        <v>0</v>
      </c>
      <c r="L30" s="193"/>
      <c r="M30" s="193"/>
      <c r="N30" s="193"/>
      <c r="O30" s="195"/>
      <c r="P30" s="203">
        <f>IFERROR(VLOOKUP(Tabla134[[#This Row],[Código BPIN]],#REF!,5,0),0)</f>
        <v>0</v>
      </c>
      <c r="Q30" s="141"/>
      <c r="R30" s="141"/>
      <c r="S30" s="141"/>
      <c r="T30" s="141"/>
      <c r="U30" s="141">
        <f>IFERROR(VLOOKUP(Tabla134[[#This Row],[Código BPIN]],#REF!,6,0),0)</f>
        <v>0</v>
      </c>
      <c r="V30" s="141"/>
      <c r="W30" s="141"/>
      <c r="X30" s="141"/>
      <c r="Y30" s="141">
        <f>IFERROR(VLOOKUP(Tabla134[[#This Row],[Código BPIN]],#REF!,7,0),0)</f>
        <v>0</v>
      </c>
      <c r="Z30" s="141"/>
      <c r="AA30" s="141"/>
      <c r="AB30" s="141"/>
      <c r="AC30" s="141"/>
      <c r="AD30" s="141"/>
      <c r="AE30" s="196">
        <f>+Tabla134[[#This Row],[Recursos propios 2025]]+Tabla134[[#This Row],[SGP Educación 2025]]+Tabla134[[#This Row],[SGP Salud 2025]]+Tabla134[[#This Row],[SGP Deporte 2025]]+Tabla134[[#This Row],[SGP Cultura 2025]]+Tabla134[[#This Row],[SGP Libre inversión 2025]]+Tabla134[[#This Row],[SGP Libre destinación 2025]]+Tabla134[[#This Row],[SGP Alimentación escolar 2025]]+Tabla134[[#This Row],[SGP Municipios río Magdalena 2025]]+Tabla134[[#This Row],[SGP APSB 2025]]+Tabla134[[#This Row],[Crédito 2025]]+Tabla134[[#This Row],[Transferencias de capital - cofinanciación departamento 2025]]+Tabla134[[#This Row],[Transferencias de capital - cofinanciación nación 2025]]+Tabla134[[#This Row],[Otros 2025]]+Tabla134[[#This Row],[Recursos del Balance]]</f>
        <v>0</v>
      </c>
      <c r="AF30" s="142">
        <f>IFERROR(VLOOKUP(Tabla134[[#This Row],[Código BPIN]],#REF!,8,0),0)</f>
        <v>0</v>
      </c>
      <c r="AG30" s="141">
        <f>IFERROR(VLOOKUP(Tabla134[[#This Row],[Código BPIN]],#REF!,9,0),0)</f>
        <v>0</v>
      </c>
      <c r="AH30" s="141"/>
      <c r="AI30" s="141"/>
      <c r="AJ30" s="141"/>
      <c r="AK30" s="141">
        <f>IFERROR(VLOOKUP(Tabla134[[#This Row],[Código BPIN]],#REF!,9,0),0)</f>
        <v>0</v>
      </c>
      <c r="AL30" s="141"/>
      <c r="AM30" s="141"/>
      <c r="AN30" s="141"/>
      <c r="AO30" s="141">
        <f>IFERROR(VLOOKUP(Tabla134[[#This Row],[Código BPIN]],#REF!,10,0),0)</f>
        <v>0</v>
      </c>
      <c r="AP30" s="141"/>
      <c r="AQ30" s="141"/>
      <c r="AR30" s="141"/>
      <c r="AS30" s="141"/>
      <c r="AT30" s="141"/>
      <c r="AU30" s="141">
        <f>+Tabla134[[#This Row],[Recursos propios 20252]]+Tabla134[[#This Row],[SGP Educación 20252]]+Tabla134[[#This Row],[SGP Salud 20252]]+Tabla134[[#This Row],[SGP Deporte 20252]]+Tabla134[[#This Row],[SGP Cultura 20252]]+Tabla134[[#This Row],[SGP Libre inversión 20252]]+Tabla134[[#This Row],[SGP Libre destinación 20252]]+Tabla134[[#This Row],[SGP Alimentación escolar 20252]]+Tabla134[[#This Row],[SGP Municipios río Magdalena 20252]]+Tabla134[[#This Row],[SGP APSB 20252]]+Tabla134[[#This Row],[Crédito 20252]]+Tabla134[[#This Row],[Transferencias de capital - cofinanciación departamento 20252]]+Tabla134[[#This Row],[Transferencias de capital - cofinanciación nación 20252]]+Tabla134[[#This Row],[Otros 20252]]+Tabla134[[#This Row],[Recursos del Balance 2025]]</f>
        <v>0</v>
      </c>
      <c r="AV30" s="141">
        <f>SUM(Tabla134[[#This Row],[Recursos propios 20252]:[Recursos del Balance 2025]])</f>
        <v>0</v>
      </c>
      <c r="AW30" s="201">
        <f>IFERROR(VLOOKUP(Tabla134[[#This Row],[Código BPIN]],#REF!,5,0),0)</f>
        <v>0</v>
      </c>
      <c r="AX30" s="143" t="e">
        <f>+Tabla134[[#This Row],[Total Recursos Comprometido 2025]]/Tabla134[[#This Row],[Total 2025]]</f>
        <v>#DIV/0!</v>
      </c>
      <c r="AY30" s="144" t="e">
        <f>+Tabla134[[#This Row],[Total Recursos Obligados]]/Tabla134[[#This Row],[Total 2025]]</f>
        <v>#DIV/0!</v>
      </c>
      <c r="AZ30" s="145" t="e">
        <f>+Tabla134[[#This Row],[Total Recursos Pagados]]/Tabla134[[#This Row],[Total 2025]]</f>
        <v>#DIV/0!</v>
      </c>
      <c r="BA30" s="146"/>
      <c r="BB30" s="197" t="str">
        <f>IF(Tabla134[[#This Row],[Total Recursos Gestionados2]]=0,"_",IF(Tabla134[[#This Row],[Ejecución Recursos Comprometidos]]=0,100%,Tabla134[[#This Row],[Total Recursos Gestionados2]]/Tabla134[[#This Row],[Ejecución Recursos Comprometidos]]))</f>
        <v>_</v>
      </c>
      <c r="BC30" s="198" t="s">
        <v>271</v>
      </c>
      <c r="BD30" s="199" t="s">
        <v>270</v>
      </c>
      <c r="BE30" s="200">
        <v>7.11</v>
      </c>
      <c r="BF30" s="206"/>
    </row>
    <row r="31" spans="1:58" s="207" customFormat="1" ht="49.9" customHeight="1">
      <c r="A31" s="191">
        <v>57</v>
      </c>
      <c r="B31" s="191" t="s">
        <v>78</v>
      </c>
      <c r="C31" s="191" t="s">
        <v>79</v>
      </c>
      <c r="D31" s="191" t="s">
        <v>99</v>
      </c>
      <c r="E31" s="191" t="s">
        <v>100</v>
      </c>
      <c r="F31" s="191">
        <v>4003015</v>
      </c>
      <c r="G31" s="191" t="s">
        <v>102</v>
      </c>
      <c r="H31" s="202">
        <v>2024680010249</v>
      </c>
      <c r="I31" s="193" t="s">
        <v>248</v>
      </c>
      <c r="J31" s="194">
        <v>12183386530</v>
      </c>
      <c r="K31" s="194">
        <v>0</v>
      </c>
      <c r="L31" s="193"/>
      <c r="M31" s="193"/>
      <c r="N31" s="193"/>
      <c r="O31" s="195"/>
      <c r="P31" s="203">
        <v>0</v>
      </c>
      <c r="Q31" s="141"/>
      <c r="R31" s="141"/>
      <c r="S31" s="141"/>
      <c r="T31" s="141"/>
      <c r="U31" s="141">
        <f>IFERROR(VLOOKUP(Tabla134[[#This Row],[Código BPIN]],#REF!,6,0),0)</f>
        <v>0</v>
      </c>
      <c r="V31" s="141"/>
      <c r="W31" s="141"/>
      <c r="X31" s="141"/>
      <c r="Y31" s="141">
        <f>IFERROR(VLOOKUP(Tabla134[[#This Row],[Código BPIN]],#REF!,7,0),0)</f>
        <v>0</v>
      </c>
      <c r="Z31" s="141"/>
      <c r="AA31" s="141"/>
      <c r="AB31" s="141"/>
      <c r="AC31" s="141">
        <v>0</v>
      </c>
      <c r="AD31" s="141"/>
      <c r="AE31" s="196">
        <f>+Tabla134[[#This Row],[Recursos propios 2025]]+Tabla134[[#This Row],[SGP Educación 2025]]+Tabla134[[#This Row],[SGP Salud 2025]]+Tabla134[[#This Row],[SGP Deporte 2025]]+Tabla134[[#This Row],[SGP Cultura 2025]]+Tabla134[[#This Row],[SGP Libre inversión 2025]]+Tabla134[[#This Row],[SGP Libre destinación 2025]]+Tabla134[[#This Row],[SGP Alimentación escolar 2025]]+Tabla134[[#This Row],[SGP Municipios río Magdalena 2025]]+Tabla134[[#This Row],[SGP APSB 2025]]+Tabla134[[#This Row],[Crédito 2025]]+Tabla134[[#This Row],[Transferencias de capital - cofinanciación departamento 2025]]+Tabla134[[#This Row],[Transferencias de capital - cofinanciación nación 2025]]+Tabla134[[#This Row],[Otros 2025]]+Tabla134[[#This Row],[Recursos del Balance]]</f>
        <v>0</v>
      </c>
      <c r="AF31" s="142">
        <v>0</v>
      </c>
      <c r="AG31" s="141">
        <f>IFERROR(VLOOKUP(Tabla134[[#This Row],[Código BPIN]],#REF!,9,0),0)</f>
        <v>0</v>
      </c>
      <c r="AH31" s="141"/>
      <c r="AI31" s="141"/>
      <c r="AJ31" s="141"/>
      <c r="AK31" s="141">
        <f>IFERROR(VLOOKUP(Tabla134[[#This Row],[Código BPIN]],#REF!,9,0),0)</f>
        <v>0</v>
      </c>
      <c r="AL31" s="141"/>
      <c r="AM31" s="141"/>
      <c r="AN31" s="141"/>
      <c r="AO31" s="141">
        <f>IFERROR(VLOOKUP(Tabla134[[#This Row],[Código BPIN]],#REF!,10,0),0)</f>
        <v>0</v>
      </c>
      <c r="AP31" s="141"/>
      <c r="AQ31" s="141"/>
      <c r="AR31" s="141"/>
      <c r="AS31" s="141">
        <v>0</v>
      </c>
      <c r="AT31" s="141"/>
      <c r="AU31" s="141">
        <f>+Tabla134[[#This Row],[Recursos propios 20252]]+Tabla134[[#This Row],[SGP Educación 20252]]+Tabla134[[#This Row],[SGP Salud 20252]]+Tabla134[[#This Row],[SGP Deporte 20252]]+Tabla134[[#This Row],[SGP Cultura 20252]]+Tabla134[[#This Row],[SGP Libre inversión 20252]]+Tabla134[[#This Row],[SGP Libre destinación 20252]]+Tabla134[[#This Row],[SGP Alimentación escolar 20252]]+Tabla134[[#This Row],[SGP Municipios río Magdalena 20252]]+Tabla134[[#This Row],[SGP APSB 20252]]+Tabla134[[#This Row],[Crédito 20252]]+Tabla134[[#This Row],[Transferencias de capital - cofinanciación departamento 20252]]+Tabla134[[#This Row],[Transferencias de capital - cofinanciación nación 20252]]+Tabla134[[#This Row],[Otros 20252]]+Tabla134[[#This Row],[Recursos del Balance 2025]]</f>
        <v>0</v>
      </c>
      <c r="AV31" s="141">
        <v>0</v>
      </c>
      <c r="AW31" s="201">
        <v>0</v>
      </c>
      <c r="AX31" s="143" t="e">
        <f>+Tabla134[[#This Row],[Total Recursos Comprometido 2025]]/Tabla134[[#This Row],[Total 2025]]</f>
        <v>#DIV/0!</v>
      </c>
      <c r="AY31" s="144" t="e">
        <f>+Tabla134[[#This Row],[Total Recursos Obligados]]/Tabla134[[#This Row],[Total 2025]]</f>
        <v>#DIV/0!</v>
      </c>
      <c r="AZ31" s="145" t="e">
        <f>+Tabla134[[#This Row],[Total Recursos Pagados]]/Tabla134[[#This Row],[Total 2025]]</f>
        <v>#DIV/0!</v>
      </c>
      <c r="BA31" s="146"/>
      <c r="BB31" s="197" t="str">
        <f>IF(Tabla134[[#This Row],[Total Recursos Gestionados2]]=0,"_",IF(Tabla134[[#This Row],[Ejecución Recursos Comprometidos]]=0,100%,Tabla134[[#This Row],[Total Recursos Gestionados2]]/Tabla134[[#This Row],[Ejecución Recursos Comprometidos]]))</f>
        <v>_</v>
      </c>
      <c r="BC31" s="198" t="s">
        <v>271</v>
      </c>
      <c r="BD31" s="199" t="s">
        <v>270</v>
      </c>
      <c r="BE31" s="200">
        <v>6.11</v>
      </c>
      <c r="BF31" s="206"/>
    </row>
    <row r="32" spans="1:58" s="207" customFormat="1" ht="49.9" customHeight="1">
      <c r="A32" s="191">
        <v>58</v>
      </c>
      <c r="B32" s="191" t="s">
        <v>78</v>
      </c>
      <c r="C32" s="191" t="s">
        <v>79</v>
      </c>
      <c r="D32" s="191" t="s">
        <v>99</v>
      </c>
      <c r="E32" s="191" t="s">
        <v>100</v>
      </c>
      <c r="F32" s="191">
        <v>4003017</v>
      </c>
      <c r="G32" s="191" t="s">
        <v>105</v>
      </c>
      <c r="H32" s="202">
        <v>2022680010102</v>
      </c>
      <c r="I32" s="193" t="s">
        <v>249</v>
      </c>
      <c r="J32" s="194">
        <v>4827706284</v>
      </c>
      <c r="K32" s="194">
        <v>1237783964</v>
      </c>
      <c r="L32" s="193"/>
      <c r="M32" s="193"/>
      <c r="N32" s="193"/>
      <c r="O32" s="195"/>
      <c r="P32" s="194">
        <v>1200000000</v>
      </c>
      <c r="Q32" s="141"/>
      <c r="R32" s="141"/>
      <c r="S32" s="141"/>
      <c r="T32" s="141"/>
      <c r="U32" s="141">
        <f>IFERROR(VLOOKUP(Tabla134[[#This Row],[Código BPIN]],#REF!,6,0),0)</f>
        <v>0</v>
      </c>
      <c r="V32" s="141"/>
      <c r="W32" s="141"/>
      <c r="X32" s="141"/>
      <c r="Y32" s="141">
        <f>IFERROR(VLOOKUP(Tabla134[[#This Row],[Código BPIN]],#REF!,7,0),0)</f>
        <v>0</v>
      </c>
      <c r="Z32" s="141"/>
      <c r="AA32" s="141"/>
      <c r="AB32" s="203"/>
      <c r="AC32" s="203">
        <v>37783964</v>
      </c>
      <c r="AD32" s="141"/>
      <c r="AE32" s="194">
        <f>+Tabla134[[#This Row],[Recursos propios 2025]]+Tabla134[[#This Row],[SGP Educación 2025]]+Tabla134[[#This Row],[SGP Salud 2025]]+Tabla134[[#This Row],[SGP Deporte 2025]]+Tabla134[[#This Row],[SGP Cultura 2025]]+Tabla134[[#This Row],[SGP Libre inversión 2025]]+Tabla134[[#This Row],[SGP Libre destinación 2025]]+Tabla134[[#This Row],[SGP Alimentación escolar 2025]]+Tabla134[[#This Row],[SGP Municipios río Magdalena 2025]]+Tabla134[[#This Row],[SGP APSB 2025]]+Tabla134[[#This Row],[Crédito 2025]]+Tabla134[[#This Row],[Transferencias de capital - cofinanciación departamento 2025]]+Tabla134[[#This Row],[Transferencias de capital - cofinanciación nación 2025]]+Tabla134[[#This Row],[Otros 2025]]+Tabla134[[#This Row],[Recursos del Balance]]</f>
        <v>1237783964</v>
      </c>
      <c r="AF32" s="142">
        <f>IFERROR(VLOOKUP(Tabla134[[#This Row],[Código BPIN]],#REF!,8,0),0)</f>
        <v>0</v>
      </c>
      <c r="AG32" s="141">
        <f>IFERROR(VLOOKUP(Tabla134[[#This Row],[Código BPIN]],#REF!,9,0),0)</f>
        <v>0</v>
      </c>
      <c r="AH32" s="141"/>
      <c r="AI32" s="141"/>
      <c r="AJ32" s="141"/>
      <c r="AK32" s="141">
        <f>IFERROR(VLOOKUP(Tabla134[[#This Row],[Código BPIN]],#REF!,9,0),0)</f>
        <v>0</v>
      </c>
      <c r="AL32" s="141"/>
      <c r="AM32" s="141"/>
      <c r="AN32" s="141"/>
      <c r="AO32" s="141">
        <f>IFERROR(VLOOKUP(Tabla134[[#This Row],[Código BPIN]],#REF!,10,0),0)</f>
        <v>0</v>
      </c>
      <c r="AP32" s="141"/>
      <c r="AQ32" s="141"/>
      <c r="AR32" s="141"/>
      <c r="AS32" s="141"/>
      <c r="AT32" s="141"/>
      <c r="AU32" s="141">
        <f>+Tabla134[[#This Row],[Recursos propios 20252]]+Tabla134[[#This Row],[SGP Educación 20252]]+Tabla134[[#This Row],[SGP Salud 20252]]+Tabla134[[#This Row],[SGP Deporte 20252]]+Tabla134[[#This Row],[SGP Cultura 20252]]+Tabla134[[#This Row],[SGP Libre inversión 20252]]+Tabla134[[#This Row],[SGP Libre destinación 20252]]+Tabla134[[#This Row],[SGP Alimentación escolar 20252]]+Tabla134[[#This Row],[SGP Municipios río Magdalena 20252]]+Tabla134[[#This Row],[SGP APSB 20252]]+Tabla134[[#This Row],[Crédito 20252]]+Tabla134[[#This Row],[Transferencias de capital - cofinanciación departamento 20252]]+Tabla134[[#This Row],[Transferencias de capital - cofinanciación nación 20252]]+Tabla134[[#This Row],[Otros 20252]]+Tabla134[[#This Row],[Recursos del Balance 2025]]</f>
        <v>0</v>
      </c>
      <c r="AV32" s="141">
        <f>SUM(Tabla134[[#This Row],[Recursos propios 20252]:[Recursos del Balance 2025]])</f>
        <v>0</v>
      </c>
      <c r="AW32" s="201">
        <f>IFERROR(VLOOKUP(Tabla134[[#This Row],[Código BPIN]],#REF!,5,0),0)</f>
        <v>0</v>
      </c>
      <c r="AX32" s="143">
        <f>+Tabla134[[#This Row],[Total Recursos Comprometido 2025]]/Tabla134[[#This Row],[Total 2025]]</f>
        <v>0</v>
      </c>
      <c r="AY32" s="144">
        <f>+Tabla134[[#This Row],[Total Recursos Obligados]]/Tabla134[[#This Row],[Total 2025]]</f>
        <v>0</v>
      </c>
      <c r="AZ32" s="145">
        <f>+Tabla134[[#This Row],[Total Recursos Pagados]]/Tabla134[[#This Row],[Total 2025]]</f>
        <v>0</v>
      </c>
      <c r="BA32" s="146"/>
      <c r="BB32" s="197" t="str">
        <f>IF(Tabla134[[#This Row],[Total Recursos Gestionados2]]=0,"_",IF(Tabla134[[#This Row],[Ejecución Recursos Comprometidos]]=0,100%,Tabla134[[#This Row],[Total Recursos Gestionados2]]/Tabla134[[#This Row],[Ejecución Recursos Comprometidos]]))</f>
        <v>_</v>
      </c>
      <c r="BC32" s="198" t="s">
        <v>271</v>
      </c>
      <c r="BD32" s="199" t="s">
        <v>270</v>
      </c>
      <c r="BE32" s="200">
        <v>6.11</v>
      </c>
      <c r="BF32" s="206"/>
    </row>
    <row r="33" spans="1:58" s="207" customFormat="1" ht="49.9" customHeight="1">
      <c r="A33" s="191">
        <v>59</v>
      </c>
      <c r="B33" s="191" t="s">
        <v>78</v>
      </c>
      <c r="C33" s="191" t="s">
        <v>79</v>
      </c>
      <c r="D33" s="191" t="s">
        <v>99</v>
      </c>
      <c r="E33" s="191" t="s">
        <v>100</v>
      </c>
      <c r="F33" s="191">
        <v>4003020</v>
      </c>
      <c r="G33" s="191" t="s">
        <v>108</v>
      </c>
      <c r="H33" s="202">
        <v>202500000032353</v>
      </c>
      <c r="I33" s="193" t="s">
        <v>334</v>
      </c>
      <c r="J33" s="194">
        <v>1712597945.78</v>
      </c>
      <c r="K33" s="194">
        <v>1712597945.78</v>
      </c>
      <c r="L33" s="193"/>
      <c r="M33" s="193"/>
      <c r="N33" s="193"/>
      <c r="O33" s="195"/>
      <c r="P33" s="203">
        <f>IFERROR(VLOOKUP(Tabla134[[#This Row],[Código BPIN]],#REF!,5,0),0)</f>
        <v>0</v>
      </c>
      <c r="Q33" s="141"/>
      <c r="R33" s="141"/>
      <c r="S33" s="141"/>
      <c r="T33" s="141"/>
      <c r="U33" s="141">
        <f>IFERROR(VLOOKUP(Tabla134[[#This Row],[Código BPIN]],#REF!,6,0),0)</f>
        <v>0</v>
      </c>
      <c r="V33" s="141"/>
      <c r="W33" s="141"/>
      <c r="X33" s="141"/>
      <c r="Y33" s="230">
        <v>616315808.34000003</v>
      </c>
      <c r="Z33" s="141"/>
      <c r="AA33" s="141"/>
      <c r="AB33" s="141"/>
      <c r="AC33" s="141"/>
      <c r="AD33" s="141"/>
      <c r="AE33" s="194">
        <f>+Tabla134[[#This Row],[Recursos propios 2025]]+Tabla134[[#This Row],[SGP Educación 2025]]+Tabla134[[#This Row],[SGP Salud 2025]]+Tabla134[[#This Row],[SGP Deporte 2025]]+Tabla134[[#This Row],[SGP Cultura 2025]]+Tabla134[[#This Row],[SGP Libre inversión 2025]]+Tabla134[[#This Row],[SGP Libre destinación 2025]]+Tabla134[[#This Row],[SGP Alimentación escolar 2025]]+Tabla134[[#This Row],[SGP Municipios río Magdalena 2025]]+Tabla134[[#This Row],[SGP APSB 2025]]+Tabla134[[#This Row],[Crédito 2025]]+Tabla134[[#This Row],[Transferencias de capital - cofinanciación departamento 2025]]+Tabla134[[#This Row],[Transferencias de capital - cofinanciación nación 2025]]+Tabla134[[#This Row],[Otros 2025]]+Tabla134[[#This Row],[Recursos del Balance]]</f>
        <v>616315808.34000003</v>
      </c>
      <c r="AF33" s="142">
        <f>IFERROR(VLOOKUP(Tabla134[[#This Row],[Código BPIN]],#REF!,8,0),0)</f>
        <v>0</v>
      </c>
      <c r="AG33" s="141">
        <f>IFERROR(VLOOKUP(Tabla134[[#This Row],[Código BPIN]],#REF!,9,0),0)</f>
        <v>0</v>
      </c>
      <c r="AH33" s="141"/>
      <c r="AI33" s="141"/>
      <c r="AJ33" s="141"/>
      <c r="AK33" s="141">
        <f>IFERROR(VLOOKUP(Tabla134[[#This Row],[Código BPIN]],#REF!,9,0),0)</f>
        <v>0</v>
      </c>
      <c r="AL33" s="141"/>
      <c r="AM33" s="141"/>
      <c r="AN33" s="141"/>
      <c r="AO33" s="141">
        <f>IFERROR(VLOOKUP(Tabla134[[#This Row],[Código BPIN]],#REF!,10,0),0)</f>
        <v>0</v>
      </c>
      <c r="AP33" s="141"/>
      <c r="AQ33" s="141"/>
      <c r="AR33" s="141"/>
      <c r="AS33" s="141"/>
      <c r="AT33" s="141"/>
      <c r="AU33" s="141">
        <f>+Tabla134[[#This Row],[Recursos propios 20252]]+Tabla134[[#This Row],[SGP Educación 20252]]+Tabla134[[#This Row],[SGP Salud 20252]]+Tabla134[[#This Row],[SGP Deporte 20252]]+Tabla134[[#This Row],[SGP Cultura 20252]]+Tabla134[[#This Row],[SGP Libre inversión 20252]]+Tabla134[[#This Row],[SGP Libre destinación 20252]]+Tabla134[[#This Row],[SGP Alimentación escolar 20252]]+Tabla134[[#This Row],[SGP Municipios río Magdalena 20252]]+Tabla134[[#This Row],[SGP APSB 20252]]+Tabla134[[#This Row],[Crédito 20252]]+Tabla134[[#This Row],[Transferencias de capital - cofinanciación departamento 20252]]+Tabla134[[#This Row],[Transferencias de capital - cofinanciación nación 20252]]+Tabla134[[#This Row],[Otros 20252]]+Tabla134[[#This Row],[Recursos del Balance 2025]]</f>
        <v>0</v>
      </c>
      <c r="AV33" s="141">
        <v>0</v>
      </c>
      <c r="AW33" s="201">
        <v>0</v>
      </c>
      <c r="AX33" s="143">
        <f>+Tabla134[[#This Row],[Total Recursos Comprometido 2025]]/Tabla134[[#This Row],[Total 2025]]</f>
        <v>0</v>
      </c>
      <c r="AY33" s="144">
        <f>+Tabla134[[#This Row],[Total Recursos Obligados]]/Tabla134[[#This Row],[Total 2025]]</f>
        <v>0</v>
      </c>
      <c r="AZ33" s="145">
        <f>+Tabla134[[#This Row],[Total Recursos Pagados]]/Tabla134[[#This Row],[Total 2025]]</f>
        <v>0</v>
      </c>
      <c r="BA33" s="146"/>
      <c r="BB33" s="197" t="str">
        <f>IF(Tabla134[[#This Row],[Total Recursos Gestionados2]]=0,"_",IF(Tabla134[[#This Row],[Ejecución Recursos Comprometidos]]=0,100%,Tabla134[[#This Row],[Total Recursos Gestionados2]]/Tabla134[[#This Row],[Ejecución Recursos Comprometidos]]))</f>
        <v>_</v>
      </c>
      <c r="BC33" s="198" t="s">
        <v>271</v>
      </c>
      <c r="BD33" s="199" t="s">
        <v>270</v>
      </c>
      <c r="BE33" s="200">
        <v>611</v>
      </c>
      <c r="BF33" s="206"/>
    </row>
    <row r="34" spans="1:58" s="229" customFormat="1" ht="49.9" customHeight="1">
      <c r="A34" s="191">
        <v>60</v>
      </c>
      <c r="B34" s="191" t="s">
        <v>78</v>
      </c>
      <c r="C34" s="191" t="s">
        <v>79</v>
      </c>
      <c r="D34" s="191" t="s">
        <v>99</v>
      </c>
      <c r="E34" s="191" t="s">
        <v>100</v>
      </c>
      <c r="F34" s="191">
        <v>4003044</v>
      </c>
      <c r="G34" s="191" t="s">
        <v>111</v>
      </c>
      <c r="H34" s="202">
        <v>2024680010215</v>
      </c>
      <c r="I34" s="193" t="s">
        <v>250</v>
      </c>
      <c r="J34" s="194">
        <v>2316613470</v>
      </c>
      <c r="K34" s="194">
        <v>463322694</v>
      </c>
      <c r="L34" s="193"/>
      <c r="M34" s="193"/>
      <c r="N34" s="193"/>
      <c r="O34" s="195"/>
      <c r="P34" s="203">
        <f>IFERROR(VLOOKUP(Tabla134[[#This Row],[Código BPIN]],#REF!,5,0),0)</f>
        <v>0</v>
      </c>
      <c r="Q34" s="141"/>
      <c r="R34" s="141"/>
      <c r="S34" s="141"/>
      <c r="T34" s="141"/>
      <c r="U34" s="141">
        <f>IFERROR(VLOOKUP(Tabla134[[#This Row],[Código BPIN]],#REF!,6,0),0)</f>
        <v>0</v>
      </c>
      <c r="V34" s="141"/>
      <c r="W34" s="141"/>
      <c r="X34" s="141"/>
      <c r="Y34" s="141">
        <f>IFERROR(VLOOKUP(Tabla134[[#This Row],[Código BPIN]],#REF!,7,0),0)</f>
        <v>0</v>
      </c>
      <c r="Z34" s="141"/>
      <c r="AA34" s="141"/>
      <c r="AB34" s="141"/>
      <c r="AC34" s="194">
        <v>463322694</v>
      </c>
      <c r="AD34" s="141"/>
      <c r="AE34" s="194">
        <f>+Tabla134[[#This Row],[Recursos propios 2025]]+Tabla134[[#This Row],[SGP Educación 2025]]+Tabla134[[#This Row],[SGP Salud 2025]]+Tabla134[[#This Row],[SGP Deporte 2025]]+Tabla134[[#This Row],[SGP Cultura 2025]]+Tabla134[[#This Row],[SGP Libre inversión 2025]]+Tabla134[[#This Row],[SGP Libre destinación 2025]]+Tabla134[[#This Row],[SGP Alimentación escolar 2025]]+Tabla134[[#This Row],[SGP Municipios río Magdalena 2025]]+Tabla134[[#This Row],[SGP APSB 2025]]+Tabla134[[#This Row],[Crédito 2025]]+Tabla134[[#This Row],[Transferencias de capital - cofinanciación departamento 2025]]+Tabla134[[#This Row],[Transferencias de capital - cofinanciación nación 2025]]+Tabla134[[#This Row],[Otros 2025]]+Tabla134[[#This Row],[Recursos del Balance]]</f>
        <v>463322694</v>
      </c>
      <c r="AF34" s="142">
        <f>IFERROR(VLOOKUP(Tabla134[[#This Row],[Código BPIN]],#REF!,8,0),0)</f>
        <v>0</v>
      </c>
      <c r="AG34" s="141">
        <f>IFERROR(VLOOKUP(Tabla134[[#This Row],[Código BPIN]],#REF!,9,0),0)</f>
        <v>0</v>
      </c>
      <c r="AH34" s="141"/>
      <c r="AI34" s="141"/>
      <c r="AJ34" s="141"/>
      <c r="AK34" s="141">
        <f>IFERROR(VLOOKUP(Tabla134[[#This Row],[Código BPIN]],#REF!,9,0),0)</f>
        <v>0</v>
      </c>
      <c r="AL34" s="141"/>
      <c r="AM34" s="141"/>
      <c r="AN34" s="141"/>
      <c r="AO34" s="141">
        <f>IFERROR(VLOOKUP(Tabla134[[#This Row],[Código BPIN]],#REF!,10,0),0)</f>
        <v>0</v>
      </c>
      <c r="AP34" s="141"/>
      <c r="AQ34" s="141"/>
      <c r="AR34" s="141"/>
      <c r="AS34" s="141"/>
      <c r="AT34" s="141"/>
      <c r="AU34" s="141">
        <f>+Tabla134[[#This Row],[Recursos propios 20252]]+Tabla134[[#This Row],[SGP Educación 20252]]+Tabla134[[#This Row],[SGP Salud 20252]]+Tabla134[[#This Row],[SGP Deporte 20252]]+Tabla134[[#This Row],[SGP Cultura 20252]]+Tabla134[[#This Row],[SGP Libre inversión 20252]]+Tabla134[[#This Row],[SGP Libre destinación 20252]]+Tabla134[[#This Row],[SGP Alimentación escolar 20252]]+Tabla134[[#This Row],[SGP Municipios río Magdalena 20252]]+Tabla134[[#This Row],[SGP APSB 20252]]+Tabla134[[#This Row],[Crédito 20252]]+Tabla134[[#This Row],[Transferencias de capital - cofinanciación departamento 20252]]+Tabla134[[#This Row],[Transferencias de capital - cofinanciación nación 20252]]+Tabla134[[#This Row],[Otros 20252]]+Tabla134[[#This Row],[Recursos del Balance 2025]]</f>
        <v>0</v>
      </c>
      <c r="AV34" s="141">
        <f>SUM(Tabla134[[#This Row],[Recursos propios 20252]:[Recursos del Balance 2025]])</f>
        <v>0</v>
      </c>
      <c r="AW34" s="201">
        <f>IFERROR(VLOOKUP(Tabla134[[#This Row],[Código BPIN]],#REF!,5,0),0)</f>
        <v>0</v>
      </c>
      <c r="AX34" s="143">
        <f>+Tabla134[[#This Row],[Total Recursos Comprometido 2025]]/Tabla134[[#This Row],[Total 2025]]</f>
        <v>0</v>
      </c>
      <c r="AY34" s="144">
        <f>+Tabla134[[#This Row],[Total Recursos Obligados]]/Tabla134[[#This Row],[Total 2025]]</f>
        <v>0</v>
      </c>
      <c r="AZ34" s="145">
        <f>+Tabla134[[#This Row],[Total Recursos Pagados]]/Tabla134[[#This Row],[Total 2025]]</f>
        <v>0</v>
      </c>
      <c r="BA34" s="146"/>
      <c r="BB34" s="197" t="str">
        <f>IF(Tabla134[[#This Row],[Total Recursos Gestionados2]]=0,"_",IF(Tabla134[[#This Row],[Ejecución Recursos Comprometidos]]=0,100%,Tabla134[[#This Row],[Total Recursos Gestionados2]]/Tabla134[[#This Row],[Ejecución Recursos Comprometidos]]))</f>
        <v>_</v>
      </c>
      <c r="BC34" s="198" t="s">
        <v>271</v>
      </c>
      <c r="BD34" s="199" t="s">
        <v>270</v>
      </c>
      <c r="BE34" s="200">
        <v>6.11</v>
      </c>
      <c r="BF34" s="206"/>
    </row>
    <row r="35" spans="1:58" s="229" customFormat="1" ht="49.9" customHeight="1">
      <c r="A35" s="191">
        <v>62</v>
      </c>
      <c r="B35" s="204" t="s">
        <v>78</v>
      </c>
      <c r="C35" s="204" t="s">
        <v>79</v>
      </c>
      <c r="D35" s="204" t="s">
        <v>80</v>
      </c>
      <c r="E35" s="204" t="s">
        <v>81</v>
      </c>
      <c r="F35" s="204" t="s">
        <v>82</v>
      </c>
      <c r="G35" s="204" t="s">
        <v>113</v>
      </c>
      <c r="H35" s="202">
        <v>202500000029636</v>
      </c>
      <c r="I35" s="193" t="s">
        <v>342</v>
      </c>
      <c r="J35" s="194">
        <v>928242332</v>
      </c>
      <c r="K35" s="194">
        <v>928242332</v>
      </c>
      <c r="L35" s="193"/>
      <c r="M35" s="193"/>
      <c r="N35" s="193"/>
      <c r="O35" s="195"/>
      <c r="P35" s="203">
        <v>356129280.97000003</v>
      </c>
      <c r="Q35" s="141"/>
      <c r="R35" s="141"/>
      <c r="S35" s="141"/>
      <c r="T35" s="141"/>
      <c r="U35" s="141">
        <f>IFERROR(VLOOKUP(Tabla134[[#This Row],[Código BPIN]],#REF!,6,0),0)</f>
        <v>0</v>
      </c>
      <c r="V35" s="141"/>
      <c r="W35" s="141"/>
      <c r="X35" s="141"/>
      <c r="Y35" s="141">
        <f>IFERROR(VLOOKUP(Tabla134[[#This Row],[Código BPIN]],#REF!,7,0),0)</f>
        <v>0</v>
      </c>
      <c r="Z35" s="141"/>
      <c r="AA35" s="141"/>
      <c r="AB35" s="141"/>
      <c r="AC35" s="194">
        <v>572113051.02999997</v>
      </c>
      <c r="AD35" s="141"/>
      <c r="AE35" s="194">
        <f>+Tabla134[[#This Row],[Recursos propios 2025]]+Tabla134[[#This Row],[SGP Educación 2025]]+Tabla134[[#This Row],[SGP Salud 2025]]+Tabla134[[#This Row],[SGP Deporte 2025]]+Tabla134[[#This Row],[SGP Cultura 2025]]+Tabla134[[#This Row],[SGP Libre inversión 2025]]+Tabla134[[#This Row],[SGP Libre destinación 2025]]+Tabla134[[#This Row],[SGP Alimentación escolar 2025]]+Tabla134[[#This Row],[SGP Municipios río Magdalena 2025]]+Tabla134[[#This Row],[SGP APSB 2025]]+Tabla134[[#This Row],[Crédito 2025]]+Tabla134[[#This Row],[Transferencias de capital - cofinanciación departamento 2025]]+Tabla134[[#This Row],[Transferencias de capital - cofinanciación nación 2025]]+Tabla134[[#This Row],[Otros 2025]]+Tabla134[[#This Row],[Recursos del Balance]]</f>
        <v>928242332</v>
      </c>
      <c r="AF35" s="142">
        <f>IFERROR(VLOOKUP(Tabla134[[#This Row],[Código BPIN]],#REF!,8,0),0)</f>
        <v>0</v>
      </c>
      <c r="AG35" s="141">
        <f>IFERROR(VLOOKUP(Tabla134[[#This Row],[Código BPIN]],#REF!,9,0),0)</f>
        <v>0</v>
      </c>
      <c r="AH35" s="141"/>
      <c r="AI35" s="141"/>
      <c r="AJ35" s="141"/>
      <c r="AK35" s="141">
        <f>IFERROR(VLOOKUP(Tabla134[[#This Row],[Código BPIN]],#REF!,9,0),0)</f>
        <v>0</v>
      </c>
      <c r="AL35" s="141"/>
      <c r="AM35" s="141"/>
      <c r="AN35" s="141"/>
      <c r="AO35" s="141">
        <f>IFERROR(VLOOKUP(Tabla134[[#This Row],[Código BPIN]],#REF!,10,0),0)</f>
        <v>0</v>
      </c>
      <c r="AP35" s="141"/>
      <c r="AQ35" s="141"/>
      <c r="AR35" s="141"/>
      <c r="AS35" s="141"/>
      <c r="AT35" s="141"/>
      <c r="AU35" s="141">
        <f>+Tabla134[[#This Row],[Recursos propios 20252]]+Tabla134[[#This Row],[SGP Educación 20252]]+Tabla134[[#This Row],[SGP Salud 20252]]+Tabla134[[#This Row],[SGP Deporte 20252]]+Tabla134[[#This Row],[SGP Cultura 20252]]+Tabla134[[#This Row],[SGP Libre inversión 20252]]+Tabla134[[#This Row],[SGP Libre destinación 20252]]+Tabla134[[#This Row],[SGP Alimentación escolar 20252]]+Tabla134[[#This Row],[SGP Municipios río Magdalena 20252]]+Tabla134[[#This Row],[SGP APSB 20252]]+Tabla134[[#This Row],[Crédito 20252]]+Tabla134[[#This Row],[Transferencias de capital - cofinanciación departamento 20252]]+Tabla134[[#This Row],[Transferencias de capital - cofinanciación nación 20252]]+Tabla134[[#This Row],[Otros 20252]]+Tabla134[[#This Row],[Recursos del Balance 2025]]</f>
        <v>0</v>
      </c>
      <c r="AV35" s="141">
        <f>SUM(Tabla134[[#This Row],[Recursos propios 20252]:[Recursos del Balance 2025]])</f>
        <v>0</v>
      </c>
      <c r="AW35" s="201">
        <f>IFERROR(VLOOKUP(Tabla134[[#This Row],[Código BPIN]],#REF!,5,0),0)</f>
        <v>0</v>
      </c>
      <c r="AX35" s="143">
        <f>+Tabla134[[#This Row],[Total Recursos Comprometido 2025]]/Tabla134[[#This Row],[Total 2025]]</f>
        <v>0</v>
      </c>
      <c r="AY35" s="144">
        <f>+Tabla134[[#This Row],[Total Recursos Obligados]]/Tabla134[[#This Row],[Total 2025]]</f>
        <v>0</v>
      </c>
      <c r="AZ35" s="145">
        <f>+Tabla134[[#This Row],[Total Recursos Pagados]]/Tabla134[[#This Row],[Total 2025]]</f>
        <v>0</v>
      </c>
      <c r="BA35" s="146"/>
      <c r="BB35" s="197" t="str">
        <f>IF(Tabla134[[#This Row],[Total Recursos Gestionados2]]=0,"_",IF(Tabla134[[#This Row],[Ejecución Recursos Comprometidos]]=0,100%,Tabla134[[#This Row],[Total Recursos Gestionados2]]/Tabla134[[#This Row],[Ejecución Recursos Comprometidos]]))</f>
        <v>_</v>
      </c>
      <c r="BC35" s="198"/>
      <c r="BD35" s="199"/>
      <c r="BE35" s="200"/>
      <c r="BF35" s="206"/>
    </row>
    <row r="36" spans="1:58" s="229" customFormat="1" ht="49.9" customHeight="1">
      <c r="A36" s="191">
        <v>47</v>
      </c>
      <c r="B36" s="191" t="s">
        <v>78</v>
      </c>
      <c r="C36" s="191" t="s">
        <v>79</v>
      </c>
      <c r="D36" s="191" t="s">
        <v>80</v>
      </c>
      <c r="E36" s="191" t="s">
        <v>81</v>
      </c>
      <c r="F36" s="191">
        <v>4002020</v>
      </c>
      <c r="G36" s="191" t="s">
        <v>113</v>
      </c>
      <c r="H36" s="202">
        <v>202500000028349</v>
      </c>
      <c r="I36" s="205" t="s">
        <v>335</v>
      </c>
      <c r="J36" s="194">
        <v>623428953</v>
      </c>
      <c r="K36" s="194">
        <v>623428953</v>
      </c>
      <c r="L36" s="193"/>
      <c r="M36" s="193"/>
      <c r="N36" s="193"/>
      <c r="O36" s="195"/>
      <c r="P36" s="203">
        <v>623428953</v>
      </c>
      <c r="Q36" s="141"/>
      <c r="R36" s="141"/>
      <c r="S36" s="141"/>
      <c r="T36" s="141"/>
      <c r="U36" s="141">
        <f>IFERROR(VLOOKUP(Tabla134[[#This Row],[Código BPIN]],#REF!,6,0),0)</f>
        <v>0</v>
      </c>
      <c r="V36" s="141"/>
      <c r="W36" s="141"/>
      <c r="X36" s="141"/>
      <c r="Y36" s="141">
        <f>IFERROR(VLOOKUP(Tabla134[[#This Row],[Código BPIN]],#REF!,7,0),0)</f>
        <v>0</v>
      </c>
      <c r="Z36" s="141"/>
      <c r="AA36" s="141"/>
      <c r="AB36" s="141"/>
      <c r="AC36" s="141"/>
      <c r="AD36" s="141"/>
      <c r="AE36" s="194">
        <f>+Tabla134[[#This Row],[Recursos propios 2025]]+Tabla134[[#This Row],[SGP Educación 2025]]+Tabla134[[#This Row],[SGP Salud 2025]]+Tabla134[[#This Row],[SGP Deporte 2025]]+Tabla134[[#This Row],[SGP Cultura 2025]]+Tabla134[[#This Row],[SGP Libre inversión 2025]]+Tabla134[[#This Row],[SGP Libre destinación 2025]]+Tabla134[[#This Row],[SGP Alimentación escolar 2025]]+Tabla134[[#This Row],[SGP Municipios río Magdalena 2025]]+Tabla134[[#This Row],[SGP APSB 2025]]+Tabla134[[#This Row],[Crédito 2025]]+Tabla134[[#This Row],[Transferencias de capital - cofinanciación departamento 2025]]+Tabla134[[#This Row],[Transferencias de capital - cofinanciación nación 2025]]+Tabla134[[#This Row],[Otros 2025]]+Tabla134[[#This Row],[Recursos del Balance]]</f>
        <v>623428953</v>
      </c>
      <c r="AF36" s="142">
        <f>IFERROR(VLOOKUP(Tabla134[[#This Row],[Código BPIN]],#REF!,8,0),0)</f>
        <v>0</v>
      </c>
      <c r="AG36" s="141">
        <f>IFERROR(VLOOKUP(Tabla134[[#This Row],[Código BPIN]],#REF!,9,0),0)</f>
        <v>0</v>
      </c>
      <c r="AH36" s="141"/>
      <c r="AI36" s="141"/>
      <c r="AJ36" s="141"/>
      <c r="AK36" s="141">
        <f>IFERROR(VLOOKUP(Tabla134[[#This Row],[Código BPIN]],#REF!,9,0),0)</f>
        <v>0</v>
      </c>
      <c r="AL36" s="141"/>
      <c r="AM36" s="141"/>
      <c r="AN36" s="141"/>
      <c r="AO36" s="141">
        <f>IFERROR(VLOOKUP(Tabla134[[#This Row],[Código BPIN]],#REF!,10,0),0)</f>
        <v>0</v>
      </c>
      <c r="AP36" s="141"/>
      <c r="AQ36" s="141"/>
      <c r="AR36" s="141"/>
      <c r="AS36" s="141"/>
      <c r="AT36" s="141"/>
      <c r="AU36" s="141">
        <f>+Tabla134[[#This Row],[Recursos propios 20252]]+Tabla134[[#This Row],[SGP Educación 20252]]+Tabla134[[#This Row],[SGP Salud 20252]]+Tabla134[[#This Row],[SGP Deporte 20252]]+Tabla134[[#This Row],[SGP Cultura 20252]]+Tabla134[[#This Row],[SGP Libre inversión 20252]]+Tabla134[[#This Row],[SGP Libre destinación 20252]]+Tabla134[[#This Row],[SGP Alimentación escolar 20252]]+Tabla134[[#This Row],[SGP Municipios río Magdalena 20252]]+Tabla134[[#This Row],[SGP APSB 20252]]+Tabla134[[#This Row],[Crédito 20252]]+Tabla134[[#This Row],[Transferencias de capital - cofinanciación departamento 20252]]+Tabla134[[#This Row],[Transferencias de capital - cofinanciación nación 20252]]+Tabla134[[#This Row],[Otros 20252]]+Tabla134[[#This Row],[Recursos del Balance 2025]]</f>
        <v>0</v>
      </c>
      <c r="AV36" s="141">
        <f>SUM(Tabla134[[#This Row],[Recursos propios 20252]:[Recursos del Balance 2025]])</f>
        <v>0</v>
      </c>
      <c r="AW36" s="201">
        <f>IFERROR(VLOOKUP(Tabla134[[#This Row],[Código BPIN]],#REF!,5,0),0)</f>
        <v>0</v>
      </c>
      <c r="AX36" s="143">
        <f>+Tabla134[[#This Row],[Total Recursos Comprometido 2025]]/Tabla134[[#This Row],[Total 2025]]</f>
        <v>0</v>
      </c>
      <c r="AY36" s="144">
        <f>+Tabla134[[#This Row],[Total Recursos Obligados]]/Tabla134[[#This Row],[Total 2025]]</f>
        <v>0</v>
      </c>
      <c r="AZ36" s="145">
        <f>+Tabla134[[#This Row],[Total Recursos Pagados]]/Tabla134[[#This Row],[Total 2025]]</f>
        <v>0</v>
      </c>
      <c r="BA36" s="146"/>
      <c r="BB36" s="197" t="str">
        <f>IF(Tabla134[[#This Row],[Total Recursos Gestionados2]]=0,"_",IF(Tabla134[[#This Row],[Ejecución Recursos Comprometidos]]=0,100%,Tabla134[[#This Row],[Total Recursos Gestionados2]]/Tabla134[[#This Row],[Ejecución Recursos Comprometidos]]))</f>
        <v>_</v>
      </c>
      <c r="BC36" s="198"/>
      <c r="BD36" s="199"/>
      <c r="BE36" s="200"/>
      <c r="BF36" s="206"/>
    </row>
    <row r="37" spans="1:58" s="229" customFormat="1" ht="49.9" customHeight="1">
      <c r="A37" s="191">
        <v>93</v>
      </c>
      <c r="B37" s="191" t="s">
        <v>114</v>
      </c>
      <c r="C37" s="191" t="s">
        <v>115</v>
      </c>
      <c r="D37" s="191" t="s">
        <v>116</v>
      </c>
      <c r="E37" s="191" t="s">
        <v>117</v>
      </c>
      <c r="F37" s="191">
        <v>1709078</v>
      </c>
      <c r="G37" s="191" t="s">
        <v>119</v>
      </c>
      <c r="H37" s="202"/>
      <c r="I37" s="231" t="s">
        <v>336</v>
      </c>
      <c r="J37" s="194"/>
      <c r="K37" s="194">
        <f>IFERROR(VLOOKUP(Tabla134[[#This Row],[Código BPIN]],#REF!,2,0),0)</f>
        <v>0</v>
      </c>
      <c r="L37" s="193"/>
      <c r="M37" s="193"/>
      <c r="N37" s="193"/>
      <c r="O37" s="195"/>
      <c r="P37" s="203">
        <f>IFERROR(VLOOKUP(Tabla134[[#This Row],[Código BPIN]],#REF!,5,0),0)</f>
        <v>0</v>
      </c>
      <c r="Q37" s="141"/>
      <c r="R37" s="141"/>
      <c r="S37" s="141"/>
      <c r="T37" s="141"/>
      <c r="U37" s="141">
        <f>IFERROR(VLOOKUP(Tabla134[[#This Row],[Código BPIN]],#REF!,6,0),0)</f>
        <v>0</v>
      </c>
      <c r="V37" s="141"/>
      <c r="W37" s="141"/>
      <c r="X37" s="141"/>
      <c r="Y37" s="141">
        <f>IFERROR(VLOOKUP(Tabla134[[#This Row],[Código BPIN]],#REF!,7,0),0)</f>
        <v>0</v>
      </c>
      <c r="Z37" s="141"/>
      <c r="AA37" s="141"/>
      <c r="AB37" s="141"/>
      <c r="AC37" s="141"/>
      <c r="AD37" s="141"/>
      <c r="AE37" s="196">
        <f>+Tabla134[[#This Row],[Recursos propios 2025]]+Tabla134[[#This Row],[SGP Educación 2025]]+Tabla134[[#This Row],[SGP Salud 2025]]+Tabla134[[#This Row],[SGP Deporte 2025]]+Tabla134[[#This Row],[SGP Cultura 2025]]+Tabla134[[#This Row],[SGP Libre inversión 2025]]+Tabla134[[#This Row],[SGP Libre destinación 2025]]+Tabla134[[#This Row],[SGP Alimentación escolar 2025]]+Tabla134[[#This Row],[SGP Municipios río Magdalena 2025]]+Tabla134[[#This Row],[SGP APSB 2025]]+Tabla134[[#This Row],[Crédito 2025]]+Tabla134[[#This Row],[Transferencias de capital - cofinanciación departamento 2025]]+Tabla134[[#This Row],[Transferencias de capital - cofinanciación nación 2025]]+Tabla134[[#This Row],[Otros 2025]]+Tabla134[[#This Row],[Recursos del Balance]]</f>
        <v>0</v>
      </c>
      <c r="AF37" s="142">
        <f>IFERROR(VLOOKUP(Tabla134[[#This Row],[Código BPIN]],#REF!,8,0),0)</f>
        <v>0</v>
      </c>
      <c r="AG37" s="141">
        <f>IFERROR(VLOOKUP(Tabla134[[#This Row],[Código BPIN]],#REF!,9,0),0)</f>
        <v>0</v>
      </c>
      <c r="AH37" s="141"/>
      <c r="AI37" s="141"/>
      <c r="AJ37" s="141"/>
      <c r="AK37" s="141">
        <f>IFERROR(VLOOKUP(Tabla134[[#This Row],[Código BPIN]],#REF!,9,0),0)</f>
        <v>0</v>
      </c>
      <c r="AL37" s="141"/>
      <c r="AM37" s="141"/>
      <c r="AN37" s="141"/>
      <c r="AO37" s="141">
        <f>IFERROR(VLOOKUP(Tabla134[[#This Row],[Código BPIN]],#REF!,10,0),0)</f>
        <v>0</v>
      </c>
      <c r="AP37" s="141"/>
      <c r="AQ37" s="141"/>
      <c r="AR37" s="141"/>
      <c r="AS37" s="141"/>
      <c r="AT37" s="141"/>
      <c r="AU37" s="141">
        <f>+Tabla134[[#This Row],[Recursos propios 20252]]+Tabla134[[#This Row],[SGP Educación 20252]]+Tabla134[[#This Row],[SGP Salud 20252]]+Tabla134[[#This Row],[SGP Deporte 20252]]+Tabla134[[#This Row],[SGP Cultura 20252]]+Tabla134[[#This Row],[SGP Libre inversión 20252]]+Tabla134[[#This Row],[SGP Libre destinación 20252]]+Tabla134[[#This Row],[SGP Alimentación escolar 20252]]+Tabla134[[#This Row],[SGP Municipios río Magdalena 20252]]+Tabla134[[#This Row],[SGP APSB 20252]]+Tabla134[[#This Row],[Crédito 20252]]+Tabla134[[#This Row],[Transferencias de capital - cofinanciación departamento 20252]]+Tabla134[[#This Row],[Transferencias de capital - cofinanciación nación 20252]]+Tabla134[[#This Row],[Otros 20252]]+Tabla134[[#This Row],[Recursos del Balance 2025]]</f>
        <v>0</v>
      </c>
      <c r="AV37" s="141">
        <f>SUM(Tabla134[[#This Row],[Recursos propios 20252]:[Recursos del Balance 2025]])</f>
        <v>0</v>
      </c>
      <c r="AW37" s="201">
        <f>IFERROR(VLOOKUP(Tabla134[[#This Row],[Código BPIN]],#REF!,5,0),0)</f>
        <v>0</v>
      </c>
      <c r="AX37" s="143" t="e">
        <f>+Tabla134[[#This Row],[Total Recursos Comprometido 2025]]/Tabla134[[#This Row],[Total 2025]]</f>
        <v>#DIV/0!</v>
      </c>
      <c r="AY37" s="144" t="e">
        <f>+Tabla134[[#This Row],[Total Recursos Obligados]]/Tabla134[[#This Row],[Total 2025]]</f>
        <v>#DIV/0!</v>
      </c>
      <c r="AZ37" s="145" t="e">
        <f>+Tabla134[[#This Row],[Total Recursos Pagados]]/Tabla134[[#This Row],[Total 2025]]</f>
        <v>#DIV/0!</v>
      </c>
      <c r="BA37" s="146"/>
      <c r="BB37" s="197" t="str">
        <f>IF(Tabla134[[#This Row],[Total Recursos Gestionados2]]=0,"_",IF(Tabla134[[#This Row],[Ejecución Recursos Comprometidos]]=0,100%,Tabla134[[#This Row],[Total Recursos Gestionados2]]/Tabla134[[#This Row],[Ejecución Recursos Comprometidos]]))</f>
        <v>_</v>
      </c>
      <c r="BC37" s="198" t="s">
        <v>271</v>
      </c>
      <c r="BD37" s="199" t="s">
        <v>270</v>
      </c>
      <c r="BE37" s="200">
        <v>2.12</v>
      </c>
      <c r="BF37" s="206"/>
    </row>
    <row r="38" spans="1:58" s="229" customFormat="1" ht="49.9" customHeight="1">
      <c r="A38" s="191">
        <v>95</v>
      </c>
      <c r="B38" s="191" t="s">
        <v>114</v>
      </c>
      <c r="C38" s="191" t="s">
        <v>121</v>
      </c>
      <c r="D38" s="191" t="s">
        <v>122</v>
      </c>
      <c r="E38" s="191" t="s">
        <v>123</v>
      </c>
      <c r="F38" s="191">
        <v>2401008</v>
      </c>
      <c r="G38" s="191" t="s">
        <v>125</v>
      </c>
      <c r="H38" s="202"/>
      <c r="I38" s="193"/>
      <c r="J38" s="194"/>
      <c r="K38" s="194">
        <f>IFERROR(VLOOKUP(Tabla134[[#This Row],[Código BPIN]],#REF!,2,0),0)</f>
        <v>0</v>
      </c>
      <c r="L38" s="193"/>
      <c r="M38" s="193"/>
      <c r="N38" s="193"/>
      <c r="O38" s="195"/>
      <c r="P38" s="203">
        <f>IFERROR(VLOOKUP(Tabla134[[#This Row],[Código BPIN]],#REF!,5,0),0)</f>
        <v>0</v>
      </c>
      <c r="Q38" s="141"/>
      <c r="R38" s="141"/>
      <c r="S38" s="141"/>
      <c r="T38" s="141"/>
      <c r="U38" s="141">
        <f>IFERROR(VLOOKUP(Tabla134[[#This Row],[Código BPIN]],#REF!,6,0),0)</f>
        <v>0</v>
      </c>
      <c r="V38" s="141"/>
      <c r="W38" s="141"/>
      <c r="X38" s="141"/>
      <c r="Y38" s="141">
        <f>IFERROR(VLOOKUP(Tabla134[[#This Row],[Código BPIN]],#REF!,7,0),0)</f>
        <v>0</v>
      </c>
      <c r="Z38" s="141"/>
      <c r="AA38" s="141"/>
      <c r="AB38" s="141"/>
      <c r="AC38" s="141"/>
      <c r="AD38" s="141"/>
      <c r="AE38" s="196">
        <f>+Tabla134[[#This Row],[Recursos propios 2025]]+Tabla134[[#This Row],[SGP Educación 2025]]+Tabla134[[#This Row],[SGP Salud 2025]]+Tabla134[[#This Row],[SGP Deporte 2025]]+Tabla134[[#This Row],[SGP Cultura 2025]]+Tabla134[[#This Row],[SGP Libre inversión 2025]]+Tabla134[[#This Row],[SGP Libre destinación 2025]]+Tabla134[[#This Row],[SGP Alimentación escolar 2025]]+Tabla134[[#This Row],[SGP Municipios río Magdalena 2025]]+Tabla134[[#This Row],[SGP APSB 2025]]+Tabla134[[#This Row],[Crédito 2025]]+Tabla134[[#This Row],[Transferencias de capital - cofinanciación departamento 2025]]+Tabla134[[#This Row],[Transferencias de capital - cofinanciación nación 2025]]+Tabla134[[#This Row],[Otros 2025]]+Tabla134[[#This Row],[Recursos del Balance]]</f>
        <v>0</v>
      </c>
      <c r="AF38" s="142">
        <f>IFERROR(VLOOKUP(Tabla134[[#This Row],[Código BPIN]],#REF!,8,0),0)</f>
        <v>0</v>
      </c>
      <c r="AG38" s="141">
        <f>IFERROR(VLOOKUP(Tabla134[[#This Row],[Código BPIN]],#REF!,9,0),0)</f>
        <v>0</v>
      </c>
      <c r="AH38" s="141"/>
      <c r="AI38" s="141"/>
      <c r="AJ38" s="141"/>
      <c r="AK38" s="141">
        <f>IFERROR(VLOOKUP(Tabla134[[#This Row],[Código BPIN]],#REF!,9,0),0)</f>
        <v>0</v>
      </c>
      <c r="AL38" s="141"/>
      <c r="AM38" s="141"/>
      <c r="AN38" s="141"/>
      <c r="AO38" s="141">
        <f>IFERROR(VLOOKUP(Tabla134[[#This Row],[Código BPIN]],#REF!,10,0),0)</f>
        <v>0</v>
      </c>
      <c r="AP38" s="141"/>
      <c r="AQ38" s="141"/>
      <c r="AR38" s="141"/>
      <c r="AS38" s="141"/>
      <c r="AT38" s="141"/>
      <c r="AU38" s="141">
        <f>+Tabla134[[#This Row],[Recursos propios 20252]]+Tabla134[[#This Row],[SGP Educación 20252]]+Tabla134[[#This Row],[SGP Salud 20252]]+Tabla134[[#This Row],[SGP Deporte 20252]]+Tabla134[[#This Row],[SGP Cultura 20252]]+Tabla134[[#This Row],[SGP Libre inversión 20252]]+Tabla134[[#This Row],[SGP Libre destinación 20252]]+Tabla134[[#This Row],[SGP Alimentación escolar 20252]]+Tabla134[[#This Row],[SGP Municipios río Magdalena 20252]]+Tabla134[[#This Row],[SGP APSB 20252]]+Tabla134[[#This Row],[Crédito 20252]]+Tabla134[[#This Row],[Transferencias de capital - cofinanciación departamento 20252]]+Tabla134[[#This Row],[Transferencias de capital - cofinanciación nación 20252]]+Tabla134[[#This Row],[Otros 20252]]+Tabla134[[#This Row],[Recursos del Balance 2025]]</f>
        <v>0</v>
      </c>
      <c r="AV38" s="141">
        <f>SUM(Tabla134[[#This Row],[Recursos propios 20252]:[Recursos del Balance 2025]])</f>
        <v>0</v>
      </c>
      <c r="AW38" s="201">
        <f>IFERROR(VLOOKUP(Tabla134[[#This Row],[Código BPIN]],#REF!,5,0),0)</f>
        <v>0</v>
      </c>
      <c r="AX38" s="143" t="e">
        <f>+Tabla134[[#This Row],[Total Recursos Comprometido 2025]]/Tabla134[[#This Row],[Total 2025]]</f>
        <v>#DIV/0!</v>
      </c>
      <c r="AY38" s="144" t="e">
        <f>+Tabla134[[#This Row],[Total Recursos Obligados]]/Tabla134[[#This Row],[Total 2025]]</f>
        <v>#DIV/0!</v>
      </c>
      <c r="AZ38" s="145" t="e">
        <f>+Tabla134[[#This Row],[Total Recursos Pagados]]/Tabla134[[#This Row],[Total 2025]]</f>
        <v>#DIV/0!</v>
      </c>
      <c r="BA38" s="146"/>
      <c r="BB38" s="197" t="str">
        <f>IF(Tabla134[[#This Row],[Total Recursos Gestionados2]]=0,"_",IF(Tabla134[[#This Row],[Ejecución Recursos Comprometidos]]=0,100%,Tabla134[[#This Row],[Total Recursos Gestionados2]]/Tabla134[[#This Row],[Ejecución Recursos Comprometidos]]))</f>
        <v>_</v>
      </c>
      <c r="BC38" s="198" t="s">
        <v>271</v>
      </c>
      <c r="BD38" s="199" t="s">
        <v>270</v>
      </c>
      <c r="BE38" s="200">
        <v>11</v>
      </c>
      <c r="BF38" s="206"/>
    </row>
    <row r="39" spans="1:58" s="229" customFormat="1" ht="49.9" customHeight="1">
      <c r="A39" s="191">
        <v>96</v>
      </c>
      <c r="B39" s="191" t="s">
        <v>114</v>
      </c>
      <c r="C39" s="191" t="s">
        <v>121</v>
      </c>
      <c r="D39" s="191" t="s">
        <v>128</v>
      </c>
      <c r="E39" s="191" t="s">
        <v>129</v>
      </c>
      <c r="F39" s="191">
        <v>2402120</v>
      </c>
      <c r="G39" s="191" t="s">
        <v>131</v>
      </c>
      <c r="H39" s="202">
        <v>202500000028779</v>
      </c>
      <c r="I39" s="193" t="s">
        <v>322</v>
      </c>
      <c r="J39" s="194">
        <v>816756570</v>
      </c>
      <c r="K39" s="194">
        <v>816756570</v>
      </c>
      <c r="L39" s="193"/>
      <c r="M39" s="193"/>
      <c r="N39" s="193"/>
      <c r="O39" s="195"/>
      <c r="P39" s="194">
        <v>163351314</v>
      </c>
      <c r="Q39" s="141"/>
      <c r="R39" s="141"/>
      <c r="S39" s="141"/>
      <c r="T39" s="141"/>
      <c r="U39" s="141">
        <f>IFERROR(VLOOKUP(Tabla134[[#This Row],[Código BPIN]],#REF!,6,0),0)</f>
        <v>0</v>
      </c>
      <c r="V39" s="141"/>
      <c r="W39" s="141"/>
      <c r="X39" s="141"/>
      <c r="Y39" s="141">
        <f>IFERROR(VLOOKUP(Tabla134[[#This Row],[Código BPIN]],#REF!,7,0),0)</f>
        <v>0</v>
      </c>
      <c r="Z39" s="141"/>
      <c r="AA39" s="141"/>
      <c r="AB39" s="141"/>
      <c r="AC39" s="141"/>
      <c r="AD39" s="141"/>
      <c r="AE39" s="196">
        <f>+Tabla134[[#This Row],[Recursos propios 2025]]+Tabla134[[#This Row],[SGP Educación 2025]]+Tabla134[[#This Row],[SGP Salud 2025]]+Tabla134[[#This Row],[SGP Deporte 2025]]+Tabla134[[#This Row],[SGP Cultura 2025]]+Tabla134[[#This Row],[SGP Libre inversión 2025]]+Tabla134[[#This Row],[SGP Libre destinación 2025]]+Tabla134[[#This Row],[SGP Alimentación escolar 2025]]+Tabla134[[#This Row],[SGP Municipios río Magdalena 2025]]+Tabla134[[#This Row],[SGP APSB 2025]]+Tabla134[[#This Row],[Crédito 2025]]+Tabla134[[#This Row],[Transferencias de capital - cofinanciación departamento 2025]]+Tabla134[[#This Row],[Transferencias de capital - cofinanciación nación 2025]]+Tabla134[[#This Row],[Otros 2025]]+Tabla134[[#This Row],[Recursos del Balance]]</f>
        <v>163351314</v>
      </c>
      <c r="AF39" s="142">
        <f>IFERROR(VLOOKUP(Tabla134[[#This Row],[Código BPIN]],#REF!,8,0),0)</f>
        <v>0</v>
      </c>
      <c r="AG39" s="141">
        <f>IFERROR(VLOOKUP(Tabla134[[#This Row],[Código BPIN]],#REF!,9,0),0)</f>
        <v>0</v>
      </c>
      <c r="AH39" s="141"/>
      <c r="AI39" s="141"/>
      <c r="AJ39" s="141"/>
      <c r="AK39" s="141">
        <f>IFERROR(VLOOKUP(Tabla134[[#This Row],[Código BPIN]],#REF!,9,0),0)</f>
        <v>0</v>
      </c>
      <c r="AL39" s="141"/>
      <c r="AM39" s="141"/>
      <c r="AN39" s="141"/>
      <c r="AO39" s="141">
        <f>IFERROR(VLOOKUP(Tabla134[[#This Row],[Código BPIN]],#REF!,10,0),0)</f>
        <v>0</v>
      </c>
      <c r="AP39" s="141"/>
      <c r="AQ39" s="141"/>
      <c r="AR39" s="141"/>
      <c r="AS39" s="141"/>
      <c r="AT39" s="141"/>
      <c r="AU39" s="141">
        <f>+Tabla134[[#This Row],[Recursos propios 20252]]+Tabla134[[#This Row],[SGP Educación 20252]]+Tabla134[[#This Row],[SGP Salud 20252]]+Tabla134[[#This Row],[SGP Deporte 20252]]+Tabla134[[#This Row],[SGP Cultura 20252]]+Tabla134[[#This Row],[SGP Libre inversión 20252]]+Tabla134[[#This Row],[SGP Libre destinación 20252]]+Tabla134[[#This Row],[SGP Alimentación escolar 20252]]+Tabla134[[#This Row],[SGP Municipios río Magdalena 20252]]+Tabla134[[#This Row],[SGP APSB 20252]]+Tabla134[[#This Row],[Crédito 20252]]+Tabla134[[#This Row],[Transferencias de capital - cofinanciación departamento 20252]]+Tabla134[[#This Row],[Transferencias de capital - cofinanciación nación 20252]]+Tabla134[[#This Row],[Otros 20252]]+Tabla134[[#This Row],[Recursos del Balance 2025]]</f>
        <v>0</v>
      </c>
      <c r="AV39" s="141">
        <f>SUM(Tabla134[[#This Row],[Recursos propios 20252]:[Recursos del Balance 2025]])</f>
        <v>0</v>
      </c>
      <c r="AW39" s="201">
        <f>IFERROR(VLOOKUP(Tabla134[[#This Row],[Código BPIN]],#REF!,5,0),0)</f>
        <v>0</v>
      </c>
      <c r="AX39" s="143">
        <f>+Tabla134[[#This Row],[Total Recursos Comprometido 2025]]/Tabla134[[#This Row],[Total 2025]]</f>
        <v>0</v>
      </c>
      <c r="AY39" s="144">
        <f>+Tabla134[[#This Row],[Total Recursos Obligados]]/Tabla134[[#This Row],[Total 2025]]</f>
        <v>0</v>
      </c>
      <c r="AZ39" s="145">
        <f>+Tabla134[[#This Row],[Total Recursos Pagados]]/Tabla134[[#This Row],[Total 2025]]</f>
        <v>0</v>
      </c>
      <c r="BA39" s="146"/>
      <c r="BB39" s="197" t="str">
        <f>IF(Tabla134[[#This Row],[Total Recursos Gestionados2]]=0,"_",IF(Tabla134[[#This Row],[Ejecución Recursos Comprometidos]]=0,100%,Tabla134[[#This Row],[Total Recursos Gestionados2]]/Tabla134[[#This Row],[Ejecución Recursos Comprometidos]]))</f>
        <v>_</v>
      </c>
      <c r="BC39" s="198" t="s">
        <v>271</v>
      </c>
      <c r="BD39" s="199" t="s">
        <v>270</v>
      </c>
      <c r="BE39" s="200">
        <v>11</v>
      </c>
      <c r="BF39" s="206"/>
    </row>
    <row r="40" spans="1:58" s="229" customFormat="1" ht="49.9" customHeight="1">
      <c r="A40" s="191">
        <v>96</v>
      </c>
      <c r="B40" s="191" t="s">
        <v>114</v>
      </c>
      <c r="C40" s="191" t="s">
        <v>121</v>
      </c>
      <c r="D40" s="191" t="s">
        <v>128</v>
      </c>
      <c r="E40" s="191" t="s">
        <v>129</v>
      </c>
      <c r="F40" s="191">
        <v>2402120</v>
      </c>
      <c r="G40" s="191" t="s">
        <v>131</v>
      </c>
      <c r="H40" s="202">
        <v>2024680010248</v>
      </c>
      <c r="I40" s="193" t="s">
        <v>251</v>
      </c>
      <c r="J40" s="194">
        <v>500000000</v>
      </c>
      <c r="K40" s="196">
        <v>0</v>
      </c>
      <c r="L40" s="193"/>
      <c r="M40" s="193"/>
      <c r="N40" s="193"/>
      <c r="O40" s="195"/>
      <c r="P40" s="194">
        <f>IFERROR(VLOOKUP(Tabla134[[#This Row],[Código BPIN]],#REF!,5,0),0)</f>
        <v>0</v>
      </c>
      <c r="Q40" s="141"/>
      <c r="R40" s="141"/>
      <c r="S40" s="141"/>
      <c r="T40" s="141"/>
      <c r="U40" s="141">
        <f>IFERROR(VLOOKUP(Tabla134[[#This Row],[Código BPIN]],#REF!,6,0),0)</f>
        <v>0</v>
      </c>
      <c r="V40" s="141"/>
      <c r="W40" s="141"/>
      <c r="X40" s="141"/>
      <c r="Y40" s="141">
        <f>IFERROR(VLOOKUP(Tabla134[[#This Row],[Código BPIN]],#REF!,7,0),0)</f>
        <v>0</v>
      </c>
      <c r="Z40" s="141"/>
      <c r="AA40" s="141"/>
      <c r="AB40" s="141"/>
      <c r="AC40" s="232">
        <v>0</v>
      </c>
      <c r="AD40" s="141"/>
      <c r="AE40" s="196">
        <f>+Tabla134[[#This Row],[Recursos propios 2025]]+Tabla134[[#This Row],[SGP Educación 2025]]+Tabla134[[#This Row],[SGP Salud 2025]]+Tabla134[[#This Row],[SGP Deporte 2025]]+Tabla134[[#This Row],[SGP Cultura 2025]]+Tabla134[[#This Row],[SGP Libre inversión 2025]]+Tabla134[[#This Row],[SGP Libre destinación 2025]]+Tabla134[[#This Row],[SGP Alimentación escolar 2025]]+Tabla134[[#This Row],[SGP Municipios río Magdalena 2025]]+Tabla134[[#This Row],[SGP APSB 2025]]+Tabla134[[#This Row],[Crédito 2025]]+Tabla134[[#This Row],[Transferencias de capital - cofinanciación departamento 2025]]+Tabla134[[#This Row],[Transferencias de capital - cofinanciación nación 2025]]+Tabla134[[#This Row],[Otros 2025]]+Tabla134[[#This Row],[Recursos del Balance]]</f>
        <v>0</v>
      </c>
      <c r="AF40" s="142">
        <f>IFERROR(VLOOKUP(Tabla134[[#This Row],[Código BPIN]],#REF!,8,0),0)</f>
        <v>0</v>
      </c>
      <c r="AG40" s="141">
        <f>IFERROR(VLOOKUP(Tabla134[[#This Row],[Código BPIN]],#REF!,9,0),0)</f>
        <v>0</v>
      </c>
      <c r="AH40" s="141"/>
      <c r="AI40" s="141"/>
      <c r="AJ40" s="141"/>
      <c r="AK40" s="141">
        <f>IFERROR(VLOOKUP(Tabla134[[#This Row],[Código BPIN]],#REF!,9,0),0)</f>
        <v>0</v>
      </c>
      <c r="AL40" s="141"/>
      <c r="AM40" s="141"/>
      <c r="AN40" s="141"/>
      <c r="AO40" s="141">
        <f>IFERROR(VLOOKUP(Tabla134[[#This Row],[Código BPIN]],#REF!,10,0),0)</f>
        <v>0</v>
      </c>
      <c r="AP40" s="141"/>
      <c r="AQ40" s="141"/>
      <c r="AR40" s="141"/>
      <c r="AS40" s="141"/>
      <c r="AT40" s="141"/>
      <c r="AU40" s="141">
        <f>+Tabla134[[#This Row],[Recursos propios 20252]]+Tabla134[[#This Row],[SGP Educación 20252]]+Tabla134[[#This Row],[SGP Salud 20252]]+Tabla134[[#This Row],[SGP Deporte 20252]]+Tabla134[[#This Row],[SGP Cultura 20252]]+Tabla134[[#This Row],[SGP Libre inversión 20252]]+Tabla134[[#This Row],[SGP Libre destinación 20252]]+Tabla134[[#This Row],[SGP Alimentación escolar 20252]]+Tabla134[[#This Row],[SGP Municipios río Magdalena 20252]]+Tabla134[[#This Row],[SGP APSB 20252]]+Tabla134[[#This Row],[Crédito 20252]]+Tabla134[[#This Row],[Transferencias de capital - cofinanciación departamento 20252]]+Tabla134[[#This Row],[Transferencias de capital - cofinanciación nación 20252]]+Tabla134[[#This Row],[Otros 20252]]+Tabla134[[#This Row],[Recursos del Balance 2025]]</f>
        <v>0</v>
      </c>
      <c r="AV40" s="141">
        <f>SUM(Tabla134[[#This Row],[Recursos propios 20252]:[Recursos del Balance 2025]])</f>
        <v>0</v>
      </c>
      <c r="AW40" s="201">
        <f>IFERROR(VLOOKUP(Tabla134[[#This Row],[Código BPIN]],#REF!,5,0),0)</f>
        <v>0</v>
      </c>
      <c r="AX40" s="143" t="e">
        <f>+Tabla134[[#This Row],[Total Recursos Comprometido 2025]]/Tabla134[[#This Row],[Total 2025]]</f>
        <v>#DIV/0!</v>
      </c>
      <c r="AY40" s="144" t="e">
        <f>+Tabla134[[#This Row],[Total Recursos Obligados]]/Tabla134[[#This Row],[Total 2025]]</f>
        <v>#DIV/0!</v>
      </c>
      <c r="AZ40" s="145" t="e">
        <f>+Tabla134[[#This Row],[Total Recursos Pagados]]/Tabla134[[#This Row],[Total 2025]]</f>
        <v>#DIV/0!</v>
      </c>
      <c r="BA40" s="146"/>
      <c r="BB40" s="197" t="str">
        <f>IF(Tabla134[[#This Row],[Total Recursos Gestionados2]]=0,"_",IF(Tabla134[[#This Row],[Ejecución Recursos Comprometidos]]=0,100%,Tabla134[[#This Row],[Total Recursos Gestionados2]]/Tabla134[[#This Row],[Ejecución Recursos Comprometidos]]))</f>
        <v>_</v>
      </c>
      <c r="BC40" s="198" t="s">
        <v>271</v>
      </c>
      <c r="BD40" s="199" t="s">
        <v>270</v>
      </c>
      <c r="BE40" s="200">
        <v>11</v>
      </c>
      <c r="BF40" s="206"/>
    </row>
    <row r="41" spans="1:58" s="229" customFormat="1" ht="49.9" customHeight="1">
      <c r="A41" s="191">
        <v>97</v>
      </c>
      <c r="B41" s="191" t="s">
        <v>114</v>
      </c>
      <c r="C41" s="191" t="s">
        <v>121</v>
      </c>
      <c r="D41" s="191" t="s">
        <v>128</v>
      </c>
      <c r="E41" s="191" t="s">
        <v>129</v>
      </c>
      <c r="F41" s="191">
        <v>2402119</v>
      </c>
      <c r="G41" s="191" t="s">
        <v>134</v>
      </c>
      <c r="H41" s="202">
        <v>2023680010060</v>
      </c>
      <c r="I41" s="193" t="s">
        <v>252</v>
      </c>
      <c r="J41" s="194">
        <v>6499810286</v>
      </c>
      <c r="K41" s="230">
        <v>278962424</v>
      </c>
      <c r="L41" s="193"/>
      <c r="M41" s="193"/>
      <c r="N41" s="193"/>
      <c r="O41" s="195"/>
      <c r="P41" s="194">
        <v>0</v>
      </c>
      <c r="Q41" s="141"/>
      <c r="R41" s="141"/>
      <c r="S41" s="141"/>
      <c r="T41" s="141"/>
      <c r="U41" s="141">
        <f>IFERROR(VLOOKUP(Tabla134[[#This Row],[Código BPIN]],#REF!,6,0),0)</f>
        <v>0</v>
      </c>
      <c r="V41" s="141"/>
      <c r="W41" s="141"/>
      <c r="X41" s="141"/>
      <c r="Y41" s="141">
        <f>IFERROR(VLOOKUP(Tabla134[[#This Row],[Código BPIN]],#REF!,7,0),0)</f>
        <v>0</v>
      </c>
      <c r="Z41" s="141"/>
      <c r="AA41" s="141"/>
      <c r="AB41" s="141"/>
      <c r="AC41" s="230">
        <v>278962424</v>
      </c>
      <c r="AD41" s="141"/>
      <c r="AE41" s="194">
        <f>+Tabla134[[#This Row],[Recursos propios 2025]]+Tabla134[[#This Row],[SGP Educación 2025]]+Tabla134[[#This Row],[SGP Salud 2025]]+Tabla134[[#This Row],[SGP Deporte 2025]]+Tabla134[[#This Row],[SGP Cultura 2025]]+Tabla134[[#This Row],[SGP Libre inversión 2025]]+Tabla134[[#This Row],[SGP Libre destinación 2025]]+Tabla134[[#This Row],[SGP Alimentación escolar 2025]]+Tabla134[[#This Row],[SGP Municipios río Magdalena 2025]]+Tabla134[[#This Row],[SGP APSB 2025]]+Tabla134[[#This Row],[Crédito 2025]]+Tabla134[[#This Row],[Transferencias de capital - cofinanciación departamento 2025]]+Tabla134[[#This Row],[Transferencias de capital - cofinanciación nación 2025]]+Tabla134[[#This Row],[Otros 2025]]+Tabla134[[#This Row],[Recursos del Balance]]</f>
        <v>278962424</v>
      </c>
      <c r="AF41" s="142">
        <f>IFERROR(VLOOKUP(Tabla134[[#This Row],[Código BPIN]],#REF!,8,0),0)</f>
        <v>0</v>
      </c>
      <c r="AG41" s="141">
        <f>IFERROR(VLOOKUP(Tabla134[[#This Row],[Código BPIN]],#REF!,9,0),0)</f>
        <v>0</v>
      </c>
      <c r="AH41" s="141"/>
      <c r="AI41" s="141"/>
      <c r="AJ41" s="141"/>
      <c r="AK41" s="141">
        <f>IFERROR(VLOOKUP(Tabla134[[#This Row],[Código BPIN]],#REF!,9,0),0)</f>
        <v>0</v>
      </c>
      <c r="AL41" s="141"/>
      <c r="AM41" s="141"/>
      <c r="AN41" s="141"/>
      <c r="AO41" s="141">
        <f>IFERROR(VLOOKUP(Tabla134[[#This Row],[Código BPIN]],#REF!,10,0),0)</f>
        <v>0</v>
      </c>
      <c r="AP41" s="141"/>
      <c r="AQ41" s="141"/>
      <c r="AR41" s="141"/>
      <c r="AS41" s="141"/>
      <c r="AT41" s="141"/>
      <c r="AU41" s="141">
        <f>+Tabla134[[#This Row],[Recursos propios 20252]]+Tabla134[[#This Row],[SGP Educación 20252]]+Tabla134[[#This Row],[SGP Salud 20252]]+Tabla134[[#This Row],[SGP Deporte 20252]]+Tabla134[[#This Row],[SGP Cultura 20252]]+Tabla134[[#This Row],[SGP Libre inversión 20252]]+Tabla134[[#This Row],[SGP Libre destinación 20252]]+Tabla134[[#This Row],[SGP Alimentación escolar 20252]]+Tabla134[[#This Row],[SGP Municipios río Magdalena 20252]]+Tabla134[[#This Row],[SGP APSB 20252]]+Tabla134[[#This Row],[Crédito 20252]]+Tabla134[[#This Row],[Transferencias de capital - cofinanciación departamento 20252]]+Tabla134[[#This Row],[Transferencias de capital - cofinanciación nación 20252]]+Tabla134[[#This Row],[Otros 20252]]+Tabla134[[#This Row],[Recursos del Balance 2025]]</f>
        <v>0</v>
      </c>
      <c r="AV41" s="141">
        <f>SUM(Tabla134[[#This Row],[Recursos propios 20252]:[Recursos del Balance 2025]])</f>
        <v>0</v>
      </c>
      <c r="AW41" s="201">
        <f>IFERROR(VLOOKUP(Tabla134[[#This Row],[Código BPIN]],#REF!,5,0),0)</f>
        <v>0</v>
      </c>
      <c r="AX41" s="143">
        <f>+Tabla134[[#This Row],[Total Recursos Comprometido 2025]]/Tabla134[[#This Row],[Total 2025]]</f>
        <v>0</v>
      </c>
      <c r="AY41" s="144">
        <f>+Tabla134[[#This Row],[Total Recursos Obligados]]/Tabla134[[#This Row],[Total 2025]]</f>
        <v>0</v>
      </c>
      <c r="AZ41" s="145">
        <f>+Tabla134[[#This Row],[Total Recursos Pagados]]/Tabla134[[#This Row],[Total 2025]]</f>
        <v>0</v>
      </c>
      <c r="BA41" s="146"/>
      <c r="BB41" s="197" t="str">
        <f>IF(Tabla134[[#This Row],[Total Recursos Gestionados2]]=0,"_",IF(Tabla134[[#This Row],[Ejecución Recursos Comprometidos]]=0,100%,Tabla134[[#This Row],[Total Recursos Gestionados2]]/Tabla134[[#This Row],[Ejecución Recursos Comprometidos]]))</f>
        <v>_</v>
      </c>
      <c r="BC41" s="198" t="s">
        <v>271</v>
      </c>
      <c r="BD41" s="199" t="s">
        <v>270</v>
      </c>
      <c r="BE41" s="200">
        <v>11</v>
      </c>
      <c r="BF41" s="206"/>
    </row>
    <row r="42" spans="1:58" s="229" customFormat="1" ht="49.9" customHeight="1">
      <c r="A42" s="191">
        <v>98</v>
      </c>
      <c r="B42" s="191" t="s">
        <v>114</v>
      </c>
      <c r="C42" s="191" t="s">
        <v>121</v>
      </c>
      <c r="D42" s="191" t="s">
        <v>122</v>
      </c>
      <c r="E42" s="191" t="s">
        <v>136</v>
      </c>
      <c r="F42" s="191">
        <v>2401039</v>
      </c>
      <c r="G42" s="191" t="s">
        <v>138</v>
      </c>
      <c r="H42" s="202">
        <v>2024680010248</v>
      </c>
      <c r="I42" s="193" t="s">
        <v>251</v>
      </c>
      <c r="J42" s="194">
        <v>3000000000</v>
      </c>
      <c r="K42" s="194">
        <v>0</v>
      </c>
      <c r="L42" s="193"/>
      <c r="M42" s="193"/>
      <c r="N42" s="193"/>
      <c r="O42" s="195"/>
      <c r="P42" s="194">
        <f>IFERROR(VLOOKUP(Tabla134[[#This Row],[Código BPIN]],#REF!,5,0),0)</f>
        <v>0</v>
      </c>
      <c r="Q42" s="141"/>
      <c r="R42" s="141"/>
      <c r="S42" s="141"/>
      <c r="T42" s="141"/>
      <c r="U42" s="141">
        <f>IFERROR(VLOOKUP(Tabla134[[#This Row],[Código BPIN]],#REF!,6,0),0)</f>
        <v>0</v>
      </c>
      <c r="V42" s="141"/>
      <c r="W42" s="141"/>
      <c r="X42" s="141"/>
      <c r="Y42" s="141">
        <f>IFERROR(VLOOKUP(Tabla134[[#This Row],[Código BPIN]],#REF!,7,0),0)</f>
        <v>0</v>
      </c>
      <c r="Z42" s="141"/>
      <c r="AA42" s="141"/>
      <c r="AB42" s="141"/>
      <c r="AC42" s="141"/>
      <c r="AD42" s="141"/>
      <c r="AE42" s="194">
        <f>+Tabla134[[#This Row],[Recursos propios 2025]]+Tabla134[[#This Row],[SGP Educación 2025]]+Tabla134[[#This Row],[SGP Salud 2025]]+Tabla134[[#This Row],[SGP Deporte 2025]]+Tabla134[[#This Row],[SGP Cultura 2025]]+Tabla134[[#This Row],[SGP Libre inversión 2025]]+Tabla134[[#This Row],[SGP Libre destinación 2025]]+Tabla134[[#This Row],[SGP Alimentación escolar 2025]]+Tabla134[[#This Row],[SGP Municipios río Magdalena 2025]]+Tabla134[[#This Row],[SGP APSB 2025]]+Tabla134[[#This Row],[Crédito 2025]]+Tabla134[[#This Row],[Transferencias de capital - cofinanciación departamento 2025]]+Tabla134[[#This Row],[Transferencias de capital - cofinanciación nación 2025]]+Tabla134[[#This Row],[Otros 2025]]+Tabla134[[#This Row],[Recursos del Balance]]</f>
        <v>0</v>
      </c>
      <c r="AF42" s="142">
        <f>IFERROR(VLOOKUP(Tabla134[[#This Row],[Código BPIN]],#REF!,8,0),0)</f>
        <v>0</v>
      </c>
      <c r="AG42" s="141">
        <f>IFERROR(VLOOKUP(Tabla134[[#This Row],[Código BPIN]],#REF!,9,0),0)</f>
        <v>0</v>
      </c>
      <c r="AH42" s="141"/>
      <c r="AI42" s="141"/>
      <c r="AJ42" s="141"/>
      <c r="AK42" s="141">
        <f>IFERROR(VLOOKUP(Tabla134[[#This Row],[Código BPIN]],#REF!,9,0),0)</f>
        <v>0</v>
      </c>
      <c r="AL42" s="141"/>
      <c r="AM42" s="141"/>
      <c r="AN42" s="141"/>
      <c r="AO42" s="141">
        <f>IFERROR(VLOOKUP(Tabla134[[#This Row],[Código BPIN]],#REF!,10,0),0)</f>
        <v>0</v>
      </c>
      <c r="AP42" s="141"/>
      <c r="AQ42" s="141"/>
      <c r="AR42" s="141"/>
      <c r="AS42" s="141"/>
      <c r="AT42" s="141"/>
      <c r="AU42" s="141">
        <f>+Tabla134[[#This Row],[Recursos propios 20252]]+Tabla134[[#This Row],[SGP Educación 20252]]+Tabla134[[#This Row],[SGP Salud 20252]]+Tabla134[[#This Row],[SGP Deporte 20252]]+Tabla134[[#This Row],[SGP Cultura 20252]]+Tabla134[[#This Row],[SGP Libre inversión 20252]]+Tabla134[[#This Row],[SGP Libre destinación 20252]]+Tabla134[[#This Row],[SGP Alimentación escolar 20252]]+Tabla134[[#This Row],[SGP Municipios río Magdalena 20252]]+Tabla134[[#This Row],[SGP APSB 20252]]+Tabla134[[#This Row],[Crédito 20252]]+Tabla134[[#This Row],[Transferencias de capital - cofinanciación departamento 20252]]+Tabla134[[#This Row],[Transferencias de capital - cofinanciación nación 20252]]+Tabla134[[#This Row],[Otros 20252]]+Tabla134[[#This Row],[Recursos del Balance 2025]]</f>
        <v>0</v>
      </c>
      <c r="AV42" s="141">
        <f>SUM(Tabla134[[#This Row],[Recursos propios 20252]:[Recursos del Balance 2025]])</f>
        <v>0</v>
      </c>
      <c r="AW42" s="201">
        <f>IFERROR(VLOOKUP(Tabla134[[#This Row],[Código BPIN]],#REF!,5,0),0)</f>
        <v>0</v>
      </c>
      <c r="AX42" s="143" t="e">
        <f>+Tabla134[[#This Row],[Total Recursos Comprometido 2025]]/Tabla134[[#This Row],[Total 2025]]</f>
        <v>#DIV/0!</v>
      </c>
      <c r="AY42" s="144" t="e">
        <f>+Tabla134[[#This Row],[Total Recursos Obligados]]/Tabla134[[#This Row],[Total 2025]]</f>
        <v>#DIV/0!</v>
      </c>
      <c r="AZ42" s="145" t="e">
        <f>+Tabla134[[#This Row],[Total Recursos Pagados]]/Tabla134[[#This Row],[Total 2025]]</f>
        <v>#DIV/0!</v>
      </c>
      <c r="BA42" s="146"/>
      <c r="BB42" s="197" t="str">
        <f>IF(Tabla134[[#This Row],[Total Recursos Gestionados2]]=0,"_",IF(Tabla134[[#This Row],[Ejecución Recursos Comprometidos]]=0,100%,Tabla134[[#This Row],[Total Recursos Gestionados2]]/Tabla134[[#This Row],[Ejecución Recursos Comprometidos]]))</f>
        <v>_</v>
      </c>
      <c r="BC42" s="198" t="s">
        <v>271</v>
      </c>
      <c r="BD42" s="199" t="s">
        <v>270</v>
      </c>
      <c r="BE42" s="200">
        <v>11</v>
      </c>
      <c r="BF42" s="206"/>
    </row>
    <row r="43" spans="1:58" s="229" customFormat="1" ht="49.9" customHeight="1">
      <c r="A43" s="191">
        <v>98</v>
      </c>
      <c r="B43" s="191" t="s">
        <v>114</v>
      </c>
      <c r="C43" s="191" t="s">
        <v>121</v>
      </c>
      <c r="D43" s="191" t="s">
        <v>122</v>
      </c>
      <c r="E43" s="191" t="s">
        <v>136</v>
      </c>
      <c r="F43" s="191">
        <v>2401039</v>
      </c>
      <c r="G43" s="191" t="s">
        <v>138</v>
      </c>
      <c r="H43" s="202">
        <v>202500000036178</v>
      </c>
      <c r="I43" s="193" t="s">
        <v>343</v>
      </c>
      <c r="J43" s="194">
        <v>3990743822</v>
      </c>
      <c r="K43" s="194">
        <f>IFERROR(VLOOKUP(Tabla134[[#This Row],[Código BPIN]],#REF!,2,0),0)</f>
        <v>0</v>
      </c>
      <c r="L43" s="193"/>
      <c r="M43" s="193"/>
      <c r="N43" s="193"/>
      <c r="O43" s="195"/>
      <c r="P43" s="194">
        <f>IFERROR(VLOOKUP(Tabla134[[#This Row],[Código BPIN]],#REF!,5,0),0)</f>
        <v>0</v>
      </c>
      <c r="Q43" s="141"/>
      <c r="R43" s="141"/>
      <c r="S43" s="141"/>
      <c r="T43" s="141"/>
      <c r="U43" s="141">
        <f>IFERROR(VLOOKUP(Tabla134[[#This Row],[Código BPIN]],#REF!,6,0),0)</f>
        <v>0</v>
      </c>
      <c r="V43" s="141"/>
      <c r="W43" s="141"/>
      <c r="X43" s="141"/>
      <c r="Y43" s="141">
        <f>IFERROR(VLOOKUP(Tabla134[[#This Row],[Código BPIN]],#REF!,7,0),0)</f>
        <v>0</v>
      </c>
      <c r="Z43" s="141"/>
      <c r="AA43" s="141"/>
      <c r="AB43" s="141"/>
      <c r="AC43" s="141"/>
      <c r="AD43" s="141"/>
      <c r="AE43" s="194">
        <f>+Tabla134[[#This Row],[Recursos propios 2025]]+Tabla134[[#This Row],[SGP Educación 2025]]+Tabla134[[#This Row],[SGP Salud 2025]]+Tabla134[[#This Row],[SGP Deporte 2025]]+Tabla134[[#This Row],[SGP Cultura 2025]]+Tabla134[[#This Row],[SGP Libre inversión 2025]]+Tabla134[[#This Row],[SGP Libre destinación 2025]]+Tabla134[[#This Row],[SGP Alimentación escolar 2025]]+Tabla134[[#This Row],[SGP Municipios río Magdalena 2025]]+Tabla134[[#This Row],[SGP APSB 2025]]+Tabla134[[#This Row],[Crédito 2025]]+Tabla134[[#This Row],[Transferencias de capital - cofinanciación departamento 2025]]+Tabla134[[#This Row],[Transferencias de capital - cofinanciación nación 2025]]+Tabla134[[#This Row],[Otros 2025]]+Tabla134[[#This Row],[Recursos del Balance]]</f>
        <v>0</v>
      </c>
      <c r="AF43" s="142">
        <f>IFERROR(VLOOKUP(Tabla134[[#This Row],[Código BPIN]],#REF!,8,0),0)</f>
        <v>0</v>
      </c>
      <c r="AG43" s="141">
        <f>IFERROR(VLOOKUP(Tabla134[[#This Row],[Código BPIN]],#REF!,9,0),0)</f>
        <v>0</v>
      </c>
      <c r="AH43" s="141"/>
      <c r="AI43" s="141"/>
      <c r="AJ43" s="141"/>
      <c r="AK43" s="141">
        <f>IFERROR(VLOOKUP(Tabla134[[#This Row],[Código BPIN]],#REF!,9,0),0)</f>
        <v>0</v>
      </c>
      <c r="AL43" s="141"/>
      <c r="AM43" s="141"/>
      <c r="AN43" s="141"/>
      <c r="AO43" s="141">
        <f>IFERROR(VLOOKUP(Tabla134[[#This Row],[Código BPIN]],#REF!,10,0),0)</f>
        <v>0</v>
      </c>
      <c r="AP43" s="141"/>
      <c r="AQ43" s="141"/>
      <c r="AR43" s="141"/>
      <c r="AS43" s="141"/>
      <c r="AT43" s="141"/>
      <c r="AU43" s="141">
        <f>+Tabla134[[#This Row],[Recursos propios 20252]]+Tabla134[[#This Row],[SGP Educación 20252]]+Tabla134[[#This Row],[SGP Salud 20252]]+Tabla134[[#This Row],[SGP Deporte 20252]]+Tabla134[[#This Row],[SGP Cultura 20252]]+Tabla134[[#This Row],[SGP Libre inversión 20252]]+Tabla134[[#This Row],[SGP Libre destinación 20252]]+Tabla134[[#This Row],[SGP Alimentación escolar 20252]]+Tabla134[[#This Row],[SGP Municipios río Magdalena 20252]]+Tabla134[[#This Row],[SGP APSB 20252]]+Tabla134[[#This Row],[Crédito 20252]]+Tabla134[[#This Row],[Transferencias de capital - cofinanciación departamento 20252]]+Tabla134[[#This Row],[Transferencias de capital - cofinanciación nación 20252]]+Tabla134[[#This Row],[Otros 20252]]+Tabla134[[#This Row],[Recursos del Balance 2025]]</f>
        <v>0</v>
      </c>
      <c r="AV43" s="141">
        <f>SUM(Tabla134[[#This Row],[Recursos propios 20252]:[Recursos del Balance 2025]])</f>
        <v>0</v>
      </c>
      <c r="AW43" s="201">
        <f>IFERROR(VLOOKUP(Tabla134[[#This Row],[Código BPIN]],#REF!,5,0),0)</f>
        <v>0</v>
      </c>
      <c r="AX43" s="143" t="e">
        <f>+Tabla134[[#This Row],[Total Recursos Comprometido 2025]]/Tabla134[[#This Row],[Total 2025]]</f>
        <v>#DIV/0!</v>
      </c>
      <c r="AY43" s="144" t="e">
        <f>+Tabla134[[#This Row],[Total Recursos Obligados]]/Tabla134[[#This Row],[Total 2025]]</f>
        <v>#DIV/0!</v>
      </c>
      <c r="AZ43" s="145" t="e">
        <f>+Tabla134[[#This Row],[Total Recursos Pagados]]/Tabla134[[#This Row],[Total 2025]]</f>
        <v>#DIV/0!</v>
      </c>
      <c r="BA43" s="146"/>
      <c r="BB43" s="197" t="str">
        <f>IF(Tabla134[[#This Row],[Total Recursos Gestionados2]]=0,"_",IF(Tabla134[[#This Row],[Ejecución Recursos Comprometidos]]=0,100%,Tabla134[[#This Row],[Total Recursos Gestionados2]]/Tabla134[[#This Row],[Ejecución Recursos Comprometidos]]))</f>
        <v>_</v>
      </c>
      <c r="BC43" s="198"/>
      <c r="BD43" s="199"/>
      <c r="BE43" s="200"/>
      <c r="BF43" s="206"/>
    </row>
    <row r="44" spans="1:58" s="229" customFormat="1" ht="49.9" customHeight="1">
      <c r="A44" s="191">
        <v>99</v>
      </c>
      <c r="B44" s="191" t="s">
        <v>114</v>
      </c>
      <c r="C44" s="191" t="s">
        <v>121</v>
      </c>
      <c r="D44" s="191" t="s">
        <v>128</v>
      </c>
      <c r="E44" s="191" t="s">
        <v>129</v>
      </c>
      <c r="F44" s="191">
        <v>2402083</v>
      </c>
      <c r="G44" s="191" t="s">
        <v>141</v>
      </c>
      <c r="H44" s="202">
        <v>202500000028779</v>
      </c>
      <c r="I44" s="193" t="s">
        <v>322</v>
      </c>
      <c r="J44" s="194">
        <v>2421437130</v>
      </c>
      <c r="K44" s="194">
        <v>2421437130</v>
      </c>
      <c r="L44" s="193"/>
      <c r="M44" s="193"/>
      <c r="N44" s="193"/>
      <c r="O44" s="195"/>
      <c r="P44" s="194">
        <v>484287426</v>
      </c>
      <c r="Q44" s="141"/>
      <c r="R44" s="141"/>
      <c r="S44" s="141"/>
      <c r="T44" s="141"/>
      <c r="U44" s="141">
        <f>IFERROR(VLOOKUP(Tabla134[[#This Row],[Código BPIN]],#REF!,6,0),0)</f>
        <v>0</v>
      </c>
      <c r="V44" s="141"/>
      <c r="W44" s="141"/>
      <c r="X44" s="141"/>
      <c r="Y44" s="141">
        <f>IFERROR(VLOOKUP(Tabla134[[#This Row],[Código BPIN]],#REF!,7,0),0)</f>
        <v>0</v>
      </c>
      <c r="Z44" s="141"/>
      <c r="AA44" s="141"/>
      <c r="AB44" s="141"/>
      <c r="AC44" s="141"/>
      <c r="AD44" s="141"/>
      <c r="AE44" s="194">
        <f>+Tabla134[[#This Row],[Recursos propios 2025]]+Tabla134[[#This Row],[SGP Educación 2025]]+Tabla134[[#This Row],[SGP Salud 2025]]+Tabla134[[#This Row],[SGP Deporte 2025]]+Tabla134[[#This Row],[SGP Cultura 2025]]+Tabla134[[#This Row],[SGP Libre inversión 2025]]+Tabla134[[#This Row],[SGP Libre destinación 2025]]+Tabla134[[#This Row],[SGP Alimentación escolar 2025]]+Tabla134[[#This Row],[SGP Municipios río Magdalena 2025]]+Tabla134[[#This Row],[SGP APSB 2025]]+Tabla134[[#This Row],[Crédito 2025]]+Tabla134[[#This Row],[Transferencias de capital - cofinanciación departamento 2025]]+Tabla134[[#This Row],[Transferencias de capital - cofinanciación nación 2025]]+Tabla134[[#This Row],[Otros 2025]]+Tabla134[[#This Row],[Recursos del Balance]]</f>
        <v>484287426</v>
      </c>
      <c r="AF44" s="142">
        <f>IFERROR(VLOOKUP(Tabla134[[#This Row],[Código BPIN]],#REF!,8,0),0)</f>
        <v>0</v>
      </c>
      <c r="AG44" s="141">
        <f>IFERROR(VLOOKUP(Tabla134[[#This Row],[Código BPIN]],#REF!,9,0),0)</f>
        <v>0</v>
      </c>
      <c r="AH44" s="141"/>
      <c r="AI44" s="141"/>
      <c r="AJ44" s="141"/>
      <c r="AK44" s="141">
        <f>IFERROR(VLOOKUP(Tabla134[[#This Row],[Código BPIN]],#REF!,9,0),0)</f>
        <v>0</v>
      </c>
      <c r="AL44" s="141"/>
      <c r="AM44" s="141"/>
      <c r="AN44" s="141"/>
      <c r="AO44" s="141">
        <f>IFERROR(VLOOKUP(Tabla134[[#This Row],[Código BPIN]],#REF!,10,0),0)</f>
        <v>0</v>
      </c>
      <c r="AP44" s="141"/>
      <c r="AQ44" s="141"/>
      <c r="AR44" s="141"/>
      <c r="AS44" s="141"/>
      <c r="AT44" s="141"/>
      <c r="AU44" s="141">
        <f>+Tabla134[[#This Row],[Recursos propios 20252]]+Tabla134[[#This Row],[SGP Educación 20252]]+Tabla134[[#This Row],[SGP Salud 20252]]+Tabla134[[#This Row],[SGP Deporte 20252]]+Tabla134[[#This Row],[SGP Cultura 20252]]+Tabla134[[#This Row],[SGP Libre inversión 20252]]+Tabla134[[#This Row],[SGP Libre destinación 20252]]+Tabla134[[#This Row],[SGP Alimentación escolar 20252]]+Tabla134[[#This Row],[SGP Municipios río Magdalena 20252]]+Tabla134[[#This Row],[SGP APSB 20252]]+Tabla134[[#This Row],[Crédito 20252]]+Tabla134[[#This Row],[Transferencias de capital - cofinanciación departamento 20252]]+Tabla134[[#This Row],[Transferencias de capital - cofinanciación nación 20252]]+Tabla134[[#This Row],[Otros 20252]]+Tabla134[[#This Row],[Recursos del Balance 2025]]</f>
        <v>0</v>
      </c>
      <c r="AV44" s="141">
        <f>SUM(Tabla134[[#This Row],[Recursos propios 20252]:[Recursos del Balance 2025]])</f>
        <v>0</v>
      </c>
      <c r="AW44" s="201">
        <f>IFERROR(VLOOKUP(Tabla134[[#This Row],[Código BPIN]],#REF!,5,0),0)</f>
        <v>0</v>
      </c>
      <c r="AX44" s="143">
        <f>+Tabla134[[#This Row],[Total Recursos Comprometido 2025]]/Tabla134[[#This Row],[Total 2025]]</f>
        <v>0</v>
      </c>
      <c r="AY44" s="144">
        <f>+Tabla134[[#This Row],[Total Recursos Obligados]]/Tabla134[[#This Row],[Total 2025]]</f>
        <v>0</v>
      </c>
      <c r="AZ44" s="145">
        <f>+Tabla134[[#This Row],[Total Recursos Pagados]]/Tabla134[[#This Row],[Total 2025]]</f>
        <v>0</v>
      </c>
      <c r="BA44" s="146"/>
      <c r="BB44" s="197" t="str">
        <f>IF(Tabla134[[#This Row],[Total Recursos Gestionados2]]=0,"_",IF(Tabla134[[#This Row],[Ejecución Recursos Comprometidos]]=0,100%,Tabla134[[#This Row],[Total Recursos Gestionados2]]/Tabla134[[#This Row],[Ejecución Recursos Comprometidos]]))</f>
        <v>_</v>
      </c>
      <c r="BC44" s="198" t="s">
        <v>271</v>
      </c>
      <c r="BD44" s="199" t="s">
        <v>270</v>
      </c>
      <c r="BE44" s="200">
        <v>11</v>
      </c>
      <c r="BF44" s="206"/>
    </row>
    <row r="45" spans="1:58" s="229" customFormat="1" ht="49.9" customHeight="1">
      <c r="A45" s="191">
        <v>99</v>
      </c>
      <c r="B45" s="191" t="s">
        <v>114</v>
      </c>
      <c r="C45" s="191" t="s">
        <v>121</v>
      </c>
      <c r="D45" s="191" t="s">
        <v>128</v>
      </c>
      <c r="E45" s="191" t="s">
        <v>129</v>
      </c>
      <c r="F45" s="191">
        <v>2402083</v>
      </c>
      <c r="G45" s="191" t="s">
        <v>141</v>
      </c>
      <c r="H45" s="202">
        <v>2024680010248</v>
      </c>
      <c r="I45" s="193" t="s">
        <v>251</v>
      </c>
      <c r="J45" s="194">
        <v>761806300</v>
      </c>
      <c r="K45" s="194">
        <v>0</v>
      </c>
      <c r="L45" s="193"/>
      <c r="M45" s="193"/>
      <c r="N45" s="193"/>
      <c r="O45" s="195"/>
      <c r="P45" s="194">
        <f>IFERROR(VLOOKUP(Tabla134[[#This Row],[Código BPIN]],#REF!,5,0),0)</f>
        <v>0</v>
      </c>
      <c r="Q45" s="141"/>
      <c r="R45" s="141"/>
      <c r="S45" s="141"/>
      <c r="T45" s="141"/>
      <c r="U45" s="141">
        <f>IFERROR(VLOOKUP(Tabla134[[#This Row],[Código BPIN]],#REF!,6,0),0)</f>
        <v>0</v>
      </c>
      <c r="V45" s="141"/>
      <c r="W45" s="141"/>
      <c r="X45" s="141"/>
      <c r="Y45" s="141">
        <f>IFERROR(VLOOKUP(Tabla134[[#This Row],[Código BPIN]],#REF!,7,0),0)</f>
        <v>0</v>
      </c>
      <c r="Z45" s="141"/>
      <c r="AA45" s="141"/>
      <c r="AB45" s="141"/>
      <c r="AC45" s="141"/>
      <c r="AD45" s="141"/>
      <c r="AE45" s="196">
        <f>+Tabla134[[#This Row],[Recursos propios 2025]]+Tabla134[[#This Row],[SGP Educación 2025]]+Tabla134[[#This Row],[SGP Salud 2025]]+Tabla134[[#This Row],[SGP Deporte 2025]]+Tabla134[[#This Row],[SGP Cultura 2025]]+Tabla134[[#This Row],[SGP Libre inversión 2025]]+Tabla134[[#This Row],[SGP Libre destinación 2025]]+Tabla134[[#This Row],[SGP Alimentación escolar 2025]]+Tabla134[[#This Row],[SGP Municipios río Magdalena 2025]]+Tabla134[[#This Row],[SGP APSB 2025]]+Tabla134[[#This Row],[Crédito 2025]]+Tabla134[[#This Row],[Transferencias de capital - cofinanciación departamento 2025]]+Tabla134[[#This Row],[Transferencias de capital - cofinanciación nación 2025]]+Tabla134[[#This Row],[Otros 2025]]+Tabla134[[#This Row],[Recursos del Balance]]</f>
        <v>0</v>
      </c>
      <c r="AF45" s="142">
        <f>IFERROR(VLOOKUP(Tabla134[[#This Row],[Código BPIN]],#REF!,8,0),0)</f>
        <v>0</v>
      </c>
      <c r="AG45" s="141">
        <f>IFERROR(VLOOKUP(Tabla134[[#This Row],[Código BPIN]],#REF!,9,0),0)</f>
        <v>0</v>
      </c>
      <c r="AH45" s="141"/>
      <c r="AI45" s="141"/>
      <c r="AJ45" s="141"/>
      <c r="AK45" s="141">
        <f>IFERROR(VLOOKUP(Tabla134[[#This Row],[Código BPIN]],#REF!,9,0),0)</f>
        <v>0</v>
      </c>
      <c r="AL45" s="141"/>
      <c r="AM45" s="141"/>
      <c r="AN45" s="141"/>
      <c r="AO45" s="141">
        <f>IFERROR(VLOOKUP(Tabla134[[#This Row],[Código BPIN]],#REF!,10,0),0)</f>
        <v>0</v>
      </c>
      <c r="AP45" s="141"/>
      <c r="AQ45" s="141"/>
      <c r="AR45" s="141"/>
      <c r="AS45" s="141"/>
      <c r="AT45" s="141"/>
      <c r="AU45" s="141">
        <f>+Tabla134[[#This Row],[Recursos propios 20252]]+Tabla134[[#This Row],[SGP Educación 20252]]+Tabla134[[#This Row],[SGP Salud 20252]]+Tabla134[[#This Row],[SGP Deporte 20252]]+Tabla134[[#This Row],[SGP Cultura 20252]]+Tabla134[[#This Row],[SGP Libre inversión 20252]]+Tabla134[[#This Row],[SGP Libre destinación 20252]]+Tabla134[[#This Row],[SGP Alimentación escolar 20252]]+Tabla134[[#This Row],[SGP Municipios río Magdalena 20252]]+Tabla134[[#This Row],[SGP APSB 20252]]+Tabla134[[#This Row],[Crédito 20252]]+Tabla134[[#This Row],[Transferencias de capital - cofinanciación departamento 20252]]+Tabla134[[#This Row],[Transferencias de capital - cofinanciación nación 20252]]+Tabla134[[#This Row],[Otros 20252]]+Tabla134[[#This Row],[Recursos del Balance 2025]]</f>
        <v>0</v>
      </c>
      <c r="AV45" s="141">
        <f>SUM(Tabla134[[#This Row],[Recursos propios 20252]:[Recursos del Balance 2025]])</f>
        <v>0</v>
      </c>
      <c r="AW45" s="201">
        <f>IFERROR(VLOOKUP(Tabla134[[#This Row],[Código BPIN]],#REF!,5,0),0)</f>
        <v>0</v>
      </c>
      <c r="AX45" s="143" t="e">
        <f>+Tabla134[[#This Row],[Total Recursos Comprometido 2025]]/Tabla134[[#This Row],[Total 2025]]</f>
        <v>#DIV/0!</v>
      </c>
      <c r="AY45" s="144" t="e">
        <f>+Tabla134[[#This Row],[Total Recursos Obligados]]/Tabla134[[#This Row],[Total 2025]]</f>
        <v>#DIV/0!</v>
      </c>
      <c r="AZ45" s="145" t="e">
        <f>+Tabla134[[#This Row],[Total Recursos Pagados]]/Tabla134[[#This Row],[Total 2025]]</f>
        <v>#DIV/0!</v>
      </c>
      <c r="BA45" s="146"/>
      <c r="BB45" s="197" t="str">
        <f>IF(Tabla134[[#This Row],[Total Recursos Gestionados2]]=0,"_",IF(Tabla134[[#This Row],[Ejecución Recursos Comprometidos]]=0,100%,Tabla134[[#This Row],[Total Recursos Gestionados2]]/Tabla134[[#This Row],[Ejecución Recursos Comprometidos]]))</f>
        <v>_</v>
      </c>
      <c r="BC45" s="198" t="s">
        <v>271</v>
      </c>
      <c r="BD45" s="199" t="s">
        <v>270</v>
      </c>
      <c r="BE45" s="200">
        <v>11</v>
      </c>
      <c r="BF45" s="206"/>
    </row>
    <row r="46" spans="1:58" s="229" customFormat="1" ht="49.9" customHeight="1">
      <c r="A46" s="191">
        <v>100</v>
      </c>
      <c r="B46" s="191" t="s">
        <v>114</v>
      </c>
      <c r="C46" s="191" t="s">
        <v>121</v>
      </c>
      <c r="D46" s="191" t="s">
        <v>128</v>
      </c>
      <c r="E46" s="191" t="s">
        <v>129</v>
      </c>
      <c r="F46" s="191">
        <v>2402044</v>
      </c>
      <c r="G46" s="191" t="s">
        <v>144</v>
      </c>
      <c r="H46" s="202"/>
      <c r="I46" s="193"/>
      <c r="J46" s="194"/>
      <c r="K46" s="194">
        <f>IFERROR(VLOOKUP(Tabla134[[#This Row],[Código BPIN]],#REF!,2,0),0)</f>
        <v>0</v>
      </c>
      <c r="L46" s="193"/>
      <c r="M46" s="193"/>
      <c r="N46" s="193"/>
      <c r="O46" s="195"/>
      <c r="P46" s="203">
        <f>IFERROR(VLOOKUP(Tabla134[[#This Row],[Código BPIN]],#REF!,5,0),0)</f>
        <v>0</v>
      </c>
      <c r="Q46" s="141"/>
      <c r="R46" s="141"/>
      <c r="S46" s="141"/>
      <c r="T46" s="141"/>
      <c r="U46" s="141">
        <f>IFERROR(VLOOKUP(Tabla134[[#This Row],[Código BPIN]],#REF!,6,0),0)</f>
        <v>0</v>
      </c>
      <c r="V46" s="141"/>
      <c r="W46" s="141"/>
      <c r="X46" s="141"/>
      <c r="Y46" s="141">
        <f>IFERROR(VLOOKUP(Tabla134[[#This Row],[Código BPIN]],#REF!,7,0),0)</f>
        <v>0</v>
      </c>
      <c r="Z46" s="141"/>
      <c r="AA46" s="141"/>
      <c r="AB46" s="141"/>
      <c r="AC46" s="141"/>
      <c r="AD46" s="141"/>
      <c r="AE46" s="196">
        <f>+Tabla134[[#This Row],[Recursos propios 2025]]+Tabla134[[#This Row],[SGP Educación 2025]]+Tabla134[[#This Row],[SGP Salud 2025]]+Tabla134[[#This Row],[SGP Deporte 2025]]+Tabla134[[#This Row],[SGP Cultura 2025]]+Tabla134[[#This Row],[SGP Libre inversión 2025]]+Tabla134[[#This Row],[SGP Libre destinación 2025]]+Tabla134[[#This Row],[SGP Alimentación escolar 2025]]+Tabla134[[#This Row],[SGP Municipios río Magdalena 2025]]+Tabla134[[#This Row],[SGP APSB 2025]]+Tabla134[[#This Row],[Crédito 2025]]+Tabla134[[#This Row],[Transferencias de capital - cofinanciación departamento 2025]]+Tabla134[[#This Row],[Transferencias de capital - cofinanciación nación 2025]]+Tabla134[[#This Row],[Otros 2025]]+Tabla134[[#This Row],[Recursos del Balance]]</f>
        <v>0</v>
      </c>
      <c r="AF46" s="142">
        <f>IFERROR(VLOOKUP(Tabla134[[#This Row],[Código BPIN]],#REF!,8,0),0)</f>
        <v>0</v>
      </c>
      <c r="AG46" s="141">
        <f>IFERROR(VLOOKUP(Tabla134[[#This Row],[Código BPIN]],#REF!,9,0),0)</f>
        <v>0</v>
      </c>
      <c r="AH46" s="141"/>
      <c r="AI46" s="141"/>
      <c r="AJ46" s="141"/>
      <c r="AK46" s="141">
        <f>IFERROR(VLOOKUP(Tabla134[[#This Row],[Código BPIN]],#REF!,9,0),0)</f>
        <v>0</v>
      </c>
      <c r="AL46" s="141"/>
      <c r="AM46" s="141"/>
      <c r="AN46" s="141"/>
      <c r="AO46" s="141">
        <f>IFERROR(VLOOKUP(Tabla134[[#This Row],[Código BPIN]],#REF!,10,0),0)</f>
        <v>0</v>
      </c>
      <c r="AP46" s="141"/>
      <c r="AQ46" s="141"/>
      <c r="AR46" s="141"/>
      <c r="AS46" s="141"/>
      <c r="AT46" s="141"/>
      <c r="AU46" s="141">
        <f>+Tabla134[[#This Row],[Recursos propios 20252]]+Tabla134[[#This Row],[SGP Educación 20252]]+Tabla134[[#This Row],[SGP Salud 20252]]+Tabla134[[#This Row],[SGP Deporte 20252]]+Tabla134[[#This Row],[SGP Cultura 20252]]+Tabla134[[#This Row],[SGP Libre inversión 20252]]+Tabla134[[#This Row],[SGP Libre destinación 20252]]+Tabla134[[#This Row],[SGP Alimentación escolar 20252]]+Tabla134[[#This Row],[SGP Municipios río Magdalena 20252]]+Tabla134[[#This Row],[SGP APSB 20252]]+Tabla134[[#This Row],[Crédito 20252]]+Tabla134[[#This Row],[Transferencias de capital - cofinanciación departamento 20252]]+Tabla134[[#This Row],[Transferencias de capital - cofinanciación nación 20252]]+Tabla134[[#This Row],[Otros 20252]]+Tabla134[[#This Row],[Recursos del Balance 2025]]</f>
        <v>0</v>
      </c>
      <c r="AV46" s="141">
        <f>SUM(Tabla134[[#This Row],[Recursos propios 20252]:[Recursos del Balance 2025]])</f>
        <v>0</v>
      </c>
      <c r="AW46" s="201">
        <f>IFERROR(VLOOKUP(Tabla134[[#This Row],[Código BPIN]],#REF!,5,0),0)</f>
        <v>0</v>
      </c>
      <c r="AX46" s="143" t="e">
        <f>+Tabla134[[#This Row],[Total Recursos Comprometido 2025]]/Tabla134[[#This Row],[Total 2025]]</f>
        <v>#DIV/0!</v>
      </c>
      <c r="AY46" s="144" t="e">
        <f>+Tabla134[[#This Row],[Total Recursos Obligados]]/Tabla134[[#This Row],[Total 2025]]</f>
        <v>#DIV/0!</v>
      </c>
      <c r="AZ46" s="145" t="e">
        <f>+Tabla134[[#This Row],[Total Recursos Pagados]]/Tabla134[[#This Row],[Total 2025]]</f>
        <v>#DIV/0!</v>
      </c>
      <c r="BA46" s="146"/>
      <c r="BB46" s="197" t="str">
        <f>IF(Tabla134[[#This Row],[Total Recursos Gestionados2]]=0,"_",IF(Tabla134[[#This Row],[Ejecución Recursos Comprometidos]]=0,100%,Tabla134[[#This Row],[Total Recursos Gestionados2]]/Tabla134[[#This Row],[Ejecución Recursos Comprometidos]]))</f>
        <v>_</v>
      </c>
      <c r="BC46" s="198" t="s">
        <v>271</v>
      </c>
      <c r="BD46" s="199" t="s">
        <v>270</v>
      </c>
      <c r="BE46" s="200">
        <v>11</v>
      </c>
      <c r="BF46" s="206"/>
    </row>
    <row r="47" spans="1:58" s="229" customFormat="1" ht="49.9" customHeight="1">
      <c r="A47" s="191">
        <v>101</v>
      </c>
      <c r="B47" s="191" t="s">
        <v>114</v>
      </c>
      <c r="C47" s="191" t="s">
        <v>121</v>
      </c>
      <c r="D47" s="191" t="s">
        <v>128</v>
      </c>
      <c r="E47" s="191" t="s">
        <v>129</v>
      </c>
      <c r="F47" s="191">
        <v>2402118</v>
      </c>
      <c r="G47" s="191" t="s">
        <v>147</v>
      </c>
      <c r="H47" s="202">
        <v>2024680010248</v>
      </c>
      <c r="I47" s="193" t="s">
        <v>251</v>
      </c>
      <c r="J47" s="194">
        <v>1500000000</v>
      </c>
      <c r="K47" s="194">
        <v>0</v>
      </c>
      <c r="L47" s="193"/>
      <c r="M47" s="193"/>
      <c r="N47" s="193"/>
      <c r="O47" s="195"/>
      <c r="P47" s="203">
        <f>IFERROR(VLOOKUP(Tabla134[[#This Row],[Código BPIN]],#REF!,5,0),0)</f>
        <v>0</v>
      </c>
      <c r="Q47" s="141"/>
      <c r="R47" s="141"/>
      <c r="S47" s="141"/>
      <c r="T47" s="141"/>
      <c r="U47" s="141">
        <f>IFERROR(VLOOKUP(Tabla134[[#This Row],[Código BPIN]],#REF!,6,0),0)</f>
        <v>0</v>
      </c>
      <c r="V47" s="141"/>
      <c r="W47" s="141"/>
      <c r="X47" s="141"/>
      <c r="Y47" s="141">
        <f>IFERROR(VLOOKUP(Tabla134[[#This Row],[Código BPIN]],#REF!,7,0),0)</f>
        <v>0</v>
      </c>
      <c r="Z47" s="141"/>
      <c r="AA47" s="141"/>
      <c r="AB47" s="141"/>
      <c r="AC47" s="141"/>
      <c r="AD47" s="141"/>
      <c r="AE47" s="196">
        <f>+Tabla134[[#This Row],[Recursos propios 2025]]+Tabla134[[#This Row],[SGP Educación 2025]]+Tabla134[[#This Row],[SGP Salud 2025]]+Tabla134[[#This Row],[SGP Deporte 2025]]+Tabla134[[#This Row],[SGP Cultura 2025]]+Tabla134[[#This Row],[SGP Libre inversión 2025]]+Tabla134[[#This Row],[SGP Libre destinación 2025]]+Tabla134[[#This Row],[SGP Alimentación escolar 2025]]+Tabla134[[#This Row],[SGP Municipios río Magdalena 2025]]+Tabla134[[#This Row],[SGP APSB 2025]]+Tabla134[[#This Row],[Crédito 2025]]+Tabla134[[#This Row],[Transferencias de capital - cofinanciación departamento 2025]]+Tabla134[[#This Row],[Transferencias de capital - cofinanciación nación 2025]]+Tabla134[[#This Row],[Otros 2025]]+Tabla134[[#This Row],[Recursos del Balance]]</f>
        <v>0</v>
      </c>
      <c r="AF47" s="142">
        <f>IFERROR(VLOOKUP(Tabla134[[#This Row],[Código BPIN]],#REF!,8,0),0)</f>
        <v>0</v>
      </c>
      <c r="AG47" s="141">
        <f>IFERROR(VLOOKUP(Tabla134[[#This Row],[Código BPIN]],#REF!,9,0),0)</f>
        <v>0</v>
      </c>
      <c r="AH47" s="141"/>
      <c r="AI47" s="141"/>
      <c r="AJ47" s="141"/>
      <c r="AK47" s="141">
        <f>IFERROR(VLOOKUP(Tabla134[[#This Row],[Código BPIN]],#REF!,9,0),0)</f>
        <v>0</v>
      </c>
      <c r="AL47" s="141"/>
      <c r="AM47" s="141"/>
      <c r="AN47" s="141"/>
      <c r="AO47" s="141">
        <f>IFERROR(VLOOKUP(Tabla134[[#This Row],[Código BPIN]],#REF!,10,0),0)</f>
        <v>0</v>
      </c>
      <c r="AP47" s="141"/>
      <c r="AQ47" s="141"/>
      <c r="AR47" s="141"/>
      <c r="AS47" s="141"/>
      <c r="AT47" s="141"/>
      <c r="AU47" s="141">
        <f>+Tabla134[[#This Row],[Recursos propios 20252]]+Tabla134[[#This Row],[SGP Educación 20252]]+Tabla134[[#This Row],[SGP Salud 20252]]+Tabla134[[#This Row],[SGP Deporte 20252]]+Tabla134[[#This Row],[SGP Cultura 20252]]+Tabla134[[#This Row],[SGP Libre inversión 20252]]+Tabla134[[#This Row],[SGP Libre destinación 20252]]+Tabla134[[#This Row],[SGP Alimentación escolar 20252]]+Tabla134[[#This Row],[SGP Municipios río Magdalena 20252]]+Tabla134[[#This Row],[SGP APSB 20252]]+Tabla134[[#This Row],[Crédito 20252]]+Tabla134[[#This Row],[Transferencias de capital - cofinanciación departamento 20252]]+Tabla134[[#This Row],[Transferencias de capital - cofinanciación nación 20252]]+Tabla134[[#This Row],[Otros 20252]]+Tabla134[[#This Row],[Recursos del Balance 2025]]</f>
        <v>0</v>
      </c>
      <c r="AV47" s="141">
        <f>SUM(Tabla134[[#This Row],[Recursos propios 20252]:[Recursos del Balance 2025]])</f>
        <v>0</v>
      </c>
      <c r="AW47" s="201">
        <f>IFERROR(VLOOKUP(Tabla134[[#This Row],[Código BPIN]],#REF!,5,0),0)</f>
        <v>0</v>
      </c>
      <c r="AX47" s="143" t="e">
        <f>+Tabla134[[#This Row],[Total Recursos Comprometido 2025]]/Tabla134[[#This Row],[Total 2025]]</f>
        <v>#DIV/0!</v>
      </c>
      <c r="AY47" s="144" t="e">
        <f>+Tabla134[[#This Row],[Total Recursos Obligados]]/Tabla134[[#This Row],[Total 2025]]</f>
        <v>#DIV/0!</v>
      </c>
      <c r="AZ47" s="145" t="e">
        <f>+Tabla134[[#This Row],[Total Recursos Pagados]]/Tabla134[[#This Row],[Total 2025]]</f>
        <v>#DIV/0!</v>
      </c>
      <c r="BA47" s="146"/>
      <c r="BB47" s="197" t="str">
        <f>IF(Tabla134[[#This Row],[Total Recursos Gestionados2]]=0,"_",IF(Tabla134[[#This Row],[Ejecución Recursos Comprometidos]]=0,100%,Tabla134[[#This Row],[Total Recursos Gestionados2]]/Tabla134[[#This Row],[Ejecución Recursos Comprometidos]]))</f>
        <v>_</v>
      </c>
      <c r="BC47" s="198" t="s">
        <v>271</v>
      </c>
      <c r="BD47" s="199" t="s">
        <v>270</v>
      </c>
      <c r="BE47" s="200">
        <v>11</v>
      </c>
      <c r="BF47" s="206"/>
    </row>
    <row r="48" spans="1:58" s="229" customFormat="1" ht="49.9" customHeight="1">
      <c r="A48" s="191">
        <v>101</v>
      </c>
      <c r="B48" s="191" t="s">
        <v>114</v>
      </c>
      <c r="C48" s="191" t="s">
        <v>121</v>
      </c>
      <c r="D48" s="191" t="s">
        <v>128</v>
      </c>
      <c r="E48" s="191" t="s">
        <v>129</v>
      </c>
      <c r="F48" s="191">
        <v>2402118</v>
      </c>
      <c r="G48" s="191" t="s">
        <v>147</v>
      </c>
      <c r="H48" s="202">
        <v>202500000036178</v>
      </c>
      <c r="I48" s="193" t="s">
        <v>343</v>
      </c>
      <c r="J48" s="194">
        <v>120344831</v>
      </c>
      <c r="K48" s="194">
        <f>IFERROR(VLOOKUP(Tabla134[[#This Row],[Código BPIN]],#REF!,2,0),0)</f>
        <v>0</v>
      </c>
      <c r="L48" s="193"/>
      <c r="M48" s="193"/>
      <c r="N48" s="193"/>
      <c r="O48" s="195"/>
      <c r="P48" s="203">
        <f>IFERROR(VLOOKUP(Tabla134[[#This Row],[Código BPIN]],#REF!,5,0),0)</f>
        <v>0</v>
      </c>
      <c r="Q48" s="141"/>
      <c r="R48" s="141"/>
      <c r="S48" s="141"/>
      <c r="T48" s="141"/>
      <c r="U48" s="141">
        <f>IFERROR(VLOOKUP(Tabla134[[#This Row],[Código BPIN]],#REF!,6,0),0)</f>
        <v>0</v>
      </c>
      <c r="V48" s="141"/>
      <c r="W48" s="141"/>
      <c r="X48" s="141"/>
      <c r="Y48" s="141">
        <f>IFERROR(VLOOKUP(Tabla134[[#This Row],[Código BPIN]],#REF!,7,0),0)</f>
        <v>0</v>
      </c>
      <c r="Z48" s="141"/>
      <c r="AA48" s="141"/>
      <c r="AB48" s="141"/>
      <c r="AC48" s="141">
        <v>120344831</v>
      </c>
      <c r="AD48" s="141"/>
      <c r="AE48" s="201">
        <f>+Tabla134[[#This Row],[Recursos propios 2025]]+Tabla134[[#This Row],[SGP Educación 2025]]+Tabla134[[#This Row],[SGP Salud 2025]]+Tabla134[[#This Row],[SGP Deporte 2025]]+Tabla134[[#This Row],[SGP Cultura 2025]]+Tabla134[[#This Row],[SGP Libre inversión 2025]]+Tabla134[[#This Row],[SGP Libre destinación 2025]]+Tabla134[[#This Row],[SGP Alimentación escolar 2025]]+Tabla134[[#This Row],[SGP Municipios río Magdalena 2025]]+Tabla134[[#This Row],[SGP APSB 2025]]+Tabla134[[#This Row],[Crédito 2025]]+Tabla134[[#This Row],[Transferencias de capital - cofinanciación departamento 2025]]+Tabla134[[#This Row],[Transferencias de capital - cofinanciación nación 2025]]+Tabla134[[#This Row],[Otros 2025]]+Tabla134[[#This Row],[Recursos del Balance]]</f>
        <v>120344831</v>
      </c>
      <c r="AF48" s="142">
        <f>IFERROR(VLOOKUP(Tabla134[[#This Row],[Código BPIN]],#REF!,8,0),0)</f>
        <v>0</v>
      </c>
      <c r="AG48" s="141">
        <f>IFERROR(VLOOKUP(Tabla134[[#This Row],[Código BPIN]],#REF!,9,0),0)</f>
        <v>0</v>
      </c>
      <c r="AH48" s="141"/>
      <c r="AI48" s="141"/>
      <c r="AJ48" s="141"/>
      <c r="AK48" s="141">
        <f>IFERROR(VLOOKUP(Tabla134[[#This Row],[Código BPIN]],#REF!,9,0),0)</f>
        <v>0</v>
      </c>
      <c r="AL48" s="141"/>
      <c r="AM48" s="141"/>
      <c r="AN48" s="141"/>
      <c r="AO48" s="141">
        <f>IFERROR(VLOOKUP(Tabla134[[#This Row],[Código BPIN]],#REF!,10,0),0)</f>
        <v>0</v>
      </c>
      <c r="AP48" s="141"/>
      <c r="AQ48" s="141"/>
      <c r="AR48" s="141"/>
      <c r="AS48" s="141"/>
      <c r="AT48" s="141"/>
      <c r="AU48" s="141">
        <f>+Tabla134[[#This Row],[Recursos propios 20252]]+Tabla134[[#This Row],[SGP Educación 20252]]+Tabla134[[#This Row],[SGP Salud 20252]]+Tabla134[[#This Row],[SGP Deporte 20252]]+Tabla134[[#This Row],[SGP Cultura 20252]]+Tabla134[[#This Row],[SGP Libre inversión 20252]]+Tabla134[[#This Row],[SGP Libre destinación 20252]]+Tabla134[[#This Row],[SGP Alimentación escolar 20252]]+Tabla134[[#This Row],[SGP Municipios río Magdalena 20252]]+Tabla134[[#This Row],[SGP APSB 20252]]+Tabla134[[#This Row],[Crédito 20252]]+Tabla134[[#This Row],[Transferencias de capital - cofinanciación departamento 20252]]+Tabla134[[#This Row],[Transferencias de capital - cofinanciación nación 20252]]+Tabla134[[#This Row],[Otros 20252]]+Tabla134[[#This Row],[Recursos del Balance 2025]]</f>
        <v>0</v>
      </c>
      <c r="AV48" s="141">
        <v>0</v>
      </c>
      <c r="AW48" s="201">
        <v>0</v>
      </c>
      <c r="AX48" s="143">
        <f>+Tabla134[[#This Row],[Total Recursos Comprometido 2025]]/Tabla134[[#This Row],[Total 2025]]</f>
        <v>0</v>
      </c>
      <c r="AY48" s="144">
        <f>+Tabla134[[#This Row],[Total Recursos Obligados]]/Tabla134[[#This Row],[Total 2025]]</f>
        <v>0</v>
      </c>
      <c r="AZ48" s="145">
        <f>+Tabla134[[#This Row],[Total Recursos Pagados]]/Tabla134[[#This Row],[Total 2025]]</f>
        <v>0</v>
      </c>
      <c r="BA48" s="146"/>
      <c r="BB48" s="197" t="str">
        <f>IF(Tabla134[[#This Row],[Total Recursos Gestionados2]]=0,"_",IF(Tabla134[[#This Row],[Ejecución Recursos Comprometidos]]=0,100%,Tabla134[[#This Row],[Total Recursos Gestionados2]]/Tabla134[[#This Row],[Ejecución Recursos Comprometidos]]))</f>
        <v>_</v>
      </c>
      <c r="BC48" s="198"/>
      <c r="BD48" s="199"/>
      <c r="BE48" s="200"/>
      <c r="BF48" s="206"/>
    </row>
    <row r="49" spans="1:58" s="229" customFormat="1" ht="49.9" customHeight="1">
      <c r="A49" s="191">
        <v>102</v>
      </c>
      <c r="B49" s="191" t="s">
        <v>114</v>
      </c>
      <c r="C49" s="191" t="s">
        <v>121</v>
      </c>
      <c r="D49" s="191" t="s">
        <v>128</v>
      </c>
      <c r="E49" s="191" t="s">
        <v>129</v>
      </c>
      <c r="F49" s="191">
        <v>2402113</v>
      </c>
      <c r="G49" s="191" t="s">
        <v>150</v>
      </c>
      <c r="H49" s="202">
        <v>2022680010100</v>
      </c>
      <c r="I49" s="193" t="s">
        <v>253</v>
      </c>
      <c r="J49" s="194">
        <v>57878573786.919998</v>
      </c>
      <c r="K49" s="194">
        <v>3591809429</v>
      </c>
      <c r="L49" s="193"/>
      <c r="M49" s="193"/>
      <c r="N49" s="193"/>
      <c r="O49" s="195"/>
      <c r="P49" s="203">
        <v>3241809429</v>
      </c>
      <c r="Q49" s="141"/>
      <c r="R49" s="141"/>
      <c r="S49" s="141"/>
      <c r="T49" s="141"/>
      <c r="U49" s="141">
        <f>IFERROR(VLOOKUP(Tabla134[[#This Row],[Código BPIN]],#REF!,6,0),0)</f>
        <v>0</v>
      </c>
      <c r="V49" s="141"/>
      <c r="W49" s="141"/>
      <c r="X49" s="141"/>
      <c r="Y49" s="141">
        <f>IFERROR(VLOOKUP(Tabla134[[#This Row],[Código BPIN]],#REF!,7,0),0)</f>
        <v>0</v>
      </c>
      <c r="Z49" s="141"/>
      <c r="AA49" s="141"/>
      <c r="AB49" s="141"/>
      <c r="AC49" s="141">
        <v>350000000</v>
      </c>
      <c r="AD49" s="141"/>
      <c r="AE49" s="194">
        <f>+Tabla134[[#This Row],[Recursos propios 2025]]+Tabla134[[#This Row],[SGP Educación 2025]]+Tabla134[[#This Row],[SGP Salud 2025]]+Tabla134[[#This Row],[SGP Deporte 2025]]+Tabla134[[#This Row],[SGP Cultura 2025]]+Tabla134[[#This Row],[SGP Libre inversión 2025]]+Tabla134[[#This Row],[SGP Libre destinación 2025]]+Tabla134[[#This Row],[SGP Alimentación escolar 2025]]+Tabla134[[#This Row],[SGP Municipios río Magdalena 2025]]+Tabla134[[#This Row],[SGP APSB 2025]]+Tabla134[[#This Row],[Crédito 2025]]+Tabla134[[#This Row],[Transferencias de capital - cofinanciación departamento 2025]]+Tabla134[[#This Row],[Transferencias de capital - cofinanciación nación 2025]]+Tabla134[[#This Row],[Otros 2025]]+Tabla134[[#This Row],[Recursos del Balance]]</f>
        <v>3591809429</v>
      </c>
      <c r="AF49" s="142">
        <f>IFERROR(VLOOKUP(Tabla134[[#This Row],[Código BPIN]],#REF!,8,0),0)</f>
        <v>0</v>
      </c>
      <c r="AG49" s="141">
        <f>IFERROR(VLOOKUP(Tabla134[[#This Row],[Código BPIN]],#REF!,9,0),0)</f>
        <v>0</v>
      </c>
      <c r="AH49" s="141"/>
      <c r="AI49" s="141"/>
      <c r="AJ49" s="141"/>
      <c r="AK49" s="141">
        <f>IFERROR(VLOOKUP(Tabla134[[#This Row],[Código BPIN]],#REF!,9,0),0)</f>
        <v>0</v>
      </c>
      <c r="AL49" s="141"/>
      <c r="AM49" s="141"/>
      <c r="AN49" s="141"/>
      <c r="AO49" s="141">
        <f>IFERROR(VLOOKUP(Tabla134[[#This Row],[Código BPIN]],#REF!,10,0),0)</f>
        <v>0</v>
      </c>
      <c r="AP49" s="141"/>
      <c r="AQ49" s="141"/>
      <c r="AR49" s="141"/>
      <c r="AS49" s="141"/>
      <c r="AT49" s="141"/>
      <c r="AU49" s="141">
        <f>+Tabla134[[#This Row],[Recursos propios 20252]]+Tabla134[[#This Row],[SGP Educación 20252]]+Tabla134[[#This Row],[SGP Salud 20252]]+Tabla134[[#This Row],[SGP Deporte 20252]]+Tabla134[[#This Row],[SGP Cultura 20252]]+Tabla134[[#This Row],[SGP Libre inversión 20252]]+Tabla134[[#This Row],[SGP Libre destinación 20252]]+Tabla134[[#This Row],[SGP Alimentación escolar 20252]]+Tabla134[[#This Row],[SGP Municipios río Magdalena 20252]]+Tabla134[[#This Row],[SGP APSB 20252]]+Tabla134[[#This Row],[Crédito 20252]]+Tabla134[[#This Row],[Transferencias de capital - cofinanciación departamento 20252]]+Tabla134[[#This Row],[Transferencias de capital - cofinanciación nación 20252]]+Tabla134[[#This Row],[Otros 20252]]+Tabla134[[#This Row],[Recursos del Balance 2025]]</f>
        <v>0</v>
      </c>
      <c r="AV49" s="141">
        <f>SUM(Tabla134[[#This Row],[Recursos propios 20252]:[Recursos del Balance 2025]])</f>
        <v>0</v>
      </c>
      <c r="AW49" s="201">
        <f>IFERROR(VLOOKUP(Tabla134[[#This Row],[Código BPIN]],#REF!,5,0),0)</f>
        <v>0</v>
      </c>
      <c r="AX49" s="143">
        <f>+Tabla134[[#This Row],[Total Recursos Comprometido 2025]]/Tabla134[[#This Row],[Total 2025]]</f>
        <v>0</v>
      </c>
      <c r="AY49" s="144">
        <f>+Tabla134[[#This Row],[Total Recursos Obligados]]/Tabla134[[#This Row],[Total 2025]]</f>
        <v>0</v>
      </c>
      <c r="AZ49" s="145">
        <f>+Tabla134[[#This Row],[Total Recursos Pagados]]/Tabla134[[#This Row],[Total 2025]]</f>
        <v>0</v>
      </c>
      <c r="BA49" s="146"/>
      <c r="BB49" s="197" t="str">
        <f>IF(Tabla134[[#This Row],[Total Recursos Gestionados2]]=0,"_",IF(Tabla134[[#This Row],[Ejecución Recursos Comprometidos]]=0,100%,Tabla134[[#This Row],[Total Recursos Gestionados2]]/Tabla134[[#This Row],[Ejecución Recursos Comprometidos]]))</f>
        <v>_</v>
      </c>
      <c r="BC49" s="198" t="s">
        <v>271</v>
      </c>
      <c r="BD49" s="199" t="s">
        <v>270</v>
      </c>
      <c r="BE49" s="200">
        <v>11</v>
      </c>
      <c r="BF49" s="206"/>
    </row>
    <row r="50" spans="1:58" s="229" customFormat="1" ht="49.9" customHeight="1">
      <c r="A50" s="191">
        <v>103</v>
      </c>
      <c r="B50" s="191" t="s">
        <v>114</v>
      </c>
      <c r="C50" s="191" t="s">
        <v>121</v>
      </c>
      <c r="D50" s="191" t="s">
        <v>128</v>
      </c>
      <c r="E50" s="191" t="s">
        <v>129</v>
      </c>
      <c r="F50" s="191">
        <v>2402114</v>
      </c>
      <c r="G50" s="191" t="s">
        <v>154</v>
      </c>
      <c r="H50" s="202">
        <v>2024680010051</v>
      </c>
      <c r="I50" s="193" t="s">
        <v>254</v>
      </c>
      <c r="J50" s="194">
        <v>31333351661</v>
      </c>
      <c r="K50" s="194">
        <v>31452833662.299999</v>
      </c>
      <c r="L50" s="193"/>
      <c r="M50" s="193"/>
      <c r="N50" s="193"/>
      <c r="O50" s="195"/>
      <c r="P50" s="203">
        <v>17334848648</v>
      </c>
      <c r="Q50" s="141"/>
      <c r="R50" s="141"/>
      <c r="S50" s="141"/>
      <c r="T50" s="141"/>
      <c r="U50" s="203">
        <v>12354998254.33</v>
      </c>
      <c r="V50" s="141"/>
      <c r="W50" s="141"/>
      <c r="X50" s="141"/>
      <c r="Y50" s="141">
        <f>IFERROR(VLOOKUP(Tabla134[[#This Row],[Código BPIN]],#REF!,7,0),0)</f>
        <v>0</v>
      </c>
      <c r="Z50" s="141"/>
      <c r="AA50" s="141"/>
      <c r="AB50" s="141"/>
      <c r="AC50" s="141">
        <v>1762986759.97</v>
      </c>
      <c r="AD50" s="141"/>
      <c r="AE50" s="194">
        <f>+Tabla134[[#This Row],[Recursos propios 2025]]+Tabla134[[#This Row],[SGP Educación 2025]]+Tabla134[[#This Row],[SGP Salud 2025]]+Tabla134[[#This Row],[SGP Deporte 2025]]+Tabla134[[#This Row],[SGP Cultura 2025]]+Tabla134[[#This Row],[SGP Libre inversión 2025]]+Tabla134[[#This Row],[SGP Libre destinación 2025]]+Tabla134[[#This Row],[SGP Alimentación escolar 2025]]+Tabla134[[#This Row],[SGP Municipios río Magdalena 2025]]+Tabla134[[#This Row],[SGP APSB 2025]]+Tabla134[[#This Row],[Crédito 2025]]+Tabla134[[#This Row],[Transferencias de capital - cofinanciación departamento 2025]]+Tabla134[[#This Row],[Transferencias de capital - cofinanciación nación 2025]]+Tabla134[[#This Row],[Otros 2025]]+Tabla134[[#This Row],[Recursos del Balance]]</f>
        <v>31452833662.300003</v>
      </c>
      <c r="AF50" s="142">
        <v>16772657471</v>
      </c>
      <c r="AG50" s="141">
        <f>IFERROR(VLOOKUP(Tabla134[[#This Row],[Código BPIN]],#REF!,9,0),0)</f>
        <v>0</v>
      </c>
      <c r="AH50" s="141"/>
      <c r="AI50" s="141"/>
      <c r="AJ50" s="141"/>
      <c r="AK50" s="141">
        <v>12354998254.33</v>
      </c>
      <c r="AL50" s="141"/>
      <c r="AM50" s="141"/>
      <c r="AN50" s="141"/>
      <c r="AO50" s="141">
        <f>IFERROR(VLOOKUP(Tabla134[[#This Row],[Código BPIN]],#REF!,10,0),0)</f>
        <v>0</v>
      </c>
      <c r="AP50" s="141"/>
      <c r="AQ50" s="141"/>
      <c r="AR50" s="141"/>
      <c r="AS50" s="213">
        <v>1762986759.97</v>
      </c>
      <c r="AT50" s="141"/>
      <c r="AU50" s="141">
        <f>+Tabla134[[#This Row],[Recursos propios 20252]]+Tabla134[[#This Row],[SGP Educación 20252]]+Tabla134[[#This Row],[SGP Salud 20252]]+Tabla134[[#This Row],[SGP Deporte 20252]]+Tabla134[[#This Row],[SGP Cultura 20252]]+Tabla134[[#This Row],[SGP Libre inversión 20252]]+Tabla134[[#This Row],[SGP Libre destinación 20252]]+Tabla134[[#This Row],[SGP Alimentación escolar 20252]]+Tabla134[[#This Row],[SGP Municipios río Magdalena 20252]]+Tabla134[[#This Row],[SGP APSB 20252]]+Tabla134[[#This Row],[Crédito 20252]]+Tabla134[[#This Row],[Transferencias de capital - cofinanciación departamento 20252]]+Tabla134[[#This Row],[Transferencias de capital - cofinanciación nación 20252]]+Tabla134[[#This Row],[Otros 20252]]+Tabla134[[#This Row],[Recursos del Balance 2025]]</f>
        <v>30890642485.300003</v>
      </c>
      <c r="AV50" s="212">
        <v>23551310981.239998</v>
      </c>
      <c r="AW50" s="214">
        <v>23321514594.400002</v>
      </c>
      <c r="AX50" s="143">
        <f>+Tabla134[[#This Row],[Total Recursos Comprometido 2025]]/Tabla134[[#This Row],[Total 2025]]</f>
        <v>0.9821258973663205</v>
      </c>
      <c r="AY50" s="144">
        <f>+Tabla134[[#This Row],[Total Recursos Obligados]]/Tabla134[[#This Row],[Total 2025]]</f>
        <v>0.74878185012211063</v>
      </c>
      <c r="AZ50" s="145">
        <f>+Tabla134[[#This Row],[Total Recursos Pagados]]/Tabla134[[#This Row],[Total 2025]]</f>
        <v>0.74147578704025119</v>
      </c>
      <c r="BA50" s="146"/>
      <c r="BB50" s="197" t="str">
        <f>IF(Tabla134[[#This Row],[Total Recursos Gestionados2]]=0,"_",IF(Tabla134[[#This Row],[Ejecución Recursos Comprometidos]]=0,100%,Tabla134[[#This Row],[Total Recursos Gestionados2]]/Tabla134[[#This Row],[Ejecución Recursos Comprometidos]]))</f>
        <v>_</v>
      </c>
      <c r="BC50" s="198" t="s">
        <v>271</v>
      </c>
      <c r="BD50" s="199" t="s">
        <v>270</v>
      </c>
      <c r="BE50" s="200">
        <v>11</v>
      </c>
      <c r="BF50" s="206"/>
    </row>
    <row r="51" spans="1:58" s="229" customFormat="1" ht="49.9" customHeight="1">
      <c r="A51" s="191">
        <v>103</v>
      </c>
      <c r="B51" s="191" t="s">
        <v>114</v>
      </c>
      <c r="C51" s="191" t="s">
        <v>121</v>
      </c>
      <c r="D51" s="191" t="s">
        <v>128</v>
      </c>
      <c r="E51" s="191" t="s">
        <v>129</v>
      </c>
      <c r="F51" s="191">
        <v>2402114</v>
      </c>
      <c r="G51" s="191" t="s">
        <v>154</v>
      </c>
      <c r="H51" s="202">
        <v>202500000027207</v>
      </c>
      <c r="I51" s="193" t="str">
        <f>VLOOKUP(Tabla134[[#This Row],[Código BPIN]],[1]Hoja2!B:C,2,0)</f>
        <v>Construcción Conexión vial carrera 24 con acceso al barrio diamante 2 del municipio de Bucaramanga</v>
      </c>
      <c r="J51" s="194">
        <v>2421513994</v>
      </c>
      <c r="K51" s="194">
        <v>484302799</v>
      </c>
      <c r="L51" s="193"/>
      <c r="M51" s="193"/>
      <c r="N51" s="193"/>
      <c r="O51" s="195"/>
      <c r="P51" s="203">
        <f>IFERROR(VLOOKUP(Tabla134[[#This Row],[Código BPIN]],#REF!,5,0),0)</f>
        <v>0</v>
      </c>
      <c r="Q51" s="141"/>
      <c r="R51" s="141"/>
      <c r="S51" s="141"/>
      <c r="T51" s="141"/>
      <c r="U51" s="141">
        <f>IFERROR(VLOOKUP(Tabla134[[#This Row],[Código BPIN]],#REF!,6,0),0)</f>
        <v>0</v>
      </c>
      <c r="V51" s="141"/>
      <c r="W51" s="141"/>
      <c r="X51" s="141"/>
      <c r="Y51" s="141">
        <f>IFERROR(VLOOKUP(Tabla134[[#This Row],[Código BPIN]],#REF!,7,0),0)</f>
        <v>0</v>
      </c>
      <c r="Z51" s="141"/>
      <c r="AA51" s="141"/>
      <c r="AB51" s="141"/>
      <c r="AC51" s="194">
        <v>484302799</v>
      </c>
      <c r="AD51" s="141"/>
      <c r="AE51" s="194">
        <f>+Tabla134[[#This Row],[Recursos propios 2025]]+Tabla134[[#This Row],[SGP Educación 2025]]+Tabla134[[#This Row],[SGP Salud 2025]]+Tabla134[[#This Row],[SGP Deporte 2025]]+Tabla134[[#This Row],[SGP Cultura 2025]]+Tabla134[[#This Row],[SGP Libre inversión 2025]]+Tabla134[[#This Row],[SGP Libre destinación 2025]]+Tabla134[[#This Row],[SGP Alimentación escolar 2025]]+Tabla134[[#This Row],[SGP Municipios río Magdalena 2025]]+Tabla134[[#This Row],[SGP APSB 2025]]+Tabla134[[#This Row],[Crédito 2025]]+Tabla134[[#This Row],[Transferencias de capital - cofinanciación departamento 2025]]+Tabla134[[#This Row],[Transferencias de capital - cofinanciación nación 2025]]+Tabla134[[#This Row],[Otros 2025]]+Tabla134[[#This Row],[Recursos del Balance]]</f>
        <v>484302799</v>
      </c>
      <c r="AF51" s="142">
        <f>IFERROR(VLOOKUP(Tabla134[[#This Row],[Código BPIN]],#REF!,8,0),0)</f>
        <v>0</v>
      </c>
      <c r="AG51" s="141">
        <f>IFERROR(VLOOKUP(Tabla134[[#This Row],[Código BPIN]],#REF!,9,0),0)</f>
        <v>0</v>
      </c>
      <c r="AH51" s="141"/>
      <c r="AI51" s="141"/>
      <c r="AJ51" s="141"/>
      <c r="AK51" s="141">
        <f>IFERROR(VLOOKUP(Tabla134[[#This Row],[Código BPIN]],#REF!,9,0),0)</f>
        <v>0</v>
      </c>
      <c r="AL51" s="141"/>
      <c r="AM51" s="141"/>
      <c r="AN51" s="141"/>
      <c r="AO51" s="141">
        <f>IFERROR(VLOOKUP(Tabla134[[#This Row],[Código BPIN]],#REF!,10,0),0)</f>
        <v>0</v>
      </c>
      <c r="AP51" s="141"/>
      <c r="AQ51" s="141"/>
      <c r="AR51" s="141"/>
      <c r="AS51" s="141"/>
      <c r="AT51" s="141"/>
      <c r="AU51" s="141">
        <f>+Tabla134[[#This Row],[Recursos propios 20252]]+Tabla134[[#This Row],[SGP Educación 20252]]+Tabla134[[#This Row],[SGP Salud 20252]]+Tabla134[[#This Row],[SGP Deporte 20252]]+Tabla134[[#This Row],[SGP Cultura 20252]]+Tabla134[[#This Row],[SGP Libre inversión 20252]]+Tabla134[[#This Row],[SGP Libre destinación 20252]]+Tabla134[[#This Row],[SGP Alimentación escolar 20252]]+Tabla134[[#This Row],[SGP Municipios río Magdalena 20252]]+Tabla134[[#This Row],[SGP APSB 20252]]+Tabla134[[#This Row],[Crédito 20252]]+Tabla134[[#This Row],[Transferencias de capital - cofinanciación departamento 20252]]+Tabla134[[#This Row],[Transferencias de capital - cofinanciación nación 20252]]+Tabla134[[#This Row],[Otros 20252]]+Tabla134[[#This Row],[Recursos del Balance 2025]]</f>
        <v>0</v>
      </c>
      <c r="AV51" s="141">
        <f>SUM(Tabla134[[#This Row],[Recursos propios 20252]:[Recursos del Balance 2025]])</f>
        <v>0</v>
      </c>
      <c r="AW51" s="201">
        <f>IFERROR(VLOOKUP(Tabla134[[#This Row],[Código BPIN]],#REF!,5,0),0)</f>
        <v>0</v>
      </c>
      <c r="AX51" s="143">
        <f>+Tabla134[[#This Row],[Total Recursos Comprometido 2025]]/Tabla134[[#This Row],[Total 2025]]</f>
        <v>0</v>
      </c>
      <c r="AY51" s="144">
        <f>+Tabla134[[#This Row],[Total Recursos Obligados]]/Tabla134[[#This Row],[Total 2025]]</f>
        <v>0</v>
      </c>
      <c r="AZ51" s="145">
        <f>+Tabla134[[#This Row],[Total Recursos Pagados]]/Tabla134[[#This Row],[Total 2025]]</f>
        <v>0</v>
      </c>
      <c r="BA51" s="146"/>
      <c r="BB51" s="197" t="str">
        <f>IF(Tabla134[[#This Row],[Total Recursos Gestionados2]]=0,"_",IF(Tabla134[[#This Row],[Ejecución Recursos Comprometidos]]=0,100%,Tabla134[[#This Row],[Total Recursos Gestionados2]]/Tabla134[[#This Row],[Ejecución Recursos Comprometidos]]))</f>
        <v>_</v>
      </c>
      <c r="BC51" s="198" t="s">
        <v>271</v>
      </c>
      <c r="BD51" s="199" t="s">
        <v>270</v>
      </c>
      <c r="BE51" s="200">
        <v>11</v>
      </c>
      <c r="BF51" s="206"/>
    </row>
    <row r="52" spans="1:58" s="229" customFormat="1" ht="49.9" customHeight="1">
      <c r="A52" s="191">
        <v>103</v>
      </c>
      <c r="B52" s="191" t="s">
        <v>114</v>
      </c>
      <c r="C52" s="191" t="s">
        <v>121</v>
      </c>
      <c r="D52" s="191" t="s">
        <v>128</v>
      </c>
      <c r="E52" s="191" t="s">
        <v>129</v>
      </c>
      <c r="F52" s="191">
        <v>2402114</v>
      </c>
      <c r="G52" s="191" t="s">
        <v>154</v>
      </c>
      <c r="H52" s="202">
        <v>202500000016144</v>
      </c>
      <c r="I52" s="193" t="s">
        <v>255</v>
      </c>
      <c r="J52" s="194">
        <v>1190600456</v>
      </c>
      <c r="K52" s="194">
        <v>1190600456</v>
      </c>
      <c r="L52" s="193"/>
      <c r="M52" s="193"/>
      <c r="N52" s="193"/>
      <c r="O52" s="195"/>
      <c r="P52" s="203">
        <v>1004295290</v>
      </c>
      <c r="Q52" s="141"/>
      <c r="R52" s="141"/>
      <c r="S52" s="141"/>
      <c r="T52" s="141"/>
      <c r="U52" s="141">
        <f>IFERROR(VLOOKUP(Tabla134[[#This Row],[Código BPIN]],#REF!,6,0),0)</f>
        <v>0</v>
      </c>
      <c r="V52" s="141"/>
      <c r="W52" s="141"/>
      <c r="X52" s="141"/>
      <c r="Y52" s="141">
        <f>IFERROR(VLOOKUP(Tabla134[[#This Row],[Código BPIN]],#REF!,7,0),0)</f>
        <v>0</v>
      </c>
      <c r="Z52" s="141"/>
      <c r="AA52" s="141"/>
      <c r="AB52" s="141"/>
      <c r="AC52" s="194">
        <v>186305166</v>
      </c>
      <c r="AD52" s="141"/>
      <c r="AE52" s="194">
        <f>+Tabla134[[#This Row],[Recursos propios 2025]]+Tabla134[[#This Row],[SGP Educación 2025]]+Tabla134[[#This Row],[SGP Salud 2025]]+Tabla134[[#This Row],[SGP Deporte 2025]]+Tabla134[[#This Row],[SGP Cultura 2025]]+Tabla134[[#This Row],[SGP Libre inversión 2025]]+Tabla134[[#This Row],[SGP Libre destinación 2025]]+Tabla134[[#This Row],[SGP Alimentación escolar 2025]]+Tabla134[[#This Row],[SGP Municipios río Magdalena 2025]]+Tabla134[[#This Row],[SGP APSB 2025]]+Tabla134[[#This Row],[Crédito 2025]]+Tabla134[[#This Row],[Transferencias de capital - cofinanciación departamento 2025]]+Tabla134[[#This Row],[Transferencias de capital - cofinanciación nación 2025]]+Tabla134[[#This Row],[Otros 2025]]+Tabla134[[#This Row],[Recursos del Balance]]</f>
        <v>1190600456</v>
      </c>
      <c r="AF52" s="196">
        <v>1004295290</v>
      </c>
      <c r="AG52" s="141">
        <f>IFERROR(VLOOKUP(Tabla134[[#This Row],[Código BPIN]],#REF!,9,0),0)</f>
        <v>0</v>
      </c>
      <c r="AH52" s="141"/>
      <c r="AI52" s="141"/>
      <c r="AJ52" s="141"/>
      <c r="AK52" s="141">
        <f>IFERROR(VLOOKUP(Tabla134[[#This Row],[Código BPIN]],#REF!,9,0),0)</f>
        <v>0</v>
      </c>
      <c r="AL52" s="141"/>
      <c r="AM52" s="141"/>
      <c r="AN52" s="141"/>
      <c r="AO52" s="141">
        <f>IFERROR(VLOOKUP(Tabla134[[#This Row],[Código BPIN]],#REF!,10,0),0)</f>
        <v>0</v>
      </c>
      <c r="AP52" s="141"/>
      <c r="AQ52" s="141"/>
      <c r="AR52" s="141"/>
      <c r="AS52" s="141">
        <v>186305166</v>
      </c>
      <c r="AT52" s="141"/>
      <c r="AU52" s="141">
        <f>+Tabla134[[#This Row],[Recursos propios 20252]]+Tabla134[[#This Row],[SGP Educación 20252]]+Tabla134[[#This Row],[SGP Salud 20252]]+Tabla134[[#This Row],[SGP Deporte 20252]]+Tabla134[[#This Row],[SGP Cultura 20252]]+Tabla134[[#This Row],[SGP Libre inversión 20252]]+Tabla134[[#This Row],[SGP Libre destinación 20252]]+Tabla134[[#This Row],[SGP Alimentación escolar 20252]]+Tabla134[[#This Row],[SGP Municipios río Magdalena 20252]]+Tabla134[[#This Row],[SGP APSB 20252]]+Tabla134[[#This Row],[Crédito 20252]]+Tabla134[[#This Row],[Transferencias de capital - cofinanciación departamento 20252]]+Tabla134[[#This Row],[Transferencias de capital - cofinanciación nación 20252]]+Tabla134[[#This Row],[Otros 20252]]+Tabla134[[#This Row],[Recursos del Balance 2025]]</f>
        <v>1190600456</v>
      </c>
      <c r="AV52" s="141">
        <v>1058182451.08</v>
      </c>
      <c r="AW52" s="141">
        <v>1058182451.08</v>
      </c>
      <c r="AX52" s="143">
        <f>+Tabla134[[#This Row],[Total Recursos Comprometido 2025]]/Tabla134[[#This Row],[Total 2025]]</f>
        <v>1</v>
      </c>
      <c r="AY52" s="144">
        <f>+Tabla134[[#This Row],[Total Recursos Obligados]]/Tabla134[[#This Row],[Total 2025]]</f>
        <v>0.88878048529825193</v>
      </c>
      <c r="AZ52" s="145">
        <f>+Tabla134[[#This Row],[Total Recursos Pagados]]/Tabla134[[#This Row],[Total 2025]]</f>
        <v>0.88878048529825193</v>
      </c>
      <c r="BA52" s="146"/>
      <c r="BB52" s="197" t="str">
        <f>IF(Tabla134[[#This Row],[Total Recursos Gestionados2]]=0,"_",IF(Tabla134[[#This Row],[Ejecución Recursos Comprometidos]]=0,100%,Tabla134[[#This Row],[Total Recursos Gestionados2]]/Tabla134[[#This Row],[Ejecución Recursos Comprometidos]]))</f>
        <v>_</v>
      </c>
      <c r="BC52" s="198" t="s">
        <v>271</v>
      </c>
      <c r="BD52" s="199" t="s">
        <v>318</v>
      </c>
      <c r="BE52" s="200"/>
      <c r="BF52" s="233" t="s">
        <v>319</v>
      </c>
    </row>
    <row r="53" spans="1:58" s="229" customFormat="1" ht="49.9" customHeight="1">
      <c r="A53" s="191">
        <v>104</v>
      </c>
      <c r="B53" s="191" t="s">
        <v>114</v>
      </c>
      <c r="C53" s="191" t="s">
        <v>121</v>
      </c>
      <c r="D53" s="191" t="s">
        <v>128</v>
      </c>
      <c r="E53" s="191" t="s">
        <v>129</v>
      </c>
      <c r="F53" s="191">
        <v>2402115</v>
      </c>
      <c r="G53" s="191" t="s">
        <v>157</v>
      </c>
      <c r="H53" s="202"/>
      <c r="I53" s="193"/>
      <c r="J53" s="194"/>
      <c r="K53" s="194">
        <f>IFERROR(VLOOKUP(Tabla134[[#This Row],[Código BPIN]],#REF!,2,0),0)</f>
        <v>0</v>
      </c>
      <c r="L53" s="193"/>
      <c r="M53" s="193"/>
      <c r="N53" s="193"/>
      <c r="O53" s="195"/>
      <c r="P53" s="203">
        <f>IFERROR(VLOOKUP(Tabla134[[#This Row],[Código BPIN]],#REF!,5,0),0)</f>
        <v>0</v>
      </c>
      <c r="Q53" s="141"/>
      <c r="R53" s="141"/>
      <c r="S53" s="141"/>
      <c r="T53" s="141"/>
      <c r="U53" s="141">
        <f>IFERROR(VLOOKUP(Tabla134[[#This Row],[Código BPIN]],#REF!,6,0),0)</f>
        <v>0</v>
      </c>
      <c r="V53" s="141"/>
      <c r="W53" s="141"/>
      <c r="X53" s="141"/>
      <c r="Y53" s="141">
        <f>IFERROR(VLOOKUP(Tabla134[[#This Row],[Código BPIN]],#REF!,7,0),0)</f>
        <v>0</v>
      </c>
      <c r="Z53" s="141"/>
      <c r="AA53" s="141"/>
      <c r="AB53" s="141"/>
      <c r="AC53" s="141"/>
      <c r="AD53" s="141"/>
      <c r="AE53" s="194">
        <f>+Tabla134[[#This Row],[Recursos propios 2025]]+Tabla134[[#This Row],[SGP Educación 2025]]+Tabla134[[#This Row],[SGP Salud 2025]]+Tabla134[[#This Row],[SGP Deporte 2025]]+Tabla134[[#This Row],[SGP Cultura 2025]]+Tabla134[[#This Row],[SGP Libre inversión 2025]]+Tabla134[[#This Row],[SGP Libre destinación 2025]]+Tabla134[[#This Row],[SGP Alimentación escolar 2025]]+Tabla134[[#This Row],[SGP Municipios río Magdalena 2025]]+Tabla134[[#This Row],[SGP APSB 2025]]+Tabla134[[#This Row],[Crédito 2025]]+Tabla134[[#This Row],[Transferencias de capital - cofinanciación departamento 2025]]+Tabla134[[#This Row],[Transferencias de capital - cofinanciación nación 2025]]+Tabla134[[#This Row],[Otros 2025]]+Tabla134[[#This Row],[Recursos del Balance]]</f>
        <v>0</v>
      </c>
      <c r="AF53" s="142">
        <f>IFERROR(VLOOKUP(Tabla134[[#This Row],[Código BPIN]],#REF!,8,0),0)</f>
        <v>0</v>
      </c>
      <c r="AG53" s="141">
        <f>IFERROR(VLOOKUP(Tabla134[[#This Row],[Código BPIN]],#REF!,9,0),0)</f>
        <v>0</v>
      </c>
      <c r="AH53" s="141"/>
      <c r="AI53" s="141"/>
      <c r="AJ53" s="141"/>
      <c r="AK53" s="141">
        <f>IFERROR(VLOOKUP(Tabla134[[#This Row],[Código BPIN]],#REF!,9,0),0)</f>
        <v>0</v>
      </c>
      <c r="AL53" s="141"/>
      <c r="AM53" s="141"/>
      <c r="AN53" s="141"/>
      <c r="AO53" s="141">
        <f>IFERROR(VLOOKUP(Tabla134[[#This Row],[Código BPIN]],#REF!,10,0),0)</f>
        <v>0</v>
      </c>
      <c r="AP53" s="141"/>
      <c r="AQ53" s="141"/>
      <c r="AR53" s="141"/>
      <c r="AS53" s="141"/>
      <c r="AT53" s="141"/>
      <c r="AU53" s="141">
        <f>+Tabla134[[#This Row],[Recursos propios 20252]]+Tabla134[[#This Row],[SGP Educación 20252]]+Tabla134[[#This Row],[SGP Salud 20252]]+Tabla134[[#This Row],[SGP Deporte 20252]]+Tabla134[[#This Row],[SGP Cultura 20252]]+Tabla134[[#This Row],[SGP Libre inversión 20252]]+Tabla134[[#This Row],[SGP Libre destinación 20252]]+Tabla134[[#This Row],[SGP Alimentación escolar 20252]]+Tabla134[[#This Row],[SGP Municipios río Magdalena 20252]]+Tabla134[[#This Row],[SGP APSB 20252]]+Tabla134[[#This Row],[Crédito 20252]]+Tabla134[[#This Row],[Transferencias de capital - cofinanciación departamento 20252]]+Tabla134[[#This Row],[Transferencias de capital - cofinanciación nación 20252]]+Tabla134[[#This Row],[Otros 20252]]+Tabla134[[#This Row],[Recursos del Balance 2025]]</f>
        <v>0</v>
      </c>
      <c r="AV53" s="141">
        <f>SUM(Tabla134[[#This Row],[Recursos propios 20252]:[Recursos del Balance 2025]])</f>
        <v>0</v>
      </c>
      <c r="AW53" s="201">
        <f>IFERROR(VLOOKUP(Tabla134[[#This Row],[Código BPIN]],#REF!,5,0),0)</f>
        <v>0</v>
      </c>
      <c r="AX53" s="143" t="e">
        <f>+Tabla134[[#This Row],[Total Recursos Comprometido 2025]]/Tabla134[[#This Row],[Total 2025]]</f>
        <v>#DIV/0!</v>
      </c>
      <c r="AY53" s="144" t="e">
        <f>+Tabla134[[#This Row],[Total Recursos Obligados]]/Tabla134[[#This Row],[Total 2025]]</f>
        <v>#DIV/0!</v>
      </c>
      <c r="AZ53" s="145" t="e">
        <f>+Tabla134[[#This Row],[Total Recursos Pagados]]/Tabla134[[#This Row],[Total 2025]]</f>
        <v>#DIV/0!</v>
      </c>
      <c r="BA53" s="146"/>
      <c r="BB53" s="197" t="str">
        <f>IF(Tabla134[[#This Row],[Total Recursos Gestionados2]]=0,"_",IF(Tabla134[[#This Row],[Ejecución Recursos Comprometidos]]=0,100%,Tabla134[[#This Row],[Total Recursos Gestionados2]]/Tabla134[[#This Row],[Ejecución Recursos Comprometidos]]))</f>
        <v>_</v>
      </c>
      <c r="BC53" s="198" t="s">
        <v>271</v>
      </c>
      <c r="BD53" s="199" t="s">
        <v>270</v>
      </c>
      <c r="BE53" s="200">
        <v>11</v>
      </c>
      <c r="BF53" s="206"/>
    </row>
    <row r="54" spans="1:58" s="229" customFormat="1" ht="49.9" customHeight="1">
      <c r="A54" s="191">
        <v>105</v>
      </c>
      <c r="B54" s="191" t="s">
        <v>114</v>
      </c>
      <c r="C54" s="191" t="s">
        <v>121</v>
      </c>
      <c r="D54" s="191" t="s">
        <v>128</v>
      </c>
      <c r="E54" s="191" t="s">
        <v>129</v>
      </c>
      <c r="F54" s="191">
        <v>2402042</v>
      </c>
      <c r="G54" s="191" t="s">
        <v>160</v>
      </c>
      <c r="H54" s="202">
        <v>2024680010253</v>
      </c>
      <c r="I54" s="193" t="s">
        <v>256</v>
      </c>
      <c r="J54" s="194">
        <v>9522592280</v>
      </c>
      <c r="K54" s="194">
        <v>9522592280</v>
      </c>
      <c r="L54" s="193"/>
      <c r="M54" s="193"/>
      <c r="N54" s="193"/>
      <c r="O54" s="195"/>
      <c r="P54" s="211">
        <v>5122592280</v>
      </c>
      <c r="Q54" s="141"/>
      <c r="R54" s="141"/>
      <c r="S54" s="141"/>
      <c r="T54" s="141"/>
      <c r="U54" s="141">
        <f>IFERROR(VLOOKUP(Tabla134[[#This Row],[Código BPIN]],#REF!,6,0),0)</f>
        <v>0</v>
      </c>
      <c r="V54" s="141"/>
      <c r="W54" s="141"/>
      <c r="X54" s="141"/>
      <c r="Y54" s="141">
        <f>IFERROR(VLOOKUP(Tabla134[[#This Row],[Código BPIN]],#REF!,7,0),0)</f>
        <v>0</v>
      </c>
      <c r="Z54" s="141"/>
      <c r="AA54" s="141"/>
      <c r="AB54" s="141"/>
      <c r="AC54" s="141">
        <v>4400000000</v>
      </c>
      <c r="AD54" s="141"/>
      <c r="AE54" s="194">
        <f>+Tabla134[[#This Row],[Recursos propios 2025]]+Tabla134[[#This Row],[SGP Educación 2025]]+Tabla134[[#This Row],[SGP Salud 2025]]+Tabla134[[#This Row],[SGP Deporte 2025]]+Tabla134[[#This Row],[SGP Cultura 2025]]+Tabla134[[#This Row],[SGP Libre inversión 2025]]+Tabla134[[#This Row],[SGP Libre destinación 2025]]+Tabla134[[#This Row],[SGP Alimentación escolar 2025]]+Tabla134[[#This Row],[SGP Municipios río Magdalena 2025]]+Tabla134[[#This Row],[SGP APSB 2025]]+Tabla134[[#This Row],[Crédito 2025]]+Tabla134[[#This Row],[Transferencias de capital - cofinanciación departamento 2025]]+Tabla134[[#This Row],[Transferencias de capital - cofinanciación nación 2025]]+Tabla134[[#This Row],[Otros 2025]]+Tabla134[[#This Row],[Recursos del Balance]]</f>
        <v>9522592280</v>
      </c>
      <c r="AF54" s="232">
        <v>4112543505</v>
      </c>
      <c r="AG54" s="141">
        <f>IFERROR(VLOOKUP(Tabla134[[#This Row],[Código BPIN]],#REF!,9,0),0)</f>
        <v>0</v>
      </c>
      <c r="AH54" s="141"/>
      <c r="AI54" s="141"/>
      <c r="AJ54" s="141"/>
      <c r="AK54" s="141">
        <f>IFERROR(VLOOKUP(Tabla134[[#This Row],[Código BPIN]],#REF!,9,0),0)</f>
        <v>0</v>
      </c>
      <c r="AL54" s="141"/>
      <c r="AM54" s="141"/>
      <c r="AN54" s="141"/>
      <c r="AO54" s="141">
        <f>IFERROR(VLOOKUP(Tabla134[[#This Row],[Código BPIN]],#REF!,10,0),0)</f>
        <v>0</v>
      </c>
      <c r="AP54" s="141"/>
      <c r="AQ54" s="141"/>
      <c r="AR54" s="141"/>
      <c r="AS54" s="232">
        <v>4399764092.5</v>
      </c>
      <c r="AT54" s="141"/>
      <c r="AU54" s="141">
        <f>+Tabla134[[#This Row],[Recursos propios 20252]]+Tabla134[[#This Row],[SGP Educación 20252]]+Tabla134[[#This Row],[SGP Salud 20252]]+Tabla134[[#This Row],[SGP Deporte 20252]]+Tabla134[[#This Row],[SGP Cultura 20252]]+Tabla134[[#This Row],[SGP Libre inversión 20252]]+Tabla134[[#This Row],[SGP Libre destinación 20252]]+Tabla134[[#This Row],[SGP Alimentación escolar 20252]]+Tabla134[[#This Row],[SGP Municipios río Magdalena 20252]]+Tabla134[[#This Row],[SGP APSB 20252]]+Tabla134[[#This Row],[Crédito 20252]]+Tabla134[[#This Row],[Transferencias de capital - cofinanciación departamento 20252]]+Tabla134[[#This Row],[Transferencias de capital - cofinanciación nación 20252]]+Tabla134[[#This Row],[Otros 20252]]+Tabla134[[#This Row],[Recursos del Balance 2025]]</f>
        <v>8512307597.5</v>
      </c>
      <c r="AV54" s="234">
        <v>7642362437</v>
      </c>
      <c r="AW54" s="235">
        <v>7628479103.6700001</v>
      </c>
      <c r="AX54" s="143">
        <f>+Tabla134[[#This Row],[Total Recursos Comprometido 2025]]/Tabla134[[#This Row],[Total 2025]]</f>
        <v>0.89390654846980389</v>
      </c>
      <c r="AY54" s="144">
        <f>+Tabla134[[#This Row],[Total Recursos Obligados]]/Tabla134[[#This Row],[Total 2025]]</f>
        <v>0.802550630362597</v>
      </c>
      <c r="AZ54" s="145">
        <f>+Tabla134[[#This Row],[Total Recursos Pagados]]/Tabla134[[#This Row],[Total 2025]]</f>
        <v>0.80109269402322869</v>
      </c>
      <c r="BA54" s="146"/>
      <c r="BB54" s="197" t="str">
        <f>IF(Tabla134[[#This Row],[Total Recursos Gestionados2]]=0,"_",IF(Tabla134[[#This Row],[Ejecución Recursos Comprometidos]]=0,100%,Tabla134[[#This Row],[Total Recursos Gestionados2]]/Tabla134[[#This Row],[Ejecución Recursos Comprometidos]]))</f>
        <v>_</v>
      </c>
      <c r="BC54" s="198" t="s">
        <v>271</v>
      </c>
      <c r="BD54" s="199" t="s">
        <v>270</v>
      </c>
      <c r="BE54" s="200">
        <v>11</v>
      </c>
      <c r="BF54" s="206"/>
    </row>
    <row r="55" spans="1:58" s="229" customFormat="1" ht="49.9" customHeight="1">
      <c r="A55" s="191">
        <v>106</v>
      </c>
      <c r="B55" s="191" t="s">
        <v>114</v>
      </c>
      <c r="C55" s="191" t="s">
        <v>121</v>
      </c>
      <c r="D55" s="191" t="s">
        <v>128</v>
      </c>
      <c r="E55" s="191" t="s">
        <v>129</v>
      </c>
      <c r="F55" s="191">
        <v>2402112</v>
      </c>
      <c r="G55" s="191" t="s">
        <v>164</v>
      </c>
      <c r="H55" s="202">
        <v>2024680010043</v>
      </c>
      <c r="I55" s="193" t="s">
        <v>257</v>
      </c>
      <c r="J55" s="194">
        <v>4620379446</v>
      </c>
      <c r="K55" s="194">
        <v>3000000000</v>
      </c>
      <c r="L55" s="193" t="s">
        <v>258</v>
      </c>
      <c r="M55" s="193" t="s">
        <v>234</v>
      </c>
      <c r="N55" s="193"/>
      <c r="O55" s="195" t="s">
        <v>259</v>
      </c>
      <c r="P55" s="194">
        <v>3000000000</v>
      </c>
      <c r="Q55" s="141"/>
      <c r="R55" s="141"/>
      <c r="S55" s="141"/>
      <c r="T55" s="141"/>
      <c r="U55" s="141">
        <f>IFERROR(VLOOKUP(Tabla134[[#This Row],[Código BPIN]],#REF!,6,0),0)</f>
        <v>0</v>
      </c>
      <c r="V55" s="141"/>
      <c r="W55" s="141"/>
      <c r="X55" s="141"/>
      <c r="Y55" s="141">
        <f>IFERROR(VLOOKUP(Tabla134[[#This Row],[Código BPIN]],#REF!,7,0),0)</f>
        <v>0</v>
      </c>
      <c r="Z55" s="141"/>
      <c r="AA55" s="141"/>
      <c r="AB55" s="141"/>
      <c r="AC55" s="141"/>
      <c r="AD55" s="141"/>
      <c r="AE55" s="194">
        <f>+Tabla134[[#This Row],[Recursos propios 2025]]+Tabla134[[#This Row],[SGP Educación 2025]]+Tabla134[[#This Row],[SGP Salud 2025]]+Tabla134[[#This Row],[SGP Deporte 2025]]+Tabla134[[#This Row],[SGP Cultura 2025]]+Tabla134[[#This Row],[SGP Libre inversión 2025]]+Tabla134[[#This Row],[SGP Libre destinación 2025]]+Tabla134[[#This Row],[SGP Alimentación escolar 2025]]+Tabla134[[#This Row],[SGP Municipios río Magdalena 2025]]+Tabla134[[#This Row],[SGP APSB 2025]]+Tabla134[[#This Row],[Crédito 2025]]+Tabla134[[#This Row],[Transferencias de capital - cofinanciación departamento 2025]]+Tabla134[[#This Row],[Transferencias de capital - cofinanciación nación 2025]]+Tabla134[[#This Row],[Otros 2025]]+Tabla134[[#This Row],[Recursos del Balance]]</f>
        <v>3000000000</v>
      </c>
      <c r="AF55" s="142">
        <v>3000000000</v>
      </c>
      <c r="AG55" s="141">
        <f>IFERROR(VLOOKUP(Tabla134[[#This Row],[Código BPIN]],#REF!,9,0),0)</f>
        <v>0</v>
      </c>
      <c r="AH55" s="141"/>
      <c r="AI55" s="141"/>
      <c r="AJ55" s="141"/>
      <c r="AK55" s="141">
        <f>IFERROR(VLOOKUP(Tabla134[[#This Row],[Código BPIN]],#REF!,9,0),0)</f>
        <v>0</v>
      </c>
      <c r="AL55" s="141"/>
      <c r="AM55" s="141"/>
      <c r="AN55" s="141"/>
      <c r="AO55" s="141">
        <f>IFERROR(VLOOKUP(Tabla134[[#This Row],[Código BPIN]],#REF!,10,0),0)</f>
        <v>0</v>
      </c>
      <c r="AP55" s="141"/>
      <c r="AQ55" s="141"/>
      <c r="AR55" s="141"/>
      <c r="AS55" s="141"/>
      <c r="AT55" s="141"/>
      <c r="AU55" s="141">
        <f>+Tabla134[[#This Row],[Recursos propios 20252]]+Tabla134[[#This Row],[SGP Educación 20252]]+Tabla134[[#This Row],[SGP Salud 20252]]+Tabla134[[#This Row],[SGP Deporte 20252]]+Tabla134[[#This Row],[SGP Cultura 20252]]+Tabla134[[#This Row],[SGP Libre inversión 20252]]+Tabla134[[#This Row],[SGP Libre destinación 20252]]+Tabla134[[#This Row],[SGP Alimentación escolar 20252]]+Tabla134[[#This Row],[SGP Municipios río Magdalena 20252]]+Tabla134[[#This Row],[SGP APSB 20252]]+Tabla134[[#This Row],[Crédito 20252]]+Tabla134[[#This Row],[Transferencias de capital - cofinanciación departamento 20252]]+Tabla134[[#This Row],[Transferencias de capital - cofinanciación nación 20252]]+Tabla134[[#This Row],[Otros 20252]]+Tabla134[[#This Row],[Recursos del Balance 2025]]</f>
        <v>3000000000</v>
      </c>
      <c r="AV55" s="141">
        <v>2060809779.25</v>
      </c>
      <c r="AW55" s="141">
        <v>2060809779.25</v>
      </c>
      <c r="AX55" s="143">
        <f>+Tabla134[[#This Row],[Total Recursos Comprometido 2025]]/Tabla134[[#This Row],[Total 2025]]</f>
        <v>1</v>
      </c>
      <c r="AY55" s="144">
        <f>+Tabla134[[#This Row],[Total Recursos Obligados]]/Tabla134[[#This Row],[Total 2025]]</f>
        <v>0.68693659308333332</v>
      </c>
      <c r="AZ55" s="145">
        <f>+Tabla134[[#This Row],[Total Recursos Pagados]]/Tabla134[[#This Row],[Total 2025]]</f>
        <v>0.68693659308333332</v>
      </c>
      <c r="BA55" s="146"/>
      <c r="BB55" s="197" t="str">
        <f>IF(Tabla134[[#This Row],[Total Recursos Gestionados2]]=0,"_",IF(Tabla134[[#This Row],[Ejecución Recursos Comprometidos]]=0,100%,Tabla134[[#This Row],[Total Recursos Gestionados2]]/Tabla134[[#This Row],[Ejecución Recursos Comprometidos]]))</f>
        <v>_</v>
      </c>
      <c r="BC55" s="198" t="s">
        <v>271</v>
      </c>
      <c r="BD55" s="199" t="s">
        <v>270</v>
      </c>
      <c r="BE55" s="200">
        <v>11</v>
      </c>
      <c r="BF55" s="206"/>
    </row>
    <row r="56" spans="1:58" s="229" customFormat="1" ht="49.9" customHeight="1">
      <c r="A56" s="191">
        <v>107</v>
      </c>
      <c r="B56" s="191" t="s">
        <v>114</v>
      </c>
      <c r="C56" s="191" t="s">
        <v>121</v>
      </c>
      <c r="D56" s="191" t="s">
        <v>128</v>
      </c>
      <c r="E56" s="191" t="s">
        <v>129</v>
      </c>
      <c r="F56" s="191">
        <v>2402070</v>
      </c>
      <c r="G56" s="191" t="s">
        <v>167</v>
      </c>
      <c r="H56" s="202"/>
      <c r="I56" s="193"/>
      <c r="J56" s="194"/>
      <c r="K56" s="194">
        <f>IFERROR(VLOOKUP(Tabla134[[#This Row],[Código BPIN]],#REF!,2,0),0)</f>
        <v>0</v>
      </c>
      <c r="L56" s="193"/>
      <c r="M56" s="193"/>
      <c r="N56" s="193"/>
      <c r="O56" s="195"/>
      <c r="P56" s="203">
        <f>IFERROR(VLOOKUP(Tabla134[[#This Row],[Código BPIN]],#REF!,5,0),0)</f>
        <v>0</v>
      </c>
      <c r="Q56" s="141"/>
      <c r="R56" s="141"/>
      <c r="S56" s="141"/>
      <c r="T56" s="141"/>
      <c r="U56" s="141">
        <f>IFERROR(VLOOKUP(Tabla134[[#This Row],[Código BPIN]],#REF!,6,0),0)</f>
        <v>0</v>
      </c>
      <c r="V56" s="141"/>
      <c r="W56" s="141"/>
      <c r="X56" s="141"/>
      <c r="Y56" s="141">
        <f>IFERROR(VLOOKUP(Tabla134[[#This Row],[Código BPIN]],#REF!,7,0),0)</f>
        <v>0</v>
      </c>
      <c r="Z56" s="141"/>
      <c r="AA56" s="141"/>
      <c r="AB56" s="141"/>
      <c r="AC56" s="141"/>
      <c r="AD56" s="141"/>
      <c r="AE56" s="194">
        <f>+Tabla134[[#This Row],[Recursos propios 2025]]+Tabla134[[#This Row],[SGP Educación 2025]]+Tabla134[[#This Row],[SGP Salud 2025]]+Tabla134[[#This Row],[SGP Deporte 2025]]+Tabla134[[#This Row],[SGP Cultura 2025]]+Tabla134[[#This Row],[SGP Libre inversión 2025]]+Tabla134[[#This Row],[SGP Libre destinación 2025]]+Tabla134[[#This Row],[SGP Alimentación escolar 2025]]+Tabla134[[#This Row],[SGP Municipios río Magdalena 2025]]+Tabla134[[#This Row],[SGP APSB 2025]]+Tabla134[[#This Row],[Crédito 2025]]+Tabla134[[#This Row],[Transferencias de capital - cofinanciación departamento 2025]]+Tabla134[[#This Row],[Transferencias de capital - cofinanciación nación 2025]]+Tabla134[[#This Row],[Otros 2025]]+Tabla134[[#This Row],[Recursos del Balance]]</f>
        <v>0</v>
      </c>
      <c r="AF56" s="142">
        <f>IFERROR(VLOOKUP(Tabla134[[#This Row],[Código BPIN]],#REF!,8,0),0)</f>
        <v>0</v>
      </c>
      <c r="AG56" s="141">
        <f>IFERROR(VLOOKUP(Tabla134[[#This Row],[Código BPIN]],#REF!,9,0),0)</f>
        <v>0</v>
      </c>
      <c r="AH56" s="141"/>
      <c r="AI56" s="141"/>
      <c r="AJ56" s="141"/>
      <c r="AK56" s="141">
        <f>IFERROR(VLOOKUP(Tabla134[[#This Row],[Código BPIN]],#REF!,9,0),0)</f>
        <v>0</v>
      </c>
      <c r="AL56" s="141"/>
      <c r="AM56" s="141"/>
      <c r="AN56" s="141"/>
      <c r="AO56" s="141">
        <f>IFERROR(VLOOKUP(Tabla134[[#This Row],[Código BPIN]],#REF!,10,0),0)</f>
        <v>0</v>
      </c>
      <c r="AP56" s="141"/>
      <c r="AQ56" s="141"/>
      <c r="AR56" s="141"/>
      <c r="AS56" s="141"/>
      <c r="AT56" s="141"/>
      <c r="AU56" s="141">
        <f>+Tabla134[[#This Row],[Recursos propios 20252]]+Tabla134[[#This Row],[SGP Educación 20252]]+Tabla134[[#This Row],[SGP Salud 20252]]+Tabla134[[#This Row],[SGP Deporte 20252]]+Tabla134[[#This Row],[SGP Cultura 20252]]+Tabla134[[#This Row],[SGP Libre inversión 20252]]+Tabla134[[#This Row],[SGP Libre destinación 20252]]+Tabla134[[#This Row],[SGP Alimentación escolar 20252]]+Tabla134[[#This Row],[SGP Municipios río Magdalena 20252]]+Tabla134[[#This Row],[SGP APSB 20252]]+Tabla134[[#This Row],[Crédito 20252]]+Tabla134[[#This Row],[Transferencias de capital - cofinanciación departamento 20252]]+Tabla134[[#This Row],[Transferencias de capital - cofinanciación nación 20252]]+Tabla134[[#This Row],[Otros 20252]]+Tabla134[[#This Row],[Recursos del Balance 2025]]</f>
        <v>0</v>
      </c>
      <c r="AV56" s="141">
        <f>SUM(Tabla134[[#This Row],[Recursos propios 20252]:[Recursos del Balance 2025]])</f>
        <v>0</v>
      </c>
      <c r="AW56" s="201">
        <f>IFERROR(VLOOKUP(Tabla134[[#This Row],[Código BPIN]],#REF!,5,0),0)</f>
        <v>0</v>
      </c>
      <c r="AX56" s="143" t="e">
        <f>+Tabla134[[#This Row],[Total Recursos Comprometido 2025]]/Tabla134[[#This Row],[Total 2025]]</f>
        <v>#DIV/0!</v>
      </c>
      <c r="AY56" s="144" t="e">
        <f>+Tabla134[[#This Row],[Total Recursos Obligados]]/Tabla134[[#This Row],[Total 2025]]</f>
        <v>#DIV/0!</v>
      </c>
      <c r="AZ56" s="145" t="e">
        <f>+Tabla134[[#This Row],[Total Recursos Pagados]]/Tabla134[[#This Row],[Total 2025]]</f>
        <v>#DIV/0!</v>
      </c>
      <c r="BA56" s="146"/>
      <c r="BB56" s="197" t="str">
        <f>IF(Tabla134[[#This Row],[Total Recursos Gestionados2]]=0,"_",IF(Tabla134[[#This Row],[Ejecución Recursos Comprometidos]]=0,100%,Tabla134[[#This Row],[Total Recursos Gestionados2]]/Tabla134[[#This Row],[Ejecución Recursos Comprometidos]]))</f>
        <v>_</v>
      </c>
      <c r="BC56" s="198" t="s">
        <v>271</v>
      </c>
      <c r="BD56" s="199" t="s">
        <v>270</v>
      </c>
      <c r="BE56" s="200">
        <v>11</v>
      </c>
      <c r="BF56" s="206"/>
    </row>
    <row r="57" spans="1:58" s="229" customFormat="1" ht="49.9" customHeight="1">
      <c r="A57" s="191">
        <v>108</v>
      </c>
      <c r="B57" s="191" t="s">
        <v>114</v>
      </c>
      <c r="C57" s="191" t="s">
        <v>121</v>
      </c>
      <c r="D57" s="191" t="s">
        <v>128</v>
      </c>
      <c r="E57" s="191" t="s">
        <v>129</v>
      </c>
      <c r="F57" s="191">
        <v>2402062</v>
      </c>
      <c r="G57" s="191" t="s">
        <v>170</v>
      </c>
      <c r="H57" s="202"/>
      <c r="I57" s="193"/>
      <c r="J57" s="194"/>
      <c r="K57" s="194">
        <f>IFERROR(VLOOKUP(Tabla134[[#This Row],[Código BPIN]],#REF!,2,0),0)</f>
        <v>0</v>
      </c>
      <c r="L57" s="193"/>
      <c r="M57" s="193"/>
      <c r="N57" s="193"/>
      <c r="O57" s="195"/>
      <c r="P57" s="203">
        <f>IFERROR(VLOOKUP(Tabla134[[#This Row],[Código BPIN]],#REF!,5,0),0)</f>
        <v>0</v>
      </c>
      <c r="Q57" s="141"/>
      <c r="R57" s="141"/>
      <c r="S57" s="141"/>
      <c r="T57" s="141"/>
      <c r="U57" s="141">
        <f>IFERROR(VLOOKUP(Tabla134[[#This Row],[Código BPIN]],#REF!,6,0),0)</f>
        <v>0</v>
      </c>
      <c r="V57" s="141"/>
      <c r="W57" s="141"/>
      <c r="X57" s="141"/>
      <c r="Y57" s="141">
        <f>IFERROR(VLOOKUP(Tabla134[[#This Row],[Código BPIN]],#REF!,7,0),0)</f>
        <v>0</v>
      </c>
      <c r="Z57" s="141"/>
      <c r="AA57" s="141"/>
      <c r="AB57" s="141"/>
      <c r="AC57" s="141"/>
      <c r="AD57" s="141"/>
      <c r="AE57" s="194">
        <f>+Tabla134[[#This Row],[Recursos propios 2025]]+Tabla134[[#This Row],[SGP Educación 2025]]+Tabla134[[#This Row],[SGP Salud 2025]]+Tabla134[[#This Row],[SGP Deporte 2025]]+Tabla134[[#This Row],[SGP Cultura 2025]]+Tabla134[[#This Row],[SGP Libre inversión 2025]]+Tabla134[[#This Row],[SGP Libre destinación 2025]]+Tabla134[[#This Row],[SGP Alimentación escolar 2025]]+Tabla134[[#This Row],[SGP Municipios río Magdalena 2025]]+Tabla134[[#This Row],[SGP APSB 2025]]+Tabla134[[#This Row],[Crédito 2025]]+Tabla134[[#This Row],[Transferencias de capital - cofinanciación departamento 2025]]+Tabla134[[#This Row],[Transferencias de capital - cofinanciación nación 2025]]+Tabla134[[#This Row],[Otros 2025]]+Tabla134[[#This Row],[Recursos del Balance]]</f>
        <v>0</v>
      </c>
      <c r="AF57" s="142">
        <f>IFERROR(VLOOKUP(Tabla134[[#This Row],[Código BPIN]],#REF!,8,0),0)</f>
        <v>0</v>
      </c>
      <c r="AG57" s="141">
        <f>IFERROR(VLOOKUP(Tabla134[[#This Row],[Código BPIN]],#REF!,9,0),0)</f>
        <v>0</v>
      </c>
      <c r="AH57" s="141"/>
      <c r="AI57" s="141"/>
      <c r="AJ57" s="141"/>
      <c r="AK57" s="141">
        <f>IFERROR(VLOOKUP(Tabla134[[#This Row],[Código BPIN]],#REF!,9,0),0)</f>
        <v>0</v>
      </c>
      <c r="AL57" s="141"/>
      <c r="AM57" s="141"/>
      <c r="AN57" s="141"/>
      <c r="AO57" s="141">
        <f>IFERROR(VLOOKUP(Tabla134[[#This Row],[Código BPIN]],#REF!,10,0),0)</f>
        <v>0</v>
      </c>
      <c r="AP57" s="141"/>
      <c r="AQ57" s="141"/>
      <c r="AR57" s="141"/>
      <c r="AS57" s="141"/>
      <c r="AT57" s="141"/>
      <c r="AU57" s="141">
        <f>+Tabla134[[#This Row],[Recursos propios 20252]]+Tabla134[[#This Row],[SGP Educación 20252]]+Tabla134[[#This Row],[SGP Salud 20252]]+Tabla134[[#This Row],[SGP Deporte 20252]]+Tabla134[[#This Row],[SGP Cultura 20252]]+Tabla134[[#This Row],[SGP Libre inversión 20252]]+Tabla134[[#This Row],[SGP Libre destinación 20252]]+Tabla134[[#This Row],[SGP Alimentación escolar 20252]]+Tabla134[[#This Row],[SGP Municipios río Magdalena 20252]]+Tabla134[[#This Row],[SGP APSB 20252]]+Tabla134[[#This Row],[Crédito 20252]]+Tabla134[[#This Row],[Transferencias de capital - cofinanciación departamento 20252]]+Tabla134[[#This Row],[Transferencias de capital - cofinanciación nación 20252]]+Tabla134[[#This Row],[Otros 20252]]+Tabla134[[#This Row],[Recursos del Balance 2025]]</f>
        <v>0</v>
      </c>
      <c r="AV57" s="141">
        <f>SUM(Tabla134[[#This Row],[Recursos propios 20252]:[Recursos del Balance 2025]])</f>
        <v>0</v>
      </c>
      <c r="AW57" s="201">
        <f>IFERROR(VLOOKUP(Tabla134[[#This Row],[Código BPIN]],#REF!,5,0),0)</f>
        <v>0</v>
      </c>
      <c r="AX57" s="143" t="e">
        <f>+Tabla134[[#This Row],[Total Recursos Comprometido 2025]]/Tabla134[[#This Row],[Total 2025]]</f>
        <v>#DIV/0!</v>
      </c>
      <c r="AY57" s="144" t="e">
        <f>+Tabla134[[#This Row],[Total Recursos Obligados]]/Tabla134[[#This Row],[Total 2025]]</f>
        <v>#DIV/0!</v>
      </c>
      <c r="AZ57" s="145" t="e">
        <f>+Tabla134[[#This Row],[Total Recursos Pagados]]/Tabla134[[#This Row],[Total 2025]]</f>
        <v>#DIV/0!</v>
      </c>
      <c r="BA57" s="146"/>
      <c r="BB57" s="197" t="str">
        <f>IF(Tabla134[[#This Row],[Total Recursos Gestionados2]]=0,"_",IF(Tabla134[[#This Row],[Ejecución Recursos Comprometidos]]=0,100%,Tabla134[[#This Row],[Total Recursos Gestionados2]]/Tabla134[[#This Row],[Ejecución Recursos Comprometidos]]))</f>
        <v>_</v>
      </c>
      <c r="BC57" s="198" t="s">
        <v>271</v>
      </c>
      <c r="BD57" s="199" t="s">
        <v>270</v>
      </c>
      <c r="BE57" s="200">
        <v>11</v>
      </c>
      <c r="BF57" s="206"/>
    </row>
    <row r="58" spans="1:58" s="229" customFormat="1" ht="49.9" customHeight="1">
      <c r="A58" s="191">
        <v>109</v>
      </c>
      <c r="B58" s="191" t="s">
        <v>114</v>
      </c>
      <c r="C58" s="191" t="s">
        <v>121</v>
      </c>
      <c r="D58" s="191" t="s">
        <v>128</v>
      </c>
      <c r="E58" s="191" t="s">
        <v>129</v>
      </c>
      <c r="F58" s="191">
        <v>2402094</v>
      </c>
      <c r="G58" s="191" t="s">
        <v>173</v>
      </c>
      <c r="H58" s="202"/>
      <c r="I58" s="193"/>
      <c r="J58" s="194"/>
      <c r="K58" s="194">
        <f>IFERROR(VLOOKUP(Tabla134[[#This Row],[Código BPIN]],#REF!,2,0),0)</f>
        <v>0</v>
      </c>
      <c r="L58" s="193"/>
      <c r="M58" s="193"/>
      <c r="N58" s="193"/>
      <c r="O58" s="195"/>
      <c r="P58" s="203">
        <f>IFERROR(VLOOKUP(Tabla134[[#This Row],[Código BPIN]],#REF!,5,0),0)</f>
        <v>0</v>
      </c>
      <c r="Q58" s="141"/>
      <c r="R58" s="141"/>
      <c r="S58" s="141"/>
      <c r="T58" s="141"/>
      <c r="U58" s="141">
        <f>IFERROR(VLOOKUP(Tabla134[[#This Row],[Código BPIN]],#REF!,6,0),0)</f>
        <v>0</v>
      </c>
      <c r="V58" s="141"/>
      <c r="W58" s="141"/>
      <c r="X58" s="141"/>
      <c r="Y58" s="141">
        <f>IFERROR(VLOOKUP(Tabla134[[#This Row],[Código BPIN]],#REF!,7,0),0)</f>
        <v>0</v>
      </c>
      <c r="Z58" s="141"/>
      <c r="AA58" s="141"/>
      <c r="AB58" s="141"/>
      <c r="AC58" s="141"/>
      <c r="AD58" s="141"/>
      <c r="AE58" s="194">
        <f>+Tabla134[[#This Row],[Recursos propios 2025]]+Tabla134[[#This Row],[SGP Educación 2025]]+Tabla134[[#This Row],[SGP Salud 2025]]+Tabla134[[#This Row],[SGP Deporte 2025]]+Tabla134[[#This Row],[SGP Cultura 2025]]+Tabla134[[#This Row],[SGP Libre inversión 2025]]+Tabla134[[#This Row],[SGP Libre destinación 2025]]+Tabla134[[#This Row],[SGP Alimentación escolar 2025]]+Tabla134[[#This Row],[SGP Municipios río Magdalena 2025]]+Tabla134[[#This Row],[SGP APSB 2025]]+Tabla134[[#This Row],[Crédito 2025]]+Tabla134[[#This Row],[Transferencias de capital - cofinanciación departamento 2025]]+Tabla134[[#This Row],[Transferencias de capital - cofinanciación nación 2025]]+Tabla134[[#This Row],[Otros 2025]]+Tabla134[[#This Row],[Recursos del Balance]]</f>
        <v>0</v>
      </c>
      <c r="AF58" s="142">
        <f>IFERROR(VLOOKUP(Tabla134[[#This Row],[Código BPIN]],#REF!,8,0),0)</f>
        <v>0</v>
      </c>
      <c r="AG58" s="141">
        <f>IFERROR(VLOOKUP(Tabla134[[#This Row],[Código BPIN]],#REF!,9,0),0)</f>
        <v>0</v>
      </c>
      <c r="AH58" s="141"/>
      <c r="AI58" s="141"/>
      <c r="AJ58" s="141"/>
      <c r="AK58" s="141">
        <f>IFERROR(VLOOKUP(Tabla134[[#This Row],[Código BPIN]],#REF!,9,0),0)</f>
        <v>0</v>
      </c>
      <c r="AL58" s="141"/>
      <c r="AM58" s="141"/>
      <c r="AN58" s="141"/>
      <c r="AO58" s="141">
        <f>IFERROR(VLOOKUP(Tabla134[[#This Row],[Código BPIN]],#REF!,10,0),0)</f>
        <v>0</v>
      </c>
      <c r="AP58" s="141"/>
      <c r="AQ58" s="141"/>
      <c r="AR58" s="141"/>
      <c r="AS58" s="141"/>
      <c r="AT58" s="141"/>
      <c r="AU58" s="141">
        <f>+Tabla134[[#This Row],[Recursos propios 20252]]+Tabla134[[#This Row],[SGP Educación 20252]]+Tabla134[[#This Row],[SGP Salud 20252]]+Tabla134[[#This Row],[SGP Deporte 20252]]+Tabla134[[#This Row],[SGP Cultura 20252]]+Tabla134[[#This Row],[SGP Libre inversión 20252]]+Tabla134[[#This Row],[SGP Libre destinación 20252]]+Tabla134[[#This Row],[SGP Alimentación escolar 20252]]+Tabla134[[#This Row],[SGP Municipios río Magdalena 20252]]+Tabla134[[#This Row],[SGP APSB 20252]]+Tabla134[[#This Row],[Crédito 20252]]+Tabla134[[#This Row],[Transferencias de capital - cofinanciación departamento 20252]]+Tabla134[[#This Row],[Transferencias de capital - cofinanciación nación 20252]]+Tabla134[[#This Row],[Otros 20252]]+Tabla134[[#This Row],[Recursos del Balance 2025]]</f>
        <v>0</v>
      </c>
      <c r="AV58" s="141">
        <f>SUM(Tabla134[[#This Row],[Recursos propios 20252]:[Recursos del Balance 2025]])</f>
        <v>0</v>
      </c>
      <c r="AW58" s="201">
        <f>IFERROR(VLOOKUP(Tabla134[[#This Row],[Código BPIN]],#REF!,5,0),0)</f>
        <v>0</v>
      </c>
      <c r="AX58" s="143" t="e">
        <f>+Tabla134[[#This Row],[Total Recursos Comprometido 2025]]/Tabla134[[#This Row],[Total 2025]]</f>
        <v>#DIV/0!</v>
      </c>
      <c r="AY58" s="144" t="e">
        <f>+Tabla134[[#This Row],[Total Recursos Obligados]]/Tabla134[[#This Row],[Total 2025]]</f>
        <v>#DIV/0!</v>
      </c>
      <c r="AZ58" s="145" t="e">
        <f>+Tabla134[[#This Row],[Total Recursos Pagados]]/Tabla134[[#This Row],[Total 2025]]</f>
        <v>#DIV/0!</v>
      </c>
      <c r="BA58" s="146"/>
      <c r="BB58" s="197" t="str">
        <f>IF(Tabla134[[#This Row],[Total Recursos Gestionados2]]=0,"_",IF(Tabla134[[#This Row],[Ejecución Recursos Comprometidos]]=0,100%,Tabla134[[#This Row],[Total Recursos Gestionados2]]/Tabla134[[#This Row],[Ejecución Recursos Comprometidos]]))</f>
        <v>_</v>
      </c>
      <c r="BC58" s="198" t="s">
        <v>271</v>
      </c>
      <c r="BD58" s="199" t="s">
        <v>270</v>
      </c>
      <c r="BE58" s="200">
        <v>11.13</v>
      </c>
      <c r="BF58" s="206"/>
    </row>
    <row r="59" spans="1:58" s="229" customFormat="1" ht="49.9" customHeight="1">
      <c r="A59" s="191">
        <v>125</v>
      </c>
      <c r="B59" s="191" t="s">
        <v>114</v>
      </c>
      <c r="C59" s="191" t="s">
        <v>64</v>
      </c>
      <c r="D59" s="191" t="s">
        <v>175</v>
      </c>
      <c r="E59" s="191" t="s">
        <v>176</v>
      </c>
      <c r="F59" s="191">
        <v>2101016</v>
      </c>
      <c r="G59" s="191" t="s">
        <v>178</v>
      </c>
      <c r="H59" s="202">
        <v>2024680010210</v>
      </c>
      <c r="I59" s="193" t="s">
        <v>260</v>
      </c>
      <c r="J59" s="194">
        <v>923225475</v>
      </c>
      <c r="K59" s="194">
        <v>217439120.37</v>
      </c>
      <c r="L59" s="193"/>
      <c r="M59" s="193"/>
      <c r="N59" s="193"/>
      <c r="O59" s="195"/>
      <c r="P59" s="203">
        <v>0</v>
      </c>
      <c r="Q59" s="141"/>
      <c r="R59" s="141"/>
      <c r="S59" s="141"/>
      <c r="T59" s="141"/>
      <c r="U59" s="141">
        <f>IFERROR(VLOOKUP(Tabla134[[#This Row],[Código BPIN]],#REF!,6,0),0)</f>
        <v>0</v>
      </c>
      <c r="V59" s="141"/>
      <c r="W59" s="141"/>
      <c r="X59" s="141"/>
      <c r="Y59" s="141">
        <f>IFERROR(VLOOKUP(Tabla134[[#This Row],[Código BPIN]],#REF!,7,0),0)</f>
        <v>0</v>
      </c>
      <c r="Z59" s="141"/>
      <c r="AA59" s="141"/>
      <c r="AB59" s="141"/>
      <c r="AC59" s="141">
        <v>217439120.37</v>
      </c>
      <c r="AD59" s="141"/>
      <c r="AE59" s="194">
        <f>+Tabla134[[#This Row],[Recursos propios 2025]]+Tabla134[[#This Row],[SGP Educación 2025]]+Tabla134[[#This Row],[SGP Salud 2025]]+Tabla134[[#This Row],[SGP Deporte 2025]]+Tabla134[[#This Row],[SGP Cultura 2025]]+Tabla134[[#This Row],[SGP Libre inversión 2025]]+Tabla134[[#This Row],[SGP Libre destinación 2025]]+Tabla134[[#This Row],[SGP Alimentación escolar 2025]]+Tabla134[[#This Row],[SGP Municipios río Magdalena 2025]]+Tabla134[[#This Row],[SGP APSB 2025]]+Tabla134[[#This Row],[Crédito 2025]]+Tabla134[[#This Row],[Transferencias de capital - cofinanciación departamento 2025]]+Tabla134[[#This Row],[Transferencias de capital - cofinanciación nación 2025]]+Tabla134[[#This Row],[Otros 2025]]+Tabla134[[#This Row],[Recursos del Balance]]</f>
        <v>217439120.37</v>
      </c>
      <c r="AF59" s="142">
        <f>IFERROR(VLOOKUP(Tabla134[[#This Row],[Código BPIN]],#REF!,8,0),0)</f>
        <v>0</v>
      </c>
      <c r="AG59" s="141">
        <f>IFERROR(VLOOKUP(Tabla134[[#This Row],[Código BPIN]],#REF!,9,0),0)</f>
        <v>0</v>
      </c>
      <c r="AH59" s="141"/>
      <c r="AI59" s="141"/>
      <c r="AJ59" s="141"/>
      <c r="AK59" s="141">
        <f>IFERROR(VLOOKUP(Tabla134[[#This Row],[Código BPIN]],#REF!,9,0),0)</f>
        <v>0</v>
      </c>
      <c r="AL59" s="141"/>
      <c r="AM59" s="141"/>
      <c r="AN59" s="141"/>
      <c r="AO59" s="141">
        <f>IFERROR(VLOOKUP(Tabla134[[#This Row],[Código BPIN]],#REF!,10,0),0)</f>
        <v>0</v>
      </c>
      <c r="AP59" s="141"/>
      <c r="AQ59" s="141"/>
      <c r="AR59" s="141"/>
      <c r="AS59" s="141"/>
      <c r="AT59" s="141"/>
      <c r="AU59" s="141">
        <f>+Tabla134[[#This Row],[Recursos propios 20252]]+Tabla134[[#This Row],[SGP Educación 20252]]+Tabla134[[#This Row],[SGP Salud 20252]]+Tabla134[[#This Row],[SGP Deporte 20252]]+Tabla134[[#This Row],[SGP Cultura 20252]]+Tabla134[[#This Row],[SGP Libre inversión 20252]]+Tabla134[[#This Row],[SGP Libre destinación 20252]]+Tabla134[[#This Row],[SGP Alimentación escolar 20252]]+Tabla134[[#This Row],[SGP Municipios río Magdalena 20252]]+Tabla134[[#This Row],[SGP APSB 20252]]+Tabla134[[#This Row],[Crédito 20252]]+Tabla134[[#This Row],[Transferencias de capital - cofinanciación departamento 20252]]+Tabla134[[#This Row],[Transferencias de capital - cofinanciación nación 20252]]+Tabla134[[#This Row],[Otros 20252]]+Tabla134[[#This Row],[Recursos del Balance 2025]]</f>
        <v>0</v>
      </c>
      <c r="AV59" s="141">
        <f>SUM(Tabla134[[#This Row],[Recursos propios 20252]:[Recursos del Balance 2025]])</f>
        <v>0</v>
      </c>
      <c r="AW59" s="201">
        <f>IFERROR(VLOOKUP(Tabla134[[#This Row],[Código BPIN]],#REF!,5,0),0)</f>
        <v>0</v>
      </c>
      <c r="AX59" s="143">
        <f>+Tabla134[[#This Row],[Total Recursos Comprometido 2025]]/Tabla134[[#This Row],[Total 2025]]</f>
        <v>0</v>
      </c>
      <c r="AY59" s="144">
        <f>+Tabla134[[#This Row],[Total Recursos Obligados]]/Tabla134[[#This Row],[Total 2025]]</f>
        <v>0</v>
      </c>
      <c r="AZ59" s="145">
        <f>+Tabla134[[#This Row],[Total Recursos Pagados]]/Tabla134[[#This Row],[Total 2025]]</f>
        <v>0</v>
      </c>
      <c r="BA59" s="146"/>
      <c r="BB59" s="197" t="str">
        <f>IF(Tabla134[[#This Row],[Total Recursos Gestionados2]]=0,"_",IF(Tabla134[[#This Row],[Ejecución Recursos Comprometidos]]=0,100%,Tabla134[[#This Row],[Total Recursos Gestionados2]]/Tabla134[[#This Row],[Ejecución Recursos Comprometidos]]))</f>
        <v>_</v>
      </c>
      <c r="BC59" s="198" t="s">
        <v>271</v>
      </c>
      <c r="BD59" s="199" t="s">
        <v>270</v>
      </c>
      <c r="BE59" s="200">
        <v>10</v>
      </c>
      <c r="BF59" s="206"/>
    </row>
    <row r="60" spans="1:58" s="229" customFormat="1" ht="49.9" customHeight="1">
      <c r="A60" s="191">
        <v>128</v>
      </c>
      <c r="B60" s="191" t="s">
        <v>114</v>
      </c>
      <c r="C60" s="191" t="s">
        <v>79</v>
      </c>
      <c r="D60" s="191" t="s">
        <v>99</v>
      </c>
      <c r="E60" s="191" t="s">
        <v>180</v>
      </c>
      <c r="F60" s="191">
        <v>4003047</v>
      </c>
      <c r="G60" s="191" t="s">
        <v>182</v>
      </c>
      <c r="H60" s="202">
        <v>2024680010048</v>
      </c>
      <c r="I60" s="193" t="s">
        <v>261</v>
      </c>
      <c r="J60" s="194">
        <v>36144989043.470001</v>
      </c>
      <c r="K60" s="194">
        <v>10725683783.66</v>
      </c>
      <c r="L60" s="193" t="s">
        <v>262</v>
      </c>
      <c r="M60" s="193" t="s">
        <v>234</v>
      </c>
      <c r="N60" s="193">
        <v>289645</v>
      </c>
      <c r="O60" s="195" t="s">
        <v>263</v>
      </c>
      <c r="P60" s="194">
        <v>204009629</v>
      </c>
      <c r="Q60" s="141"/>
      <c r="R60" s="141"/>
      <c r="S60" s="141"/>
      <c r="T60" s="141"/>
      <c r="U60" s="141">
        <f>IFERROR(VLOOKUP(Tabla134[[#This Row],[Código BPIN]],#REF!,6,0),0)</f>
        <v>0</v>
      </c>
      <c r="V60" s="141"/>
      <c r="W60" s="141"/>
      <c r="X60" s="141"/>
      <c r="Y60" s="211">
        <v>10391674154.66</v>
      </c>
      <c r="Z60" s="236"/>
      <c r="AA60" s="237"/>
      <c r="AB60" s="141"/>
      <c r="AC60" s="211">
        <v>130000000</v>
      </c>
      <c r="AD60" s="141"/>
      <c r="AE60" s="194">
        <f>+Tabla134[[#This Row],[Recursos propios 2025]]+Tabla134[[#This Row],[SGP Educación 2025]]+Tabla134[[#This Row],[SGP Salud 2025]]+Tabla134[[#This Row],[SGP Deporte 2025]]+Tabla134[[#This Row],[SGP Cultura 2025]]+Tabla134[[#This Row],[SGP Libre inversión 2025]]+Tabla134[[#This Row],[SGP Libre destinación 2025]]+Tabla134[[#This Row],[SGP Alimentación escolar 2025]]+Tabla134[[#This Row],[SGP Municipios río Magdalena 2025]]+Tabla134[[#This Row],[SGP APSB 2025]]+Tabla134[[#This Row],[Crédito 2025]]+Tabla134[[#This Row],[Transferencias de capital - cofinanciación departamento 2025]]+Tabla134[[#This Row],[Transferencias de capital - cofinanciación nación 2025]]+Tabla134[[#This Row],[Otros 2025]]+Tabla134[[#This Row],[Recursos del Balance]]</f>
        <v>10725683783.66</v>
      </c>
      <c r="AF60" s="142">
        <v>0</v>
      </c>
      <c r="AG60" s="141">
        <f>IFERROR(VLOOKUP(Tabla134[[#This Row],[Código BPIN]],#REF!,9,0),0)</f>
        <v>0</v>
      </c>
      <c r="AH60" s="141"/>
      <c r="AI60" s="141"/>
      <c r="AJ60" s="141"/>
      <c r="AK60" s="141">
        <f>IFERROR(VLOOKUP(Tabla134[[#This Row],[Código BPIN]],#REF!,9,0),0)</f>
        <v>0</v>
      </c>
      <c r="AL60" s="141"/>
      <c r="AM60" s="141"/>
      <c r="AN60" s="141"/>
      <c r="AO60" s="213">
        <v>7784799920</v>
      </c>
      <c r="AP60" s="141"/>
      <c r="AQ60" s="141"/>
      <c r="AR60" s="141"/>
      <c r="AS60" s="141"/>
      <c r="AT60" s="141"/>
      <c r="AU60" s="141">
        <f>+Tabla134[[#This Row],[Recursos propios 20252]]+Tabla134[[#This Row],[SGP Educación 20252]]+Tabla134[[#This Row],[SGP Salud 20252]]+Tabla134[[#This Row],[SGP Deporte 20252]]+Tabla134[[#This Row],[SGP Cultura 20252]]+Tabla134[[#This Row],[SGP Libre inversión 20252]]+Tabla134[[#This Row],[SGP Libre destinación 20252]]+Tabla134[[#This Row],[SGP Alimentación escolar 20252]]+Tabla134[[#This Row],[SGP Municipios río Magdalena 20252]]+Tabla134[[#This Row],[SGP APSB 20252]]+Tabla134[[#This Row],[Crédito 20252]]+Tabla134[[#This Row],[Transferencias de capital - cofinanciación departamento 20252]]+Tabla134[[#This Row],[Transferencias de capital - cofinanciación nación 20252]]+Tabla134[[#This Row],[Otros 20252]]+Tabla134[[#This Row],[Recursos del Balance 2025]]</f>
        <v>7784799920</v>
      </c>
      <c r="AV60" s="212">
        <v>7784799920</v>
      </c>
      <c r="AW60" s="214">
        <v>7784799920</v>
      </c>
      <c r="AX60" s="143">
        <f>+Tabla134[[#This Row],[Total Recursos Comprometido 2025]]/Tabla134[[#This Row],[Total 2025]]</f>
        <v>0.72580919566729374</v>
      </c>
      <c r="AY60" s="144">
        <f>+Tabla134[[#This Row],[Total Recursos Obligados]]/Tabla134[[#This Row],[Total 2025]]</f>
        <v>0.72580919566729374</v>
      </c>
      <c r="AZ60" s="145">
        <f>+Tabla134[[#This Row],[Total Recursos Pagados]]/Tabla134[[#This Row],[Total 2025]]</f>
        <v>0.72580919566729374</v>
      </c>
      <c r="BA60" s="146"/>
      <c r="BB60" s="197" t="str">
        <f>IF(Tabla134[[#This Row],[Total Recursos Gestionados2]]=0,"_",IF(Tabla134[[#This Row],[Ejecución Recursos Comprometidos]]=0,100%,Tabla134[[#This Row],[Total Recursos Gestionados2]]/Tabla134[[#This Row],[Ejecución Recursos Comprometidos]]))</f>
        <v>_</v>
      </c>
      <c r="BC60" s="198" t="s">
        <v>271</v>
      </c>
      <c r="BD60" s="199" t="s">
        <v>270</v>
      </c>
      <c r="BE60" s="200" t="s">
        <v>272</v>
      </c>
      <c r="BF60" s="206"/>
    </row>
    <row r="61" spans="1:58" s="229" customFormat="1" ht="49.9" customHeight="1">
      <c r="A61" s="191">
        <v>129</v>
      </c>
      <c r="B61" s="191" t="s">
        <v>114</v>
      </c>
      <c r="C61" s="191" t="s">
        <v>79</v>
      </c>
      <c r="D61" s="191" t="s">
        <v>99</v>
      </c>
      <c r="E61" s="191" t="s">
        <v>180</v>
      </c>
      <c r="F61" s="191">
        <v>4003048</v>
      </c>
      <c r="G61" s="191" t="s">
        <v>185</v>
      </c>
      <c r="H61" s="202">
        <v>2024680010053</v>
      </c>
      <c r="I61" s="193" t="s">
        <v>264</v>
      </c>
      <c r="J61" s="194">
        <v>788055514</v>
      </c>
      <c r="K61" s="194">
        <v>200000000</v>
      </c>
      <c r="L61" s="193"/>
      <c r="M61" s="193"/>
      <c r="N61" s="193"/>
      <c r="O61" s="195"/>
      <c r="P61" s="194">
        <v>200000000</v>
      </c>
      <c r="Q61" s="141"/>
      <c r="R61" s="141"/>
      <c r="S61" s="141"/>
      <c r="T61" s="141"/>
      <c r="U61" s="141">
        <f>IFERROR(VLOOKUP(Tabla134[[#This Row],[Código BPIN]],#REF!,6,0),0)</f>
        <v>0</v>
      </c>
      <c r="V61" s="141"/>
      <c r="W61" s="141"/>
      <c r="X61" s="141"/>
      <c r="Y61" s="141">
        <f>IFERROR(VLOOKUP(Tabla134[[#This Row],[Código BPIN]],#REF!,7,0),0)</f>
        <v>0</v>
      </c>
      <c r="Z61" s="141"/>
      <c r="AA61" s="141"/>
      <c r="AB61" s="141"/>
      <c r="AC61" s="141"/>
      <c r="AD61" s="141"/>
      <c r="AE61" s="194">
        <f>+Tabla134[[#This Row],[Recursos propios 2025]]+Tabla134[[#This Row],[SGP Educación 2025]]+Tabla134[[#This Row],[SGP Salud 2025]]+Tabla134[[#This Row],[SGP Deporte 2025]]+Tabla134[[#This Row],[SGP Cultura 2025]]+Tabla134[[#This Row],[SGP Libre inversión 2025]]+Tabla134[[#This Row],[SGP Libre destinación 2025]]+Tabla134[[#This Row],[SGP Alimentación escolar 2025]]+Tabla134[[#This Row],[SGP Municipios río Magdalena 2025]]+Tabla134[[#This Row],[SGP APSB 2025]]+Tabla134[[#This Row],[Crédito 2025]]+Tabla134[[#This Row],[Transferencias de capital - cofinanciación departamento 2025]]+Tabla134[[#This Row],[Transferencias de capital - cofinanciación nación 2025]]+Tabla134[[#This Row],[Otros 2025]]+Tabla134[[#This Row],[Recursos del Balance]]</f>
        <v>200000000</v>
      </c>
      <c r="AF61" s="142">
        <f>IFERROR(VLOOKUP(Tabla134[[#This Row],[Código BPIN]],#REF!,8,0),0)</f>
        <v>0</v>
      </c>
      <c r="AG61" s="141">
        <f>IFERROR(VLOOKUP(Tabla134[[#This Row],[Código BPIN]],#REF!,9,0),0)</f>
        <v>0</v>
      </c>
      <c r="AH61" s="141"/>
      <c r="AI61" s="141"/>
      <c r="AJ61" s="141"/>
      <c r="AK61" s="141">
        <f>IFERROR(VLOOKUP(Tabla134[[#This Row],[Código BPIN]],#REF!,9,0),0)</f>
        <v>0</v>
      </c>
      <c r="AL61" s="141"/>
      <c r="AM61" s="141"/>
      <c r="AN61" s="141"/>
      <c r="AO61" s="141">
        <f>IFERROR(VLOOKUP(Tabla134[[#This Row],[Código BPIN]],#REF!,10,0),0)</f>
        <v>0</v>
      </c>
      <c r="AP61" s="141"/>
      <c r="AQ61" s="141"/>
      <c r="AR61" s="141"/>
      <c r="AS61" s="141"/>
      <c r="AT61" s="141"/>
      <c r="AU61" s="141">
        <f>+Tabla134[[#This Row],[Recursos propios 20252]]+Tabla134[[#This Row],[SGP Educación 20252]]+Tabla134[[#This Row],[SGP Salud 20252]]+Tabla134[[#This Row],[SGP Deporte 20252]]+Tabla134[[#This Row],[SGP Cultura 20252]]+Tabla134[[#This Row],[SGP Libre inversión 20252]]+Tabla134[[#This Row],[SGP Libre destinación 20252]]+Tabla134[[#This Row],[SGP Alimentación escolar 20252]]+Tabla134[[#This Row],[SGP Municipios río Magdalena 20252]]+Tabla134[[#This Row],[SGP APSB 20252]]+Tabla134[[#This Row],[Crédito 20252]]+Tabla134[[#This Row],[Transferencias de capital - cofinanciación departamento 20252]]+Tabla134[[#This Row],[Transferencias de capital - cofinanciación nación 20252]]+Tabla134[[#This Row],[Otros 20252]]+Tabla134[[#This Row],[Recursos del Balance 2025]]</f>
        <v>0</v>
      </c>
      <c r="AV61" s="141">
        <f>SUM(Tabla134[[#This Row],[Recursos propios 20252]:[Recursos del Balance 2025]])</f>
        <v>0</v>
      </c>
      <c r="AW61" s="201">
        <f>IFERROR(VLOOKUP(Tabla134[[#This Row],[Código BPIN]],#REF!,5,0),0)</f>
        <v>0</v>
      </c>
      <c r="AX61" s="143">
        <f>+Tabla134[[#This Row],[Total Recursos Comprometido 2025]]/Tabla134[[#This Row],[Total 2025]]</f>
        <v>0</v>
      </c>
      <c r="AY61" s="144">
        <f>+Tabla134[[#This Row],[Total Recursos Obligados]]/Tabla134[[#This Row],[Total 2025]]</f>
        <v>0</v>
      </c>
      <c r="AZ61" s="145">
        <f>+Tabla134[[#This Row],[Total Recursos Pagados]]/Tabla134[[#This Row],[Total 2025]]</f>
        <v>0</v>
      </c>
      <c r="BA61" s="146"/>
      <c r="BB61" s="197" t="str">
        <f>IF(Tabla134[[#This Row],[Total Recursos Gestionados2]]=0,"_",IF(Tabla134[[#This Row],[Ejecución Recursos Comprometidos]]=0,100%,Tabla134[[#This Row],[Total Recursos Gestionados2]]/Tabla134[[#This Row],[Ejecución Recursos Comprometidos]]))</f>
        <v>_</v>
      </c>
      <c r="BC61" s="198" t="s">
        <v>271</v>
      </c>
      <c r="BD61" s="199" t="s">
        <v>270</v>
      </c>
      <c r="BE61" s="200" t="s">
        <v>272</v>
      </c>
      <c r="BF61" s="206"/>
    </row>
    <row r="62" spans="1:58" s="207" customFormat="1" ht="49.9" customHeight="1">
      <c r="A62" s="191">
        <v>134</v>
      </c>
      <c r="B62" s="191" t="s">
        <v>188</v>
      </c>
      <c r="C62" s="191" t="s">
        <v>189</v>
      </c>
      <c r="D62" s="191">
        <v>4301</v>
      </c>
      <c r="E62" s="191" t="s">
        <v>196</v>
      </c>
      <c r="F62" s="191">
        <v>4301004</v>
      </c>
      <c r="G62" s="191" t="s">
        <v>313</v>
      </c>
      <c r="H62" s="202">
        <v>2022680010048</v>
      </c>
      <c r="I62" s="193" t="s">
        <v>320</v>
      </c>
      <c r="J62" s="194">
        <v>22637220816.360001</v>
      </c>
      <c r="K62" s="194">
        <v>1897648881.4300001</v>
      </c>
      <c r="L62" s="193"/>
      <c r="M62" s="193"/>
      <c r="N62" s="193"/>
      <c r="O62" s="195"/>
      <c r="P62" s="194">
        <v>1684796494.4300001</v>
      </c>
      <c r="Q62" s="141"/>
      <c r="R62" s="141"/>
      <c r="S62" s="141"/>
      <c r="T62" s="141"/>
      <c r="U62" s="141">
        <f>IFERROR(VLOOKUP(Tabla134[[#This Row],[Código BPIN]],#REF!,6,0),0)</f>
        <v>0</v>
      </c>
      <c r="V62" s="141"/>
      <c r="W62" s="141"/>
      <c r="X62" s="141"/>
      <c r="Y62" s="141">
        <f>IFERROR(VLOOKUP(Tabla134[[#This Row],[Código BPIN]],#REF!,7,0),0)</f>
        <v>0</v>
      </c>
      <c r="Z62" s="141"/>
      <c r="AA62" s="141"/>
      <c r="AB62" s="141"/>
      <c r="AC62" s="194">
        <v>0</v>
      </c>
      <c r="AD62" s="194">
        <v>212852387</v>
      </c>
      <c r="AE62" s="194">
        <f>+Tabla134[[#This Row],[Recursos propios 2025]]+Tabla134[[#This Row],[SGP Educación 2025]]+Tabla134[[#This Row],[SGP Salud 2025]]+Tabla134[[#This Row],[SGP Deporte 2025]]+Tabla134[[#This Row],[SGP Cultura 2025]]+Tabla134[[#This Row],[SGP Libre inversión 2025]]+Tabla134[[#This Row],[SGP Libre destinación 2025]]+Tabla134[[#This Row],[SGP Alimentación escolar 2025]]+Tabla134[[#This Row],[SGP Municipios río Magdalena 2025]]+Tabla134[[#This Row],[SGP APSB 2025]]+Tabla134[[#This Row],[Crédito 2025]]+Tabla134[[#This Row],[Transferencias de capital - cofinanciación departamento 2025]]+Tabla134[[#This Row],[Transferencias de capital - cofinanciación nación 2025]]+Tabla134[[#This Row],[Otros 2025]]+Tabla134[[#This Row],[Recursos del Balance]]</f>
        <v>1897648881.4300001</v>
      </c>
      <c r="AF62" s="194">
        <v>1684796494.4300001</v>
      </c>
      <c r="AG62" s="141">
        <f>IFERROR(VLOOKUP(Tabla134[[#This Row],[Código BPIN]],#REF!,9,0),0)</f>
        <v>0</v>
      </c>
      <c r="AH62" s="141"/>
      <c r="AI62" s="141"/>
      <c r="AJ62" s="141"/>
      <c r="AK62" s="141">
        <f>IFERROR(VLOOKUP(Tabla134[[#This Row],[Código BPIN]],#REF!,9,0),0)</f>
        <v>0</v>
      </c>
      <c r="AL62" s="141"/>
      <c r="AM62" s="141"/>
      <c r="AN62" s="141"/>
      <c r="AO62" s="141">
        <f>IFERROR(VLOOKUP(Tabla134[[#This Row],[Código BPIN]],#REF!,10,0),0)</f>
        <v>0</v>
      </c>
      <c r="AP62" s="141"/>
      <c r="AQ62" s="141"/>
      <c r="AR62" s="141"/>
      <c r="AS62" s="141">
        <v>0</v>
      </c>
      <c r="AT62" s="141">
        <v>212852387</v>
      </c>
      <c r="AU62" s="141">
        <f>+Tabla134[[#This Row],[Recursos propios 20252]]+Tabla134[[#This Row],[SGP Educación 20252]]+Tabla134[[#This Row],[SGP Salud 20252]]+Tabla134[[#This Row],[SGP Deporte 20252]]+Tabla134[[#This Row],[SGP Cultura 20252]]+Tabla134[[#This Row],[SGP Libre inversión 20252]]+Tabla134[[#This Row],[SGP Libre destinación 20252]]+Tabla134[[#This Row],[SGP Alimentación escolar 20252]]+Tabla134[[#This Row],[SGP Municipios río Magdalena 20252]]+Tabla134[[#This Row],[SGP APSB 20252]]+Tabla134[[#This Row],[Crédito 20252]]+Tabla134[[#This Row],[Transferencias de capital - cofinanciación departamento 20252]]+Tabla134[[#This Row],[Transferencias de capital - cofinanciación nación 20252]]+Tabla134[[#This Row],[Otros 20252]]+Tabla134[[#This Row],[Recursos del Balance 2025]]</f>
        <v>1897648881.4300001</v>
      </c>
      <c r="AV62" s="141">
        <v>989659081.43999994</v>
      </c>
      <c r="AW62" s="141">
        <v>989659081.43999994</v>
      </c>
      <c r="AX62" s="143">
        <f>+Tabla134[[#This Row],[Total Recursos Comprometido 2025]]/Tabla134[[#This Row],[Total 2025]]</f>
        <v>1</v>
      </c>
      <c r="AY62" s="144">
        <f>+Tabla134[[#This Row],[Total Recursos Obligados]]/Tabla134[[#This Row],[Total 2025]]</f>
        <v>0.52151854388058783</v>
      </c>
      <c r="AZ62" s="145">
        <f>+Tabla134[[#This Row],[Total Recursos Pagados]]/Tabla134[[#This Row],[Total 2025]]</f>
        <v>0.52151854388058783</v>
      </c>
      <c r="BA62" s="146"/>
      <c r="BB62" s="197" t="str">
        <f>IF(Tabla134[[#This Row],[Total Recursos Gestionados2]]=0,"_",IF(Tabla134[[#This Row],[Ejecución Recursos Comprometidos]]=0,100%,Tabla134[[#This Row],[Total Recursos Gestionados2]]/Tabla134[[#This Row],[Ejecución Recursos Comprometidos]]))</f>
        <v>_</v>
      </c>
      <c r="BC62" s="198"/>
      <c r="BD62" s="199"/>
      <c r="BE62" s="200"/>
      <c r="BF62" s="206"/>
    </row>
    <row r="63" spans="1:58" s="229" customFormat="1" ht="49.9" customHeight="1">
      <c r="A63" s="191">
        <v>135</v>
      </c>
      <c r="B63" s="191" t="s">
        <v>188</v>
      </c>
      <c r="C63" s="191" t="s">
        <v>189</v>
      </c>
      <c r="D63" s="191" t="s">
        <v>190</v>
      </c>
      <c r="E63" s="191" t="s">
        <v>191</v>
      </c>
      <c r="F63" s="191">
        <v>4302015</v>
      </c>
      <c r="G63" s="191" t="s">
        <v>193</v>
      </c>
      <c r="H63" s="202"/>
      <c r="I63" s="193"/>
      <c r="J63" s="194"/>
      <c r="K63" s="194">
        <f>IFERROR(VLOOKUP(Tabla134[[#This Row],[Código BPIN]],#REF!,2,0),0)</f>
        <v>0</v>
      </c>
      <c r="L63" s="193"/>
      <c r="M63" s="193"/>
      <c r="N63" s="193"/>
      <c r="O63" s="195"/>
      <c r="P63" s="203">
        <f>IFERROR(VLOOKUP(Tabla134[[#This Row],[Código BPIN]],#REF!,5,0),0)</f>
        <v>0</v>
      </c>
      <c r="Q63" s="141"/>
      <c r="R63" s="141"/>
      <c r="S63" s="141"/>
      <c r="T63" s="141"/>
      <c r="U63" s="141">
        <f>IFERROR(VLOOKUP(Tabla134[[#This Row],[Código BPIN]],#REF!,6,0),0)</f>
        <v>0</v>
      </c>
      <c r="V63" s="141"/>
      <c r="W63" s="141"/>
      <c r="X63" s="141"/>
      <c r="Y63" s="141">
        <f>IFERROR(VLOOKUP(Tabla134[[#This Row],[Código BPIN]],#REF!,7,0),0)</f>
        <v>0</v>
      </c>
      <c r="Z63" s="141"/>
      <c r="AA63" s="141"/>
      <c r="AB63" s="141"/>
      <c r="AC63" s="141"/>
      <c r="AD63" s="141"/>
      <c r="AE63" s="194">
        <f>+Tabla134[[#This Row],[Recursos propios 2025]]+Tabla134[[#This Row],[SGP Educación 2025]]+Tabla134[[#This Row],[SGP Salud 2025]]+Tabla134[[#This Row],[SGP Deporte 2025]]+Tabla134[[#This Row],[SGP Cultura 2025]]+Tabla134[[#This Row],[SGP Libre inversión 2025]]+Tabla134[[#This Row],[SGP Libre destinación 2025]]+Tabla134[[#This Row],[SGP Alimentación escolar 2025]]+Tabla134[[#This Row],[SGP Municipios río Magdalena 2025]]+Tabla134[[#This Row],[SGP APSB 2025]]+Tabla134[[#This Row],[Crédito 2025]]+Tabla134[[#This Row],[Transferencias de capital - cofinanciación departamento 2025]]+Tabla134[[#This Row],[Transferencias de capital - cofinanciación nación 2025]]+Tabla134[[#This Row],[Otros 2025]]+Tabla134[[#This Row],[Recursos del Balance]]</f>
        <v>0</v>
      </c>
      <c r="AF63" s="142">
        <f>IFERROR(VLOOKUP(Tabla134[[#This Row],[Código BPIN]],#REF!,8,0),0)</f>
        <v>0</v>
      </c>
      <c r="AG63" s="141">
        <f>IFERROR(VLOOKUP(Tabla134[[#This Row],[Código BPIN]],#REF!,9,0),0)</f>
        <v>0</v>
      </c>
      <c r="AH63" s="141"/>
      <c r="AI63" s="141"/>
      <c r="AJ63" s="141"/>
      <c r="AK63" s="141">
        <f>IFERROR(VLOOKUP(Tabla134[[#This Row],[Código BPIN]],#REF!,9,0),0)</f>
        <v>0</v>
      </c>
      <c r="AL63" s="141"/>
      <c r="AM63" s="141"/>
      <c r="AN63" s="141"/>
      <c r="AO63" s="141">
        <f>IFERROR(VLOOKUP(Tabla134[[#This Row],[Código BPIN]],#REF!,10,0),0)</f>
        <v>0</v>
      </c>
      <c r="AP63" s="141"/>
      <c r="AQ63" s="141"/>
      <c r="AR63" s="141"/>
      <c r="AS63" s="141"/>
      <c r="AT63" s="141"/>
      <c r="AU63" s="141">
        <f>+Tabla134[[#This Row],[Recursos propios 20252]]+Tabla134[[#This Row],[SGP Educación 20252]]+Tabla134[[#This Row],[SGP Salud 20252]]+Tabla134[[#This Row],[SGP Deporte 20252]]+Tabla134[[#This Row],[SGP Cultura 20252]]+Tabla134[[#This Row],[SGP Libre inversión 20252]]+Tabla134[[#This Row],[SGP Libre destinación 20252]]+Tabla134[[#This Row],[SGP Alimentación escolar 20252]]+Tabla134[[#This Row],[SGP Municipios río Magdalena 20252]]+Tabla134[[#This Row],[SGP APSB 20252]]+Tabla134[[#This Row],[Crédito 20252]]+Tabla134[[#This Row],[Transferencias de capital - cofinanciación departamento 20252]]+Tabla134[[#This Row],[Transferencias de capital - cofinanciación nación 20252]]+Tabla134[[#This Row],[Otros 20252]]+Tabla134[[#This Row],[Recursos del Balance 2025]]</f>
        <v>0</v>
      </c>
      <c r="AV63" s="141">
        <f>SUM(Tabla134[[#This Row],[Recursos propios 20252]:[Recursos del Balance 2025]])</f>
        <v>0</v>
      </c>
      <c r="AW63" s="201">
        <f>IFERROR(VLOOKUP(Tabla134[[#This Row],[Código BPIN]],#REF!,5,0),0)</f>
        <v>0</v>
      </c>
      <c r="AX63" s="143" t="e">
        <f>+Tabla134[[#This Row],[Total Recursos Comprometido 2025]]/Tabla134[[#This Row],[Total 2025]]</f>
        <v>#DIV/0!</v>
      </c>
      <c r="AY63" s="144" t="e">
        <f>+Tabla134[[#This Row],[Total Recursos Obligados]]/Tabla134[[#This Row],[Total 2025]]</f>
        <v>#DIV/0!</v>
      </c>
      <c r="AZ63" s="145" t="e">
        <f>+Tabla134[[#This Row],[Total Recursos Pagados]]/Tabla134[[#This Row],[Total 2025]]</f>
        <v>#DIV/0!</v>
      </c>
      <c r="BA63" s="146"/>
      <c r="BB63" s="197" t="str">
        <f>IF(Tabla134[[#This Row],[Total Recursos Gestionados2]]=0,"_",IF(Tabla134[[#This Row],[Ejecución Recursos Comprometidos]]=0,100%,Tabla134[[#This Row],[Total Recursos Gestionados2]]/Tabla134[[#This Row],[Ejecución Recursos Comprometidos]]))</f>
        <v>_</v>
      </c>
      <c r="BC63" s="198" t="s">
        <v>271</v>
      </c>
      <c r="BD63" s="199" t="s">
        <v>270</v>
      </c>
      <c r="BE63" s="200">
        <v>3</v>
      </c>
      <c r="BF63" s="206"/>
    </row>
    <row r="64" spans="1:58" s="229" customFormat="1" ht="49.9" customHeight="1">
      <c r="A64" s="191">
        <v>136</v>
      </c>
      <c r="B64" s="191" t="s">
        <v>188</v>
      </c>
      <c r="C64" s="191" t="s">
        <v>189</v>
      </c>
      <c r="D64" s="191" t="s">
        <v>195</v>
      </c>
      <c r="E64" s="191" t="s">
        <v>196</v>
      </c>
      <c r="F64" s="191">
        <v>4301011</v>
      </c>
      <c r="G64" s="191" t="s">
        <v>198</v>
      </c>
      <c r="H64" s="202"/>
      <c r="I64" s="193"/>
      <c r="J64" s="194"/>
      <c r="K64" s="194">
        <f>IFERROR(VLOOKUP(Tabla134[[#This Row],[Código BPIN]],#REF!,2,0),0)</f>
        <v>0</v>
      </c>
      <c r="L64" s="193"/>
      <c r="M64" s="193"/>
      <c r="N64" s="193"/>
      <c r="O64" s="195"/>
      <c r="P64" s="203">
        <f>IFERROR(VLOOKUP(Tabla134[[#This Row],[Código BPIN]],#REF!,5,0),0)</f>
        <v>0</v>
      </c>
      <c r="Q64" s="141"/>
      <c r="R64" s="141"/>
      <c r="S64" s="141"/>
      <c r="T64" s="141"/>
      <c r="U64" s="141">
        <f>IFERROR(VLOOKUP(Tabla134[[#This Row],[Código BPIN]],#REF!,6,0),0)</f>
        <v>0</v>
      </c>
      <c r="V64" s="141"/>
      <c r="W64" s="141"/>
      <c r="X64" s="141"/>
      <c r="Y64" s="141">
        <f>IFERROR(VLOOKUP(Tabla134[[#This Row],[Código BPIN]],#REF!,7,0),0)</f>
        <v>0</v>
      </c>
      <c r="Z64" s="141"/>
      <c r="AA64" s="141"/>
      <c r="AB64" s="141"/>
      <c r="AC64" s="141"/>
      <c r="AD64" s="141"/>
      <c r="AE64" s="194">
        <f>+Tabla134[[#This Row],[Recursos propios 2025]]+Tabla134[[#This Row],[SGP Educación 2025]]+Tabla134[[#This Row],[SGP Salud 2025]]+Tabla134[[#This Row],[SGP Deporte 2025]]+Tabla134[[#This Row],[SGP Cultura 2025]]+Tabla134[[#This Row],[SGP Libre inversión 2025]]+Tabla134[[#This Row],[SGP Libre destinación 2025]]+Tabla134[[#This Row],[SGP Alimentación escolar 2025]]+Tabla134[[#This Row],[SGP Municipios río Magdalena 2025]]+Tabla134[[#This Row],[SGP APSB 2025]]+Tabla134[[#This Row],[Crédito 2025]]+Tabla134[[#This Row],[Transferencias de capital - cofinanciación departamento 2025]]+Tabla134[[#This Row],[Transferencias de capital - cofinanciación nación 2025]]+Tabla134[[#This Row],[Otros 2025]]+Tabla134[[#This Row],[Recursos del Balance]]</f>
        <v>0</v>
      </c>
      <c r="AF64" s="142">
        <f>IFERROR(VLOOKUP(Tabla134[[#This Row],[Código BPIN]],#REF!,8,0),0)</f>
        <v>0</v>
      </c>
      <c r="AG64" s="141">
        <f>IFERROR(VLOOKUP(Tabla134[[#This Row],[Código BPIN]],#REF!,9,0),0)</f>
        <v>0</v>
      </c>
      <c r="AH64" s="141"/>
      <c r="AI64" s="141"/>
      <c r="AJ64" s="141"/>
      <c r="AK64" s="141">
        <f>IFERROR(VLOOKUP(Tabla134[[#This Row],[Código BPIN]],#REF!,9,0),0)</f>
        <v>0</v>
      </c>
      <c r="AL64" s="141"/>
      <c r="AM64" s="141"/>
      <c r="AN64" s="141"/>
      <c r="AO64" s="141">
        <f>IFERROR(VLOOKUP(Tabla134[[#This Row],[Código BPIN]],#REF!,10,0),0)</f>
        <v>0</v>
      </c>
      <c r="AP64" s="141"/>
      <c r="AQ64" s="141"/>
      <c r="AR64" s="141"/>
      <c r="AS64" s="141"/>
      <c r="AT64" s="141"/>
      <c r="AU64" s="141">
        <f>+Tabla134[[#This Row],[Recursos propios 20252]]+Tabla134[[#This Row],[SGP Educación 20252]]+Tabla134[[#This Row],[SGP Salud 20252]]+Tabla134[[#This Row],[SGP Deporte 20252]]+Tabla134[[#This Row],[SGP Cultura 20252]]+Tabla134[[#This Row],[SGP Libre inversión 20252]]+Tabla134[[#This Row],[SGP Libre destinación 20252]]+Tabla134[[#This Row],[SGP Alimentación escolar 20252]]+Tabla134[[#This Row],[SGP Municipios río Magdalena 20252]]+Tabla134[[#This Row],[SGP APSB 20252]]+Tabla134[[#This Row],[Crédito 20252]]+Tabla134[[#This Row],[Transferencias de capital - cofinanciación departamento 20252]]+Tabla134[[#This Row],[Transferencias de capital - cofinanciación nación 20252]]+Tabla134[[#This Row],[Otros 20252]]+Tabla134[[#This Row],[Recursos del Balance 2025]]</f>
        <v>0</v>
      </c>
      <c r="AV64" s="141">
        <f>SUM(Tabla134[[#This Row],[Recursos propios 20252]:[Recursos del Balance 2025]])</f>
        <v>0</v>
      </c>
      <c r="AW64" s="201">
        <f>IFERROR(VLOOKUP(Tabla134[[#This Row],[Código BPIN]],#REF!,5,0),0)</f>
        <v>0</v>
      </c>
      <c r="AX64" s="143" t="e">
        <f>+Tabla134[[#This Row],[Total Recursos Comprometido 2025]]/Tabla134[[#This Row],[Total 2025]]</f>
        <v>#DIV/0!</v>
      </c>
      <c r="AY64" s="144" t="e">
        <f>+Tabla134[[#This Row],[Total Recursos Obligados]]/Tabla134[[#This Row],[Total 2025]]</f>
        <v>#DIV/0!</v>
      </c>
      <c r="AZ64" s="145" t="e">
        <f>+Tabla134[[#This Row],[Total Recursos Pagados]]/Tabla134[[#This Row],[Total 2025]]</f>
        <v>#DIV/0!</v>
      </c>
      <c r="BA64" s="146"/>
      <c r="BB64" s="197" t="str">
        <f>IF(Tabla134[[#This Row],[Total Recursos Gestionados2]]=0,"_",IF(Tabla134[[#This Row],[Ejecución Recursos Comprometidos]]=0,100%,Tabla134[[#This Row],[Total Recursos Gestionados2]]/Tabla134[[#This Row],[Ejecución Recursos Comprometidos]]))</f>
        <v>_</v>
      </c>
      <c r="BC64" s="198" t="s">
        <v>271</v>
      </c>
      <c r="BD64" s="199" t="s">
        <v>270</v>
      </c>
      <c r="BE64" s="200">
        <v>3</v>
      </c>
      <c r="BF64" s="206"/>
    </row>
    <row r="65" spans="1:58" s="229" customFormat="1" ht="49.9" customHeight="1">
      <c r="A65" s="191">
        <v>145</v>
      </c>
      <c r="B65" s="191" t="s">
        <v>188</v>
      </c>
      <c r="C65" s="191" t="s">
        <v>200</v>
      </c>
      <c r="D65" s="191" t="s">
        <v>201</v>
      </c>
      <c r="E65" s="191" t="s">
        <v>202</v>
      </c>
      <c r="F65" s="191">
        <v>3302073</v>
      </c>
      <c r="G65" s="191" t="s">
        <v>204</v>
      </c>
      <c r="H65" s="202">
        <v>202500000027293</v>
      </c>
      <c r="I65" s="193" t="s">
        <v>323</v>
      </c>
      <c r="J65" s="194">
        <v>210612869.34</v>
      </c>
      <c r="K65" s="194">
        <v>210612869.34</v>
      </c>
      <c r="L65" s="193"/>
      <c r="M65" s="193"/>
      <c r="N65" s="193"/>
      <c r="O65" s="195"/>
      <c r="P65" s="203">
        <f>IFERROR(VLOOKUP(Tabla134[[#This Row],[Código BPIN]],#REF!,5,0),0)</f>
        <v>0</v>
      </c>
      <c r="Q65" s="141"/>
      <c r="R65" s="141"/>
      <c r="S65" s="141"/>
      <c r="T65" s="141"/>
      <c r="U65" s="141">
        <f>IFERROR(VLOOKUP(Tabla134[[#This Row],[Código BPIN]],#REF!,6,0),0)</f>
        <v>0</v>
      </c>
      <c r="V65" s="141"/>
      <c r="W65" s="141"/>
      <c r="X65" s="141"/>
      <c r="Y65" s="141">
        <f>IFERROR(VLOOKUP(Tabla134[[#This Row],[Código BPIN]],#REF!,7,0),0)</f>
        <v>0</v>
      </c>
      <c r="Z65" s="141"/>
      <c r="AA65" s="141"/>
      <c r="AB65" s="141"/>
      <c r="AC65" s="230">
        <v>210612869.34</v>
      </c>
      <c r="AD65" s="141"/>
      <c r="AE65" s="194">
        <f>+Tabla134[[#This Row],[Recursos propios 2025]]+Tabla134[[#This Row],[SGP Educación 2025]]+Tabla134[[#This Row],[SGP Salud 2025]]+Tabla134[[#This Row],[SGP Deporte 2025]]+Tabla134[[#This Row],[SGP Cultura 2025]]+Tabla134[[#This Row],[SGP Libre inversión 2025]]+Tabla134[[#This Row],[SGP Libre destinación 2025]]+Tabla134[[#This Row],[SGP Alimentación escolar 2025]]+Tabla134[[#This Row],[SGP Municipios río Magdalena 2025]]+Tabla134[[#This Row],[SGP APSB 2025]]+Tabla134[[#This Row],[Crédito 2025]]+Tabla134[[#This Row],[Transferencias de capital - cofinanciación departamento 2025]]+Tabla134[[#This Row],[Transferencias de capital - cofinanciación nación 2025]]+Tabla134[[#This Row],[Otros 2025]]+Tabla134[[#This Row],[Recursos del Balance]]</f>
        <v>210612869.34</v>
      </c>
      <c r="AF65" s="142">
        <f>IFERROR(VLOOKUP(Tabla134[[#This Row],[Código BPIN]],#REF!,8,0),0)</f>
        <v>0</v>
      </c>
      <c r="AG65" s="141">
        <f>IFERROR(VLOOKUP(Tabla134[[#This Row],[Código BPIN]],#REF!,9,0),0)</f>
        <v>0</v>
      </c>
      <c r="AH65" s="141"/>
      <c r="AI65" s="141"/>
      <c r="AJ65" s="141"/>
      <c r="AK65" s="141">
        <f>IFERROR(VLOOKUP(Tabla134[[#This Row],[Código BPIN]],#REF!,9,0),0)</f>
        <v>0</v>
      </c>
      <c r="AL65" s="141"/>
      <c r="AM65" s="141"/>
      <c r="AN65" s="141"/>
      <c r="AO65" s="141">
        <f>IFERROR(VLOOKUP(Tabla134[[#This Row],[Código BPIN]],#REF!,10,0),0)</f>
        <v>0</v>
      </c>
      <c r="AP65" s="141"/>
      <c r="AQ65" s="141"/>
      <c r="AR65" s="141"/>
      <c r="AS65" s="217">
        <v>210612869.34</v>
      </c>
      <c r="AT65" s="141"/>
      <c r="AU65" s="141">
        <f>+Tabla134[[#This Row],[Recursos propios 20252]]+Tabla134[[#This Row],[SGP Educación 20252]]+Tabla134[[#This Row],[SGP Salud 20252]]+Tabla134[[#This Row],[SGP Deporte 20252]]+Tabla134[[#This Row],[SGP Cultura 20252]]+Tabla134[[#This Row],[SGP Libre inversión 20252]]+Tabla134[[#This Row],[SGP Libre destinación 20252]]+Tabla134[[#This Row],[SGP Alimentación escolar 20252]]+Tabla134[[#This Row],[SGP Municipios río Magdalena 20252]]+Tabla134[[#This Row],[SGP APSB 20252]]+Tabla134[[#This Row],[Crédito 20252]]+Tabla134[[#This Row],[Transferencias de capital - cofinanciación departamento 20252]]+Tabla134[[#This Row],[Transferencias de capital - cofinanciación nación 20252]]+Tabla134[[#This Row],[Otros 20252]]+Tabla134[[#This Row],[Recursos del Balance 2025]]</f>
        <v>210612869.34</v>
      </c>
      <c r="AV65" s="220">
        <v>210612869.34</v>
      </c>
      <c r="AW65" s="221">
        <v>210612869.34</v>
      </c>
      <c r="AX65" s="143">
        <f>+Tabla134[[#This Row],[Total Recursos Comprometido 2025]]/Tabla134[[#This Row],[Total 2025]]</f>
        <v>1</v>
      </c>
      <c r="AY65" s="144">
        <f>+Tabla134[[#This Row],[Total Recursos Obligados]]/Tabla134[[#This Row],[Total 2025]]</f>
        <v>1</v>
      </c>
      <c r="AZ65" s="145">
        <f>+Tabla134[[#This Row],[Total Recursos Pagados]]/Tabla134[[#This Row],[Total 2025]]</f>
        <v>1</v>
      </c>
      <c r="BA65" s="146"/>
      <c r="BB65" s="197" t="str">
        <f>IF(Tabla134[[#This Row],[Total Recursos Gestionados2]]=0,"_",IF(Tabla134[[#This Row],[Ejecución Recursos Comprometidos]]=0,100%,Tabla134[[#This Row],[Total Recursos Gestionados2]]/Tabla134[[#This Row],[Ejecución Recursos Comprometidos]]))</f>
        <v>_</v>
      </c>
      <c r="BC65" s="198" t="s">
        <v>271</v>
      </c>
      <c r="BD65" s="199" t="s">
        <v>270</v>
      </c>
      <c r="BE65" s="200">
        <v>11</v>
      </c>
      <c r="BF65" s="206"/>
    </row>
    <row r="66" spans="1:58" s="229" customFormat="1" ht="49.9" customHeight="1">
      <c r="A66" s="191">
        <v>235</v>
      </c>
      <c r="B66" s="191" t="s">
        <v>206</v>
      </c>
      <c r="C66" s="191" t="s">
        <v>207</v>
      </c>
      <c r="D66" s="191" t="s">
        <v>208</v>
      </c>
      <c r="E66" s="191" t="s">
        <v>209</v>
      </c>
      <c r="F66" s="191">
        <v>4502007</v>
      </c>
      <c r="G66" s="191" t="s">
        <v>211</v>
      </c>
      <c r="H66" s="202"/>
      <c r="I66" s="193"/>
      <c r="J66" s="194"/>
      <c r="K66" s="194">
        <f>IFERROR(VLOOKUP(Tabla134[[#This Row],[Código BPIN]],#REF!,2,0),0)</f>
        <v>0</v>
      </c>
      <c r="L66" s="193"/>
      <c r="M66" s="193"/>
      <c r="N66" s="193"/>
      <c r="O66" s="195"/>
      <c r="P66" s="203">
        <f>IFERROR(VLOOKUP(Tabla134[[#This Row],[Código BPIN]],#REF!,5,0),0)</f>
        <v>0</v>
      </c>
      <c r="Q66" s="141"/>
      <c r="R66" s="141"/>
      <c r="S66" s="141"/>
      <c r="T66" s="141"/>
      <c r="U66" s="141">
        <f>IFERROR(VLOOKUP(Tabla134[[#This Row],[Código BPIN]],#REF!,6,0),0)</f>
        <v>0</v>
      </c>
      <c r="V66" s="141"/>
      <c r="W66" s="141"/>
      <c r="X66" s="141"/>
      <c r="Y66" s="141">
        <f>IFERROR(VLOOKUP(Tabla134[[#This Row],[Código BPIN]],#REF!,7,0),0)</f>
        <v>0</v>
      </c>
      <c r="Z66" s="141"/>
      <c r="AA66" s="141"/>
      <c r="AB66" s="141"/>
      <c r="AC66" s="141"/>
      <c r="AD66" s="141"/>
      <c r="AE66" s="196">
        <f>+Tabla134[[#This Row],[Recursos propios 2025]]+Tabla134[[#This Row],[SGP Educación 2025]]+Tabla134[[#This Row],[SGP Salud 2025]]+Tabla134[[#This Row],[SGP Deporte 2025]]+Tabla134[[#This Row],[SGP Cultura 2025]]+Tabla134[[#This Row],[SGP Libre inversión 2025]]+Tabla134[[#This Row],[SGP Libre destinación 2025]]+Tabla134[[#This Row],[SGP Alimentación escolar 2025]]+Tabla134[[#This Row],[SGP Municipios río Magdalena 2025]]+Tabla134[[#This Row],[SGP APSB 2025]]+Tabla134[[#This Row],[Crédito 2025]]+Tabla134[[#This Row],[Transferencias de capital - cofinanciación departamento 2025]]+Tabla134[[#This Row],[Transferencias de capital - cofinanciación nación 2025]]+Tabla134[[#This Row],[Otros 2025]]+Tabla134[[#This Row],[Recursos del Balance]]</f>
        <v>0</v>
      </c>
      <c r="AF66" s="142">
        <f>IFERROR(VLOOKUP(Tabla134[[#This Row],[Código BPIN]],#REF!,8,0),0)</f>
        <v>0</v>
      </c>
      <c r="AG66" s="141">
        <f>IFERROR(VLOOKUP(Tabla134[[#This Row],[Código BPIN]],#REF!,9,0),0)</f>
        <v>0</v>
      </c>
      <c r="AH66" s="141"/>
      <c r="AI66" s="141"/>
      <c r="AJ66" s="141"/>
      <c r="AK66" s="141">
        <f>IFERROR(VLOOKUP(Tabla134[[#This Row],[Código BPIN]],#REF!,9,0),0)</f>
        <v>0</v>
      </c>
      <c r="AL66" s="141"/>
      <c r="AM66" s="141"/>
      <c r="AN66" s="141"/>
      <c r="AO66" s="141">
        <f>IFERROR(VLOOKUP(Tabla134[[#This Row],[Código BPIN]],#REF!,10,0),0)</f>
        <v>0</v>
      </c>
      <c r="AP66" s="141"/>
      <c r="AQ66" s="141"/>
      <c r="AR66" s="141"/>
      <c r="AS66" s="141"/>
      <c r="AT66" s="141"/>
      <c r="AU66" s="141">
        <f>+Tabla134[[#This Row],[Recursos propios 20252]]+Tabla134[[#This Row],[SGP Educación 20252]]+Tabla134[[#This Row],[SGP Salud 20252]]+Tabla134[[#This Row],[SGP Deporte 20252]]+Tabla134[[#This Row],[SGP Cultura 20252]]+Tabla134[[#This Row],[SGP Libre inversión 20252]]+Tabla134[[#This Row],[SGP Libre destinación 20252]]+Tabla134[[#This Row],[SGP Alimentación escolar 20252]]+Tabla134[[#This Row],[SGP Municipios río Magdalena 20252]]+Tabla134[[#This Row],[SGP APSB 20252]]+Tabla134[[#This Row],[Crédito 20252]]+Tabla134[[#This Row],[Transferencias de capital - cofinanciación departamento 20252]]+Tabla134[[#This Row],[Transferencias de capital - cofinanciación nación 20252]]+Tabla134[[#This Row],[Otros 20252]]+Tabla134[[#This Row],[Recursos del Balance 2025]]</f>
        <v>0</v>
      </c>
      <c r="AV66" s="141">
        <f>SUM(Tabla134[[#This Row],[Recursos propios 20252]:[Recursos del Balance 2025]])</f>
        <v>0</v>
      </c>
      <c r="AW66" s="201">
        <f>IFERROR(VLOOKUP(Tabla134[[#This Row],[Código BPIN]],#REF!,5,0),0)</f>
        <v>0</v>
      </c>
      <c r="AX66" s="143" t="e">
        <f>+Tabla134[[#This Row],[Total Recursos Comprometido 2025]]/Tabla134[[#This Row],[Total 2025]]</f>
        <v>#DIV/0!</v>
      </c>
      <c r="AY66" s="144" t="e">
        <f>+Tabla134[[#This Row],[Total Recursos Obligados]]/Tabla134[[#This Row],[Total 2025]]</f>
        <v>#DIV/0!</v>
      </c>
      <c r="AZ66" s="145" t="e">
        <f>+Tabla134[[#This Row],[Total Recursos Pagados]]/Tabla134[[#This Row],[Total 2025]]</f>
        <v>#DIV/0!</v>
      </c>
      <c r="BA66" s="146"/>
      <c r="BB66" s="197" t="str">
        <f>IF(Tabla134[[#This Row],[Total Recursos Gestionados2]]=0,"_",IF(Tabla134[[#This Row],[Ejecución Recursos Comprometidos]]=0,100%,Tabla134[[#This Row],[Total Recursos Gestionados2]]/Tabla134[[#This Row],[Ejecución Recursos Comprometidos]]))</f>
        <v>_</v>
      </c>
      <c r="BC66" s="198" t="s">
        <v>271</v>
      </c>
      <c r="BD66" s="199" t="s">
        <v>270</v>
      </c>
      <c r="BE66" s="200">
        <v>10.11</v>
      </c>
      <c r="BF66" s="206"/>
    </row>
    <row r="67" spans="1:58" s="229" customFormat="1" ht="49.9" customHeight="1">
      <c r="A67" s="191">
        <v>236</v>
      </c>
      <c r="B67" s="191" t="s">
        <v>206</v>
      </c>
      <c r="C67" s="191" t="s">
        <v>207</v>
      </c>
      <c r="D67" s="191" t="s">
        <v>208</v>
      </c>
      <c r="E67" s="191" t="s">
        <v>209</v>
      </c>
      <c r="F67" s="191">
        <v>4502003</v>
      </c>
      <c r="G67" s="191" t="s">
        <v>215</v>
      </c>
      <c r="H67" s="202"/>
      <c r="I67" s="193"/>
      <c r="J67" s="194"/>
      <c r="K67" s="194">
        <f>IFERROR(VLOOKUP(Tabla134[[#This Row],[Código BPIN]],#REF!,2,0),0)</f>
        <v>0</v>
      </c>
      <c r="L67" s="193"/>
      <c r="M67" s="193"/>
      <c r="N67" s="193"/>
      <c r="O67" s="195"/>
      <c r="P67" s="203">
        <f>IFERROR(VLOOKUP(Tabla134[[#This Row],[Código BPIN]],#REF!,5,0),0)</f>
        <v>0</v>
      </c>
      <c r="Q67" s="141"/>
      <c r="R67" s="141"/>
      <c r="S67" s="141"/>
      <c r="T67" s="141"/>
      <c r="U67" s="141">
        <f>IFERROR(VLOOKUP(Tabla134[[#This Row],[Código BPIN]],#REF!,6,0),0)</f>
        <v>0</v>
      </c>
      <c r="V67" s="141"/>
      <c r="W67" s="141"/>
      <c r="X67" s="141"/>
      <c r="Y67" s="141">
        <f>IFERROR(VLOOKUP(Tabla134[[#This Row],[Código BPIN]],#REF!,7,0),0)</f>
        <v>0</v>
      </c>
      <c r="Z67" s="141"/>
      <c r="AA67" s="141"/>
      <c r="AB67" s="141"/>
      <c r="AC67" s="141"/>
      <c r="AD67" s="141"/>
      <c r="AE67" s="196">
        <f>+Tabla134[[#This Row],[Recursos propios 2025]]+Tabla134[[#This Row],[SGP Educación 2025]]+Tabla134[[#This Row],[SGP Salud 2025]]+Tabla134[[#This Row],[SGP Deporte 2025]]+Tabla134[[#This Row],[SGP Cultura 2025]]+Tabla134[[#This Row],[SGP Libre inversión 2025]]+Tabla134[[#This Row],[SGP Libre destinación 2025]]+Tabla134[[#This Row],[SGP Alimentación escolar 2025]]+Tabla134[[#This Row],[SGP Municipios río Magdalena 2025]]+Tabla134[[#This Row],[SGP APSB 2025]]+Tabla134[[#This Row],[Crédito 2025]]+Tabla134[[#This Row],[Transferencias de capital - cofinanciación departamento 2025]]+Tabla134[[#This Row],[Transferencias de capital - cofinanciación nación 2025]]+Tabla134[[#This Row],[Otros 2025]]+Tabla134[[#This Row],[Recursos del Balance]]</f>
        <v>0</v>
      </c>
      <c r="AF67" s="142">
        <f>IFERROR(VLOOKUP(Tabla134[[#This Row],[Código BPIN]],#REF!,8,0),0)</f>
        <v>0</v>
      </c>
      <c r="AG67" s="141">
        <f>IFERROR(VLOOKUP(Tabla134[[#This Row],[Código BPIN]],#REF!,9,0),0)</f>
        <v>0</v>
      </c>
      <c r="AH67" s="141"/>
      <c r="AI67" s="141"/>
      <c r="AJ67" s="141"/>
      <c r="AK67" s="141">
        <f>IFERROR(VLOOKUP(Tabla134[[#This Row],[Código BPIN]],#REF!,9,0),0)</f>
        <v>0</v>
      </c>
      <c r="AL67" s="141"/>
      <c r="AM67" s="141"/>
      <c r="AN67" s="141"/>
      <c r="AO67" s="141">
        <f>IFERROR(VLOOKUP(Tabla134[[#This Row],[Código BPIN]],#REF!,10,0),0)</f>
        <v>0</v>
      </c>
      <c r="AP67" s="141"/>
      <c r="AQ67" s="141"/>
      <c r="AR67" s="141"/>
      <c r="AS67" s="141"/>
      <c r="AT67" s="141"/>
      <c r="AU67" s="141">
        <f>+Tabla134[[#This Row],[Recursos propios 20252]]+Tabla134[[#This Row],[SGP Educación 20252]]+Tabla134[[#This Row],[SGP Salud 20252]]+Tabla134[[#This Row],[SGP Deporte 20252]]+Tabla134[[#This Row],[SGP Cultura 20252]]+Tabla134[[#This Row],[SGP Libre inversión 20252]]+Tabla134[[#This Row],[SGP Libre destinación 20252]]+Tabla134[[#This Row],[SGP Alimentación escolar 20252]]+Tabla134[[#This Row],[SGP Municipios río Magdalena 20252]]+Tabla134[[#This Row],[SGP APSB 20252]]+Tabla134[[#This Row],[Crédito 20252]]+Tabla134[[#This Row],[Transferencias de capital - cofinanciación departamento 20252]]+Tabla134[[#This Row],[Transferencias de capital - cofinanciación nación 20252]]+Tabla134[[#This Row],[Otros 20252]]+Tabla134[[#This Row],[Recursos del Balance 2025]]</f>
        <v>0</v>
      </c>
      <c r="AV67" s="141">
        <f>SUM(Tabla134[[#This Row],[Recursos propios 20252]:[Recursos del Balance 2025]])</f>
        <v>0</v>
      </c>
      <c r="AW67" s="201">
        <f>IFERROR(VLOOKUP(Tabla134[[#This Row],[Código BPIN]],#REF!,5,0),0)</f>
        <v>0</v>
      </c>
      <c r="AX67" s="143" t="e">
        <f>+Tabla134[[#This Row],[Total Recursos Comprometido 2025]]/Tabla134[[#This Row],[Total 2025]]</f>
        <v>#DIV/0!</v>
      </c>
      <c r="AY67" s="144" t="e">
        <f>+Tabla134[[#This Row],[Total Recursos Obligados]]/Tabla134[[#This Row],[Total 2025]]</f>
        <v>#DIV/0!</v>
      </c>
      <c r="AZ67" s="145" t="e">
        <f>+Tabla134[[#This Row],[Total Recursos Pagados]]/Tabla134[[#This Row],[Total 2025]]</f>
        <v>#DIV/0!</v>
      </c>
      <c r="BA67" s="146"/>
      <c r="BB67" s="197" t="str">
        <f>IF(Tabla134[[#This Row],[Total Recursos Gestionados2]]=0,"_",IF(Tabla134[[#This Row],[Ejecución Recursos Comprometidos]]=0,100%,Tabla134[[#This Row],[Total Recursos Gestionados2]]/Tabla134[[#This Row],[Ejecución Recursos Comprometidos]]))</f>
        <v>_</v>
      </c>
      <c r="BC67" s="198" t="s">
        <v>271</v>
      </c>
      <c r="BD67" s="199" t="s">
        <v>270</v>
      </c>
      <c r="BE67" s="200">
        <v>10</v>
      </c>
      <c r="BF67" s="206"/>
    </row>
    <row r="68" spans="1:58" s="229" customFormat="1" ht="49.9" customHeight="1">
      <c r="A68" s="191">
        <v>245</v>
      </c>
      <c r="B68" s="191" t="s">
        <v>206</v>
      </c>
      <c r="C68" s="191" t="s">
        <v>207</v>
      </c>
      <c r="D68" s="191" t="s">
        <v>217</v>
      </c>
      <c r="E68" s="191" t="s">
        <v>218</v>
      </c>
      <c r="F68" s="191">
        <v>4599002</v>
      </c>
      <c r="G68" s="191" t="s">
        <v>324</v>
      </c>
      <c r="H68" s="202">
        <v>202500000026116</v>
      </c>
      <c r="I68" s="193" t="s">
        <v>337</v>
      </c>
      <c r="J68" s="194">
        <v>29751750941.389996</v>
      </c>
      <c r="K68" s="194">
        <v>29751750941.389996</v>
      </c>
      <c r="L68" s="193"/>
      <c r="M68" s="193"/>
      <c r="N68" s="193"/>
      <c r="O68" s="195"/>
      <c r="P68" s="211">
        <v>0</v>
      </c>
      <c r="Q68" s="141"/>
      <c r="R68" s="141"/>
      <c r="S68" s="141"/>
      <c r="T68" s="141"/>
      <c r="U68" s="141">
        <f>IFERROR(VLOOKUP(Tabla134[[#This Row],[Código BPIN]],#REF!,6,0),0)</f>
        <v>0</v>
      </c>
      <c r="V68" s="141"/>
      <c r="W68" s="141"/>
      <c r="X68" s="141"/>
      <c r="Y68" s="141">
        <f>IFERROR(VLOOKUP(Tabla134[[#This Row],[Código BPIN]],#REF!,7,0),0)</f>
        <v>0</v>
      </c>
      <c r="Z68" s="141">
        <v>3717493101.2000003</v>
      </c>
      <c r="AA68" s="141"/>
      <c r="AB68" s="141">
        <v>4373250</v>
      </c>
      <c r="AC68" s="141">
        <v>2127914183.3099999</v>
      </c>
      <c r="AD68" s="141">
        <v>23901970406.880001</v>
      </c>
      <c r="AE68" s="196">
        <f>+Tabla134[[#This Row],[Recursos propios 2025]]+Tabla134[[#This Row],[SGP Educación 2025]]+Tabla134[[#This Row],[SGP Salud 2025]]+Tabla134[[#This Row],[SGP Deporte 2025]]+Tabla134[[#This Row],[SGP Cultura 2025]]+Tabla134[[#This Row],[SGP Libre inversión 2025]]+Tabla134[[#This Row],[SGP Libre destinación 2025]]+Tabla134[[#This Row],[SGP Alimentación escolar 2025]]+Tabla134[[#This Row],[SGP Municipios río Magdalena 2025]]+Tabla134[[#This Row],[SGP APSB 2025]]+Tabla134[[#This Row],[Crédito 2025]]+Tabla134[[#This Row],[Transferencias de capital - cofinanciación departamento 2025]]+Tabla134[[#This Row],[Transferencias de capital - cofinanciación nación 2025]]+Tabla134[[#This Row],[Otros 2025]]+Tabla134[[#This Row],[Recursos del Balance]]</f>
        <v>29751750941.389999</v>
      </c>
      <c r="AF68" s="208">
        <v>0</v>
      </c>
      <c r="AG68" s="141">
        <f>IFERROR(VLOOKUP(Tabla134[[#This Row],[Código BPIN]],#REF!,9,0),0)</f>
        <v>0</v>
      </c>
      <c r="AH68" s="141"/>
      <c r="AI68" s="141"/>
      <c r="AJ68" s="141"/>
      <c r="AK68" s="141">
        <f>IFERROR(VLOOKUP(Tabla134[[#This Row],[Código BPIN]],#REF!,9,0),0)</f>
        <v>0</v>
      </c>
      <c r="AL68" s="141"/>
      <c r="AM68" s="141"/>
      <c r="AN68" s="141"/>
      <c r="AO68" s="141">
        <f>IFERROR(VLOOKUP(Tabla134[[#This Row],[Código BPIN]],#REF!,10,0),0)</f>
        <v>0</v>
      </c>
      <c r="AP68" s="217">
        <v>2608258955.2600002</v>
      </c>
      <c r="AQ68" s="141"/>
      <c r="AR68" s="141">
        <v>4373250</v>
      </c>
      <c r="AS68" s="141">
        <v>1691440343.0999999</v>
      </c>
      <c r="AT68" s="141">
        <v>20242690280.619999</v>
      </c>
      <c r="AU68" s="141">
        <f>+Tabla134[[#This Row],[Recursos propios 20252]]+Tabla134[[#This Row],[SGP Educación 20252]]+Tabla134[[#This Row],[SGP Salud 20252]]+Tabla134[[#This Row],[SGP Deporte 20252]]+Tabla134[[#This Row],[SGP Cultura 20252]]+Tabla134[[#This Row],[SGP Libre inversión 20252]]+Tabla134[[#This Row],[SGP Libre destinación 20252]]+Tabla134[[#This Row],[SGP Alimentación escolar 20252]]+Tabla134[[#This Row],[SGP Municipios río Magdalena 20252]]+Tabla134[[#This Row],[SGP APSB 20252]]+Tabla134[[#This Row],[Crédito 20252]]+Tabla134[[#This Row],[Transferencias de capital - cofinanciación departamento 20252]]+Tabla134[[#This Row],[Transferencias de capital - cofinanciación nación 20252]]+Tabla134[[#This Row],[Otros 20252]]+Tabla134[[#This Row],[Recursos del Balance 2025]]</f>
        <v>24546762828.98</v>
      </c>
      <c r="AV68" s="141">
        <v>4986858980.0499992</v>
      </c>
      <c r="AW68" s="141">
        <v>4986858980.0499992</v>
      </c>
      <c r="AX68" s="143">
        <f>+Tabla134[[#This Row],[Total Recursos Comprometido 2025]]/Tabla134[[#This Row],[Total 2025]]</f>
        <v>0.8250527129423858</v>
      </c>
      <c r="AY68" s="144">
        <f>+Tabla134[[#This Row],[Total Recursos Obligados]]/Tabla134[[#This Row],[Total 2025]]</f>
        <v>0.16761564688659678</v>
      </c>
      <c r="AZ68" s="145">
        <f>+Tabla134[[#This Row],[Total Recursos Pagados]]/Tabla134[[#This Row],[Total 2025]]</f>
        <v>0.16761564688659678</v>
      </c>
      <c r="BA68" s="146"/>
      <c r="BB68" s="197" t="str">
        <f>IF(Tabla134[[#This Row],[Total Recursos Gestionados2]]=0,"_",IF(Tabla134[[#This Row],[Ejecución Recursos Comprometidos]]=0,100%,Tabla134[[#This Row],[Total Recursos Gestionados2]]/Tabla134[[#This Row],[Ejecución Recursos Comprometidos]]))</f>
        <v>_</v>
      </c>
      <c r="BC68" s="198" t="s">
        <v>327</v>
      </c>
      <c r="BD68" s="199"/>
      <c r="BE68" s="200"/>
      <c r="BF68" s="206"/>
    </row>
    <row r="69" spans="1:58" s="229" customFormat="1" ht="49.9" customHeight="1">
      <c r="A69" s="191">
        <v>245</v>
      </c>
      <c r="B69" s="191" t="s">
        <v>206</v>
      </c>
      <c r="C69" s="191" t="s">
        <v>207</v>
      </c>
      <c r="D69" s="191" t="s">
        <v>217</v>
      </c>
      <c r="E69" s="191" t="s">
        <v>218</v>
      </c>
      <c r="F69" s="191">
        <v>4599002</v>
      </c>
      <c r="G69" s="191" t="s">
        <v>324</v>
      </c>
      <c r="H69" s="202">
        <v>202500000029579</v>
      </c>
      <c r="I69" s="193" t="s">
        <v>338</v>
      </c>
      <c r="J69" s="194">
        <v>5723750456.5600004</v>
      </c>
      <c r="K69" s="194">
        <v>5723750456.5600004</v>
      </c>
      <c r="L69" s="193"/>
      <c r="M69" s="193"/>
      <c r="N69" s="193"/>
      <c r="O69" s="195"/>
      <c r="P69" s="216">
        <f>IFERROR(VLOOKUP(Tabla134[[#This Row],[Código BPIN]],#REF!,5,0),0)</f>
        <v>0</v>
      </c>
      <c r="Q69" s="141"/>
      <c r="R69" s="141"/>
      <c r="S69" s="141"/>
      <c r="T69" s="141"/>
      <c r="U69" s="141">
        <f>IFERROR(VLOOKUP(Tabla134[[#This Row],[Código BPIN]],#REF!,6,0),0)</f>
        <v>0</v>
      </c>
      <c r="V69" s="141"/>
      <c r="W69" s="141"/>
      <c r="X69" s="141"/>
      <c r="Y69" s="141">
        <f>IFERROR(VLOOKUP(Tabla134[[#This Row],[Código BPIN]],#REF!,7,0),0)</f>
        <v>0</v>
      </c>
      <c r="Z69" s="141"/>
      <c r="AA69" s="141"/>
      <c r="AB69" s="141"/>
      <c r="AC69" s="141">
        <v>4613865289.6999998</v>
      </c>
      <c r="AD69" s="141">
        <v>1109885166.8600001</v>
      </c>
      <c r="AE69" s="196">
        <f>+Tabla134[[#This Row],[Recursos propios 2025]]+Tabla134[[#This Row],[SGP Educación 2025]]+Tabla134[[#This Row],[SGP Salud 2025]]+Tabla134[[#This Row],[SGP Deporte 2025]]+Tabla134[[#This Row],[SGP Cultura 2025]]+Tabla134[[#This Row],[SGP Libre inversión 2025]]+Tabla134[[#This Row],[SGP Libre destinación 2025]]+Tabla134[[#This Row],[SGP Alimentación escolar 2025]]+Tabla134[[#This Row],[SGP Municipios río Magdalena 2025]]+Tabla134[[#This Row],[SGP APSB 2025]]+Tabla134[[#This Row],[Crédito 2025]]+Tabla134[[#This Row],[Transferencias de capital - cofinanciación departamento 2025]]+Tabla134[[#This Row],[Transferencias de capital - cofinanciación nación 2025]]+Tabla134[[#This Row],[Otros 2025]]+Tabla134[[#This Row],[Recursos del Balance]]</f>
        <v>5723750456.5599995</v>
      </c>
      <c r="AF69" s="209">
        <f>IFERROR(VLOOKUP(Tabla134[[#This Row],[Código BPIN]],#REF!,8,0),0)</f>
        <v>0</v>
      </c>
      <c r="AG69" s="141">
        <f>IFERROR(VLOOKUP(Tabla134[[#This Row],[Código BPIN]],#REF!,9,0),0)</f>
        <v>0</v>
      </c>
      <c r="AH69" s="141"/>
      <c r="AI69" s="141"/>
      <c r="AJ69" s="141"/>
      <c r="AK69" s="141">
        <f>IFERROR(VLOOKUP(Tabla134[[#This Row],[Código BPIN]],#REF!,9,0),0)</f>
        <v>0</v>
      </c>
      <c r="AL69" s="141"/>
      <c r="AM69" s="141"/>
      <c r="AN69" s="141"/>
      <c r="AO69" s="141">
        <f>IFERROR(VLOOKUP(Tabla134[[#This Row],[Código BPIN]],#REF!,10,0),0)</f>
        <v>0</v>
      </c>
      <c r="AP69" s="141"/>
      <c r="AQ69" s="141"/>
      <c r="AR69" s="141"/>
      <c r="AS69" s="141">
        <v>4613865289.6999998</v>
      </c>
      <c r="AT69" s="141">
        <v>1109885166.8600001</v>
      </c>
      <c r="AU69" s="141">
        <f>+Tabla134[[#This Row],[Recursos propios 20252]]+Tabla134[[#This Row],[SGP Educación 20252]]+Tabla134[[#This Row],[SGP Salud 20252]]+Tabla134[[#This Row],[SGP Deporte 20252]]+Tabla134[[#This Row],[SGP Cultura 20252]]+Tabla134[[#This Row],[SGP Libre inversión 20252]]+Tabla134[[#This Row],[SGP Libre destinación 20252]]+Tabla134[[#This Row],[SGP Alimentación escolar 20252]]+Tabla134[[#This Row],[SGP Municipios río Magdalena 20252]]+Tabla134[[#This Row],[SGP APSB 20252]]+Tabla134[[#This Row],[Crédito 20252]]+Tabla134[[#This Row],[Transferencias de capital - cofinanciación departamento 20252]]+Tabla134[[#This Row],[Transferencias de capital - cofinanciación nación 20252]]+Tabla134[[#This Row],[Otros 20252]]+Tabla134[[#This Row],[Recursos del Balance 2025]]</f>
        <v>5723750456.5599995</v>
      </c>
      <c r="AV69" s="217">
        <v>307773034.19999999</v>
      </c>
      <c r="AW69" s="218">
        <v>307773034.19999999</v>
      </c>
      <c r="AX69" s="143">
        <f>+Tabla134[[#This Row],[Total Recursos Comprometido 2025]]/Tabla134[[#This Row],[Total 2025]]</f>
        <v>1</v>
      </c>
      <c r="AY69" s="144">
        <f>+Tabla134[[#This Row],[Total Recursos Obligados]]/Tabla134[[#This Row],[Total 2025]]</f>
        <v>5.3771218108794525E-2</v>
      </c>
      <c r="AZ69" s="145">
        <f>+Tabla134[[#This Row],[Total Recursos Pagados]]/Tabla134[[#This Row],[Total 2025]]</f>
        <v>5.3771218108794525E-2</v>
      </c>
      <c r="BA69" s="146"/>
      <c r="BB69" s="197" t="str">
        <f>IF(Tabla134[[#This Row],[Total Recursos Gestionados2]]=0,"_",IF(Tabla134[[#This Row],[Ejecución Recursos Comprometidos]]=0,100%,Tabla134[[#This Row],[Total Recursos Gestionados2]]/Tabla134[[#This Row],[Ejecución Recursos Comprometidos]]))</f>
        <v>_</v>
      </c>
      <c r="BC69" s="198"/>
      <c r="BD69" s="199"/>
      <c r="BE69" s="200"/>
      <c r="BF69" s="206"/>
    </row>
    <row r="70" spans="1:58" s="229" customFormat="1" ht="49.9" customHeight="1">
      <c r="A70" s="191">
        <v>251</v>
      </c>
      <c r="B70" s="191" t="s">
        <v>206</v>
      </c>
      <c r="C70" s="191" t="s">
        <v>207</v>
      </c>
      <c r="D70" s="191" t="s">
        <v>217</v>
      </c>
      <c r="E70" s="191" t="s">
        <v>218</v>
      </c>
      <c r="F70" s="191">
        <v>4599031</v>
      </c>
      <c r="G70" s="191" t="s">
        <v>220</v>
      </c>
      <c r="H70" s="202">
        <v>2024680010049</v>
      </c>
      <c r="I70" s="193" t="s">
        <v>265</v>
      </c>
      <c r="J70" s="194">
        <v>23079154733.360001</v>
      </c>
      <c r="K70" s="194">
        <v>11506163086</v>
      </c>
      <c r="L70" s="193" t="s">
        <v>262</v>
      </c>
      <c r="M70" s="193" t="s">
        <v>234</v>
      </c>
      <c r="N70" s="193">
        <v>605047</v>
      </c>
      <c r="O70" s="195" t="s">
        <v>266</v>
      </c>
      <c r="P70" s="211">
        <v>8013271430</v>
      </c>
      <c r="Q70" s="141"/>
      <c r="R70" s="141"/>
      <c r="S70" s="141"/>
      <c r="T70" s="141"/>
      <c r="U70" s="141">
        <f>IFERROR(VLOOKUP(Tabla134[[#This Row],[Código BPIN]],#REF!,6,0),0)</f>
        <v>0</v>
      </c>
      <c r="V70" s="141"/>
      <c r="W70" s="141"/>
      <c r="X70" s="141"/>
      <c r="Y70" s="141">
        <f>IFERROR(VLOOKUP(Tabla134[[#This Row],[Código BPIN]],#REF!,7,0),0)</f>
        <v>0</v>
      </c>
      <c r="Z70" s="141"/>
      <c r="AA70" s="141"/>
      <c r="AB70" s="141"/>
      <c r="AC70" s="141">
        <v>1049765656</v>
      </c>
      <c r="AD70" s="141">
        <v>2443126000</v>
      </c>
      <c r="AE70" s="194">
        <f>+Tabla134[[#This Row],[Recursos propios 2025]]+Tabla134[[#This Row],[SGP Educación 2025]]+Tabla134[[#This Row],[SGP Salud 2025]]+Tabla134[[#This Row],[SGP Deporte 2025]]+Tabla134[[#This Row],[SGP Cultura 2025]]+Tabla134[[#This Row],[SGP Libre inversión 2025]]+Tabla134[[#This Row],[SGP Libre destinación 2025]]+Tabla134[[#This Row],[SGP Alimentación escolar 2025]]+Tabla134[[#This Row],[SGP Municipios río Magdalena 2025]]+Tabla134[[#This Row],[SGP APSB 2025]]+Tabla134[[#This Row],[Crédito 2025]]+Tabla134[[#This Row],[Transferencias de capital - cofinanciación departamento 2025]]+Tabla134[[#This Row],[Transferencias de capital - cofinanciación nación 2025]]+Tabla134[[#This Row],[Otros 2025]]+Tabla134[[#This Row],[Recursos del Balance]]</f>
        <v>11506163086</v>
      </c>
      <c r="AF70" s="213">
        <v>7981938096.3299999</v>
      </c>
      <c r="AG70" s="141">
        <f>IFERROR(VLOOKUP(Tabla134[[#This Row],[Código BPIN]],#REF!,9,0),0)</f>
        <v>0</v>
      </c>
      <c r="AH70" s="141"/>
      <c r="AI70" s="141"/>
      <c r="AJ70" s="141"/>
      <c r="AK70" s="141">
        <f>IFERROR(VLOOKUP(Tabla134[[#This Row],[Código BPIN]],#REF!,9,0),0)</f>
        <v>0</v>
      </c>
      <c r="AL70" s="141"/>
      <c r="AM70" s="141"/>
      <c r="AN70" s="141"/>
      <c r="AO70" s="141">
        <f>IFERROR(VLOOKUP(Tabla134[[#This Row],[Código BPIN]],#REF!,10,0),0)</f>
        <v>0</v>
      </c>
      <c r="AP70" s="141"/>
      <c r="AQ70" s="141"/>
      <c r="AR70" s="141"/>
      <c r="AS70" s="141">
        <v>1017331236.3</v>
      </c>
      <c r="AT70" s="141">
        <v>2435587333.3000002</v>
      </c>
      <c r="AU70" s="141">
        <f>+Tabla134[[#This Row],[Recursos propios 20252]]+Tabla134[[#This Row],[SGP Educación 20252]]+Tabla134[[#This Row],[SGP Salud 20252]]+Tabla134[[#This Row],[SGP Deporte 20252]]+Tabla134[[#This Row],[SGP Cultura 20252]]+Tabla134[[#This Row],[SGP Libre inversión 20252]]+Tabla134[[#This Row],[SGP Libre destinación 20252]]+Tabla134[[#This Row],[SGP Alimentación escolar 20252]]+Tabla134[[#This Row],[SGP Municipios río Magdalena 20252]]+Tabla134[[#This Row],[SGP APSB 20252]]+Tabla134[[#This Row],[Crédito 20252]]+Tabla134[[#This Row],[Transferencias de capital - cofinanciación departamento 20252]]+Tabla134[[#This Row],[Transferencias de capital - cofinanciación nación 20252]]+Tabla134[[#This Row],[Otros 20252]]+Tabla134[[#This Row],[Recursos del Balance 2025]]</f>
        <v>11434856665.93</v>
      </c>
      <c r="AV70" s="212">
        <v>9758239998.9699993</v>
      </c>
      <c r="AW70" s="214">
        <v>9586989998.9699993</v>
      </c>
      <c r="AX70" s="143">
        <f>+Tabla134[[#This Row],[Total Recursos Comprometido 2025]]/Tabla134[[#This Row],[Total 2025]]</f>
        <v>0.99380276295955161</v>
      </c>
      <c r="AY70" s="144">
        <f>+Tabla134[[#This Row],[Total Recursos Obligados]]/Tabla134[[#This Row],[Total 2025]]</f>
        <v>0.8480881007886315</v>
      </c>
      <c r="AZ70" s="145">
        <f>+Tabla134[[#This Row],[Total Recursos Pagados]]/Tabla134[[#This Row],[Total 2025]]</f>
        <v>0.8332047727217482</v>
      </c>
      <c r="BA70" s="146"/>
      <c r="BB70" s="197" t="str">
        <f>IF(Tabla134[[#This Row],[Total Recursos Gestionados2]]=0,"_",IF(Tabla134[[#This Row],[Ejecución Recursos Comprometidos]]=0,100%,Tabla134[[#This Row],[Total Recursos Gestionados2]]/Tabla134[[#This Row],[Ejecución Recursos Comprometidos]]))</f>
        <v>_</v>
      </c>
      <c r="BC70" s="198" t="s">
        <v>271</v>
      </c>
      <c r="BD70" s="199" t="s">
        <v>270</v>
      </c>
      <c r="BE70" s="200">
        <v>16</v>
      </c>
      <c r="BF70" s="206"/>
    </row>
    <row r="71" spans="1:58" s="229" customFormat="1" ht="49.9" customHeight="1">
      <c r="A71" s="191">
        <v>252</v>
      </c>
      <c r="B71" s="191" t="s">
        <v>206</v>
      </c>
      <c r="C71" s="191" t="s">
        <v>207</v>
      </c>
      <c r="D71" s="191" t="s">
        <v>217</v>
      </c>
      <c r="E71" s="191" t="s">
        <v>218</v>
      </c>
      <c r="F71" s="191">
        <v>4599011</v>
      </c>
      <c r="G71" s="191" t="s">
        <v>223</v>
      </c>
      <c r="H71" s="202">
        <v>202500000018145</v>
      </c>
      <c r="I71" s="193" t="s">
        <v>267</v>
      </c>
      <c r="J71" s="194">
        <v>57698420</v>
      </c>
      <c r="K71" s="194">
        <v>57698420</v>
      </c>
      <c r="L71" s="193"/>
      <c r="M71" s="193"/>
      <c r="N71" s="193"/>
      <c r="O71" s="195"/>
      <c r="P71" s="203">
        <v>41728570</v>
      </c>
      <c r="Q71" s="141"/>
      <c r="R71" s="141"/>
      <c r="S71" s="141"/>
      <c r="T71" s="141"/>
      <c r="U71" s="141">
        <f>IFERROR(VLOOKUP(Tabla134[[#This Row],[Código BPIN]],#REF!,6,0),0)</f>
        <v>0</v>
      </c>
      <c r="V71" s="141"/>
      <c r="W71" s="141"/>
      <c r="X71" s="141"/>
      <c r="Y71" s="141">
        <f>IFERROR(VLOOKUP(Tabla134[[#This Row],[Código BPIN]],#REF!,7,0),0)</f>
        <v>0</v>
      </c>
      <c r="Z71" s="141"/>
      <c r="AA71" s="141"/>
      <c r="AB71" s="141"/>
      <c r="AC71" s="141">
        <v>15969850</v>
      </c>
      <c r="AD71" s="141"/>
      <c r="AE71" s="194">
        <f>+Tabla134[[#This Row],[Recursos propios 2025]]+Tabla134[[#This Row],[SGP Educación 2025]]+Tabla134[[#This Row],[SGP Salud 2025]]+Tabla134[[#This Row],[SGP Deporte 2025]]+Tabla134[[#This Row],[SGP Cultura 2025]]+Tabla134[[#This Row],[SGP Libre inversión 2025]]+Tabla134[[#This Row],[SGP Libre destinación 2025]]+Tabla134[[#This Row],[SGP Alimentación escolar 2025]]+Tabla134[[#This Row],[SGP Municipios río Magdalena 2025]]+Tabla134[[#This Row],[SGP APSB 2025]]+Tabla134[[#This Row],[Crédito 2025]]+Tabla134[[#This Row],[Transferencias de capital - cofinanciación departamento 2025]]+Tabla134[[#This Row],[Transferencias de capital - cofinanciación nación 2025]]+Tabla134[[#This Row],[Otros 2025]]+Tabla134[[#This Row],[Recursos del Balance]]</f>
        <v>57698420</v>
      </c>
      <c r="AF71" s="217">
        <v>41000120</v>
      </c>
      <c r="AG71" s="141">
        <f>IFERROR(VLOOKUP(Tabla134[[#This Row],[Código BPIN]],#REF!,9,0),0)</f>
        <v>0</v>
      </c>
      <c r="AH71" s="141"/>
      <c r="AI71" s="141"/>
      <c r="AJ71" s="141"/>
      <c r="AK71" s="141">
        <f>IFERROR(VLOOKUP(Tabla134[[#This Row],[Código BPIN]],#REF!,9,0),0)</f>
        <v>0</v>
      </c>
      <c r="AL71" s="141"/>
      <c r="AM71" s="141"/>
      <c r="AN71" s="141"/>
      <c r="AO71" s="141">
        <f>IFERROR(VLOOKUP(Tabla134[[#This Row],[Código BPIN]],#REF!,10,0),0)</f>
        <v>0</v>
      </c>
      <c r="AP71" s="141"/>
      <c r="AQ71" s="141"/>
      <c r="AR71" s="141"/>
      <c r="AS71" s="232">
        <v>15969850</v>
      </c>
      <c r="AT71" s="141"/>
      <c r="AU71" s="141">
        <f>+Tabla134[[#This Row],[Recursos propios 20252]]+Tabla134[[#This Row],[SGP Educación 20252]]+Tabla134[[#This Row],[SGP Salud 20252]]+Tabla134[[#This Row],[SGP Deporte 20252]]+Tabla134[[#This Row],[SGP Cultura 20252]]+Tabla134[[#This Row],[SGP Libre inversión 20252]]+Tabla134[[#This Row],[SGP Libre destinación 20252]]+Tabla134[[#This Row],[SGP Alimentación escolar 20252]]+Tabla134[[#This Row],[SGP Municipios río Magdalena 20252]]+Tabla134[[#This Row],[SGP APSB 20252]]+Tabla134[[#This Row],[Crédito 20252]]+Tabla134[[#This Row],[Transferencias de capital - cofinanciación departamento 20252]]+Tabla134[[#This Row],[Transferencias de capital - cofinanciación nación 20252]]+Tabla134[[#This Row],[Otros 20252]]+Tabla134[[#This Row],[Recursos del Balance 2025]]</f>
        <v>56969970</v>
      </c>
      <c r="AV71" s="217">
        <v>56610161</v>
      </c>
      <c r="AW71" s="218">
        <v>56610161</v>
      </c>
      <c r="AX71" s="143">
        <f>+Tabla134[[#This Row],[Total Recursos Comprometido 2025]]/Tabla134[[#This Row],[Total 2025]]</f>
        <v>0.98737487092367515</v>
      </c>
      <c r="AY71" s="144">
        <f>+Tabla134[[#This Row],[Total Recursos Obligados]]/Tabla134[[#This Row],[Total 2025]]</f>
        <v>0.98113884227679027</v>
      </c>
      <c r="AZ71" s="145">
        <f>+Tabla134[[#This Row],[Total Recursos Pagados]]/Tabla134[[#This Row],[Total 2025]]</f>
        <v>0.98113884227679027</v>
      </c>
      <c r="BA71" s="146"/>
      <c r="BB71" s="197" t="str">
        <f>IF(Tabla134[[#This Row],[Total Recursos Gestionados2]]=0,"_",IF(Tabla134[[#This Row],[Ejecución Recursos Comprometidos]]=0,100%,Tabla134[[#This Row],[Total Recursos Gestionados2]]/Tabla134[[#This Row],[Ejecución Recursos Comprometidos]]))</f>
        <v>_</v>
      </c>
      <c r="BC71" s="198" t="s">
        <v>271</v>
      </c>
      <c r="BD71" s="199" t="s">
        <v>270</v>
      </c>
      <c r="BE71" s="200">
        <v>16</v>
      </c>
      <c r="BF71" s="206"/>
    </row>
    <row r="72" spans="1:58" s="229" customFormat="1" ht="49.9" customHeight="1">
      <c r="A72" s="191">
        <v>252</v>
      </c>
      <c r="B72" s="191" t="s">
        <v>206</v>
      </c>
      <c r="C72" s="191" t="s">
        <v>207</v>
      </c>
      <c r="D72" s="191" t="s">
        <v>217</v>
      </c>
      <c r="E72" s="191" t="s">
        <v>218</v>
      </c>
      <c r="F72" s="191">
        <v>4599011</v>
      </c>
      <c r="G72" s="191" t="s">
        <v>223</v>
      </c>
      <c r="H72" s="238" t="s">
        <v>344</v>
      </c>
      <c r="I72" s="193" t="s">
        <v>345</v>
      </c>
      <c r="J72" s="194">
        <v>104939780</v>
      </c>
      <c r="K72" s="194">
        <v>104939780</v>
      </c>
      <c r="L72" s="193"/>
      <c r="M72" s="193"/>
      <c r="N72" s="193"/>
      <c r="O72" s="195"/>
      <c r="P72" s="210">
        <v>104939780</v>
      </c>
      <c r="Q72" s="141"/>
      <c r="R72" s="141"/>
      <c r="S72" s="141"/>
      <c r="T72" s="141"/>
      <c r="U72" s="141">
        <f>IFERROR(VLOOKUP(Tabla134[[#This Row],[Código BPIN]],#REF!,6,0),0)</f>
        <v>0</v>
      </c>
      <c r="V72" s="141"/>
      <c r="W72" s="141"/>
      <c r="X72" s="141"/>
      <c r="Y72" s="141">
        <f>IFERROR(VLOOKUP(Tabla134[[#This Row],[Código BPIN]],#REF!,7,0),0)</f>
        <v>0</v>
      </c>
      <c r="Z72" s="141"/>
      <c r="AA72" s="141"/>
      <c r="AB72" s="141"/>
      <c r="AC72" s="141"/>
      <c r="AD72" s="141"/>
      <c r="AE72" s="194">
        <f>+Tabla134[[#This Row],[Recursos propios 2025]]+Tabla134[[#This Row],[SGP Educación 2025]]+Tabla134[[#This Row],[SGP Salud 2025]]+Tabla134[[#This Row],[SGP Deporte 2025]]+Tabla134[[#This Row],[SGP Cultura 2025]]+Tabla134[[#This Row],[SGP Libre inversión 2025]]+Tabla134[[#This Row],[SGP Libre destinación 2025]]+Tabla134[[#This Row],[SGP Alimentación escolar 2025]]+Tabla134[[#This Row],[SGP Municipios río Magdalena 2025]]+Tabla134[[#This Row],[SGP APSB 2025]]+Tabla134[[#This Row],[Crédito 2025]]+Tabla134[[#This Row],[Transferencias de capital - cofinanciación departamento 2025]]+Tabla134[[#This Row],[Transferencias de capital - cofinanciación nación 2025]]+Tabla134[[#This Row],[Otros 2025]]+Tabla134[[#This Row],[Recursos del Balance]]</f>
        <v>104939780</v>
      </c>
      <c r="AF72" s="216">
        <f>IFERROR(VLOOKUP(Tabla134[[#This Row],[Código BPIN]],#REF!,8,0),0)</f>
        <v>0</v>
      </c>
      <c r="AG72" s="141">
        <f>IFERROR(VLOOKUP(Tabla134[[#This Row],[Código BPIN]],#REF!,9,0),0)</f>
        <v>0</v>
      </c>
      <c r="AH72" s="141"/>
      <c r="AI72" s="141"/>
      <c r="AJ72" s="141"/>
      <c r="AK72" s="141">
        <f>IFERROR(VLOOKUP(Tabla134[[#This Row],[Código BPIN]],#REF!,9,0),0)</f>
        <v>0</v>
      </c>
      <c r="AL72" s="141"/>
      <c r="AM72" s="141"/>
      <c r="AN72" s="141"/>
      <c r="AO72" s="141">
        <f>IFERROR(VLOOKUP(Tabla134[[#This Row],[Código BPIN]],#REF!,10,0),0)</f>
        <v>0</v>
      </c>
      <c r="AP72" s="141"/>
      <c r="AQ72" s="141"/>
      <c r="AR72" s="141"/>
      <c r="AS72" s="232"/>
      <c r="AT72" s="141"/>
      <c r="AU72" s="141">
        <f>+Tabla134[[#This Row],[Recursos propios 20252]]+Tabla134[[#This Row],[SGP Educación 20252]]+Tabla134[[#This Row],[SGP Salud 20252]]+Tabla134[[#This Row],[SGP Deporte 20252]]+Tabla134[[#This Row],[SGP Cultura 20252]]+Tabla134[[#This Row],[SGP Libre inversión 20252]]+Tabla134[[#This Row],[SGP Libre destinación 20252]]+Tabla134[[#This Row],[SGP Alimentación escolar 20252]]+Tabla134[[#This Row],[SGP Municipios río Magdalena 20252]]+Tabla134[[#This Row],[SGP APSB 20252]]+Tabla134[[#This Row],[Crédito 20252]]+Tabla134[[#This Row],[Transferencias de capital - cofinanciación departamento 20252]]+Tabla134[[#This Row],[Transferencias de capital - cofinanciación nación 20252]]+Tabla134[[#This Row],[Otros 20252]]+Tabla134[[#This Row],[Recursos del Balance 2025]]</f>
        <v>0</v>
      </c>
      <c r="AV72" s="216">
        <f>SUM(Tabla134[[#This Row],[Recursos propios 20252]:[Recursos del Balance 2025]])</f>
        <v>0</v>
      </c>
      <c r="AW72" s="216">
        <f>IFERROR(VLOOKUP(Tabla134[[#This Row],[Código BPIN]],#REF!,5,0),0)</f>
        <v>0</v>
      </c>
      <c r="AX72" s="143">
        <f>+Tabla134[[#This Row],[Total Recursos Comprometido 2025]]/Tabla134[[#This Row],[Total 2025]]</f>
        <v>0</v>
      </c>
      <c r="AY72" s="144">
        <f>+Tabla134[[#This Row],[Total Recursos Obligados]]/Tabla134[[#This Row],[Total 2025]]</f>
        <v>0</v>
      </c>
      <c r="AZ72" s="145">
        <f>+Tabla134[[#This Row],[Total Recursos Pagados]]/Tabla134[[#This Row],[Total 2025]]</f>
        <v>0</v>
      </c>
      <c r="BA72" s="146"/>
      <c r="BB72" s="197" t="str">
        <f>IF(Tabla134[[#This Row],[Total Recursos Gestionados2]]=0,"_",IF(Tabla134[[#This Row],[Ejecución Recursos Comprometidos]]=0,100%,Tabla134[[#This Row],[Total Recursos Gestionados2]]/Tabla134[[#This Row],[Ejecución Recursos Comprometidos]]))</f>
        <v>_</v>
      </c>
      <c r="BC72" s="198"/>
      <c r="BD72" s="199"/>
      <c r="BE72" s="200"/>
      <c r="BF72" s="206"/>
    </row>
    <row r="73" spans="1:58" s="229" customFormat="1" ht="49.9" customHeight="1">
      <c r="A73" s="191">
        <v>253</v>
      </c>
      <c r="B73" s="191" t="s">
        <v>206</v>
      </c>
      <c r="C73" s="191" t="s">
        <v>207</v>
      </c>
      <c r="D73" s="191" t="s">
        <v>217</v>
      </c>
      <c r="E73" s="191" t="s">
        <v>218</v>
      </c>
      <c r="F73" s="191">
        <v>4599006</v>
      </c>
      <c r="G73" s="191" t="s">
        <v>226</v>
      </c>
      <c r="H73" s="202">
        <v>2024680010084</v>
      </c>
      <c r="I73" s="193" t="s">
        <v>268</v>
      </c>
      <c r="J73" s="194">
        <v>1800000000</v>
      </c>
      <c r="K73" s="194">
        <v>1800000000</v>
      </c>
      <c r="L73" s="193"/>
      <c r="M73" s="193"/>
      <c r="N73" s="193"/>
      <c r="O73" s="195"/>
      <c r="P73" s="194">
        <v>1800000000</v>
      </c>
      <c r="Q73" s="141"/>
      <c r="R73" s="141"/>
      <c r="S73" s="141"/>
      <c r="T73" s="141"/>
      <c r="U73" s="141">
        <f>IFERROR(VLOOKUP(Tabla134[[#This Row],[Código BPIN]],#REF!,6,0),0)</f>
        <v>0</v>
      </c>
      <c r="V73" s="141"/>
      <c r="W73" s="141"/>
      <c r="X73" s="141"/>
      <c r="Y73" s="141">
        <f>IFERROR(VLOOKUP(Tabla134[[#This Row],[Código BPIN]],#REF!,7,0),0)</f>
        <v>0</v>
      </c>
      <c r="Z73" s="141"/>
      <c r="AA73" s="141"/>
      <c r="AB73" s="141"/>
      <c r="AC73" s="141"/>
      <c r="AD73" s="141"/>
      <c r="AE73" s="194">
        <f>+Tabla134[[#This Row],[Recursos propios 2025]]+Tabla134[[#This Row],[SGP Educación 2025]]+Tabla134[[#This Row],[SGP Salud 2025]]+Tabla134[[#This Row],[SGP Deporte 2025]]+Tabla134[[#This Row],[SGP Cultura 2025]]+Tabla134[[#This Row],[SGP Libre inversión 2025]]+Tabla134[[#This Row],[SGP Libre destinación 2025]]+Tabla134[[#This Row],[SGP Alimentación escolar 2025]]+Tabla134[[#This Row],[SGP Municipios río Magdalena 2025]]+Tabla134[[#This Row],[SGP APSB 2025]]+Tabla134[[#This Row],[Crédito 2025]]+Tabla134[[#This Row],[Transferencias de capital - cofinanciación departamento 2025]]+Tabla134[[#This Row],[Transferencias de capital - cofinanciación nación 2025]]+Tabla134[[#This Row],[Otros 2025]]+Tabla134[[#This Row],[Recursos del Balance]]</f>
        <v>1800000000</v>
      </c>
      <c r="AF73" s="196">
        <v>1799994239</v>
      </c>
      <c r="AG73" s="141">
        <f>IFERROR(VLOOKUP(Tabla134[[#This Row],[Código BPIN]],#REF!,9,0),0)</f>
        <v>0</v>
      </c>
      <c r="AH73" s="141"/>
      <c r="AI73" s="141"/>
      <c r="AJ73" s="141"/>
      <c r="AK73" s="141">
        <f>IFERROR(VLOOKUP(Tabla134[[#This Row],[Código BPIN]],#REF!,9,0),0)</f>
        <v>0</v>
      </c>
      <c r="AL73" s="141"/>
      <c r="AM73" s="141"/>
      <c r="AN73" s="141"/>
      <c r="AO73" s="141">
        <f>IFERROR(VLOOKUP(Tabla134[[#This Row],[Código BPIN]],#REF!,10,0),0)</f>
        <v>0</v>
      </c>
      <c r="AP73" s="141"/>
      <c r="AQ73" s="141"/>
      <c r="AR73" s="141"/>
      <c r="AS73" s="141"/>
      <c r="AT73" s="141"/>
      <c r="AU73" s="141">
        <f>+Tabla134[[#This Row],[Recursos propios 20252]]+Tabla134[[#This Row],[SGP Educación 20252]]+Tabla134[[#This Row],[SGP Salud 20252]]+Tabla134[[#This Row],[SGP Deporte 20252]]+Tabla134[[#This Row],[SGP Cultura 20252]]+Tabla134[[#This Row],[SGP Libre inversión 20252]]+Tabla134[[#This Row],[SGP Libre destinación 20252]]+Tabla134[[#This Row],[SGP Alimentación escolar 20252]]+Tabla134[[#This Row],[SGP Municipios río Magdalena 20252]]+Tabla134[[#This Row],[SGP APSB 20252]]+Tabla134[[#This Row],[Crédito 20252]]+Tabla134[[#This Row],[Transferencias de capital - cofinanciación departamento 20252]]+Tabla134[[#This Row],[Transferencias de capital - cofinanciación nación 20252]]+Tabla134[[#This Row],[Otros 20252]]+Tabla134[[#This Row],[Recursos del Balance 2025]]</f>
        <v>1799994239</v>
      </c>
      <c r="AV73" s="141">
        <v>0</v>
      </c>
      <c r="AW73" s="201">
        <f>IFERROR(VLOOKUP(Tabla134[[#This Row],[Código BPIN]],#REF!,5,0),0)</f>
        <v>0</v>
      </c>
      <c r="AX73" s="143">
        <f>+Tabla134[[#This Row],[Total Recursos Comprometido 2025]]/Tabla134[[#This Row],[Total 2025]]</f>
        <v>0.99999679944444442</v>
      </c>
      <c r="AY73" s="144">
        <f>+Tabla134[[#This Row],[Total Recursos Obligados]]/Tabla134[[#This Row],[Total 2025]]</f>
        <v>0</v>
      </c>
      <c r="AZ73" s="145">
        <f>+Tabla134[[#This Row],[Total Recursos Pagados]]/Tabla134[[#This Row],[Total 2025]]</f>
        <v>0</v>
      </c>
      <c r="BA73" s="146"/>
      <c r="BB73" s="197" t="str">
        <f>IF(Tabla134[[#This Row],[Total Recursos Gestionados2]]=0,"_",IF(Tabla134[[#This Row],[Ejecución Recursos Comprometidos]]=0,100%,Tabla134[[#This Row],[Total Recursos Gestionados2]]/Tabla134[[#This Row],[Ejecución Recursos Comprometidos]]))</f>
        <v>_</v>
      </c>
      <c r="BC73" s="198" t="s">
        <v>271</v>
      </c>
      <c r="BD73" s="199" t="s">
        <v>270</v>
      </c>
      <c r="BE73" s="200">
        <v>16</v>
      </c>
      <c r="BF73" s="206"/>
    </row>
    <row r="74" spans="1:58" s="229" customFormat="1" ht="49.9" customHeight="1">
      <c r="A74" s="191">
        <v>253</v>
      </c>
      <c r="B74" s="191" t="s">
        <v>206</v>
      </c>
      <c r="C74" s="191" t="s">
        <v>207</v>
      </c>
      <c r="D74" s="191" t="s">
        <v>217</v>
      </c>
      <c r="E74" s="191" t="s">
        <v>218</v>
      </c>
      <c r="F74" s="191">
        <v>4599006</v>
      </c>
      <c r="G74" s="204" t="s">
        <v>226</v>
      </c>
      <c r="H74" s="202">
        <v>202500000032340</v>
      </c>
      <c r="I74" s="193" t="s">
        <v>339</v>
      </c>
      <c r="J74" s="194">
        <v>120489877.19</v>
      </c>
      <c r="K74" s="194">
        <v>120489877.19</v>
      </c>
      <c r="L74" s="193"/>
      <c r="M74" s="193"/>
      <c r="N74" s="193"/>
      <c r="O74" s="195"/>
      <c r="P74" s="239">
        <v>0</v>
      </c>
      <c r="Q74" s="141"/>
      <c r="R74" s="141"/>
      <c r="S74" s="141"/>
      <c r="T74" s="141"/>
      <c r="U74" s="141">
        <f>IFERROR(VLOOKUP(Tabla134[[#This Row],[Código BPIN]],#REF!,6,0),0)</f>
        <v>0</v>
      </c>
      <c r="V74" s="141"/>
      <c r="W74" s="141"/>
      <c r="X74" s="141"/>
      <c r="Y74" s="141">
        <f>IFERROR(VLOOKUP(Tabla134[[#This Row],[Código BPIN]],#REF!,7,0),0)</f>
        <v>0</v>
      </c>
      <c r="Z74" s="141"/>
      <c r="AA74" s="141"/>
      <c r="AB74" s="141"/>
      <c r="AC74" s="141">
        <v>120489877.19</v>
      </c>
      <c r="AD74" s="141"/>
      <c r="AE74" s="194">
        <f>+Tabla134[[#This Row],[Recursos propios 2025]]+Tabla134[[#This Row],[SGP Educación 2025]]+Tabla134[[#This Row],[SGP Salud 2025]]+Tabla134[[#This Row],[SGP Deporte 2025]]+Tabla134[[#This Row],[SGP Cultura 2025]]+Tabla134[[#This Row],[SGP Libre inversión 2025]]+Tabla134[[#This Row],[SGP Libre destinación 2025]]+Tabla134[[#This Row],[SGP Alimentación escolar 2025]]+Tabla134[[#This Row],[SGP Municipios río Magdalena 2025]]+Tabla134[[#This Row],[SGP APSB 2025]]+Tabla134[[#This Row],[Crédito 2025]]+Tabla134[[#This Row],[Transferencias de capital - cofinanciación departamento 2025]]+Tabla134[[#This Row],[Transferencias de capital - cofinanciación nación 2025]]+Tabla134[[#This Row],[Otros 2025]]+Tabla134[[#This Row],[Recursos del Balance]]</f>
        <v>120489877.19</v>
      </c>
      <c r="AF74" s="196">
        <f>IFERROR(VLOOKUP(Tabla134[[#This Row],[Código BPIN]],#REF!,8,0),0)</f>
        <v>0</v>
      </c>
      <c r="AG74" s="141">
        <f>IFERROR(VLOOKUP(Tabla134[[#This Row],[Código BPIN]],#REF!,9,0),0)</f>
        <v>0</v>
      </c>
      <c r="AH74" s="141"/>
      <c r="AI74" s="141"/>
      <c r="AJ74" s="141"/>
      <c r="AK74" s="141">
        <f>IFERROR(VLOOKUP(Tabla134[[#This Row],[Código BPIN]],#REF!,9,0),0)</f>
        <v>0</v>
      </c>
      <c r="AL74" s="141"/>
      <c r="AM74" s="141"/>
      <c r="AN74" s="141"/>
      <c r="AO74" s="141">
        <f>IFERROR(VLOOKUP(Tabla134[[#This Row],[Código BPIN]],#REF!,10,0),0)</f>
        <v>0</v>
      </c>
      <c r="AP74" s="141"/>
      <c r="AQ74" s="141"/>
      <c r="AR74" s="141"/>
      <c r="AS74" s="217">
        <v>120489877.19</v>
      </c>
      <c r="AT74" s="141"/>
      <c r="AU74" s="141">
        <f>+Tabla134[[#This Row],[Recursos propios 20252]]+Tabla134[[#This Row],[SGP Educación 20252]]+Tabla134[[#This Row],[SGP Salud 20252]]+Tabla134[[#This Row],[SGP Deporte 20252]]+Tabla134[[#This Row],[SGP Cultura 20252]]+Tabla134[[#This Row],[SGP Libre inversión 20252]]+Tabla134[[#This Row],[SGP Libre destinación 20252]]+Tabla134[[#This Row],[SGP Alimentación escolar 20252]]+Tabla134[[#This Row],[SGP Municipios río Magdalena 20252]]+Tabla134[[#This Row],[SGP APSB 20252]]+Tabla134[[#This Row],[Crédito 20252]]+Tabla134[[#This Row],[Transferencias de capital - cofinanciación departamento 20252]]+Tabla134[[#This Row],[Transferencias de capital - cofinanciación nación 20252]]+Tabla134[[#This Row],[Otros 20252]]+Tabla134[[#This Row],[Recursos del Balance 2025]]</f>
        <v>120489877.19</v>
      </c>
      <c r="AV74" s="141">
        <v>0</v>
      </c>
      <c r="AW74" s="201">
        <f>IFERROR(VLOOKUP(Tabla134[[#This Row],[Código BPIN]],#REF!,5,0),0)</f>
        <v>0</v>
      </c>
      <c r="AX74" s="143">
        <f>+Tabla134[[#This Row],[Total Recursos Comprometido 2025]]/Tabla134[[#This Row],[Total 2025]]</f>
        <v>1</v>
      </c>
      <c r="AY74" s="144">
        <f>+Tabla134[[#This Row],[Total Recursos Obligados]]/Tabla134[[#This Row],[Total 2025]]</f>
        <v>0</v>
      </c>
      <c r="AZ74" s="145">
        <f>+Tabla134[[#This Row],[Total Recursos Pagados]]/Tabla134[[#This Row],[Total 2025]]</f>
        <v>0</v>
      </c>
      <c r="BA74" s="146"/>
      <c r="BB74" s="197" t="str">
        <f>IF(Tabla134[[#This Row],[Total Recursos Gestionados2]]=0,"_",IF(Tabla134[[#This Row],[Ejecución Recursos Comprometidos]]=0,100%,Tabla134[[#This Row],[Total Recursos Gestionados2]]/Tabla134[[#This Row],[Ejecución Recursos Comprometidos]]))</f>
        <v>_</v>
      </c>
      <c r="BC74" s="198"/>
      <c r="BD74" s="199"/>
      <c r="BE74" s="200"/>
      <c r="BF74" s="206"/>
    </row>
    <row r="75" spans="1:58" s="229" customFormat="1" ht="49.9" customHeight="1">
      <c r="A75" s="191">
        <v>253</v>
      </c>
      <c r="B75" s="191" t="s">
        <v>206</v>
      </c>
      <c r="C75" s="191" t="s">
        <v>207</v>
      </c>
      <c r="D75" s="191" t="s">
        <v>217</v>
      </c>
      <c r="E75" s="191" t="s">
        <v>218</v>
      </c>
      <c r="F75" s="191">
        <v>4599006</v>
      </c>
      <c r="G75" s="191" t="s">
        <v>226</v>
      </c>
      <c r="H75" s="202">
        <v>202500000020993</v>
      </c>
      <c r="I75" s="193" t="s">
        <v>359</v>
      </c>
      <c r="J75" s="194">
        <v>445000000</v>
      </c>
      <c r="K75" s="194">
        <v>445000000</v>
      </c>
      <c r="L75" s="193"/>
      <c r="M75" s="193"/>
      <c r="N75" s="193"/>
      <c r="O75" s="195"/>
      <c r="P75" s="230">
        <v>445000000</v>
      </c>
      <c r="Q75" s="141"/>
      <c r="R75" s="141"/>
      <c r="S75" s="141"/>
      <c r="T75" s="141"/>
      <c r="U75" s="141">
        <f>IFERROR(VLOOKUP(Tabla134[[#This Row],[Código BPIN]],#REF!,6,0),0)</f>
        <v>0</v>
      </c>
      <c r="V75" s="141"/>
      <c r="W75" s="141"/>
      <c r="X75" s="141"/>
      <c r="Y75" s="141">
        <f>IFERROR(VLOOKUP(Tabla134[[#This Row],[Código BPIN]],#REF!,7,0),0)</f>
        <v>0</v>
      </c>
      <c r="Z75" s="141"/>
      <c r="AA75" s="141"/>
      <c r="AB75" s="141"/>
      <c r="AC75" s="141"/>
      <c r="AD75" s="141"/>
      <c r="AE75" s="194">
        <f>+Tabla134[[#This Row],[Recursos propios 2025]]+Tabla134[[#This Row],[SGP Educación 2025]]+Tabla134[[#This Row],[SGP Salud 2025]]+Tabla134[[#This Row],[SGP Deporte 2025]]+Tabla134[[#This Row],[SGP Cultura 2025]]+Tabla134[[#This Row],[SGP Libre inversión 2025]]+Tabla134[[#This Row],[SGP Libre destinación 2025]]+Tabla134[[#This Row],[SGP Alimentación escolar 2025]]+Tabla134[[#This Row],[SGP Municipios río Magdalena 2025]]+Tabla134[[#This Row],[SGP APSB 2025]]+Tabla134[[#This Row],[Crédito 2025]]+Tabla134[[#This Row],[Transferencias de capital - cofinanciación departamento 2025]]+Tabla134[[#This Row],[Transferencias de capital - cofinanciación nación 2025]]+Tabla134[[#This Row],[Otros 2025]]+Tabla134[[#This Row],[Recursos del Balance]]</f>
        <v>445000000</v>
      </c>
      <c r="AF75" s="196">
        <v>445000000</v>
      </c>
      <c r="AG75" s="141">
        <f>IFERROR(VLOOKUP(Tabla134[[#This Row],[Código BPIN]],#REF!,9,0),0)</f>
        <v>0</v>
      </c>
      <c r="AH75" s="141"/>
      <c r="AI75" s="141"/>
      <c r="AJ75" s="141"/>
      <c r="AK75" s="141">
        <f>IFERROR(VLOOKUP(Tabla134[[#This Row],[Código BPIN]],#REF!,9,0),0)</f>
        <v>0</v>
      </c>
      <c r="AL75" s="141"/>
      <c r="AM75" s="141"/>
      <c r="AN75" s="141"/>
      <c r="AO75" s="141">
        <f>IFERROR(VLOOKUP(Tabla134[[#This Row],[Código BPIN]],#REF!,10,0),0)</f>
        <v>0</v>
      </c>
      <c r="AP75" s="141"/>
      <c r="AQ75" s="141"/>
      <c r="AR75" s="141"/>
      <c r="AS75" s="141"/>
      <c r="AT75" s="141"/>
      <c r="AU75" s="141">
        <f>+Tabla134[[#This Row],[Recursos propios 20252]]+Tabla134[[#This Row],[SGP Educación 20252]]+Tabla134[[#This Row],[SGP Salud 20252]]+Tabla134[[#This Row],[SGP Deporte 20252]]+Tabla134[[#This Row],[SGP Cultura 20252]]+Tabla134[[#This Row],[SGP Libre inversión 20252]]+Tabla134[[#This Row],[SGP Libre destinación 20252]]+Tabla134[[#This Row],[SGP Alimentación escolar 20252]]+Tabla134[[#This Row],[SGP Municipios río Magdalena 20252]]+Tabla134[[#This Row],[SGP APSB 20252]]+Tabla134[[#This Row],[Crédito 20252]]+Tabla134[[#This Row],[Transferencias de capital - cofinanciación departamento 20252]]+Tabla134[[#This Row],[Transferencias de capital - cofinanciación nación 20252]]+Tabla134[[#This Row],[Otros 20252]]+Tabla134[[#This Row],[Recursos del Balance 2025]]</f>
        <v>445000000</v>
      </c>
      <c r="AV75" s="141">
        <v>0</v>
      </c>
      <c r="AW75" s="201">
        <f>IFERROR(VLOOKUP(Tabla134[[#This Row],[Código BPIN]],#REF!,5,0),0)</f>
        <v>0</v>
      </c>
      <c r="AX75" s="143">
        <f>+Tabla134[[#This Row],[Total Recursos Comprometido 2025]]/Tabla134[[#This Row],[Total 2025]]</f>
        <v>1</v>
      </c>
      <c r="AY75" s="144">
        <f>+Tabla134[[#This Row],[Total Recursos Obligados]]/Tabla134[[#This Row],[Total 2025]]</f>
        <v>0</v>
      </c>
      <c r="AZ75" s="145">
        <f>+Tabla134[[#This Row],[Total Recursos Pagados]]/Tabla134[[#This Row],[Total 2025]]</f>
        <v>0</v>
      </c>
      <c r="BA75" s="146"/>
      <c r="BB75" s="197" t="str">
        <f>IF(Tabla134[[#This Row],[Total Recursos Gestionados2]]=0,"_",IF(Tabla134[[#This Row],[Ejecución Recursos Comprometidos]]=0,100%,Tabla134[[#This Row],[Total Recursos Gestionados2]]/Tabla134[[#This Row],[Ejecución Recursos Comprometidos]]))</f>
        <v>_</v>
      </c>
      <c r="BC75" s="198" t="s">
        <v>271</v>
      </c>
      <c r="BD75" s="199" t="s">
        <v>270</v>
      </c>
      <c r="BE75" s="200">
        <v>16</v>
      </c>
      <c r="BF75" s="206"/>
    </row>
    <row r="76" spans="1:58" s="229" customFormat="1" ht="49.9" customHeight="1">
      <c r="A76" s="191">
        <v>303</v>
      </c>
      <c r="B76" s="191" t="s">
        <v>63</v>
      </c>
      <c r="C76" s="191" t="s">
        <v>64</v>
      </c>
      <c r="D76" s="191" t="s">
        <v>65</v>
      </c>
      <c r="E76" s="191" t="s">
        <v>66</v>
      </c>
      <c r="F76" s="191">
        <v>2102010</v>
      </c>
      <c r="G76" s="191" t="s">
        <v>229</v>
      </c>
      <c r="H76" s="202">
        <v>202500000034624</v>
      </c>
      <c r="I76" s="193" t="s">
        <v>340</v>
      </c>
      <c r="J76" s="194">
        <v>7000000000</v>
      </c>
      <c r="K76" s="194">
        <v>7000000000</v>
      </c>
      <c r="L76" s="193"/>
      <c r="M76" s="193"/>
      <c r="N76" s="193"/>
      <c r="O76" s="195"/>
      <c r="P76" s="203">
        <v>7000000000</v>
      </c>
      <c r="Q76" s="141"/>
      <c r="R76" s="141"/>
      <c r="S76" s="141"/>
      <c r="T76" s="141"/>
      <c r="U76" s="141">
        <f>IFERROR(VLOOKUP(Tabla134[[#This Row],[Código BPIN]],#REF!,6,0),0)</f>
        <v>0</v>
      </c>
      <c r="V76" s="141"/>
      <c r="W76" s="141"/>
      <c r="X76" s="141"/>
      <c r="Y76" s="141">
        <f>IFERROR(VLOOKUP(Tabla134[[#This Row],[Código BPIN]],#REF!,7,0),0)</f>
        <v>0</v>
      </c>
      <c r="Z76" s="141"/>
      <c r="AA76" s="141"/>
      <c r="AB76" s="141"/>
      <c r="AC76" s="141"/>
      <c r="AD76" s="141"/>
      <c r="AE76" s="194">
        <f>+Tabla134[[#This Row],[Recursos propios 2025]]+Tabla134[[#This Row],[SGP Educación 2025]]+Tabla134[[#This Row],[SGP Salud 2025]]+Tabla134[[#This Row],[SGP Deporte 2025]]+Tabla134[[#This Row],[SGP Cultura 2025]]+Tabla134[[#This Row],[SGP Libre inversión 2025]]+Tabla134[[#This Row],[SGP Libre destinación 2025]]+Tabla134[[#This Row],[SGP Alimentación escolar 2025]]+Tabla134[[#This Row],[SGP Municipios río Magdalena 2025]]+Tabla134[[#This Row],[SGP APSB 2025]]+Tabla134[[#This Row],[Crédito 2025]]+Tabla134[[#This Row],[Transferencias de capital - cofinanciación departamento 2025]]+Tabla134[[#This Row],[Transferencias de capital - cofinanciación nación 2025]]+Tabla134[[#This Row],[Otros 2025]]+Tabla134[[#This Row],[Recursos del Balance]]</f>
        <v>7000000000</v>
      </c>
      <c r="AF76" s="142">
        <v>7000000000</v>
      </c>
      <c r="AG76" s="141">
        <f>IFERROR(VLOOKUP(Tabla134[[#This Row],[Código BPIN]],#REF!,9,0),0)</f>
        <v>0</v>
      </c>
      <c r="AH76" s="141"/>
      <c r="AI76" s="141"/>
      <c r="AJ76" s="141"/>
      <c r="AK76" s="141">
        <f>IFERROR(VLOOKUP(Tabla134[[#This Row],[Código BPIN]],#REF!,9,0),0)</f>
        <v>0</v>
      </c>
      <c r="AL76" s="141"/>
      <c r="AM76" s="141"/>
      <c r="AN76" s="141"/>
      <c r="AO76" s="141">
        <f>IFERROR(VLOOKUP(Tabla134[[#This Row],[Código BPIN]],#REF!,10,0),0)</f>
        <v>0</v>
      </c>
      <c r="AP76" s="141"/>
      <c r="AQ76" s="141"/>
      <c r="AR76" s="141"/>
      <c r="AS76" s="141"/>
      <c r="AT76" s="141"/>
      <c r="AU76" s="141">
        <f>+Tabla134[[#This Row],[Recursos propios 20252]]+Tabla134[[#This Row],[SGP Educación 20252]]+Tabla134[[#This Row],[SGP Salud 20252]]+Tabla134[[#This Row],[SGP Deporte 20252]]+Tabla134[[#This Row],[SGP Cultura 20252]]+Tabla134[[#This Row],[SGP Libre inversión 20252]]+Tabla134[[#This Row],[SGP Libre destinación 20252]]+Tabla134[[#This Row],[SGP Alimentación escolar 20252]]+Tabla134[[#This Row],[SGP Municipios río Magdalena 20252]]+Tabla134[[#This Row],[SGP APSB 20252]]+Tabla134[[#This Row],[Crédito 20252]]+Tabla134[[#This Row],[Transferencias de capital - cofinanciación departamento 20252]]+Tabla134[[#This Row],[Transferencias de capital - cofinanciación nación 20252]]+Tabla134[[#This Row],[Otros 20252]]+Tabla134[[#This Row],[Recursos del Balance 2025]]</f>
        <v>7000000000</v>
      </c>
      <c r="AV76" s="141">
        <v>3500000000</v>
      </c>
      <c r="AW76" s="201">
        <v>3500000000</v>
      </c>
      <c r="AX76" s="143">
        <f>+Tabla134[[#This Row],[Total Recursos Comprometido 2025]]/Tabla134[[#This Row],[Total 2025]]</f>
        <v>1</v>
      </c>
      <c r="AY76" s="144">
        <f>+Tabla134[[#This Row],[Total Recursos Obligados]]/Tabla134[[#This Row],[Total 2025]]</f>
        <v>0.5</v>
      </c>
      <c r="AZ76" s="145">
        <f>+Tabla134[[#This Row],[Total Recursos Pagados]]/Tabla134[[#This Row],[Total 2025]]</f>
        <v>0.5</v>
      </c>
      <c r="BA76" s="146"/>
      <c r="BB76" s="197" t="str">
        <f>IF(Tabla134[[#This Row],[Total Recursos Gestionados2]]=0,"_",IF(Tabla134[[#This Row],[Ejecución Recursos Comprometidos]]=0,100%,Tabla134[[#This Row],[Total Recursos Gestionados2]]/Tabla134[[#This Row],[Ejecución Recursos Comprometidos]]))</f>
        <v>_</v>
      </c>
      <c r="BC76" s="198" t="s">
        <v>269</v>
      </c>
      <c r="BD76" s="199" t="s">
        <v>270</v>
      </c>
      <c r="BE76" s="200">
        <v>16</v>
      </c>
      <c r="BF76" s="206"/>
    </row>
    <row r="77" spans="1:58" s="229" customFormat="1" ht="49.9" customHeight="1">
      <c r="A77" s="240"/>
      <c r="B77" s="240"/>
      <c r="C77" s="240"/>
      <c r="D77" s="240"/>
      <c r="E77" s="240"/>
      <c r="F77" s="240"/>
      <c r="G77" s="240"/>
      <c r="H77" s="241"/>
      <c r="I77" s="240"/>
      <c r="J77" s="240">
        <f>SUBTOTAL(109,Tabla134[Valor del Proyecto])</f>
        <v>643254398340.12</v>
      </c>
      <c r="K77" s="242">
        <f>SUBTOTAL(109,Tabla134[Valor Vigencia Proyecto])</f>
        <v>256768698889.94995</v>
      </c>
      <c r="L77" s="240"/>
      <c r="M77" s="240"/>
      <c r="N77" s="240"/>
      <c r="O77" s="240"/>
      <c r="P77" s="243">
        <f>SUBTOTAL(109,Tabla134[Recursos propios 2025])</f>
        <v>157134433815.42999</v>
      </c>
      <c r="Q77" s="240"/>
      <c r="R77" s="240"/>
      <c r="S77" s="240"/>
      <c r="T77" s="240"/>
      <c r="U77" s="243"/>
      <c r="V77" s="240"/>
      <c r="W77" s="240"/>
      <c r="X77" s="240"/>
      <c r="Y77" s="243"/>
      <c r="Z77" s="240"/>
      <c r="AA77" s="240"/>
      <c r="AB77" s="240"/>
      <c r="AC77" s="240"/>
      <c r="AD77" s="240"/>
      <c r="AE77" s="244">
        <f>SUM(Tabla134[Total 2025])</f>
        <v>253202206623.51001</v>
      </c>
      <c r="AF77" s="243"/>
      <c r="AG77" s="243"/>
      <c r="AH77" s="242"/>
      <c r="AI77" s="242"/>
      <c r="AJ77" s="242"/>
      <c r="AK77" s="243"/>
      <c r="AL77" s="242"/>
      <c r="AM77" s="242"/>
      <c r="AN77" s="242"/>
      <c r="AO77" s="243"/>
      <c r="AP77" s="242"/>
      <c r="AQ77" s="242"/>
      <c r="AR77" s="242"/>
      <c r="AS77" s="242"/>
      <c r="AT77" s="242"/>
      <c r="AU77" s="244">
        <f>SUBTOTAL(109,Tabla134[Total Recursos Comprometido 2025])</f>
        <v>182327154025.34998</v>
      </c>
      <c r="AV77" s="244">
        <f>SUBTOTAL(109,Tabla134[Total Recursos Obligados])</f>
        <v>99027132148.899994</v>
      </c>
      <c r="AW77" s="245">
        <f>SUBTOTAL(109,Tabla134[Total Recursos Pagados])</f>
        <v>98420168302.430008</v>
      </c>
      <c r="AX77" s="242"/>
      <c r="AY77" s="242"/>
      <c r="AZ77" s="242"/>
      <c r="BA77" s="242"/>
      <c r="BB77" s="242"/>
      <c r="BC77" s="240"/>
      <c r="BD77" s="246"/>
      <c r="BE77" s="240"/>
      <c r="BF77" s="206"/>
    </row>
    <row r="78" spans="1:58" s="252" customFormat="1" ht="49.9" customHeight="1">
      <c r="A78" s="247"/>
      <c r="B78" s="247"/>
      <c r="C78" s="247"/>
      <c r="D78" s="247"/>
      <c r="E78" s="247"/>
      <c r="F78" s="247"/>
      <c r="G78" s="247"/>
      <c r="H78" s="247"/>
      <c r="I78" s="247"/>
      <c r="J78" s="248">
        <f>+Tabla134[[#Totals],[Valor del Proyecto]]-Tabla134[[#Totals],[Valor Vigencia Proyecto]]</f>
        <v>386485699450.17004</v>
      </c>
      <c r="K78" s="186"/>
      <c r="L78" s="249"/>
      <c r="M78" s="250"/>
      <c r="N78" s="247"/>
      <c r="O78" s="247"/>
      <c r="P78" s="247"/>
      <c r="Q78" s="247"/>
      <c r="R78" s="247"/>
      <c r="S78" s="247"/>
      <c r="T78" s="247"/>
      <c r="U78" s="247"/>
      <c r="V78" s="247"/>
      <c r="W78" s="247"/>
      <c r="X78" s="247"/>
      <c r="Y78" s="247"/>
      <c r="Z78" s="247"/>
      <c r="AA78" s="247"/>
      <c r="AB78" s="247"/>
      <c r="AC78" s="247"/>
      <c r="AD78" s="247"/>
      <c r="AE78" s="247"/>
      <c r="AF78" s="247"/>
      <c r="AG78" s="247"/>
      <c r="AH78" s="247"/>
      <c r="AI78" s="247"/>
      <c r="AJ78" s="247"/>
      <c r="AK78" s="247"/>
      <c r="AL78" s="247"/>
      <c r="AM78" s="247"/>
      <c r="AN78" s="247"/>
      <c r="AO78" s="247"/>
      <c r="AP78" s="247"/>
      <c r="AQ78" s="247"/>
      <c r="AR78" s="247"/>
      <c r="AS78" s="247"/>
      <c r="AT78" s="247"/>
      <c r="AU78" s="247">
        <f>+Tabla134[[#Totals],[Total Recursos Comprometido 2025]]-'[2]resum eje infra'!$M$166</f>
        <v>6311170181.6699829</v>
      </c>
      <c r="AV78" s="247"/>
      <c r="AW78" s="247"/>
      <c r="AX78" s="247"/>
      <c r="AY78" s="247"/>
      <c r="AZ78" s="247"/>
      <c r="BA78" s="247"/>
      <c r="BB78" s="247"/>
      <c r="BC78" s="247"/>
      <c r="BD78" s="251"/>
      <c r="BE78" s="247"/>
    </row>
    <row r="79" spans="1:58" s="252" customFormat="1" ht="49.9" customHeight="1">
      <c r="A79" s="247"/>
      <c r="B79" s="247"/>
      <c r="C79" s="247"/>
      <c r="D79" s="247"/>
      <c r="E79" s="247"/>
      <c r="F79" s="247"/>
      <c r="G79" s="247"/>
      <c r="H79" s="247"/>
      <c r="I79" s="247"/>
      <c r="J79" s="247">
        <f>SUM(J11:J78)</f>
        <v>1672994496130.4102</v>
      </c>
      <c r="K79" s="247">
        <f>+Tabla134[[#Totals],[Valor Vigencia Proyecto]]-K78</f>
        <v>256768698889.94995</v>
      </c>
      <c r="L79" s="247">
        <f>+J78+K78</f>
        <v>386485699450.17004</v>
      </c>
      <c r="M79" s="247"/>
      <c r="N79" s="247"/>
      <c r="O79" s="247"/>
      <c r="P79" s="247">
        <f t="shared" ref="P79:AD79" si="0">SUM(P11:P78)</f>
        <v>314268867630.85999</v>
      </c>
      <c r="Q79" s="247">
        <f t="shared" si="0"/>
        <v>0</v>
      </c>
      <c r="R79" s="247">
        <f t="shared" si="0"/>
        <v>0</v>
      </c>
      <c r="S79" s="247">
        <f t="shared" si="0"/>
        <v>0</v>
      </c>
      <c r="T79" s="247">
        <f t="shared" si="0"/>
        <v>0</v>
      </c>
      <c r="U79" s="247">
        <f t="shared" si="0"/>
        <v>14854998254.33</v>
      </c>
      <c r="V79" s="247">
        <f t="shared" si="0"/>
        <v>0</v>
      </c>
      <c r="W79" s="247">
        <f t="shared" si="0"/>
        <v>0</v>
      </c>
      <c r="X79" s="247">
        <f t="shared" si="0"/>
        <v>0</v>
      </c>
      <c r="Y79" s="247">
        <f t="shared" si="0"/>
        <v>11007989963</v>
      </c>
      <c r="Z79" s="247">
        <f t="shared" si="0"/>
        <v>3717493101.2000003</v>
      </c>
      <c r="AA79" s="247">
        <f t="shared" si="0"/>
        <v>0</v>
      </c>
      <c r="AB79" s="247">
        <f t="shared" si="0"/>
        <v>4373250</v>
      </c>
      <c r="AC79" s="247">
        <f t="shared" si="0"/>
        <v>38815084278.810005</v>
      </c>
      <c r="AD79" s="247">
        <f t="shared" si="0"/>
        <v>27667833960.740002</v>
      </c>
      <c r="AE79" s="247"/>
      <c r="AF79" s="247">
        <f>SUM(AF11:AF78)</f>
        <v>111878343500.89999</v>
      </c>
      <c r="AG79" s="247">
        <f>SUM(AG11:AG78)</f>
        <v>0</v>
      </c>
      <c r="AH79" s="247">
        <f>SUM(AH11:AH78)</f>
        <v>0</v>
      </c>
      <c r="AI79" s="247" t="s">
        <v>328</v>
      </c>
      <c r="AJ79" s="247">
        <f t="shared" ref="AJ79:AT79" si="1">SUM(AJ11:AJ78)</f>
        <v>0</v>
      </c>
      <c r="AK79" s="247">
        <f t="shared" si="1"/>
        <v>14854998254.33</v>
      </c>
      <c r="AL79" s="247">
        <f t="shared" si="1"/>
        <v>0</v>
      </c>
      <c r="AM79" s="247">
        <f t="shared" si="1"/>
        <v>0</v>
      </c>
      <c r="AN79" s="247">
        <f t="shared" si="1"/>
        <v>0</v>
      </c>
      <c r="AO79" s="247">
        <f t="shared" si="1"/>
        <v>7784799920</v>
      </c>
      <c r="AP79" s="247">
        <f t="shared" si="1"/>
        <v>2608258955.2600002</v>
      </c>
      <c r="AQ79" s="247">
        <f t="shared" si="1"/>
        <v>0</v>
      </c>
      <c r="AR79" s="247">
        <f t="shared" si="1"/>
        <v>4373250</v>
      </c>
      <c r="AS79" s="247">
        <f t="shared" si="1"/>
        <v>21195364977.079998</v>
      </c>
      <c r="AT79" s="247">
        <f t="shared" si="1"/>
        <v>24001015167.779999</v>
      </c>
      <c r="AU79" s="247"/>
      <c r="AV79" s="247"/>
      <c r="AW79" s="247"/>
      <c r="AX79" s="247"/>
      <c r="AY79" s="247"/>
      <c r="AZ79" s="247"/>
      <c r="BA79" s="247"/>
      <c r="BB79" s="247"/>
      <c r="BC79" s="247"/>
      <c r="BD79" s="251"/>
      <c r="BE79" s="247"/>
    </row>
    <row r="80" spans="1:58" s="149" customFormat="1" ht="49.9" customHeight="1">
      <c r="A80" s="104"/>
      <c r="B80" s="104"/>
      <c r="C80" s="104"/>
      <c r="D80" s="104"/>
      <c r="E80" s="104"/>
      <c r="F80" s="104"/>
      <c r="G80" s="104"/>
      <c r="H80" s="185"/>
      <c r="I80" s="185"/>
      <c r="J80" s="185"/>
      <c r="K80" s="187"/>
      <c r="L80" s="104"/>
      <c r="M80" s="104"/>
      <c r="N80" s="104"/>
      <c r="O80" s="104"/>
      <c r="P80" s="147" t="e">
        <f>+GETPIVOTDATA("Suma de Compromisos Acumulados",#REF!,"Fuente Financiacion","RECURSOS PROPIOS")</f>
        <v>#REF!</v>
      </c>
      <c r="Q80" s="147"/>
      <c r="R80" s="147"/>
      <c r="S80" s="147"/>
      <c r="T80" s="147"/>
      <c r="U80" s="147" t="e">
        <f>+GETPIVOTDATA("Suma de Compromisos Acumulados",#REF!,"Fuente Financiacion","SGP PROPOSITO GENERAL LIBRE INVERSIÓN")</f>
        <v>#REF!</v>
      </c>
      <c r="V80" s="147"/>
      <c r="W80" s="147"/>
      <c r="X80" s="147"/>
      <c r="Y80" s="147" t="e">
        <f>+GETPIVOTDATA("Suma de Compromisos Acumulados",#REF!,"Fuente Financiacion","SGP AGUA POTABLE Y SANEAMIENTO BASICO")</f>
        <v>#REF!</v>
      </c>
      <c r="Z80" s="147"/>
      <c r="AA80" s="147"/>
      <c r="AB80" s="147"/>
      <c r="AC80" s="147"/>
      <c r="AD80" s="147"/>
      <c r="AE80" s="147"/>
      <c r="AF80" s="147" t="e">
        <f>+GETPIVOTDATA("Suma de Obligaciones",#REF!,"Fuente Financiacion","RECURSOS PROPIOS")</f>
        <v>#REF!</v>
      </c>
      <c r="AG80" s="147"/>
      <c r="AH80" s="147"/>
      <c r="AI80" s="147"/>
      <c r="AJ80" s="147"/>
      <c r="AK80" s="147" t="e">
        <f>+GETPIVOTDATA("Suma de Obligaciones",#REF!,"Fuente Financiacion","SGP PROPOSITO GENERAL LIBRE INVERSIÓN")</f>
        <v>#REF!</v>
      </c>
      <c r="AL80" s="147"/>
      <c r="AM80" s="147"/>
      <c r="AN80" s="147"/>
      <c r="AO80" s="147" t="e">
        <f>+GETPIVOTDATA("Suma de Obligaciones",#REF!,"Fuente Financiacion","SGP AGUA POTABLE Y SANEAMIENTO BASICO")</f>
        <v>#REF!</v>
      </c>
      <c r="AP80" s="147"/>
      <c r="AQ80" s="147"/>
      <c r="AR80" s="147"/>
      <c r="AS80" s="147"/>
      <c r="AT80" s="147"/>
      <c r="AU80" s="147"/>
      <c r="AV80" s="147"/>
      <c r="AW80" s="147"/>
      <c r="AX80" s="147"/>
      <c r="AY80" s="147"/>
      <c r="AZ80" s="147"/>
      <c r="BA80" s="104"/>
      <c r="BB80" s="104"/>
      <c r="BC80" s="104"/>
      <c r="BD80" s="148"/>
      <c r="BE80" s="104"/>
    </row>
    <row r="81" spans="1:57" s="149" customFormat="1" ht="49.9" customHeight="1">
      <c r="A81" s="104"/>
      <c r="B81" s="104"/>
      <c r="C81" s="104"/>
      <c r="D81" s="104"/>
      <c r="E81" s="104"/>
      <c r="F81" s="104"/>
      <c r="G81" s="104"/>
      <c r="H81" s="185"/>
      <c r="I81" s="185"/>
      <c r="J81" s="185"/>
      <c r="K81" s="187"/>
      <c r="L81" s="104"/>
      <c r="M81" s="104"/>
      <c r="N81" s="104"/>
      <c r="O81" s="104"/>
      <c r="P81" s="147" t="e">
        <f t="shared" ref="P81:AW81" si="2">+P79-P80</f>
        <v>#REF!</v>
      </c>
      <c r="Q81" s="147">
        <f t="shared" si="2"/>
        <v>0</v>
      </c>
      <c r="R81" s="147">
        <f t="shared" si="2"/>
        <v>0</v>
      </c>
      <c r="S81" s="147">
        <f t="shared" si="2"/>
        <v>0</v>
      </c>
      <c r="T81" s="147">
        <f t="shared" si="2"/>
        <v>0</v>
      </c>
      <c r="U81" s="147" t="e">
        <f t="shared" si="2"/>
        <v>#REF!</v>
      </c>
      <c r="V81" s="147">
        <f t="shared" si="2"/>
        <v>0</v>
      </c>
      <c r="W81" s="147">
        <f t="shared" si="2"/>
        <v>0</v>
      </c>
      <c r="X81" s="147">
        <f t="shared" si="2"/>
        <v>0</v>
      </c>
      <c r="Y81" s="147" t="e">
        <f t="shared" si="2"/>
        <v>#REF!</v>
      </c>
      <c r="Z81" s="147">
        <f t="shared" si="2"/>
        <v>3717493101.2000003</v>
      </c>
      <c r="AA81" s="147">
        <f t="shared" si="2"/>
        <v>0</v>
      </c>
      <c r="AB81" s="147">
        <f t="shared" si="2"/>
        <v>4373250</v>
      </c>
      <c r="AC81" s="147">
        <f t="shared" si="2"/>
        <v>38815084278.810005</v>
      </c>
      <c r="AD81" s="147">
        <f t="shared" si="2"/>
        <v>27667833960.740002</v>
      </c>
      <c r="AE81" s="147">
        <f t="shared" si="2"/>
        <v>0</v>
      </c>
      <c r="AF81" s="147" t="e">
        <f t="shared" si="2"/>
        <v>#REF!</v>
      </c>
      <c r="AG81" s="147">
        <f t="shared" si="2"/>
        <v>0</v>
      </c>
      <c r="AH81" s="147">
        <f t="shared" si="2"/>
        <v>0</v>
      </c>
      <c r="AI81" s="147" t="e">
        <f t="shared" si="2"/>
        <v>#VALUE!</v>
      </c>
      <c r="AJ81" s="147">
        <f t="shared" si="2"/>
        <v>0</v>
      </c>
      <c r="AK81" s="147" t="e">
        <f t="shared" si="2"/>
        <v>#REF!</v>
      </c>
      <c r="AL81" s="147">
        <f t="shared" si="2"/>
        <v>0</v>
      </c>
      <c r="AM81" s="147">
        <f t="shared" si="2"/>
        <v>0</v>
      </c>
      <c r="AN81" s="147">
        <f t="shared" si="2"/>
        <v>0</v>
      </c>
      <c r="AO81" s="147" t="e">
        <f t="shared" si="2"/>
        <v>#REF!</v>
      </c>
      <c r="AP81" s="147">
        <f t="shared" si="2"/>
        <v>2608258955.2600002</v>
      </c>
      <c r="AQ81" s="147">
        <f t="shared" si="2"/>
        <v>0</v>
      </c>
      <c r="AR81" s="147">
        <f t="shared" si="2"/>
        <v>4373250</v>
      </c>
      <c r="AS81" s="147">
        <f t="shared" si="2"/>
        <v>21195364977.079998</v>
      </c>
      <c r="AT81" s="147">
        <f t="shared" si="2"/>
        <v>24001015167.779999</v>
      </c>
      <c r="AU81" s="147">
        <f t="shared" si="2"/>
        <v>0</v>
      </c>
      <c r="AV81" s="147">
        <f t="shared" si="2"/>
        <v>0</v>
      </c>
      <c r="AW81" s="147">
        <f t="shared" si="2"/>
        <v>0</v>
      </c>
      <c r="AX81" s="147"/>
      <c r="AY81" s="147"/>
      <c r="AZ81" s="147"/>
      <c r="BA81" s="104"/>
      <c r="BB81" s="104"/>
      <c r="BC81" s="104"/>
      <c r="BD81" s="148"/>
      <c r="BE81" s="104"/>
    </row>
    <row r="82" spans="1:57" s="149" customFormat="1" ht="49.9" customHeight="1">
      <c r="A82" s="104"/>
      <c r="B82" s="104"/>
      <c r="C82" s="104"/>
      <c r="D82" s="104"/>
      <c r="E82" s="104"/>
      <c r="F82" s="104"/>
      <c r="G82" s="104"/>
      <c r="H82" s="185"/>
      <c r="I82" s="185"/>
      <c r="J82" s="185"/>
      <c r="K82" s="187"/>
      <c r="L82" s="104"/>
      <c r="M82" s="104"/>
      <c r="N82" s="104"/>
      <c r="O82" s="104"/>
      <c r="P82" s="104"/>
      <c r="Q82" s="104"/>
      <c r="R82" s="104"/>
      <c r="S82" s="104"/>
      <c r="T82" s="104"/>
      <c r="U82" s="104"/>
      <c r="V82" s="104"/>
      <c r="W82" s="104"/>
      <c r="X82" s="104"/>
      <c r="Y82" s="104"/>
      <c r="Z82" s="104"/>
      <c r="AA82" s="104"/>
      <c r="AB82" s="104"/>
      <c r="AC82" s="104"/>
      <c r="AD82" s="104"/>
      <c r="AE82" s="104"/>
      <c r="AF82" s="104"/>
      <c r="AG82" s="104"/>
      <c r="AH82" s="104"/>
      <c r="AI82" s="104"/>
      <c r="AJ82" s="104"/>
      <c r="AK82" s="104"/>
      <c r="AL82" s="104"/>
      <c r="AM82" s="104"/>
      <c r="AN82" s="104"/>
      <c r="AO82" s="104"/>
      <c r="AP82" s="104"/>
      <c r="AQ82" s="104"/>
      <c r="AR82" s="104"/>
      <c r="AS82" s="104"/>
      <c r="AT82" s="104"/>
      <c r="AU82" s="104"/>
      <c r="AV82" s="104"/>
      <c r="AW82" s="104"/>
      <c r="AX82" s="104"/>
      <c r="AY82" s="104"/>
      <c r="AZ82" s="104"/>
      <c r="BA82" s="104"/>
      <c r="BB82" s="104"/>
      <c r="BC82" s="104"/>
      <c r="BD82" s="148"/>
      <c r="BE82" s="104"/>
    </row>
    <row r="83" spans="1:57" s="149" customFormat="1" ht="49.9" customHeight="1">
      <c r="A83" s="104"/>
      <c r="B83" s="104"/>
      <c r="C83" s="104"/>
      <c r="D83" s="104"/>
      <c r="E83" s="104"/>
      <c r="F83" s="104"/>
      <c r="G83" s="104"/>
      <c r="H83" s="185"/>
      <c r="I83" s="185"/>
      <c r="J83" s="185"/>
      <c r="K83" s="187"/>
      <c r="L83" s="104"/>
      <c r="M83" s="104"/>
      <c r="N83" s="104"/>
      <c r="O83" s="104"/>
      <c r="P83" s="104"/>
      <c r="Q83" s="104"/>
      <c r="R83" s="104"/>
      <c r="S83" s="104"/>
      <c r="T83" s="104"/>
      <c r="U83" s="104"/>
      <c r="V83" s="104"/>
      <c r="W83" s="104"/>
      <c r="X83" s="104"/>
      <c r="Y83" s="104"/>
      <c r="Z83" s="104"/>
      <c r="AA83" s="104"/>
      <c r="AB83" s="104"/>
      <c r="AC83" s="104"/>
      <c r="AD83" s="104"/>
      <c r="AE83" s="104"/>
      <c r="AF83" s="104"/>
      <c r="AG83" s="104"/>
      <c r="AH83" s="104"/>
      <c r="AI83" s="104"/>
      <c r="AJ83" s="104"/>
      <c r="AK83" s="104"/>
      <c r="AL83" s="104"/>
      <c r="AM83" s="104"/>
      <c r="AN83" s="104"/>
      <c r="AO83" s="104"/>
      <c r="AP83" s="104"/>
      <c r="AQ83" s="104"/>
      <c r="AR83" s="104"/>
      <c r="AS83" s="104"/>
      <c r="AT83" s="104"/>
      <c r="AU83" s="150"/>
      <c r="AV83" s="150"/>
      <c r="AW83" s="150"/>
      <c r="AX83" s="104"/>
      <c r="AY83" s="104"/>
      <c r="AZ83" s="104"/>
      <c r="BA83" s="104"/>
      <c r="BB83" s="104"/>
      <c r="BC83" s="104"/>
      <c r="BD83" s="148"/>
      <c r="BE83" s="104"/>
    </row>
    <row r="84" spans="1:57" s="154" customFormat="1" ht="49.9" customHeight="1">
      <c r="A84" s="151"/>
      <c r="B84" s="151"/>
      <c r="C84" s="151"/>
      <c r="D84" s="151"/>
      <c r="E84" s="151"/>
      <c r="F84" s="151"/>
      <c r="G84" s="151"/>
      <c r="H84" s="188"/>
      <c r="I84" s="188"/>
      <c r="J84" s="188"/>
      <c r="K84" s="189"/>
      <c r="L84" s="151"/>
      <c r="M84" s="151"/>
      <c r="N84" s="151"/>
      <c r="O84" s="151"/>
      <c r="P84" s="151"/>
      <c r="Q84" s="151"/>
      <c r="R84" s="151"/>
      <c r="S84" s="151"/>
      <c r="T84" s="151"/>
      <c r="U84" s="151"/>
      <c r="V84" s="151"/>
      <c r="W84" s="151"/>
      <c r="X84" s="151"/>
      <c r="Y84" s="151"/>
      <c r="Z84" s="151"/>
      <c r="AA84" s="151"/>
      <c r="AB84" s="151"/>
      <c r="AC84" s="151"/>
      <c r="AD84" s="151"/>
      <c r="AE84" s="151"/>
      <c r="AF84" s="151"/>
      <c r="AG84" s="151"/>
      <c r="AH84" s="151"/>
      <c r="AI84" s="151"/>
      <c r="AJ84" s="151"/>
      <c r="AK84" s="151"/>
      <c r="AL84" s="151"/>
      <c r="AM84" s="151"/>
      <c r="AN84" s="151"/>
      <c r="AO84" s="151"/>
      <c r="AP84" s="151"/>
      <c r="AQ84" s="151"/>
      <c r="AR84" s="151"/>
      <c r="AS84" s="151"/>
      <c r="AT84" s="151"/>
      <c r="AU84" s="152"/>
      <c r="AV84" s="152"/>
      <c r="AW84" s="152"/>
      <c r="AX84" s="151"/>
      <c r="AY84" s="151"/>
      <c r="AZ84" s="151"/>
      <c r="BA84" s="151"/>
      <c r="BB84" s="151"/>
      <c r="BC84" s="151"/>
      <c r="BD84" s="153"/>
      <c r="BE84" s="151"/>
    </row>
    <row r="85" spans="1:57" s="149" customFormat="1" ht="49.9" customHeight="1">
      <c r="A85" s="104"/>
      <c r="B85" s="104"/>
      <c r="C85" s="104"/>
      <c r="D85" s="104"/>
      <c r="E85" s="104"/>
      <c r="F85" s="104"/>
      <c r="G85" s="104"/>
      <c r="H85" s="185"/>
      <c r="I85" s="185"/>
      <c r="J85" s="185"/>
      <c r="K85" s="187"/>
      <c r="L85" s="104"/>
      <c r="M85" s="104"/>
      <c r="N85" s="104"/>
      <c r="O85" s="104"/>
      <c r="P85" s="104"/>
      <c r="Q85" s="104"/>
      <c r="R85" s="104"/>
      <c r="S85" s="104"/>
      <c r="T85" s="104"/>
      <c r="U85" s="104"/>
      <c r="V85" s="104"/>
      <c r="W85" s="104"/>
      <c r="X85" s="104"/>
      <c r="Y85" s="104"/>
      <c r="Z85" s="104"/>
      <c r="AA85" s="104"/>
      <c r="AB85" s="104"/>
      <c r="AC85" s="104"/>
      <c r="AD85" s="104"/>
      <c r="AE85" s="104"/>
      <c r="AF85" s="104"/>
      <c r="AG85" s="104"/>
      <c r="AH85" s="104"/>
      <c r="AI85" s="104"/>
      <c r="AJ85" s="104"/>
      <c r="AK85" s="104"/>
      <c r="AL85" s="104"/>
      <c r="AM85" s="104"/>
      <c r="AN85" s="104"/>
      <c r="AO85" s="104"/>
      <c r="AP85" s="104"/>
      <c r="AQ85" s="104"/>
      <c r="AR85" s="104"/>
      <c r="AS85" s="104"/>
      <c r="AT85" s="104"/>
      <c r="AU85" s="104"/>
      <c r="AV85" s="104"/>
      <c r="AW85" s="104"/>
      <c r="AX85" s="104"/>
      <c r="AY85" s="104"/>
      <c r="AZ85" s="104"/>
      <c r="BA85" s="104"/>
      <c r="BB85" s="104"/>
      <c r="BC85" s="104"/>
      <c r="BD85" s="148"/>
      <c r="BE85" s="104"/>
    </row>
    <row r="86" spans="1:57" s="149" customFormat="1" ht="49.9" customHeight="1">
      <c r="A86" s="104"/>
      <c r="B86" s="104"/>
      <c r="C86" s="104"/>
      <c r="D86" s="104"/>
      <c r="E86" s="104"/>
      <c r="F86" s="104"/>
      <c r="G86" s="104"/>
      <c r="H86" s="185"/>
      <c r="I86" s="185"/>
      <c r="J86" s="185"/>
      <c r="K86" s="187"/>
      <c r="L86" s="104"/>
      <c r="M86" s="104"/>
      <c r="N86" s="104"/>
      <c r="O86" s="104"/>
      <c r="P86" s="104"/>
      <c r="Q86" s="104"/>
      <c r="R86" s="104"/>
      <c r="S86" s="104"/>
      <c r="T86" s="104"/>
      <c r="U86" s="104"/>
      <c r="V86" s="104"/>
      <c r="W86" s="104"/>
      <c r="X86" s="104"/>
      <c r="Y86" s="104"/>
      <c r="Z86" s="104"/>
      <c r="AA86" s="104"/>
      <c r="AB86" s="104"/>
      <c r="AC86" s="104"/>
      <c r="AD86" s="104"/>
      <c r="AE86" s="104"/>
      <c r="AF86" s="104"/>
      <c r="AG86" s="104"/>
      <c r="AH86" s="104"/>
      <c r="AI86" s="104"/>
      <c r="AJ86" s="104"/>
      <c r="AK86" s="104"/>
      <c r="AL86" s="104"/>
      <c r="AM86" s="104"/>
      <c r="AN86" s="104"/>
      <c r="AO86" s="104"/>
      <c r="AP86" s="104"/>
      <c r="AQ86" s="104"/>
      <c r="AR86" s="104"/>
      <c r="AS86" s="104"/>
      <c r="AT86" s="104"/>
      <c r="AU86" s="104"/>
      <c r="AV86" s="104"/>
      <c r="AW86" s="104"/>
      <c r="AX86" s="104"/>
      <c r="AY86" s="104"/>
      <c r="AZ86" s="104"/>
      <c r="BA86" s="104"/>
      <c r="BB86" s="104"/>
      <c r="BC86" s="104"/>
      <c r="BD86" s="148"/>
      <c r="BE86" s="104"/>
    </row>
    <row r="95" spans="1:57" ht="49.9" customHeight="1">
      <c r="AU95" s="155"/>
    </row>
  </sheetData>
  <sheetProtection formatCells="0" formatColumns="0" formatRows="0" insertRows="0" autoFilter="0"/>
  <mergeCells count="13">
    <mergeCell ref="A1:B4"/>
    <mergeCell ref="C1:BB4"/>
    <mergeCell ref="BC1:BE1"/>
    <mergeCell ref="BC2:BE2"/>
    <mergeCell ref="BC3:BE3"/>
    <mergeCell ref="BC4:BE4"/>
    <mergeCell ref="BC9:BD9"/>
    <mergeCell ref="A9:G9"/>
    <mergeCell ref="H9:O9"/>
    <mergeCell ref="P9:AE9"/>
    <mergeCell ref="AF9:AW9"/>
    <mergeCell ref="AX9:AZ9"/>
    <mergeCell ref="BA9:BB9"/>
  </mergeCells>
  <conditionalFormatting sqref="F35">
    <cfRule type="duplicateValues" dxfId="249" priority="1"/>
  </conditionalFormatting>
  <conditionalFormatting sqref="H1:H1048576">
    <cfRule type="duplicateValues" dxfId="248" priority="2"/>
    <cfRule type="duplicateValues" dxfId="247" priority="3"/>
  </conditionalFormatting>
  <conditionalFormatting sqref="H39">
    <cfRule type="duplicateValues" dxfId="246" priority="6"/>
    <cfRule type="duplicateValues" dxfId="245" priority="7"/>
  </conditionalFormatting>
  <conditionalFormatting sqref="H44">
    <cfRule type="duplicateValues" dxfId="244" priority="4"/>
    <cfRule type="duplicateValues" dxfId="243" priority="5"/>
  </conditionalFormatting>
  <conditionalFormatting sqref="H51">
    <cfRule type="duplicateValues" dxfId="242" priority="8"/>
    <cfRule type="duplicateValues" dxfId="241" priority="9"/>
  </conditionalFormatting>
  <conditionalFormatting sqref="H52:H75 H40:H43 H10:H38 H45:H50">
    <cfRule type="duplicateValues" dxfId="240" priority="11"/>
  </conditionalFormatting>
  <conditionalFormatting sqref="H52:H1048576 H40:H43 H1:H38 H45:H50">
    <cfRule type="duplicateValues" dxfId="239" priority="10"/>
  </conditionalFormatting>
  <pageMargins left="0.7" right="0.7" top="0.75" bottom="0.75" header="0.3" footer="0.3"/>
  <pageSetup paperSize="9" orientation="portrait" r:id="rId1"/>
  <drawing r:id="rId2"/>
  <legacyDrawing r:id="rId3"/>
  <tableParts count="1">
    <tablePart r:id="rId4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 tint="-0.249977111117893"/>
  </sheetPr>
  <dimension ref="A1:BE59"/>
  <sheetViews>
    <sheetView showGridLines="0" tabSelected="1" topLeftCell="AO1" zoomScale="60" zoomScaleNormal="60" workbookViewId="0">
      <selection activeCell="AV12" sqref="AV12"/>
    </sheetView>
  </sheetViews>
  <sheetFormatPr baseColWidth="10" defaultColWidth="11.125" defaultRowHeight="15"/>
  <cols>
    <col min="1" max="1" width="19" style="4" customWidth="1"/>
    <col min="2" max="2" width="26.75" style="4" customWidth="1"/>
    <col min="3" max="3" width="20.125" style="4" customWidth="1"/>
    <col min="4" max="4" width="19.125" style="4" customWidth="1"/>
    <col min="5" max="5" width="40.375" style="4" customWidth="1"/>
    <col min="6" max="6" width="19.125" style="4" customWidth="1"/>
    <col min="7" max="7" width="69" style="4" customWidth="1"/>
    <col min="8" max="8" width="19.125" style="4" customWidth="1"/>
    <col min="9" max="9" width="69" style="4" customWidth="1"/>
    <col min="10" max="10" width="12.375" style="4" customWidth="1"/>
    <col min="11" max="11" width="16.125" style="4" customWidth="1"/>
    <col min="12" max="12" width="20" style="4" customWidth="1"/>
    <col min="13" max="14" width="23.125" style="4" customWidth="1"/>
    <col min="15" max="16" width="18.75" style="4" customWidth="1"/>
    <col min="17" max="17" width="19.125" style="5" hidden="1" customWidth="1"/>
    <col min="18" max="49" width="27.125" style="4" customWidth="1"/>
    <col min="50" max="52" width="22.75" style="30" customWidth="1"/>
    <col min="53" max="53" width="27.125" style="4" customWidth="1"/>
    <col min="54" max="54" width="16.125" style="4" customWidth="1"/>
    <col min="55" max="55" width="20.125" style="4" customWidth="1"/>
    <col min="56" max="56" width="19.75" style="4" customWidth="1"/>
    <col min="57" max="57" width="21.125" style="4" customWidth="1"/>
    <col min="58" max="58" width="22.75" style="1" bestFit="1" customWidth="1"/>
    <col min="59" max="59" width="33" style="1" bestFit="1" customWidth="1"/>
    <col min="60" max="60" width="28.75" style="1" bestFit="1" customWidth="1"/>
    <col min="61" max="61" width="58.125" style="1" bestFit="1" customWidth="1"/>
    <col min="62" max="62" width="26" style="1" bestFit="1" customWidth="1"/>
    <col min="63" max="63" width="24.125" style="1" bestFit="1" customWidth="1"/>
    <col min="64" max="64" width="35.125" style="1" bestFit="1" customWidth="1"/>
    <col min="65" max="65" width="30.125" style="1" bestFit="1" customWidth="1"/>
    <col min="66" max="66" width="31.125" style="1" bestFit="1" customWidth="1"/>
    <col min="67" max="67" width="38" style="1" bestFit="1" customWidth="1"/>
    <col min="68" max="68" width="40.125" style="1" bestFit="1" customWidth="1"/>
    <col min="69" max="69" width="43.125" style="1" bestFit="1" customWidth="1"/>
    <col min="70" max="70" width="48.75" style="1" bestFit="1" customWidth="1"/>
    <col min="71" max="71" width="39.125" style="1" bestFit="1" customWidth="1"/>
    <col min="72" max="72" width="26.75" style="1" bestFit="1" customWidth="1"/>
    <col min="73" max="73" width="47" style="1" bestFit="1" customWidth="1"/>
    <col min="74" max="74" width="40" style="1" bestFit="1" customWidth="1"/>
    <col min="75" max="75" width="83.75" style="1" bestFit="1" customWidth="1"/>
    <col min="76" max="76" width="21.125" style="1" bestFit="1" customWidth="1"/>
    <col min="77" max="77" width="31.125" style="1" bestFit="1" customWidth="1"/>
    <col min="78" max="78" width="27.125" style="1" bestFit="1" customWidth="1"/>
    <col min="79" max="79" width="56.75" style="1" bestFit="1" customWidth="1"/>
    <col min="80" max="80" width="24.125" style="1" bestFit="1" customWidth="1"/>
    <col min="81" max="81" width="22.75" style="1" bestFit="1" customWidth="1"/>
    <col min="82" max="82" width="33.75" style="1" bestFit="1" customWidth="1"/>
    <col min="83" max="83" width="29" style="1" bestFit="1" customWidth="1"/>
    <col min="84" max="84" width="29.75" style="1" bestFit="1" customWidth="1"/>
    <col min="85" max="85" width="36.125" style="1" bestFit="1" customWidth="1"/>
    <col min="86" max="86" width="38.75" style="1" bestFit="1" customWidth="1"/>
    <col min="87" max="87" width="42" style="1" bestFit="1" customWidth="1"/>
    <col min="88" max="88" width="47.125" style="1" bestFit="1" customWidth="1"/>
    <col min="89" max="89" width="37.75" style="1" bestFit="1" customWidth="1"/>
    <col min="90" max="90" width="25.125" style="1" bestFit="1" customWidth="1"/>
    <col min="91" max="91" width="45.125" style="1" bestFit="1" customWidth="1"/>
    <col min="92" max="92" width="38.125" style="1" bestFit="1" customWidth="1"/>
    <col min="93" max="93" width="82.125" style="1" bestFit="1" customWidth="1"/>
    <col min="94" max="94" width="22" style="1" bestFit="1" customWidth="1"/>
    <col min="95" max="95" width="32.125" style="1" bestFit="1" customWidth="1"/>
    <col min="96" max="96" width="28" style="1" bestFit="1" customWidth="1"/>
    <col min="97" max="97" width="57.125" style="1" bestFit="1" customWidth="1"/>
    <col min="98" max="98" width="25.125" style="1" bestFit="1" customWidth="1"/>
    <col min="99" max="99" width="23.125" style="1" bestFit="1" customWidth="1"/>
    <col min="100" max="100" width="34.125" style="1" bestFit="1" customWidth="1"/>
    <col min="101" max="101" width="29.125" style="1" bestFit="1" customWidth="1"/>
    <col min="102" max="102" width="30.125" style="1" bestFit="1" customWidth="1"/>
    <col min="103" max="103" width="37.125" style="1" bestFit="1" customWidth="1"/>
    <col min="104" max="104" width="39.125" style="1" bestFit="1" customWidth="1"/>
    <col min="105" max="105" width="42.125" style="1" bestFit="1" customWidth="1"/>
    <col min="106" max="106" width="48" style="1" bestFit="1" customWidth="1"/>
    <col min="107" max="107" width="38.125" style="1" bestFit="1" customWidth="1"/>
    <col min="108" max="108" width="25.75" style="1" bestFit="1" customWidth="1"/>
    <col min="109" max="109" width="46" style="1" bestFit="1" customWidth="1"/>
    <col min="110" max="110" width="39.125" style="1" bestFit="1" customWidth="1"/>
    <col min="111" max="111" width="82.75" style="1" bestFit="1" customWidth="1"/>
    <col min="112" max="112" width="20" style="1" bestFit="1" customWidth="1"/>
    <col min="113" max="113" width="30.125" style="1" bestFit="1" customWidth="1"/>
    <col min="114" max="114" width="26" style="1" bestFit="1" customWidth="1"/>
    <col min="115" max="115" width="55.125" style="1" bestFit="1" customWidth="1"/>
    <col min="116" max="116" width="23.125" style="1" bestFit="1" customWidth="1"/>
    <col min="117" max="117" width="21.125" style="1" bestFit="1" customWidth="1"/>
    <col min="118" max="118" width="32.125" style="1" bestFit="1" customWidth="1"/>
    <col min="119" max="119" width="27.75" style="1" bestFit="1" customWidth="1"/>
    <col min="120" max="120" width="28.125" style="1" bestFit="1" customWidth="1"/>
    <col min="121" max="121" width="35.125" style="1" bestFit="1" customWidth="1"/>
    <col min="122" max="122" width="37.125" style="1" bestFit="1" customWidth="1"/>
    <col min="123" max="123" width="40.125" style="1" bestFit="1" customWidth="1"/>
    <col min="124" max="124" width="46" style="1" bestFit="1" customWidth="1"/>
    <col min="125" max="125" width="36.125" style="1" bestFit="1" customWidth="1"/>
    <col min="126" max="126" width="24" style="1" bestFit="1" customWidth="1"/>
    <col min="127" max="127" width="44.125" style="1" bestFit="1" customWidth="1"/>
    <col min="128" max="128" width="37.125" style="1" bestFit="1" customWidth="1"/>
    <col min="129" max="129" width="80.75" style="1" bestFit="1" customWidth="1"/>
    <col min="130" max="130" width="37.125" style="1" bestFit="1" customWidth="1"/>
    <col min="131" max="131" width="22.75" style="1" bestFit="1" customWidth="1"/>
    <col min="132" max="132" width="33" style="1" bestFit="1" customWidth="1"/>
    <col min="133" max="133" width="28.75" style="1" bestFit="1" customWidth="1"/>
    <col min="134" max="134" width="58.125" style="1" bestFit="1" customWidth="1"/>
    <col min="135" max="135" width="26" style="1" bestFit="1" customWidth="1"/>
    <col min="136" max="136" width="24.125" style="1" bestFit="1" customWidth="1"/>
    <col min="137" max="137" width="35.125" style="1" bestFit="1" customWidth="1"/>
    <col min="138" max="138" width="30.125" style="1" bestFit="1" customWidth="1"/>
    <col min="139" max="139" width="31.125" style="1" bestFit="1" customWidth="1"/>
    <col min="140" max="140" width="38" style="1" bestFit="1" customWidth="1"/>
    <col min="141" max="141" width="40.125" style="1" bestFit="1" customWidth="1"/>
    <col min="142" max="142" width="43.125" style="1" bestFit="1" customWidth="1"/>
    <col min="143" max="143" width="48.75" style="1" bestFit="1" customWidth="1"/>
    <col min="144" max="144" width="39.125" style="1" bestFit="1" customWidth="1"/>
    <col min="145" max="145" width="26.75" style="1" bestFit="1" customWidth="1"/>
    <col min="146" max="146" width="47" style="1" bestFit="1" customWidth="1"/>
    <col min="147" max="147" width="40" style="1" bestFit="1" customWidth="1"/>
    <col min="148" max="148" width="83.75" style="1" bestFit="1" customWidth="1"/>
    <col min="149" max="149" width="21.125" style="1" bestFit="1" customWidth="1"/>
    <col min="150" max="150" width="31.125" style="1" bestFit="1" customWidth="1"/>
    <col min="151" max="151" width="27.125" style="1" bestFit="1" customWidth="1"/>
    <col min="152" max="152" width="56.75" style="1" bestFit="1" customWidth="1"/>
    <col min="153" max="153" width="24.125" style="1" bestFit="1" customWidth="1"/>
    <col min="154" max="154" width="22.75" style="1" bestFit="1" customWidth="1"/>
    <col min="155" max="155" width="33.75" style="1" bestFit="1" customWidth="1"/>
    <col min="156" max="156" width="29" style="1" bestFit="1" customWidth="1"/>
    <col min="157" max="157" width="29.75" style="1" bestFit="1" customWidth="1"/>
    <col min="158" max="158" width="36.125" style="1" bestFit="1" customWidth="1"/>
    <col min="159" max="159" width="38.75" style="1" bestFit="1" customWidth="1"/>
    <col min="160" max="160" width="42" style="1" bestFit="1" customWidth="1"/>
    <col min="161" max="161" width="47.125" style="1" bestFit="1" customWidth="1"/>
    <col min="162" max="162" width="37.75" style="1" bestFit="1" customWidth="1"/>
    <col min="163" max="163" width="25.125" style="1" bestFit="1" customWidth="1"/>
    <col min="164" max="164" width="45.125" style="1" bestFit="1" customWidth="1"/>
    <col min="165" max="165" width="38.125" style="1" bestFit="1" customWidth="1"/>
    <col min="166" max="166" width="82.125" style="1" bestFit="1" customWidth="1"/>
    <col min="167" max="167" width="22" style="1" bestFit="1" customWidth="1"/>
    <col min="168" max="168" width="32.125" style="1" bestFit="1" customWidth="1"/>
    <col min="169" max="169" width="28" style="1" bestFit="1" customWidth="1"/>
    <col min="170" max="170" width="57.125" style="1" bestFit="1" customWidth="1"/>
    <col min="171" max="171" width="25.125" style="1" bestFit="1" customWidth="1"/>
    <col min="172" max="172" width="23.125" style="1" bestFit="1" customWidth="1"/>
    <col min="173" max="173" width="34.125" style="1" bestFit="1" customWidth="1"/>
    <col min="174" max="174" width="29.125" style="1" bestFit="1" customWidth="1"/>
    <col min="175" max="175" width="30.125" style="1" bestFit="1" customWidth="1"/>
    <col min="176" max="176" width="37.125" style="1" bestFit="1" customWidth="1"/>
    <col min="177" max="177" width="39.125" style="1" bestFit="1" customWidth="1"/>
    <col min="178" max="178" width="42.125" style="1" bestFit="1" customWidth="1"/>
    <col min="179" max="179" width="48" style="1" bestFit="1" customWidth="1"/>
    <col min="180" max="180" width="38.125" style="1" bestFit="1" customWidth="1"/>
    <col min="181" max="181" width="25.75" style="1" bestFit="1" customWidth="1"/>
    <col min="182" max="182" width="46" style="1" bestFit="1" customWidth="1"/>
    <col min="183" max="183" width="39.125" style="1" bestFit="1" customWidth="1"/>
    <col min="184" max="184" width="82.75" style="1" bestFit="1" customWidth="1"/>
    <col min="185" max="185" width="20" style="1" bestFit="1" customWidth="1"/>
    <col min="186" max="186" width="30.125" style="1" bestFit="1" customWidth="1"/>
    <col min="187" max="187" width="26" style="1" bestFit="1" customWidth="1"/>
    <col min="188" max="188" width="55.125" style="1" bestFit="1" customWidth="1"/>
    <col min="189" max="189" width="23.125" style="1" bestFit="1" customWidth="1"/>
    <col min="190" max="190" width="21.125" style="1" bestFit="1" customWidth="1"/>
    <col min="191" max="191" width="32.125" style="1" bestFit="1" customWidth="1"/>
    <col min="192" max="192" width="27.75" style="1" bestFit="1" customWidth="1"/>
    <col min="193" max="193" width="28.125" style="1" bestFit="1" customWidth="1"/>
    <col min="194" max="194" width="35.125" style="1" bestFit="1" customWidth="1"/>
    <col min="195" max="195" width="37.125" style="1" bestFit="1" customWidth="1"/>
    <col min="196" max="196" width="40.125" style="1" bestFit="1" customWidth="1"/>
    <col min="197" max="197" width="46" style="1" bestFit="1" customWidth="1"/>
    <col min="198" max="198" width="36.125" style="1" bestFit="1" customWidth="1"/>
    <col min="199" max="199" width="24" style="1" bestFit="1" customWidth="1"/>
    <col min="200" max="200" width="44.125" style="1" bestFit="1" customWidth="1"/>
    <col min="201" max="201" width="37.125" style="1" bestFit="1" customWidth="1"/>
    <col min="202" max="202" width="80.75" style="1" bestFit="1" customWidth="1"/>
    <col min="203" max="203" width="37.125" style="1" bestFit="1" customWidth="1"/>
    <col min="204" max="204" width="22.75" style="1" bestFit="1" customWidth="1"/>
    <col min="205" max="205" width="33" style="1" bestFit="1" customWidth="1"/>
    <col min="206" max="206" width="28.75" style="1" bestFit="1" customWidth="1"/>
    <col min="207" max="207" width="58.125" style="1" bestFit="1" customWidth="1"/>
    <col min="208" max="208" width="26" style="1" bestFit="1" customWidth="1"/>
    <col min="209" max="209" width="24.125" style="1" bestFit="1" customWidth="1"/>
    <col min="210" max="210" width="35.125" style="1" bestFit="1" customWidth="1"/>
    <col min="211" max="211" width="30.125" style="1" bestFit="1" customWidth="1"/>
    <col min="212" max="212" width="31.125" style="1" bestFit="1" customWidth="1"/>
    <col min="213" max="213" width="38" style="1" bestFit="1" customWidth="1"/>
    <col min="214" max="214" width="40.125" style="1" bestFit="1" customWidth="1"/>
    <col min="215" max="215" width="43.125" style="1" bestFit="1" customWidth="1"/>
    <col min="216" max="216" width="48.75" style="1" bestFit="1" customWidth="1"/>
    <col min="217" max="217" width="39.125" style="1" bestFit="1" customWidth="1"/>
    <col min="218" max="218" width="26.75" style="1" bestFit="1" customWidth="1"/>
    <col min="219" max="219" width="47" style="1" bestFit="1" customWidth="1"/>
    <col min="220" max="220" width="40" style="1" bestFit="1" customWidth="1"/>
    <col min="221" max="221" width="83.75" style="1" bestFit="1" customWidth="1"/>
    <col min="222" max="222" width="21.125" style="1" bestFit="1" customWidth="1"/>
    <col min="223" max="223" width="31.125" style="1" bestFit="1" customWidth="1"/>
    <col min="224" max="224" width="27.125" style="1" bestFit="1" customWidth="1"/>
    <col min="225" max="225" width="56.75" style="1" bestFit="1" customWidth="1"/>
    <col min="226" max="226" width="24.125" style="1" bestFit="1" customWidth="1"/>
    <col min="227" max="227" width="22.75" style="1" bestFit="1" customWidth="1"/>
    <col min="228" max="228" width="33.75" style="1" bestFit="1" customWidth="1"/>
    <col min="229" max="229" width="29" style="1" bestFit="1" customWidth="1"/>
    <col min="230" max="230" width="29.75" style="1" bestFit="1" customWidth="1"/>
    <col min="231" max="231" width="36.125" style="1" bestFit="1" customWidth="1"/>
    <col min="232" max="232" width="38.75" style="1" bestFit="1" customWidth="1"/>
    <col min="233" max="233" width="42" style="1" bestFit="1" customWidth="1"/>
    <col min="234" max="234" width="47.125" style="1" bestFit="1" customWidth="1"/>
    <col min="235" max="235" width="37.75" style="1" bestFit="1" customWidth="1"/>
    <col min="236" max="236" width="25.125" style="1" bestFit="1" customWidth="1"/>
    <col min="237" max="237" width="45.125" style="1" bestFit="1" customWidth="1"/>
    <col min="238" max="238" width="38.125" style="1" bestFit="1" customWidth="1"/>
    <col min="239" max="239" width="82.125" style="1" bestFit="1" customWidth="1"/>
    <col min="240" max="240" width="22" style="1" bestFit="1" customWidth="1"/>
    <col min="241" max="241" width="32.125" style="1" bestFit="1" customWidth="1"/>
    <col min="242" max="242" width="28" style="1" bestFit="1" customWidth="1"/>
    <col min="243" max="243" width="57.125" style="1" bestFit="1" customWidth="1"/>
    <col min="244" max="244" width="25.125" style="1" bestFit="1" customWidth="1"/>
    <col min="245" max="245" width="23.125" style="1" bestFit="1" customWidth="1"/>
    <col min="246" max="246" width="34.125" style="1" bestFit="1" customWidth="1"/>
    <col min="247" max="247" width="29.125" style="1" bestFit="1" customWidth="1"/>
    <col min="248" max="248" width="30.125" style="1" bestFit="1" customWidth="1"/>
    <col min="249" max="249" width="37.125" style="1" bestFit="1" customWidth="1"/>
    <col min="250" max="250" width="39.125" style="1" bestFit="1" customWidth="1"/>
    <col min="251" max="251" width="42.125" style="1" bestFit="1" customWidth="1"/>
    <col min="252" max="252" width="48" style="1" bestFit="1" customWidth="1"/>
    <col min="253" max="253" width="38.125" style="1" bestFit="1" customWidth="1"/>
    <col min="254" max="254" width="25.75" style="1" bestFit="1" customWidth="1"/>
    <col min="255" max="255" width="46" style="1" bestFit="1" customWidth="1"/>
    <col min="256" max="256" width="39.125" style="1" bestFit="1" customWidth="1"/>
    <col min="257" max="257" width="82.75" style="1" bestFit="1" customWidth="1"/>
    <col min="258" max="258" width="20" style="1" bestFit="1" customWidth="1"/>
    <col min="259" max="259" width="30.125" style="1" bestFit="1" customWidth="1"/>
    <col min="260" max="260" width="26" style="1" bestFit="1" customWidth="1"/>
    <col min="261" max="261" width="55.125" style="1" bestFit="1" customWidth="1"/>
    <col min="262" max="262" width="23.125" style="1" bestFit="1" customWidth="1"/>
    <col min="263" max="263" width="21.125" style="1" bestFit="1" customWidth="1"/>
    <col min="264" max="264" width="32.125" style="1" bestFit="1" customWidth="1"/>
    <col min="265" max="265" width="27.75" style="1" bestFit="1" customWidth="1"/>
    <col min="266" max="266" width="28.125" style="1" bestFit="1" customWidth="1"/>
    <col min="267" max="267" width="35.125" style="1" bestFit="1" customWidth="1"/>
    <col min="268" max="268" width="37.125" style="1" bestFit="1" customWidth="1"/>
    <col min="269" max="269" width="40.125" style="1" bestFit="1" customWidth="1"/>
    <col min="270" max="270" width="46" style="1" bestFit="1" customWidth="1"/>
    <col min="271" max="271" width="36.125" style="1" bestFit="1" customWidth="1"/>
    <col min="272" max="272" width="24" style="1" bestFit="1" customWidth="1"/>
    <col min="273" max="273" width="44.125" style="1" bestFit="1" customWidth="1"/>
    <col min="274" max="274" width="37.125" style="1" bestFit="1" customWidth="1"/>
    <col min="275" max="275" width="80.75" style="1" bestFit="1" customWidth="1"/>
    <col min="276" max="276" width="37.125" style="1" bestFit="1" customWidth="1"/>
    <col min="277" max="277" width="22.75" style="1" bestFit="1" customWidth="1"/>
    <col min="278" max="278" width="33" style="1" bestFit="1" customWidth="1"/>
    <col min="279" max="279" width="28.75" style="1" bestFit="1" customWidth="1"/>
    <col min="280" max="280" width="58.125" style="1" bestFit="1" customWidth="1"/>
    <col min="281" max="281" width="26" style="1" bestFit="1" customWidth="1"/>
    <col min="282" max="282" width="24.125" style="1" bestFit="1" customWidth="1"/>
    <col min="283" max="283" width="35.125" style="1" bestFit="1" customWidth="1"/>
    <col min="284" max="284" width="30.125" style="1" bestFit="1" customWidth="1"/>
    <col min="285" max="285" width="31.125" style="1" bestFit="1" customWidth="1"/>
    <col min="286" max="286" width="38" style="1" bestFit="1" customWidth="1"/>
    <col min="287" max="287" width="40.125" style="1" bestFit="1" customWidth="1"/>
    <col min="288" max="288" width="43.125" style="1" bestFit="1" customWidth="1"/>
    <col min="289" max="289" width="48.75" style="1" bestFit="1" customWidth="1"/>
    <col min="290" max="290" width="39.125" style="1" bestFit="1" customWidth="1"/>
    <col min="291" max="291" width="26.75" style="1" bestFit="1" customWidth="1"/>
    <col min="292" max="292" width="47" style="1" bestFit="1" customWidth="1"/>
    <col min="293" max="293" width="40" style="1" bestFit="1" customWidth="1"/>
    <col min="294" max="294" width="83.75" style="1" bestFit="1" customWidth="1"/>
    <col min="295" max="295" width="21.125" style="1" bestFit="1" customWidth="1"/>
    <col min="296" max="296" width="31.125" style="1" bestFit="1" customWidth="1"/>
    <col min="297" max="297" width="27.125" style="1" bestFit="1" customWidth="1"/>
    <col min="298" max="298" width="56.75" style="1" bestFit="1" customWidth="1"/>
    <col min="299" max="299" width="24.125" style="1" bestFit="1" customWidth="1"/>
    <col min="300" max="300" width="22.75" style="1" bestFit="1" customWidth="1"/>
    <col min="301" max="301" width="33.75" style="1" bestFit="1" customWidth="1"/>
    <col min="302" max="302" width="29" style="1" bestFit="1" customWidth="1"/>
    <col min="303" max="303" width="29.75" style="1" bestFit="1" customWidth="1"/>
    <col min="304" max="304" width="36.125" style="1" bestFit="1" customWidth="1"/>
    <col min="305" max="305" width="38.75" style="1" bestFit="1" customWidth="1"/>
    <col min="306" max="306" width="42" style="1" bestFit="1" customWidth="1"/>
    <col min="307" max="307" width="47.125" style="1" bestFit="1" customWidth="1"/>
    <col min="308" max="308" width="37.75" style="1" bestFit="1" customWidth="1"/>
    <col min="309" max="309" width="25.125" style="1" bestFit="1" customWidth="1"/>
    <col min="310" max="310" width="45.125" style="1" bestFit="1" customWidth="1"/>
    <col min="311" max="311" width="38.125" style="1" bestFit="1" customWidth="1"/>
    <col min="312" max="312" width="82.125" style="1" bestFit="1" customWidth="1"/>
    <col min="313" max="313" width="22" style="1" bestFit="1" customWidth="1"/>
    <col min="314" max="314" width="32.125" style="1" bestFit="1" customWidth="1"/>
    <col min="315" max="315" width="28" style="1" bestFit="1" customWidth="1"/>
    <col min="316" max="316" width="57.125" style="1" bestFit="1" customWidth="1"/>
    <col min="317" max="317" width="25.125" style="1" bestFit="1" customWidth="1"/>
    <col min="318" max="318" width="23.125" style="1" bestFit="1" customWidth="1"/>
    <col min="319" max="319" width="34.125" style="1" bestFit="1" customWidth="1"/>
    <col min="320" max="320" width="29.125" style="1" bestFit="1" customWidth="1"/>
    <col min="321" max="321" width="30.125" style="1" bestFit="1" customWidth="1"/>
    <col min="322" max="322" width="37.125" style="1" bestFit="1" customWidth="1"/>
    <col min="323" max="323" width="39.125" style="1" bestFit="1" customWidth="1"/>
    <col min="324" max="324" width="42.125" style="1" bestFit="1" customWidth="1"/>
    <col min="325" max="325" width="48" style="1" bestFit="1" customWidth="1"/>
    <col min="326" max="326" width="38.125" style="1" bestFit="1" customWidth="1"/>
    <col min="327" max="327" width="25.75" style="1" bestFit="1" customWidth="1"/>
    <col min="328" max="328" width="46" style="1" bestFit="1" customWidth="1"/>
    <col min="329" max="329" width="39.125" style="1" bestFit="1" customWidth="1"/>
    <col min="330" max="330" width="82.75" style="1" bestFit="1" customWidth="1"/>
    <col min="331" max="331" width="20" style="1" bestFit="1" customWidth="1"/>
    <col min="332" max="332" width="30.125" style="1" bestFit="1" customWidth="1"/>
    <col min="333" max="333" width="26" style="1" bestFit="1" customWidth="1"/>
    <col min="334" max="334" width="55.125" style="1" bestFit="1" customWidth="1"/>
    <col min="335" max="335" width="23.125" style="1" bestFit="1" customWidth="1"/>
    <col min="336" max="336" width="21.125" style="1" bestFit="1" customWidth="1"/>
    <col min="337" max="337" width="32.125" style="1" bestFit="1" customWidth="1"/>
    <col min="338" max="338" width="27.75" style="1" bestFit="1" customWidth="1"/>
    <col min="339" max="339" width="28.125" style="1" bestFit="1" customWidth="1"/>
    <col min="340" max="340" width="35.125" style="1" bestFit="1" customWidth="1"/>
    <col min="341" max="341" width="37.125" style="1" bestFit="1" customWidth="1"/>
    <col min="342" max="342" width="40.125" style="1" bestFit="1" customWidth="1"/>
    <col min="343" max="343" width="46" style="1" bestFit="1" customWidth="1"/>
    <col min="344" max="344" width="36.125" style="1" bestFit="1" customWidth="1"/>
    <col min="345" max="345" width="24" style="1" bestFit="1" customWidth="1"/>
    <col min="346" max="346" width="44.125" style="1" bestFit="1" customWidth="1"/>
    <col min="347" max="347" width="37.125" style="1" bestFit="1" customWidth="1"/>
    <col min="348" max="348" width="80.75" style="1" bestFit="1" customWidth="1"/>
    <col min="349" max="349" width="37.125" style="1" bestFit="1" customWidth="1"/>
    <col min="350" max="16384" width="11.125" style="1"/>
  </cols>
  <sheetData>
    <row r="1" spans="1:57" ht="30" customHeight="1" thickTop="1">
      <c r="A1" s="266"/>
      <c r="B1" s="267"/>
      <c r="C1" s="272" t="s">
        <v>31</v>
      </c>
      <c r="D1" s="273"/>
      <c r="E1" s="273"/>
      <c r="F1" s="273"/>
      <c r="G1" s="273"/>
      <c r="H1" s="273"/>
      <c r="I1" s="273"/>
      <c r="J1" s="273"/>
      <c r="K1" s="273"/>
      <c r="L1" s="273"/>
      <c r="M1" s="273"/>
      <c r="N1" s="273"/>
      <c r="O1" s="273"/>
      <c r="P1" s="273"/>
      <c r="Q1" s="273"/>
      <c r="R1" s="273"/>
      <c r="S1" s="273"/>
      <c r="T1" s="273"/>
      <c r="U1" s="273"/>
      <c r="V1" s="273"/>
      <c r="W1" s="273"/>
      <c r="X1" s="273"/>
      <c r="Y1" s="273"/>
      <c r="Z1" s="273"/>
      <c r="AA1" s="273"/>
      <c r="AB1" s="273"/>
      <c r="AC1" s="273"/>
      <c r="AD1" s="273"/>
      <c r="AE1" s="273"/>
      <c r="AF1" s="273"/>
      <c r="AG1" s="273"/>
      <c r="AH1" s="273"/>
      <c r="AI1" s="273"/>
      <c r="AJ1" s="273"/>
      <c r="AK1" s="273"/>
      <c r="AL1" s="273"/>
      <c r="AM1" s="273"/>
      <c r="AN1" s="273"/>
      <c r="AO1" s="273"/>
      <c r="AP1" s="273"/>
      <c r="AQ1" s="273"/>
      <c r="AR1" s="273"/>
      <c r="AS1" s="273"/>
      <c r="AT1" s="273"/>
      <c r="AU1" s="273"/>
      <c r="AV1" s="273"/>
      <c r="AW1" s="273"/>
      <c r="AX1" s="273"/>
      <c r="AY1" s="273"/>
      <c r="AZ1" s="273"/>
      <c r="BA1" s="273"/>
      <c r="BB1" s="274"/>
      <c r="BC1" s="281" t="s">
        <v>32</v>
      </c>
      <c r="BD1" s="282"/>
      <c r="BE1" s="283"/>
    </row>
    <row r="2" spans="1:57" ht="30" customHeight="1">
      <c r="A2" s="268"/>
      <c r="B2" s="269"/>
      <c r="C2" s="275"/>
      <c r="D2" s="276"/>
      <c r="E2" s="276"/>
      <c r="F2" s="276"/>
      <c r="G2" s="276"/>
      <c r="H2" s="276"/>
      <c r="I2" s="276"/>
      <c r="J2" s="276"/>
      <c r="K2" s="276"/>
      <c r="L2" s="276"/>
      <c r="M2" s="276"/>
      <c r="N2" s="276"/>
      <c r="O2" s="276"/>
      <c r="P2" s="276"/>
      <c r="Q2" s="276"/>
      <c r="R2" s="276"/>
      <c r="S2" s="276"/>
      <c r="T2" s="276"/>
      <c r="U2" s="276"/>
      <c r="V2" s="276"/>
      <c r="W2" s="276"/>
      <c r="X2" s="276"/>
      <c r="Y2" s="276"/>
      <c r="Z2" s="276"/>
      <c r="AA2" s="276"/>
      <c r="AB2" s="276"/>
      <c r="AC2" s="276"/>
      <c r="AD2" s="276"/>
      <c r="AE2" s="276"/>
      <c r="AF2" s="276"/>
      <c r="AG2" s="276"/>
      <c r="AH2" s="276"/>
      <c r="AI2" s="276"/>
      <c r="AJ2" s="276"/>
      <c r="AK2" s="276"/>
      <c r="AL2" s="276"/>
      <c r="AM2" s="276"/>
      <c r="AN2" s="276"/>
      <c r="AO2" s="276"/>
      <c r="AP2" s="276"/>
      <c r="AQ2" s="276"/>
      <c r="AR2" s="276"/>
      <c r="AS2" s="276"/>
      <c r="AT2" s="276"/>
      <c r="AU2" s="276"/>
      <c r="AV2" s="276"/>
      <c r="AW2" s="276"/>
      <c r="AX2" s="276"/>
      <c r="AY2" s="276"/>
      <c r="AZ2" s="276"/>
      <c r="BA2" s="276"/>
      <c r="BB2" s="277"/>
      <c r="BC2" s="293" t="s">
        <v>274</v>
      </c>
      <c r="BD2" s="294"/>
      <c r="BE2" s="295"/>
    </row>
    <row r="3" spans="1:57" ht="30" customHeight="1">
      <c r="A3" s="268"/>
      <c r="B3" s="269"/>
      <c r="C3" s="275"/>
      <c r="D3" s="276"/>
      <c r="E3" s="276"/>
      <c r="F3" s="276"/>
      <c r="G3" s="276"/>
      <c r="H3" s="276"/>
      <c r="I3" s="276"/>
      <c r="J3" s="276"/>
      <c r="K3" s="276"/>
      <c r="L3" s="276"/>
      <c r="M3" s="276"/>
      <c r="N3" s="276"/>
      <c r="O3" s="276"/>
      <c r="P3" s="276"/>
      <c r="Q3" s="276"/>
      <c r="R3" s="276"/>
      <c r="S3" s="276"/>
      <c r="T3" s="276"/>
      <c r="U3" s="276"/>
      <c r="V3" s="276"/>
      <c r="W3" s="276"/>
      <c r="X3" s="276"/>
      <c r="Y3" s="276"/>
      <c r="Z3" s="276"/>
      <c r="AA3" s="276"/>
      <c r="AB3" s="276"/>
      <c r="AC3" s="276"/>
      <c r="AD3" s="276"/>
      <c r="AE3" s="276"/>
      <c r="AF3" s="276"/>
      <c r="AG3" s="276"/>
      <c r="AH3" s="276"/>
      <c r="AI3" s="276"/>
      <c r="AJ3" s="276"/>
      <c r="AK3" s="276"/>
      <c r="AL3" s="276"/>
      <c r="AM3" s="276"/>
      <c r="AN3" s="276"/>
      <c r="AO3" s="276"/>
      <c r="AP3" s="276"/>
      <c r="AQ3" s="276"/>
      <c r="AR3" s="276"/>
      <c r="AS3" s="276"/>
      <c r="AT3" s="276"/>
      <c r="AU3" s="276"/>
      <c r="AV3" s="276"/>
      <c r="AW3" s="276"/>
      <c r="AX3" s="276"/>
      <c r="AY3" s="276"/>
      <c r="AZ3" s="276"/>
      <c r="BA3" s="276"/>
      <c r="BB3" s="277"/>
      <c r="BC3" s="284" t="s">
        <v>275</v>
      </c>
      <c r="BD3" s="285"/>
      <c r="BE3" s="286"/>
    </row>
    <row r="4" spans="1:57" ht="30" customHeight="1" thickBot="1">
      <c r="A4" s="270"/>
      <c r="B4" s="271"/>
      <c r="C4" s="278"/>
      <c r="D4" s="279"/>
      <c r="E4" s="279"/>
      <c r="F4" s="279"/>
      <c r="G4" s="279"/>
      <c r="H4" s="279"/>
      <c r="I4" s="279"/>
      <c r="J4" s="279"/>
      <c r="K4" s="279"/>
      <c r="L4" s="279"/>
      <c r="M4" s="279"/>
      <c r="N4" s="279"/>
      <c r="O4" s="279"/>
      <c r="P4" s="279"/>
      <c r="Q4" s="279"/>
      <c r="R4" s="279"/>
      <c r="S4" s="279"/>
      <c r="T4" s="279"/>
      <c r="U4" s="279"/>
      <c r="V4" s="279"/>
      <c r="W4" s="279"/>
      <c r="X4" s="279"/>
      <c r="Y4" s="279"/>
      <c r="Z4" s="279"/>
      <c r="AA4" s="279"/>
      <c r="AB4" s="279"/>
      <c r="AC4" s="279"/>
      <c r="AD4" s="279"/>
      <c r="AE4" s="279"/>
      <c r="AF4" s="279"/>
      <c r="AG4" s="279"/>
      <c r="AH4" s="279"/>
      <c r="AI4" s="279"/>
      <c r="AJ4" s="279"/>
      <c r="AK4" s="279"/>
      <c r="AL4" s="279"/>
      <c r="AM4" s="279"/>
      <c r="AN4" s="279"/>
      <c r="AO4" s="279"/>
      <c r="AP4" s="279"/>
      <c r="AQ4" s="279"/>
      <c r="AR4" s="279"/>
      <c r="AS4" s="279"/>
      <c r="AT4" s="279"/>
      <c r="AU4" s="279"/>
      <c r="AV4" s="279"/>
      <c r="AW4" s="279"/>
      <c r="AX4" s="279"/>
      <c r="AY4" s="279"/>
      <c r="AZ4" s="279"/>
      <c r="BA4" s="279"/>
      <c r="BB4" s="280"/>
      <c r="BC4" s="287" t="s">
        <v>277</v>
      </c>
      <c r="BD4" s="288"/>
      <c r="BE4" s="289"/>
    </row>
    <row r="5" spans="1:57" ht="23.25" customHeight="1" thickTop="1">
      <c r="Q5" s="4"/>
      <c r="BE5" s="11"/>
    </row>
    <row r="6" spans="1:57" ht="28.5" customHeight="1" thickBot="1">
      <c r="B6" s="3" t="s">
        <v>28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31"/>
      <c r="AY6" s="31"/>
      <c r="AZ6" s="31"/>
      <c r="BA6" s="6"/>
      <c r="BB6" s="6"/>
      <c r="BC6" s="12"/>
      <c r="BD6" s="12"/>
      <c r="BE6" s="13"/>
    </row>
    <row r="7" spans="1:57" ht="37.35" customHeight="1" thickBot="1">
      <c r="A7" s="1"/>
      <c r="B7" s="8">
        <v>2025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31"/>
      <c r="AY7" s="31"/>
      <c r="AZ7" s="31"/>
      <c r="BA7" s="6"/>
      <c r="BB7" s="6"/>
      <c r="BC7" s="12"/>
      <c r="BD7" s="12"/>
      <c r="BE7" s="13"/>
    </row>
    <row r="8" spans="1:57" ht="8.85" customHeight="1" thickBot="1">
      <c r="A8" s="1"/>
      <c r="B8" s="1"/>
      <c r="C8" s="7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31"/>
      <c r="AY8" s="31"/>
      <c r="AZ8" s="31"/>
      <c r="BA8" s="6"/>
      <c r="BB8" s="6"/>
      <c r="BC8" s="12"/>
      <c r="BD8" s="12"/>
      <c r="BE8" s="13"/>
    </row>
    <row r="9" spans="1:57" s="2" customFormat="1" ht="38.1" customHeight="1" thickBot="1">
      <c r="A9" s="258" t="s">
        <v>27</v>
      </c>
      <c r="B9" s="258"/>
      <c r="C9" s="258"/>
      <c r="D9" s="258"/>
      <c r="E9" s="258"/>
      <c r="F9" s="258"/>
      <c r="G9" s="258"/>
      <c r="H9" s="258"/>
      <c r="I9" s="258"/>
      <c r="J9" s="258"/>
      <c r="K9" s="258"/>
      <c r="L9" s="258"/>
      <c r="M9" s="258"/>
      <c r="N9" s="258"/>
      <c r="O9" s="259" t="s">
        <v>26</v>
      </c>
      <c r="P9" s="260"/>
      <c r="Q9" s="261"/>
      <c r="R9" s="262" t="s">
        <v>24</v>
      </c>
      <c r="S9" s="263"/>
      <c r="T9" s="263"/>
      <c r="U9" s="263"/>
      <c r="V9" s="263"/>
      <c r="W9" s="263"/>
      <c r="X9" s="263"/>
      <c r="Y9" s="263"/>
      <c r="Z9" s="263"/>
      <c r="AA9" s="263"/>
      <c r="AB9" s="263"/>
      <c r="AC9" s="263"/>
      <c r="AD9" s="263"/>
      <c r="AE9" s="264"/>
      <c r="AF9" s="265"/>
      <c r="AG9" s="259" t="s">
        <v>23</v>
      </c>
      <c r="AH9" s="260"/>
      <c r="AI9" s="260"/>
      <c r="AJ9" s="260"/>
      <c r="AK9" s="260"/>
      <c r="AL9" s="260"/>
      <c r="AM9" s="260"/>
      <c r="AN9" s="260"/>
      <c r="AO9" s="260"/>
      <c r="AP9" s="260"/>
      <c r="AQ9" s="260"/>
      <c r="AR9" s="260"/>
      <c r="AS9" s="260"/>
      <c r="AT9" s="260"/>
      <c r="AU9" s="260"/>
      <c r="AV9" s="260"/>
      <c r="AW9" s="261"/>
      <c r="AX9" s="290" t="s">
        <v>42</v>
      </c>
      <c r="AY9" s="291"/>
      <c r="AZ9" s="292"/>
      <c r="BA9" s="260" t="s">
        <v>44</v>
      </c>
      <c r="BB9" s="260"/>
      <c r="BC9" s="256" t="s">
        <v>22</v>
      </c>
      <c r="BD9" s="257"/>
      <c r="BE9" s="14"/>
    </row>
    <row r="10" spans="1:57" s="2" customFormat="1" ht="57" customHeight="1">
      <c r="A10" s="39" t="s">
        <v>20</v>
      </c>
      <c r="B10" s="39" t="s">
        <v>19</v>
      </c>
      <c r="C10" s="39" t="s">
        <v>18</v>
      </c>
      <c r="D10" s="39" t="s">
        <v>17</v>
      </c>
      <c r="E10" s="39" t="s">
        <v>16</v>
      </c>
      <c r="F10" s="39" t="s">
        <v>15</v>
      </c>
      <c r="G10" s="39" t="s">
        <v>14</v>
      </c>
      <c r="H10" s="39" t="s">
        <v>13</v>
      </c>
      <c r="I10" s="39" t="s">
        <v>12</v>
      </c>
      <c r="J10" s="39" t="s">
        <v>30</v>
      </c>
      <c r="K10" s="39" t="s">
        <v>29</v>
      </c>
      <c r="L10" s="39" t="s">
        <v>11</v>
      </c>
      <c r="M10" s="39" t="s">
        <v>33</v>
      </c>
      <c r="N10" s="39" t="s">
        <v>10</v>
      </c>
      <c r="O10" s="39" t="s">
        <v>37</v>
      </c>
      <c r="P10" s="39" t="s">
        <v>9</v>
      </c>
      <c r="Q10" s="39" t="s">
        <v>60</v>
      </c>
      <c r="R10" s="39" t="s">
        <v>45</v>
      </c>
      <c r="S10" s="39" t="s">
        <v>46</v>
      </c>
      <c r="T10" s="39" t="s">
        <v>47</v>
      </c>
      <c r="U10" s="39" t="s">
        <v>48</v>
      </c>
      <c r="V10" s="39" t="s">
        <v>49</v>
      </c>
      <c r="W10" s="39" t="s">
        <v>50</v>
      </c>
      <c r="X10" s="39" t="s">
        <v>51</v>
      </c>
      <c r="Y10" s="39" t="s">
        <v>52</v>
      </c>
      <c r="Z10" s="39" t="s">
        <v>53</v>
      </c>
      <c r="AA10" s="39" t="s">
        <v>54</v>
      </c>
      <c r="AB10" s="39" t="s">
        <v>55</v>
      </c>
      <c r="AC10" s="39" t="s">
        <v>56</v>
      </c>
      <c r="AD10" s="39" t="s">
        <v>57</v>
      </c>
      <c r="AE10" s="39" t="s">
        <v>61</v>
      </c>
      <c r="AF10" s="39" t="s">
        <v>316</v>
      </c>
      <c r="AG10" s="39" t="s">
        <v>58</v>
      </c>
      <c r="AH10" s="39" t="s">
        <v>59</v>
      </c>
      <c r="AI10" s="39" t="s">
        <v>346</v>
      </c>
      <c r="AJ10" s="39" t="s">
        <v>347</v>
      </c>
      <c r="AK10" s="39" t="s">
        <v>348</v>
      </c>
      <c r="AL10" s="39" t="s">
        <v>349</v>
      </c>
      <c r="AM10" s="39" t="s">
        <v>350</v>
      </c>
      <c r="AN10" s="39" t="s">
        <v>351</v>
      </c>
      <c r="AO10" s="39" t="s">
        <v>352</v>
      </c>
      <c r="AP10" s="39" t="s">
        <v>353</v>
      </c>
      <c r="AQ10" s="39" t="s">
        <v>354</v>
      </c>
      <c r="AR10" s="39" t="s">
        <v>355</v>
      </c>
      <c r="AS10" s="39" t="s">
        <v>356</v>
      </c>
      <c r="AT10" s="39" t="s">
        <v>62</v>
      </c>
      <c r="AU10" s="39" t="s">
        <v>308</v>
      </c>
      <c r="AV10" s="39" t="s">
        <v>35</v>
      </c>
      <c r="AW10" s="39" t="s">
        <v>36</v>
      </c>
      <c r="AX10" s="40" t="s">
        <v>41</v>
      </c>
      <c r="AY10" s="40" t="s">
        <v>39</v>
      </c>
      <c r="AZ10" s="40" t="s">
        <v>38</v>
      </c>
      <c r="BA10" s="43" t="s">
        <v>43</v>
      </c>
      <c r="BB10" s="21" t="s">
        <v>40</v>
      </c>
      <c r="BC10" s="39" t="s">
        <v>1</v>
      </c>
      <c r="BD10" s="39" t="s">
        <v>0</v>
      </c>
      <c r="BE10" s="41" t="s">
        <v>21</v>
      </c>
    </row>
    <row r="11" spans="1:57" s="9" customFormat="1" ht="54">
      <c r="A11" s="62">
        <v>11</v>
      </c>
      <c r="B11" s="62" t="s">
        <v>63</v>
      </c>
      <c r="C11" s="62" t="s">
        <v>64</v>
      </c>
      <c r="D11" s="62" t="s">
        <v>65</v>
      </c>
      <c r="E11" s="62" t="s">
        <v>66</v>
      </c>
      <c r="F11" s="62" t="s">
        <v>67</v>
      </c>
      <c r="G11" s="62" t="s">
        <v>68</v>
      </c>
      <c r="H11" s="62">
        <v>210206900</v>
      </c>
      <c r="I11" s="62" t="s">
        <v>69</v>
      </c>
      <c r="J11" s="63">
        <v>51229</v>
      </c>
      <c r="K11" s="62" t="s">
        <v>70</v>
      </c>
      <c r="L11" s="22" t="str">
        <f>+'[3]Plan Indicativo'!AC18</f>
        <v>No Acumulativa</v>
      </c>
      <c r="M11" s="76">
        <f>+'[3]Plan Indicativo'!T18</f>
        <v>51229</v>
      </c>
      <c r="N11" s="36">
        <f>+'[3]Plan Indicativo'!W18</f>
        <v>51229</v>
      </c>
      <c r="O11" s="38">
        <v>51131</v>
      </c>
      <c r="P11" s="42">
        <f>IF(N11=0," -",IF(Q11&gt;100%,100%,Q11))</f>
        <v>0.99808702102324853</v>
      </c>
      <c r="Q11" s="44">
        <f>+Tabla1[[#This Row],[Logro Vigencia]]/Tabla1[[#This Row],[Meta Programada Vigencia]]</f>
        <v>0.99808702102324853</v>
      </c>
      <c r="R11" s="113">
        <v>70591423403</v>
      </c>
      <c r="S11" s="114"/>
      <c r="T11" s="114"/>
      <c r="U11" s="114"/>
      <c r="V11" s="114"/>
      <c r="W11" s="114">
        <v>0</v>
      </c>
      <c r="X11" s="114"/>
      <c r="Y11" s="114"/>
      <c r="Z11" s="114">
        <v>0</v>
      </c>
      <c r="AA11" s="114">
        <v>0</v>
      </c>
      <c r="AB11" s="114"/>
      <c r="AC11" s="114"/>
      <c r="AD11" s="114">
        <v>11585000000</v>
      </c>
      <c r="AE11" s="114">
        <v>0</v>
      </c>
      <c r="AF11" s="50">
        <f>SUM(Tabla1[[#This Row],[Recursos propios]:[Recursos del Balance]])</f>
        <v>82176423403</v>
      </c>
      <c r="AG11" s="170">
        <v>54383141063.510002</v>
      </c>
      <c r="AH11" s="114"/>
      <c r="AI11" s="114"/>
      <c r="AJ11" s="114"/>
      <c r="AK11" s="114"/>
      <c r="AL11" s="114">
        <v>0</v>
      </c>
      <c r="AM11" s="114"/>
      <c r="AN11" s="114"/>
      <c r="AO11" s="114">
        <v>0</v>
      </c>
      <c r="AP11" s="114">
        <v>0</v>
      </c>
      <c r="AQ11" s="114"/>
      <c r="AR11" s="114"/>
      <c r="AS11" s="177"/>
      <c r="AT11" s="114">
        <v>0</v>
      </c>
      <c r="AU11" s="29">
        <f>SUM(Tabla1[[#This Row],[Recursos propios2]:[Recursos del Balance2]])</f>
        <v>54383141063.510002</v>
      </c>
      <c r="AV11" s="254">
        <v>28861247034.860001</v>
      </c>
      <c r="AW11" s="255">
        <v>24772313210</v>
      </c>
      <c r="AX11" s="19">
        <f>+Tabla1[[#This Row],[Total Recursos Comprometido 2025]]/Tabla1[[#This Row],[Total 2025]]</f>
        <v>0.66178520324266932</v>
      </c>
      <c r="AY11" s="16">
        <f>+Tabla1[[#This Row],[Total Recursos Obligados]]/Tabla1[[#This Row],[Total 2025]]</f>
        <v>0.35121079550179557</v>
      </c>
      <c r="AZ11" s="20">
        <f>+Tabla1[[#This Row],[Total Recursos Pagados]]/Tabla1[[#This Row],[Total 2025]]</f>
        <v>0.30145280342166414</v>
      </c>
      <c r="BA11" s="64">
        <v>0</v>
      </c>
      <c r="BB11" s="54" t="e">
        <f>+[4]!Tabla1[[#This Row],[Total Recursos Gestionados2]]/[4]!Tabla1[[#This Row],[Total Recursos Comprometido 2024]]</f>
        <v>#REF!</v>
      </c>
      <c r="BC11" s="35" t="s">
        <v>269</v>
      </c>
      <c r="BD11" s="36" t="s">
        <v>270</v>
      </c>
      <c r="BE11" s="37">
        <v>11.16</v>
      </c>
    </row>
    <row r="12" spans="1:57" s="10" customFormat="1" ht="42.75">
      <c r="A12" s="60">
        <v>12</v>
      </c>
      <c r="B12" s="60" t="s">
        <v>63</v>
      </c>
      <c r="C12" s="60" t="s">
        <v>64</v>
      </c>
      <c r="D12" s="60" t="s">
        <v>65</v>
      </c>
      <c r="E12" s="60" t="s">
        <v>66</v>
      </c>
      <c r="F12" s="60" t="s">
        <v>71</v>
      </c>
      <c r="G12" s="60" t="s">
        <v>72</v>
      </c>
      <c r="H12" s="60">
        <v>210200800</v>
      </c>
      <c r="I12" s="60" t="s">
        <v>73</v>
      </c>
      <c r="J12" s="60">
        <v>0</v>
      </c>
      <c r="K12" s="60" t="s">
        <v>70</v>
      </c>
      <c r="L12" s="22" t="str">
        <f>+'[3]Plan Indicativo'!AC19</f>
        <v>Acumulativa</v>
      </c>
      <c r="M12" s="76">
        <f>+'[3]Plan Indicativo'!T19</f>
        <v>2</v>
      </c>
      <c r="N12" s="36">
        <f>+'[3]Plan Indicativo'!W19</f>
        <v>2</v>
      </c>
      <c r="O12" s="33">
        <v>0.25</v>
      </c>
      <c r="P12" s="34">
        <f t="shared" ref="P12:P51" si="0">IF(N12=0," -",IF(Q12&gt;100%,100%,Q12))</f>
        <v>0.125</v>
      </c>
      <c r="Q12" s="45">
        <f>+Tabla1[[#This Row],[Logro Vigencia]]/Tabla1[[#This Row],[Meta Programada Vigencia]]</f>
        <v>0.125</v>
      </c>
      <c r="R12" s="115">
        <v>0</v>
      </c>
      <c r="S12" s="116"/>
      <c r="T12" s="116"/>
      <c r="U12" s="116"/>
      <c r="V12" s="116"/>
      <c r="W12" s="116">
        <v>2500000000</v>
      </c>
      <c r="X12" s="116"/>
      <c r="Y12" s="116"/>
      <c r="Z12" s="116">
        <v>0</v>
      </c>
      <c r="AA12" s="116">
        <v>0</v>
      </c>
      <c r="AB12" s="116"/>
      <c r="AC12" s="116"/>
      <c r="AD12" s="116"/>
      <c r="AE12" s="116">
        <v>0</v>
      </c>
      <c r="AF12" s="51">
        <f>SUM(Tabla1[[#This Row],[Recursos propios]:[Recursos del Balance]])</f>
        <v>2500000000</v>
      </c>
      <c r="AG12" s="115"/>
      <c r="AH12" s="116"/>
      <c r="AI12" s="116"/>
      <c r="AJ12" s="116"/>
      <c r="AK12" s="116"/>
      <c r="AL12" s="116">
        <v>1250000000</v>
      </c>
      <c r="AM12" s="116"/>
      <c r="AN12" s="116"/>
      <c r="AO12" s="116">
        <v>0</v>
      </c>
      <c r="AP12" s="116">
        <v>0</v>
      </c>
      <c r="AQ12" s="116"/>
      <c r="AR12" s="116"/>
      <c r="AS12" s="116"/>
      <c r="AT12" s="116">
        <v>0</v>
      </c>
      <c r="AU12" s="29">
        <f>SUM(Tabla1[[#This Row],[Recursos propios2]:[Recursos del Balance2]])</f>
        <v>1250000000</v>
      </c>
      <c r="AV12" s="129">
        <v>1250000000</v>
      </c>
      <c r="AW12" s="129">
        <v>1250000000</v>
      </c>
      <c r="AX12" s="52">
        <f>+Tabla1[[#This Row],[Total Recursos Comprometido 2025]]/Tabla1[[#This Row],[Total 2025]]</f>
        <v>0.5</v>
      </c>
      <c r="AY12" s="17">
        <f>+Tabla1[[#This Row],[Total Recursos Obligados]]/Tabla1[[#This Row],[Total 2025]]</f>
        <v>0.5</v>
      </c>
      <c r="AZ12" s="53">
        <f>+Tabla1[[#This Row],[Total Recursos Pagados]]/Tabla1[[#This Row],[Total 2025]]</f>
        <v>0.5</v>
      </c>
      <c r="BA12" s="65">
        <v>0</v>
      </c>
      <c r="BB12" s="54" t="e">
        <f>+[4]!Tabla1[[#This Row],[Total Recursos Gestionados2]]/[4]!Tabla1[[#This Row],[Total Recursos Comprometido 2024]]</f>
        <v>#REF!</v>
      </c>
      <c r="BC12" s="35" t="s">
        <v>269</v>
      </c>
      <c r="BD12" s="36" t="s">
        <v>270</v>
      </c>
      <c r="BE12" s="37">
        <v>11.16</v>
      </c>
    </row>
    <row r="13" spans="1:57" s="10" customFormat="1" ht="42.75">
      <c r="A13" s="62">
        <v>13</v>
      </c>
      <c r="B13" s="62" t="s">
        <v>63</v>
      </c>
      <c r="C13" s="62" t="s">
        <v>64</v>
      </c>
      <c r="D13" s="62" t="s">
        <v>74</v>
      </c>
      <c r="E13" s="62" t="s">
        <v>75</v>
      </c>
      <c r="F13" s="62" t="s">
        <v>76</v>
      </c>
      <c r="G13" s="62" t="s">
        <v>77</v>
      </c>
      <c r="H13" s="62">
        <v>210603300</v>
      </c>
      <c r="I13" s="62" t="s">
        <v>273</v>
      </c>
      <c r="J13" s="63">
        <v>0</v>
      </c>
      <c r="K13" s="62" t="s">
        <v>70</v>
      </c>
      <c r="L13" s="22" t="str">
        <f>+'[3]Plan Indicativo'!AC20</f>
        <v>Acumulativa</v>
      </c>
      <c r="M13" s="76">
        <f>+'[3]Plan Indicativo'!T20</f>
        <v>1</v>
      </c>
      <c r="N13" s="36">
        <f>+'[3]Plan Indicativo'!W20</f>
        <v>0.4</v>
      </c>
      <c r="O13" s="38">
        <v>1</v>
      </c>
      <c r="P13" s="34">
        <f t="shared" si="0"/>
        <v>1</v>
      </c>
      <c r="Q13" s="45">
        <f>+Tabla1[[#This Row],[Logro Vigencia]]/Tabla1[[#This Row],[Meta Programada Vigencia]]</f>
        <v>2.5</v>
      </c>
      <c r="R13" s="115">
        <v>950000000</v>
      </c>
      <c r="S13" s="116"/>
      <c r="T13" s="116"/>
      <c r="U13" s="116"/>
      <c r="V13" s="116"/>
      <c r="W13" s="116">
        <v>0</v>
      </c>
      <c r="X13" s="116"/>
      <c r="Y13" s="116"/>
      <c r="Z13" s="116">
        <v>0</v>
      </c>
      <c r="AA13" s="116">
        <v>0</v>
      </c>
      <c r="AB13" s="116"/>
      <c r="AC13" s="116"/>
      <c r="AD13" s="116"/>
      <c r="AE13" s="116">
        <v>0</v>
      </c>
      <c r="AF13" s="51">
        <f>SUM(Tabla1[[#This Row],[Recursos propios]:[Recursos del Balance]])</f>
        <v>950000000</v>
      </c>
      <c r="AG13" s="115">
        <v>595583589</v>
      </c>
      <c r="AH13" s="116"/>
      <c r="AI13" s="116"/>
      <c r="AJ13" s="116"/>
      <c r="AK13" s="116"/>
      <c r="AL13" s="116">
        <v>0</v>
      </c>
      <c r="AM13" s="116"/>
      <c r="AN13" s="116"/>
      <c r="AO13" s="116">
        <v>0</v>
      </c>
      <c r="AP13" s="116">
        <v>0</v>
      </c>
      <c r="AQ13" s="116"/>
      <c r="AR13" s="116"/>
      <c r="AS13" s="116"/>
      <c r="AT13" s="116">
        <v>0</v>
      </c>
      <c r="AU13" s="29">
        <f>SUM(Tabla1[[#This Row],[Recursos propios2]:[Recursos del Balance2]])</f>
        <v>595583589</v>
      </c>
      <c r="AV13" s="114">
        <v>466057026.30000001</v>
      </c>
      <c r="AW13" s="128">
        <v>206851816.09999999</v>
      </c>
      <c r="AX13" s="19">
        <f>+Tabla1[[#This Row],[Total Recursos Comprometido 2025]]/Tabla1[[#This Row],[Total 2025]]</f>
        <v>0.62693009368421049</v>
      </c>
      <c r="AY13" s="16">
        <f>+Tabla1[[#This Row],[Total Recursos Obligados]]/Tabla1[[#This Row],[Total 2025]]</f>
        <v>0.49058634347368424</v>
      </c>
      <c r="AZ13" s="20">
        <f>+Tabla1[[#This Row],[Total Recursos Pagados]]/Tabla1[[#This Row],[Total 2025]]</f>
        <v>0.21773875378947369</v>
      </c>
      <c r="BA13" s="64">
        <v>0</v>
      </c>
      <c r="BB13" s="54" t="e">
        <f>+[4]!Tabla1[[#This Row],[Total Recursos Gestionados2]]/[4]!Tabla1[[#This Row],[Total Recursos Comprometido 2024]]</f>
        <v>#REF!</v>
      </c>
      <c r="BC13" s="35" t="s">
        <v>269</v>
      </c>
      <c r="BD13" s="36" t="s">
        <v>270</v>
      </c>
      <c r="BE13" s="37">
        <v>16</v>
      </c>
    </row>
    <row r="14" spans="1:57" s="10" customFormat="1" ht="36">
      <c r="A14" s="62">
        <v>47</v>
      </c>
      <c r="B14" s="62" t="s">
        <v>78</v>
      </c>
      <c r="C14" s="62" t="s">
        <v>79</v>
      </c>
      <c r="D14" s="62" t="s">
        <v>80</v>
      </c>
      <c r="E14" s="62" t="s">
        <v>81</v>
      </c>
      <c r="F14" s="62" t="s">
        <v>82</v>
      </c>
      <c r="G14" s="62" t="s">
        <v>83</v>
      </c>
      <c r="H14" s="62">
        <v>400202000</v>
      </c>
      <c r="I14" s="62" t="s">
        <v>84</v>
      </c>
      <c r="J14" s="63">
        <v>243740</v>
      </c>
      <c r="K14" s="62" t="s">
        <v>85</v>
      </c>
      <c r="L14" s="23" t="str">
        <f>+'[3]Plan Indicativo'!AC54</f>
        <v>Acumulativa</v>
      </c>
      <c r="M14" s="76">
        <f>+'[3]Plan Indicativo'!T54</f>
        <v>300000</v>
      </c>
      <c r="N14" s="36">
        <f>+'[3]Plan Indicativo'!W54</f>
        <v>40000</v>
      </c>
      <c r="O14" s="169">
        <v>30723.93</v>
      </c>
      <c r="P14" s="34">
        <f t="shared" si="0"/>
        <v>0.76809824999999998</v>
      </c>
      <c r="Q14" s="46">
        <f>+Tabla1[[#This Row],[Logro Vigencia]]/Tabla1[[#This Row],[Meta Programada Vigencia]]</f>
        <v>0.76809824999999998</v>
      </c>
      <c r="R14" s="117">
        <v>27562595369.32</v>
      </c>
      <c r="S14" s="116"/>
      <c r="T14" s="116"/>
      <c r="U14" s="116"/>
      <c r="V14" s="116"/>
      <c r="W14" s="116">
        <v>0</v>
      </c>
      <c r="X14" s="116"/>
      <c r="Y14" s="116"/>
      <c r="Z14" s="116">
        <v>0</v>
      </c>
      <c r="AA14" s="116">
        <v>0</v>
      </c>
      <c r="AB14" s="116"/>
      <c r="AC14" s="116"/>
      <c r="AD14" s="116"/>
      <c r="AE14" s="116">
        <v>0</v>
      </c>
      <c r="AF14" s="51">
        <f>SUM(Tabla1[[#This Row],[Recursos propios]:[Recursos del Balance]])</f>
        <v>27562595369.32</v>
      </c>
      <c r="AG14" s="170">
        <v>21800393975.419998</v>
      </c>
      <c r="AH14" s="116"/>
      <c r="AI14" s="116"/>
      <c r="AJ14" s="116"/>
      <c r="AK14" s="116"/>
      <c r="AL14" s="116">
        <v>0</v>
      </c>
      <c r="AM14" s="116"/>
      <c r="AN14" s="116"/>
      <c r="AO14" s="116">
        <v>0</v>
      </c>
      <c r="AP14" s="116">
        <v>0</v>
      </c>
      <c r="AQ14" s="116"/>
      <c r="AR14" s="116"/>
      <c r="AS14" s="116"/>
      <c r="AT14" s="116">
        <v>0</v>
      </c>
      <c r="AU14" s="29">
        <f>SUM(Tabla1[[#This Row],[Recursos propios2]:[Recursos del Balance2]])</f>
        <v>21800393975.419998</v>
      </c>
      <c r="AV14" s="158">
        <v>13248022649.25</v>
      </c>
      <c r="AW14" s="159">
        <v>13248022649.25</v>
      </c>
      <c r="AX14" s="18">
        <f>+Tabla1[[#This Row],[Total Recursos Comprometido 2025]]/Tabla1[[#This Row],[Total 2025]]</f>
        <v>0.79094126236334317</v>
      </c>
      <c r="AY14" s="27">
        <f>+Tabla1[[#This Row],[Total Recursos Obligados]]/Tabla1[[#This Row],[Total 2025]]</f>
        <v>0.48065221985576911</v>
      </c>
      <c r="AZ14" s="28">
        <f>+Tabla1[[#This Row],[Total Recursos Pagados]]/Tabla1[[#This Row],[Total 2025]]</f>
        <v>0.48065221985576911</v>
      </c>
      <c r="BA14" s="66">
        <v>0</v>
      </c>
      <c r="BB14" s="54" t="e">
        <f>+[4]!Tabla1[[#This Row],[Total Recursos Gestionados2]]/[4]!Tabla1[[#This Row],[Total Recursos Comprometido 2024]]</f>
        <v>#REF!</v>
      </c>
      <c r="BC14" s="35" t="s">
        <v>271</v>
      </c>
      <c r="BD14" s="36" t="s">
        <v>270</v>
      </c>
      <c r="BE14" s="37">
        <v>11.13</v>
      </c>
    </row>
    <row r="15" spans="1:57" s="10" customFormat="1" ht="36">
      <c r="A15" s="60">
        <v>48</v>
      </c>
      <c r="B15" s="60" t="s">
        <v>78</v>
      </c>
      <c r="C15" s="60" t="s">
        <v>79</v>
      </c>
      <c r="D15" s="60" t="s">
        <v>80</v>
      </c>
      <c r="E15" s="60" t="s">
        <v>81</v>
      </c>
      <c r="F15" s="60" t="s">
        <v>86</v>
      </c>
      <c r="G15" s="60" t="s">
        <v>87</v>
      </c>
      <c r="H15" s="60">
        <v>400202100</v>
      </c>
      <c r="I15" s="60" t="s">
        <v>88</v>
      </c>
      <c r="J15" s="60">
        <v>57</v>
      </c>
      <c r="K15" s="60" t="s">
        <v>85</v>
      </c>
      <c r="L15" s="23" t="str">
        <f>+'[3]Plan Indicativo'!AC55</f>
        <v>Acumulativa</v>
      </c>
      <c r="M15" s="76">
        <f>+'[3]Plan Indicativo'!T55</f>
        <v>2</v>
      </c>
      <c r="N15" s="36">
        <f>+'[3]Plan Indicativo'!W55</f>
        <v>0</v>
      </c>
      <c r="O15" s="33">
        <v>0</v>
      </c>
      <c r="P15" s="34" t="str">
        <f t="shared" si="0"/>
        <v xml:space="preserve"> -</v>
      </c>
      <c r="Q15" s="46" t="e">
        <f>+Tabla1[[#This Row],[Logro Vigencia]]/Tabla1[[#This Row],[Meta Programada Vigencia]]</f>
        <v>#DIV/0!</v>
      </c>
      <c r="R15" s="115">
        <v>0</v>
      </c>
      <c r="S15" s="116"/>
      <c r="T15" s="116"/>
      <c r="U15" s="116"/>
      <c r="V15" s="116"/>
      <c r="W15" s="116">
        <v>0</v>
      </c>
      <c r="X15" s="116"/>
      <c r="Y15" s="116"/>
      <c r="Z15" s="116">
        <v>0</v>
      </c>
      <c r="AA15" s="116">
        <v>0</v>
      </c>
      <c r="AB15" s="116"/>
      <c r="AC15" s="116"/>
      <c r="AD15" s="116">
        <v>1990520237.6099999</v>
      </c>
      <c r="AE15" s="116">
        <v>0</v>
      </c>
      <c r="AF15" s="51">
        <f>SUM(Tabla1[[#This Row],[Recursos propios]:[Recursos del Balance]])</f>
        <v>1990520237.6099999</v>
      </c>
      <c r="AG15" s="115">
        <v>0</v>
      </c>
      <c r="AH15" s="116"/>
      <c r="AI15" s="116"/>
      <c r="AJ15" s="116"/>
      <c r="AK15" s="116"/>
      <c r="AL15" s="116">
        <v>0</v>
      </c>
      <c r="AM15" s="116"/>
      <c r="AN15" s="116"/>
      <c r="AO15" s="116">
        <v>0</v>
      </c>
      <c r="AP15" s="116">
        <v>0</v>
      </c>
      <c r="AQ15" s="116"/>
      <c r="AR15" s="116"/>
      <c r="AS15" s="116"/>
      <c r="AT15" s="116">
        <v>0</v>
      </c>
      <c r="AU15" s="29">
        <f>SUM(Tabla1[[#This Row],[Recursos propios2]:[Recursos del Balance2]])</f>
        <v>0</v>
      </c>
      <c r="AV15" s="116">
        <v>0</v>
      </c>
      <c r="AW15" s="129">
        <v>0</v>
      </c>
      <c r="AX15" s="18">
        <f>+Tabla1[[#This Row],[Total Recursos Comprometido 2025]]/Tabla1[[#This Row],[Total 2025]]</f>
        <v>0</v>
      </c>
      <c r="AY15" s="27">
        <f>+Tabla1[[#This Row],[Total Recursos Obligados]]/Tabla1[[#This Row],[Total 2025]]</f>
        <v>0</v>
      </c>
      <c r="AZ15" s="28">
        <f>+Tabla1[[#This Row],[Total Recursos Pagados]]/Tabla1[[#This Row],[Total 2025]]</f>
        <v>0</v>
      </c>
      <c r="BA15" s="66">
        <v>0</v>
      </c>
      <c r="BB15" s="54" t="e">
        <f>+[4]!Tabla1[[#This Row],[Total Recursos Gestionados2]]/[4]!Tabla1[[#This Row],[Total Recursos Comprometido 2024]]</f>
        <v>#REF!</v>
      </c>
      <c r="BC15" s="35" t="s">
        <v>271</v>
      </c>
      <c r="BD15" s="36" t="s">
        <v>270</v>
      </c>
      <c r="BE15" s="37">
        <v>11.13</v>
      </c>
    </row>
    <row r="16" spans="1:57" s="10" customFormat="1" ht="36">
      <c r="A16" s="62">
        <v>49</v>
      </c>
      <c r="B16" s="62" t="s">
        <v>78</v>
      </c>
      <c r="C16" s="62" t="s">
        <v>79</v>
      </c>
      <c r="D16" s="62" t="s">
        <v>80</v>
      </c>
      <c r="E16" s="62" t="s">
        <v>81</v>
      </c>
      <c r="F16" s="62" t="s">
        <v>89</v>
      </c>
      <c r="G16" s="62" t="s">
        <v>90</v>
      </c>
      <c r="H16" s="62">
        <v>400202200</v>
      </c>
      <c r="I16" s="62" t="s">
        <v>91</v>
      </c>
      <c r="J16" s="63">
        <v>80</v>
      </c>
      <c r="K16" s="62" t="s">
        <v>85</v>
      </c>
      <c r="L16" s="23" t="str">
        <f>+'[3]Plan Indicativo'!AC56</f>
        <v>Acumulativa</v>
      </c>
      <c r="M16" s="76">
        <f>+'[3]Plan Indicativo'!T56</f>
        <v>100</v>
      </c>
      <c r="N16" s="36">
        <f>+'[3]Plan Indicativo'!W56</f>
        <v>41</v>
      </c>
      <c r="O16" s="38">
        <v>56</v>
      </c>
      <c r="P16" s="34">
        <f t="shared" si="0"/>
        <v>1</v>
      </c>
      <c r="Q16" s="47">
        <f>+Tabla1[[#This Row],[Logro Vigencia]]/Tabla1[[#This Row],[Meta Programada Vigencia]]</f>
        <v>1.3658536585365855</v>
      </c>
      <c r="R16" s="113">
        <v>3000000000</v>
      </c>
      <c r="S16" s="114"/>
      <c r="T16" s="114"/>
      <c r="U16" s="114"/>
      <c r="V16" s="114"/>
      <c r="W16" s="114">
        <v>0</v>
      </c>
      <c r="X16" s="114"/>
      <c r="Y16" s="114"/>
      <c r="Z16" s="114">
        <v>0</v>
      </c>
      <c r="AA16" s="114">
        <v>0</v>
      </c>
      <c r="AB16" s="114"/>
      <c r="AC16" s="114"/>
      <c r="AD16" s="114">
        <v>1726740978</v>
      </c>
      <c r="AE16" s="114">
        <v>0</v>
      </c>
      <c r="AF16" s="51">
        <f>SUM(Tabla1[[#This Row],[Recursos propios]:[Recursos del Balance]])</f>
        <v>4726740978</v>
      </c>
      <c r="AG16" s="113">
        <v>0</v>
      </c>
      <c r="AH16" s="114"/>
      <c r="AI16" s="114"/>
      <c r="AJ16" s="114"/>
      <c r="AK16" s="114"/>
      <c r="AL16" s="114">
        <v>0</v>
      </c>
      <c r="AM16" s="114"/>
      <c r="AN16" s="114"/>
      <c r="AO16" s="114">
        <v>0</v>
      </c>
      <c r="AP16" s="114">
        <v>0</v>
      </c>
      <c r="AQ16" s="114"/>
      <c r="AR16" s="114"/>
      <c r="AS16" s="114"/>
      <c r="AT16" s="114">
        <v>0</v>
      </c>
      <c r="AU16" s="29">
        <f>SUM(Tabla1[[#This Row],[Recursos propios2]:[Recursos del Balance2]])</f>
        <v>0</v>
      </c>
      <c r="AV16" s="114">
        <v>0</v>
      </c>
      <c r="AW16" s="128">
        <v>0</v>
      </c>
      <c r="AX16" s="19">
        <f>+Tabla1[[#This Row],[Total Recursos Comprometido 2025]]/Tabla1[[#This Row],[Total 2025]]</f>
        <v>0</v>
      </c>
      <c r="AY16" s="16">
        <f>+Tabla1[[#This Row],[Total Recursos Obligados]]/Tabla1[[#This Row],[Total 2025]]</f>
        <v>0</v>
      </c>
      <c r="AZ16" s="20">
        <f>+Tabla1[[#This Row],[Total Recursos Pagados]]/Tabla1[[#This Row],[Total 2025]]</f>
        <v>0</v>
      </c>
      <c r="BA16" s="64">
        <v>0</v>
      </c>
      <c r="BB16" s="54" t="e">
        <f>+[4]!Tabla1[[#This Row],[Total Recursos Gestionados2]]/[4]!Tabla1[[#This Row],[Total Recursos Comprometido 2024]]</f>
        <v>#REF!</v>
      </c>
      <c r="BC16" s="35" t="s">
        <v>271</v>
      </c>
      <c r="BD16" s="36" t="s">
        <v>270</v>
      </c>
      <c r="BE16" s="37">
        <v>11.13</v>
      </c>
    </row>
    <row r="17" spans="1:57" s="94" customFormat="1" ht="36">
      <c r="A17" s="82">
        <v>50</v>
      </c>
      <c r="B17" s="82" t="s">
        <v>78</v>
      </c>
      <c r="C17" s="82" t="s">
        <v>79</v>
      </c>
      <c r="D17" s="82" t="s">
        <v>80</v>
      </c>
      <c r="E17" s="82" t="s">
        <v>81</v>
      </c>
      <c r="F17" s="82" t="s">
        <v>92</v>
      </c>
      <c r="G17" s="82" t="s">
        <v>93</v>
      </c>
      <c r="H17" s="82">
        <v>400202600</v>
      </c>
      <c r="I17" s="82" t="s">
        <v>94</v>
      </c>
      <c r="J17" s="82">
        <v>1605851</v>
      </c>
      <c r="K17" s="82" t="s">
        <v>85</v>
      </c>
      <c r="L17" s="23" t="str">
        <f>+'[3]Plan Indicativo'!AC57</f>
        <v>No Acumulativa</v>
      </c>
      <c r="M17" s="76">
        <f>+'[3]Plan Indicativo'!T57</f>
        <v>1605851</v>
      </c>
      <c r="N17" s="36">
        <f>+'[3]Plan Indicativo'!W57</f>
        <v>1605851</v>
      </c>
      <c r="O17" s="83">
        <v>3937841</v>
      </c>
      <c r="P17" s="34">
        <f t="shared" si="0"/>
        <v>1</v>
      </c>
      <c r="Q17" s="84">
        <f>+Tabla1[[#This Row],[Logro Vigencia]]/Tabla1[[#This Row],[Meta Programada Vigencia]]</f>
        <v>2.4521832972050333</v>
      </c>
      <c r="R17" s="118">
        <v>10000000000</v>
      </c>
      <c r="S17" s="119"/>
      <c r="T17" s="119"/>
      <c r="U17" s="119"/>
      <c r="V17" s="119"/>
      <c r="W17" s="119">
        <v>0</v>
      </c>
      <c r="X17" s="119"/>
      <c r="Y17" s="119"/>
      <c r="Z17" s="119">
        <v>0</v>
      </c>
      <c r="AA17" s="119">
        <v>0</v>
      </c>
      <c r="AB17" s="119"/>
      <c r="AC17" s="119"/>
      <c r="AD17" s="119"/>
      <c r="AE17" s="119">
        <v>0</v>
      </c>
      <c r="AF17" s="85">
        <f>SUM(Tabla1[[#This Row],[Recursos propios]:[Recursos del Balance]])</f>
        <v>10000000000</v>
      </c>
      <c r="AG17" s="171">
        <v>7812383896.8900003</v>
      </c>
      <c r="AH17" s="119"/>
      <c r="AI17" s="119"/>
      <c r="AJ17" s="119"/>
      <c r="AK17" s="119"/>
      <c r="AL17" s="119">
        <v>0</v>
      </c>
      <c r="AM17" s="119"/>
      <c r="AN17" s="119"/>
      <c r="AO17" s="119">
        <v>0</v>
      </c>
      <c r="AP17" s="119">
        <v>0</v>
      </c>
      <c r="AQ17" s="119"/>
      <c r="AR17" s="119"/>
      <c r="AS17" s="119"/>
      <c r="AT17" s="119">
        <v>0</v>
      </c>
      <c r="AU17" s="86">
        <f>SUM(Tabla1[[#This Row],[Recursos propios2]:[Recursos del Balance2]])</f>
        <v>7812383896.8900003</v>
      </c>
      <c r="AV17" s="179">
        <v>2005357097</v>
      </c>
      <c r="AW17" s="180">
        <v>2005357097</v>
      </c>
      <c r="AX17" s="87">
        <f>+Tabla1[[#This Row],[Total Recursos Comprometido 2025]]/Tabla1[[#This Row],[Total 2025]]</f>
        <v>0.78123838968900006</v>
      </c>
      <c r="AY17" s="88">
        <f>+Tabla1[[#This Row],[Total Recursos Obligados]]/Tabla1[[#This Row],[Total 2025]]</f>
        <v>0.20053570970000001</v>
      </c>
      <c r="AZ17" s="89">
        <f>+Tabla1[[#This Row],[Total Recursos Pagados]]/Tabla1[[#This Row],[Total 2025]]</f>
        <v>0.20053570970000001</v>
      </c>
      <c r="BA17" s="90">
        <v>0</v>
      </c>
      <c r="BB17" s="54" t="e">
        <f>+[4]!Tabla1[[#This Row],[Total Recursos Gestionados2]]/[4]!Tabla1[[#This Row],[Total Recursos Comprometido 2024]]</f>
        <v>#REF!</v>
      </c>
      <c r="BC17" s="91" t="s">
        <v>271</v>
      </c>
      <c r="BD17" s="92" t="s">
        <v>270</v>
      </c>
      <c r="BE17" s="93">
        <v>11.13</v>
      </c>
    </row>
    <row r="18" spans="1:57" s="10" customFormat="1" ht="54">
      <c r="A18" s="62">
        <v>51</v>
      </c>
      <c r="B18" s="62" t="s">
        <v>78</v>
      </c>
      <c r="C18" s="62" t="s">
        <v>64</v>
      </c>
      <c r="D18" s="62" t="s">
        <v>65</v>
      </c>
      <c r="E18" s="62" t="s">
        <v>95</v>
      </c>
      <c r="F18" s="62" t="s">
        <v>96</v>
      </c>
      <c r="G18" s="62" t="s">
        <v>97</v>
      </c>
      <c r="H18" s="62">
        <v>210206200</v>
      </c>
      <c r="I18" s="62" t="s">
        <v>98</v>
      </c>
      <c r="J18" s="63">
        <v>0</v>
      </c>
      <c r="K18" s="62" t="s">
        <v>70</v>
      </c>
      <c r="L18" s="23" t="str">
        <f>+'[3]Plan Indicativo'!AC58</f>
        <v>Acumulativa</v>
      </c>
      <c r="M18" s="76">
        <f>+'[3]Plan Indicativo'!T58</f>
        <v>50000</v>
      </c>
      <c r="N18" s="36">
        <f>+'[3]Plan Indicativo'!W58</f>
        <v>0</v>
      </c>
      <c r="O18" s="33">
        <v>0</v>
      </c>
      <c r="P18" s="34" t="str">
        <f t="shared" si="0"/>
        <v xml:space="preserve"> -</v>
      </c>
      <c r="Q18" s="45" t="e">
        <f>+Tabla1[[#This Row],[Logro Vigencia]]/Tabla1[[#This Row],[Meta Programada Vigencia]]</f>
        <v>#DIV/0!</v>
      </c>
      <c r="R18" s="115">
        <v>0</v>
      </c>
      <c r="S18" s="116"/>
      <c r="T18" s="116"/>
      <c r="U18" s="116"/>
      <c r="V18" s="116"/>
      <c r="W18" s="116">
        <v>0</v>
      </c>
      <c r="X18" s="116"/>
      <c r="Y18" s="116"/>
      <c r="Z18" s="116">
        <v>0</v>
      </c>
      <c r="AA18" s="116">
        <v>0</v>
      </c>
      <c r="AB18" s="116"/>
      <c r="AC18" s="116"/>
      <c r="AD18" s="116"/>
      <c r="AE18" s="116">
        <v>0</v>
      </c>
      <c r="AF18" s="51">
        <f>SUM(Tabla1[[#This Row],[Recursos propios]:[Recursos del Balance]])</f>
        <v>0</v>
      </c>
      <c r="AG18" s="115">
        <v>0</v>
      </c>
      <c r="AH18" s="116"/>
      <c r="AI18" s="116"/>
      <c r="AJ18" s="116"/>
      <c r="AK18" s="116"/>
      <c r="AL18" s="116">
        <v>0</v>
      </c>
      <c r="AM18" s="116"/>
      <c r="AN18" s="116"/>
      <c r="AO18" s="116">
        <v>0</v>
      </c>
      <c r="AP18" s="116">
        <v>0</v>
      </c>
      <c r="AQ18" s="116"/>
      <c r="AR18" s="116"/>
      <c r="AS18" s="116"/>
      <c r="AT18" s="116">
        <v>0</v>
      </c>
      <c r="AU18" s="29">
        <f>SUM(Tabla1[[#This Row],[Recursos propios2]:[Recursos del Balance2]])</f>
        <v>0</v>
      </c>
      <c r="AV18" s="116">
        <v>0</v>
      </c>
      <c r="AW18" s="129">
        <v>0</v>
      </c>
      <c r="AX18" s="52" t="e">
        <f>+Tabla1[[#This Row],[Total Recursos Comprometido 2025]]/Tabla1[[#This Row],[Total 2025]]</f>
        <v>#DIV/0!</v>
      </c>
      <c r="AY18" s="17" t="e">
        <f>+Tabla1[[#This Row],[Total Recursos Obligados]]/Tabla1[[#This Row],[Total 2025]]</f>
        <v>#DIV/0!</v>
      </c>
      <c r="AZ18" s="53" t="e">
        <f>+Tabla1[[#This Row],[Total Recursos Pagados]]/Tabla1[[#This Row],[Total 2025]]</f>
        <v>#DIV/0!</v>
      </c>
      <c r="BA18" s="65">
        <v>0</v>
      </c>
      <c r="BB18" s="54" t="e">
        <f>+[4]!Tabla1[[#This Row],[Total Recursos Gestionados2]]/[4]!Tabla1[[#This Row],[Total Recursos Comprometido 2024]]</f>
        <v>#REF!</v>
      </c>
      <c r="BC18" s="35" t="s">
        <v>271</v>
      </c>
      <c r="BD18" s="36" t="s">
        <v>270</v>
      </c>
      <c r="BE18" s="37">
        <v>7.11</v>
      </c>
    </row>
    <row r="19" spans="1:57" s="10" customFormat="1" ht="72">
      <c r="A19" s="62">
        <v>57</v>
      </c>
      <c r="B19" s="62" t="s">
        <v>78</v>
      </c>
      <c r="C19" s="62" t="s">
        <v>79</v>
      </c>
      <c r="D19" s="62" t="s">
        <v>99</v>
      </c>
      <c r="E19" s="62" t="s">
        <v>100</v>
      </c>
      <c r="F19" s="62" t="s">
        <v>101</v>
      </c>
      <c r="G19" s="62" t="s">
        <v>102</v>
      </c>
      <c r="H19" s="62">
        <v>400301500</v>
      </c>
      <c r="I19" s="62" t="s">
        <v>103</v>
      </c>
      <c r="J19" s="63">
        <v>0</v>
      </c>
      <c r="K19" s="62" t="s">
        <v>70</v>
      </c>
      <c r="L19" s="23" t="str">
        <f>+'[3]Plan Indicativo'!AC64</f>
        <v>Acumulativa</v>
      </c>
      <c r="M19" s="77">
        <f>+'[3]Plan Indicativo'!T64</f>
        <v>1</v>
      </c>
      <c r="N19" s="32">
        <f>+'[3]Plan Indicativo'!W64</f>
        <v>0</v>
      </c>
      <c r="O19" s="33">
        <v>0</v>
      </c>
      <c r="P19" s="34" t="str">
        <f t="shared" si="0"/>
        <v xml:space="preserve"> -</v>
      </c>
      <c r="Q19" s="45" t="e">
        <f>+Tabla1[[#This Row],[Logro Vigencia]]/Tabla1[[#This Row],[Meta Programada Vigencia]]</f>
        <v>#DIV/0!</v>
      </c>
      <c r="R19" s="115">
        <v>0</v>
      </c>
      <c r="S19" s="116"/>
      <c r="T19" s="116"/>
      <c r="U19" s="116"/>
      <c r="V19" s="116"/>
      <c r="W19" s="116">
        <v>0</v>
      </c>
      <c r="X19" s="116"/>
      <c r="Y19" s="116"/>
      <c r="Z19" s="116">
        <v>0</v>
      </c>
      <c r="AA19" s="116">
        <v>0</v>
      </c>
      <c r="AB19" s="116"/>
      <c r="AC19" s="116"/>
      <c r="AD19" s="116">
        <v>0</v>
      </c>
      <c r="AE19" s="116">
        <v>0</v>
      </c>
      <c r="AF19" s="51">
        <f>SUM(Tabla1[[#This Row],[Recursos propios]:[Recursos del Balance]])</f>
        <v>0</v>
      </c>
      <c r="AG19" s="115">
        <v>0</v>
      </c>
      <c r="AH19" s="116"/>
      <c r="AI19" s="116"/>
      <c r="AJ19" s="116"/>
      <c r="AK19" s="116"/>
      <c r="AL19" s="116">
        <v>0</v>
      </c>
      <c r="AM19" s="116"/>
      <c r="AN19" s="116"/>
      <c r="AO19" s="116">
        <v>0</v>
      </c>
      <c r="AP19" s="116">
        <v>0</v>
      </c>
      <c r="AQ19" s="116"/>
      <c r="AR19" s="116"/>
      <c r="AS19" s="116">
        <v>0</v>
      </c>
      <c r="AT19" s="116">
        <v>0</v>
      </c>
      <c r="AU19" s="29">
        <f>SUM(Tabla1[[#This Row],[Recursos propios2]:[Recursos del Balance2]])</f>
        <v>0</v>
      </c>
      <c r="AV19" s="116">
        <v>0</v>
      </c>
      <c r="AW19" s="129">
        <v>0</v>
      </c>
      <c r="AX19" s="52" t="e">
        <f>+Tabla1[[#This Row],[Total Recursos Comprometido 2025]]/Tabla1[[#This Row],[Total 2025]]</f>
        <v>#DIV/0!</v>
      </c>
      <c r="AY19" s="17" t="e">
        <f>+Tabla1[[#This Row],[Total Recursos Obligados]]/Tabla1[[#This Row],[Total 2025]]</f>
        <v>#DIV/0!</v>
      </c>
      <c r="AZ19" s="53" t="e">
        <f>+Tabla1[[#This Row],[Total Recursos Pagados]]/Tabla1[[#This Row],[Total 2025]]</f>
        <v>#DIV/0!</v>
      </c>
      <c r="BA19" s="65">
        <v>0</v>
      </c>
      <c r="BB19" s="54" t="e">
        <f>+[4]!Tabla1[[#This Row],[Total Recursos Gestionados2]]/[4]!Tabla1[[#This Row],[Total Recursos Comprometido 2024]]</f>
        <v>#REF!</v>
      </c>
      <c r="BC19" s="35" t="s">
        <v>271</v>
      </c>
      <c r="BD19" s="36" t="s">
        <v>270</v>
      </c>
      <c r="BE19" s="37">
        <v>6.11</v>
      </c>
    </row>
    <row r="20" spans="1:57" s="10" customFormat="1" ht="72">
      <c r="A20" s="60">
        <v>58</v>
      </c>
      <c r="B20" s="60" t="s">
        <v>78</v>
      </c>
      <c r="C20" s="60" t="s">
        <v>79</v>
      </c>
      <c r="D20" s="60" t="s">
        <v>99</v>
      </c>
      <c r="E20" s="60" t="s">
        <v>100</v>
      </c>
      <c r="F20" s="60" t="s">
        <v>104</v>
      </c>
      <c r="G20" s="60" t="s">
        <v>105</v>
      </c>
      <c r="H20" s="60">
        <v>400301700</v>
      </c>
      <c r="I20" s="60" t="s">
        <v>106</v>
      </c>
      <c r="J20" s="60">
        <v>2</v>
      </c>
      <c r="K20" s="60" t="s">
        <v>70</v>
      </c>
      <c r="L20" s="23" t="str">
        <f>+'[3]Plan Indicativo'!AC65</f>
        <v>Acumulativa</v>
      </c>
      <c r="M20" s="77">
        <f>+'[3]Plan Indicativo'!T65</f>
        <v>2</v>
      </c>
      <c r="N20" s="32">
        <f>+'[3]Plan Indicativo'!W65</f>
        <v>0</v>
      </c>
      <c r="O20" s="33">
        <v>0</v>
      </c>
      <c r="P20" s="34" t="str">
        <f t="shared" si="0"/>
        <v xml:space="preserve"> -</v>
      </c>
      <c r="Q20" s="45" t="e">
        <f>+Tabla1[[#This Row],[Logro Vigencia]]/Tabla1[[#This Row],[Meta Programada Vigencia]]</f>
        <v>#DIV/0!</v>
      </c>
      <c r="R20" s="115">
        <v>1200000000</v>
      </c>
      <c r="S20" s="116"/>
      <c r="T20" s="116"/>
      <c r="U20" s="116"/>
      <c r="V20" s="116"/>
      <c r="W20" s="116">
        <v>0</v>
      </c>
      <c r="X20" s="116"/>
      <c r="Y20" s="116"/>
      <c r="Z20" s="116">
        <v>0</v>
      </c>
      <c r="AA20" s="116">
        <v>0</v>
      </c>
      <c r="AB20" s="116"/>
      <c r="AC20" s="116"/>
      <c r="AD20" s="15">
        <v>37783964</v>
      </c>
      <c r="AE20" s="116">
        <v>0</v>
      </c>
      <c r="AF20" s="51">
        <f>SUM(Tabla1[[#This Row],[Recursos propios]:[Recursos del Balance]])</f>
        <v>1237783964</v>
      </c>
      <c r="AG20" s="115">
        <v>0</v>
      </c>
      <c r="AH20" s="116"/>
      <c r="AI20" s="116"/>
      <c r="AJ20" s="116"/>
      <c r="AK20" s="116"/>
      <c r="AL20" s="116">
        <v>0</v>
      </c>
      <c r="AM20" s="116"/>
      <c r="AN20" s="116"/>
      <c r="AO20" s="116">
        <v>0</v>
      </c>
      <c r="AP20" s="116">
        <v>0</v>
      </c>
      <c r="AQ20" s="116"/>
      <c r="AR20" s="116"/>
      <c r="AS20" s="116"/>
      <c r="AT20" s="116">
        <v>0</v>
      </c>
      <c r="AU20" s="29">
        <f>SUM(Tabla1[[#This Row],[Recursos propios2]:[Recursos del Balance2]])</f>
        <v>0</v>
      </c>
      <c r="AV20" s="116">
        <v>0</v>
      </c>
      <c r="AW20" s="129">
        <v>0</v>
      </c>
      <c r="AX20" s="52">
        <f>+Tabla1[[#This Row],[Total Recursos Comprometido 2025]]/Tabla1[[#This Row],[Total 2025]]</f>
        <v>0</v>
      </c>
      <c r="AY20" s="17">
        <f>+Tabla1[[#This Row],[Total Recursos Obligados]]/Tabla1[[#This Row],[Total 2025]]</f>
        <v>0</v>
      </c>
      <c r="AZ20" s="53">
        <f>+Tabla1[[#This Row],[Total Recursos Pagados]]/Tabla1[[#This Row],[Total 2025]]</f>
        <v>0</v>
      </c>
      <c r="BA20" s="65">
        <v>0</v>
      </c>
      <c r="BB20" s="54" t="e">
        <f>+[4]!Tabla1[[#This Row],[Total Recursos Gestionados2]]/[4]!Tabla1[[#This Row],[Total Recursos Comprometido 2024]]</f>
        <v>#REF!</v>
      </c>
      <c r="BC20" s="35" t="s">
        <v>271</v>
      </c>
      <c r="BD20" s="36" t="s">
        <v>270</v>
      </c>
      <c r="BE20" s="37">
        <v>6.11</v>
      </c>
    </row>
    <row r="21" spans="1:57" s="10" customFormat="1" ht="72">
      <c r="A21" s="62">
        <v>59</v>
      </c>
      <c r="B21" s="62" t="s">
        <v>78</v>
      </c>
      <c r="C21" s="62" t="s">
        <v>79</v>
      </c>
      <c r="D21" s="62" t="s">
        <v>99</v>
      </c>
      <c r="E21" s="62" t="s">
        <v>100</v>
      </c>
      <c r="F21" s="62" t="s">
        <v>107</v>
      </c>
      <c r="G21" s="62" t="s">
        <v>108</v>
      </c>
      <c r="H21" s="62">
        <v>400302000</v>
      </c>
      <c r="I21" s="62" t="s">
        <v>109</v>
      </c>
      <c r="J21" s="63">
        <v>0</v>
      </c>
      <c r="K21" s="62" t="s">
        <v>70</v>
      </c>
      <c r="L21" s="23" t="str">
        <f>+'[3]Plan Indicativo'!AC66</f>
        <v>Acumulativa</v>
      </c>
      <c r="M21" s="77">
        <f>+'[3]Plan Indicativo'!T66</f>
        <v>4</v>
      </c>
      <c r="N21" s="32">
        <f>+'[3]Plan Indicativo'!W66</f>
        <v>4</v>
      </c>
      <c r="O21" s="33">
        <v>0</v>
      </c>
      <c r="P21" s="34">
        <f t="shared" si="0"/>
        <v>0</v>
      </c>
      <c r="Q21" s="45">
        <f>+Tabla1[[#This Row],[Logro Vigencia]]/Tabla1[[#This Row],[Meta Programada Vigencia]]</f>
        <v>0</v>
      </c>
      <c r="R21" s="115">
        <v>0</v>
      </c>
      <c r="S21" s="116"/>
      <c r="T21" s="116"/>
      <c r="U21" s="116"/>
      <c r="V21" s="116"/>
      <c r="W21" s="116">
        <v>0</v>
      </c>
      <c r="X21" s="116"/>
      <c r="Y21" s="116"/>
      <c r="Z21" s="160">
        <v>616315808.34000003</v>
      </c>
      <c r="AA21" s="116">
        <v>0</v>
      </c>
      <c r="AB21" s="116"/>
      <c r="AC21" s="116"/>
      <c r="AD21" s="116"/>
      <c r="AE21" s="116">
        <v>0</v>
      </c>
      <c r="AF21" s="51">
        <f>SUM(Tabla1[[#This Row],[Recursos propios]:[Recursos del Balance]])</f>
        <v>616315808.34000003</v>
      </c>
      <c r="AG21" s="115">
        <v>0</v>
      </c>
      <c r="AH21" s="116"/>
      <c r="AI21" s="116"/>
      <c r="AJ21" s="116"/>
      <c r="AK21" s="116"/>
      <c r="AL21" s="116">
        <v>0</v>
      </c>
      <c r="AM21" s="116"/>
      <c r="AN21" s="116"/>
      <c r="AO21" s="116">
        <v>0</v>
      </c>
      <c r="AP21" s="116">
        <v>0</v>
      </c>
      <c r="AQ21" s="116"/>
      <c r="AR21" s="116"/>
      <c r="AS21" s="116"/>
      <c r="AT21" s="116">
        <v>0</v>
      </c>
      <c r="AU21" s="29">
        <f>SUM(Tabla1[[#This Row],[Recursos propios2]:[Recursos del Balance2]])</f>
        <v>0</v>
      </c>
      <c r="AV21" s="116">
        <v>0</v>
      </c>
      <c r="AW21" s="129">
        <v>0</v>
      </c>
      <c r="AX21" s="52">
        <f>+Tabla1[[#This Row],[Total Recursos Comprometido 2025]]/Tabla1[[#This Row],[Total 2025]]</f>
        <v>0</v>
      </c>
      <c r="AY21" s="17">
        <f>+Tabla1[[#This Row],[Total Recursos Obligados]]/Tabla1[[#This Row],[Total 2025]]</f>
        <v>0</v>
      </c>
      <c r="AZ21" s="53">
        <f>+Tabla1[[#This Row],[Total Recursos Pagados]]/Tabla1[[#This Row],[Total 2025]]</f>
        <v>0</v>
      </c>
      <c r="BA21" s="65">
        <v>0</v>
      </c>
      <c r="BB21" s="54" t="e">
        <f>+[4]!Tabla1[[#This Row],[Total Recursos Gestionados2]]/[4]!Tabla1[[#This Row],[Total Recursos Comprometido 2024]]</f>
        <v>#REF!</v>
      </c>
      <c r="BC21" s="35" t="s">
        <v>271</v>
      </c>
      <c r="BD21" s="36" t="s">
        <v>270</v>
      </c>
      <c r="BE21" s="37">
        <v>611</v>
      </c>
    </row>
    <row r="22" spans="1:57" s="10" customFormat="1" ht="72">
      <c r="A22" s="60">
        <v>60</v>
      </c>
      <c r="B22" s="60" t="s">
        <v>78</v>
      </c>
      <c r="C22" s="60" t="s">
        <v>79</v>
      </c>
      <c r="D22" s="60" t="s">
        <v>99</v>
      </c>
      <c r="E22" s="60" t="s">
        <v>100</v>
      </c>
      <c r="F22" s="60" t="s">
        <v>110</v>
      </c>
      <c r="G22" s="60" t="s">
        <v>111</v>
      </c>
      <c r="H22" s="60">
        <v>400304402</v>
      </c>
      <c r="I22" s="60" t="s">
        <v>112</v>
      </c>
      <c r="J22" s="60">
        <v>72</v>
      </c>
      <c r="K22" s="60" t="s">
        <v>70</v>
      </c>
      <c r="L22" s="23" t="str">
        <f>+'[3]Plan Indicativo'!AC67</f>
        <v>Acumulativa</v>
      </c>
      <c r="M22" s="77">
        <f>+'[3]Plan Indicativo'!T67</f>
        <v>80</v>
      </c>
      <c r="N22" s="32">
        <f>+'[3]Plan Indicativo'!W67</f>
        <v>27</v>
      </c>
      <c r="O22" s="33">
        <v>0</v>
      </c>
      <c r="P22" s="34">
        <f t="shared" si="0"/>
        <v>0</v>
      </c>
      <c r="Q22" s="45">
        <f>+Tabla1[[#This Row],[Logro Vigencia]]/Tabla1[[#This Row],[Meta Programada Vigencia]]</f>
        <v>0</v>
      </c>
      <c r="R22" s="115">
        <v>0</v>
      </c>
      <c r="S22" s="116"/>
      <c r="T22" s="116"/>
      <c r="U22" s="116"/>
      <c r="V22" s="116"/>
      <c r="W22" s="116">
        <v>0</v>
      </c>
      <c r="X22" s="116"/>
      <c r="Y22" s="116"/>
      <c r="Z22" s="116">
        <v>0</v>
      </c>
      <c r="AA22" s="116">
        <v>0</v>
      </c>
      <c r="AB22" s="116"/>
      <c r="AC22" s="116"/>
      <c r="AD22" s="15">
        <v>463322694</v>
      </c>
      <c r="AE22" s="116">
        <v>0</v>
      </c>
      <c r="AF22" s="51">
        <f>SUM(Tabla1[[#This Row],[Recursos propios]:[Recursos del Balance]])</f>
        <v>463322694</v>
      </c>
      <c r="AG22" s="115">
        <v>0</v>
      </c>
      <c r="AH22" s="116"/>
      <c r="AI22" s="116"/>
      <c r="AJ22" s="116"/>
      <c r="AK22" s="116"/>
      <c r="AL22" s="116">
        <v>0</v>
      </c>
      <c r="AM22" s="116"/>
      <c r="AN22" s="116"/>
      <c r="AO22" s="116">
        <v>0</v>
      </c>
      <c r="AP22" s="116">
        <v>0</v>
      </c>
      <c r="AQ22" s="116"/>
      <c r="AR22" s="116"/>
      <c r="AS22" s="116"/>
      <c r="AT22" s="116">
        <v>0</v>
      </c>
      <c r="AU22" s="29">
        <f>SUM(Tabla1[[#This Row],[Recursos propios2]:[Recursos del Balance2]])</f>
        <v>0</v>
      </c>
      <c r="AV22" s="116">
        <v>0</v>
      </c>
      <c r="AW22" s="129">
        <v>0</v>
      </c>
      <c r="AX22" s="52">
        <f>+Tabla1[[#This Row],[Total Recursos Comprometido 2025]]/Tabla1[[#This Row],[Total 2025]]</f>
        <v>0</v>
      </c>
      <c r="AY22" s="17">
        <f>+Tabla1[[#This Row],[Total Recursos Obligados]]/Tabla1[[#This Row],[Total 2025]]</f>
        <v>0</v>
      </c>
      <c r="AZ22" s="53">
        <f>+Tabla1[[#This Row],[Total Recursos Pagados]]/Tabla1[[#This Row],[Total 2025]]</f>
        <v>0</v>
      </c>
      <c r="BA22" s="65">
        <v>0</v>
      </c>
      <c r="BB22" s="54" t="e">
        <f>+[4]!Tabla1[[#This Row],[Total Recursos Gestionados2]]/[4]!Tabla1[[#This Row],[Total Recursos Comprometido 2024]]</f>
        <v>#REF!</v>
      </c>
      <c r="BC22" s="35" t="s">
        <v>271</v>
      </c>
      <c r="BD22" s="36" t="s">
        <v>270</v>
      </c>
      <c r="BE22" s="37">
        <v>6.11</v>
      </c>
    </row>
    <row r="23" spans="1:57" s="10" customFormat="1" ht="72">
      <c r="A23" s="60">
        <v>62</v>
      </c>
      <c r="B23" s="60" t="s">
        <v>78</v>
      </c>
      <c r="C23" s="60" t="s">
        <v>79</v>
      </c>
      <c r="D23" s="60" t="s">
        <v>80</v>
      </c>
      <c r="E23" s="60" t="s">
        <v>81</v>
      </c>
      <c r="F23" s="60" t="s">
        <v>82</v>
      </c>
      <c r="G23" s="60" t="s">
        <v>113</v>
      </c>
      <c r="H23" s="60">
        <v>400202000</v>
      </c>
      <c r="I23" s="60" t="s">
        <v>84</v>
      </c>
      <c r="J23" s="60">
        <v>0</v>
      </c>
      <c r="K23" s="60" t="s">
        <v>85</v>
      </c>
      <c r="L23" s="23" t="str">
        <f>+'[3]Plan Indicativo'!$AC$69</f>
        <v>Acumulativa</v>
      </c>
      <c r="M23" s="23">
        <f>+'[3]Plan Indicativo'!$T$69</f>
        <v>1000</v>
      </c>
      <c r="N23" s="32">
        <f>+'[3]Plan Indicativo'!$W$69</f>
        <v>0</v>
      </c>
      <c r="O23" s="33">
        <v>0</v>
      </c>
      <c r="P23" s="34" t="str">
        <f t="shared" si="0"/>
        <v xml:space="preserve"> -</v>
      </c>
      <c r="Q23" s="45" t="e">
        <f>+Tabla1[[#This Row],[Logro Vigencia]]/Tabla1[[#This Row],[Meta Programada Vigencia]]</f>
        <v>#DIV/0!</v>
      </c>
      <c r="R23" s="161">
        <v>356129280.97000003</v>
      </c>
      <c r="S23" s="116"/>
      <c r="T23" s="116"/>
      <c r="U23" s="116"/>
      <c r="V23" s="116"/>
      <c r="W23" s="116">
        <v>0</v>
      </c>
      <c r="X23" s="116"/>
      <c r="Y23" s="116"/>
      <c r="Z23" s="116">
        <v>0</v>
      </c>
      <c r="AA23" s="116">
        <v>0</v>
      </c>
      <c r="AB23" s="116"/>
      <c r="AC23" s="116"/>
      <c r="AD23" s="116">
        <v>572113051.02999997</v>
      </c>
      <c r="AE23" s="116">
        <v>0</v>
      </c>
      <c r="AF23" s="51">
        <f>SUM(Tabla1[[#This Row],[Recursos propios]:[Recursos del Balance]])</f>
        <v>928242332</v>
      </c>
      <c r="AG23" s="115">
        <v>0</v>
      </c>
      <c r="AH23" s="116"/>
      <c r="AI23" s="116"/>
      <c r="AJ23" s="116"/>
      <c r="AK23" s="116"/>
      <c r="AL23" s="116">
        <v>0</v>
      </c>
      <c r="AM23" s="116"/>
      <c r="AN23" s="116"/>
      <c r="AO23" s="116">
        <v>0</v>
      </c>
      <c r="AP23" s="116">
        <v>0</v>
      </c>
      <c r="AQ23" s="116"/>
      <c r="AR23" s="116"/>
      <c r="AS23" s="116"/>
      <c r="AT23" s="116">
        <v>0</v>
      </c>
      <c r="AU23" s="29">
        <f>SUM(Tabla1[[#This Row],[Recursos propios2]:[Recursos del Balance2]])</f>
        <v>0</v>
      </c>
      <c r="AV23" s="116">
        <v>0</v>
      </c>
      <c r="AW23" s="129">
        <v>0</v>
      </c>
      <c r="AX23" s="52">
        <f>+Tabla1[[#This Row],[Total Recursos Comprometido 2025]]/Tabla1[[#This Row],[Total 2025]]</f>
        <v>0</v>
      </c>
      <c r="AY23" s="17">
        <f>+Tabla1[[#This Row],[Total Recursos Obligados]]/Tabla1[[#This Row],[Total 2025]]</f>
        <v>0</v>
      </c>
      <c r="AZ23" s="53">
        <f>+Tabla1[[#This Row],[Total Recursos Pagados]]/Tabla1[[#This Row],[Total 2025]]</f>
        <v>0</v>
      </c>
      <c r="BA23" s="65">
        <v>0</v>
      </c>
      <c r="BB23" s="54" t="e">
        <f>+[4]!Tabla1[[#This Row],[Total Recursos Gestionados2]]/[4]!Tabla1[[#This Row],[Total Recursos Comprometido 2024]]</f>
        <v>#REF!</v>
      </c>
      <c r="BC23" s="35" t="s">
        <v>271</v>
      </c>
      <c r="BD23" s="36" t="s">
        <v>270</v>
      </c>
      <c r="BE23" s="37">
        <v>11.13</v>
      </c>
    </row>
    <row r="24" spans="1:57" s="10" customFormat="1" ht="36">
      <c r="A24" s="60">
        <v>93</v>
      </c>
      <c r="B24" s="60" t="s">
        <v>114</v>
      </c>
      <c r="C24" s="60" t="s">
        <v>115</v>
      </c>
      <c r="D24" s="60" t="s">
        <v>116</v>
      </c>
      <c r="E24" s="60" t="s">
        <v>117</v>
      </c>
      <c r="F24" s="60" t="s">
        <v>118</v>
      </c>
      <c r="G24" s="60" t="s">
        <v>119</v>
      </c>
      <c r="H24" s="60">
        <v>170907800</v>
      </c>
      <c r="I24" s="60" t="s">
        <v>120</v>
      </c>
      <c r="J24" s="60">
        <v>3</v>
      </c>
      <c r="K24" s="60" t="s">
        <v>70</v>
      </c>
      <c r="L24" s="23" t="str">
        <f>+'[3]Plan Indicativo'!$AC$101</f>
        <v>No Acumulativa</v>
      </c>
      <c r="M24" s="23">
        <f>+'[3]Plan Indicativo'!$T$101</f>
        <v>1</v>
      </c>
      <c r="N24" s="32">
        <f>+'[3]Plan Indicativo'!$W$101</f>
        <v>0</v>
      </c>
      <c r="O24" s="33">
        <v>0</v>
      </c>
      <c r="P24" s="34" t="str">
        <f t="shared" si="0"/>
        <v xml:space="preserve"> -</v>
      </c>
      <c r="Q24" s="45" t="e">
        <f>+Tabla1[[#This Row],[Logro Vigencia]]/Tabla1[[#This Row],[Meta Programada Vigencia]]</f>
        <v>#DIV/0!</v>
      </c>
      <c r="R24" s="115">
        <v>0</v>
      </c>
      <c r="S24" s="116"/>
      <c r="T24" s="116"/>
      <c r="U24" s="116"/>
      <c r="V24" s="116"/>
      <c r="W24" s="116">
        <v>0</v>
      </c>
      <c r="X24" s="116"/>
      <c r="Y24" s="116"/>
      <c r="Z24" s="116">
        <v>0</v>
      </c>
      <c r="AA24" s="116">
        <v>0</v>
      </c>
      <c r="AB24" s="116"/>
      <c r="AC24" s="116"/>
      <c r="AD24" s="116"/>
      <c r="AE24" s="116">
        <v>0</v>
      </c>
      <c r="AF24" s="51">
        <f>SUM(Tabla1[[#This Row],[Recursos propios]:[Recursos del Balance]])</f>
        <v>0</v>
      </c>
      <c r="AG24" s="115">
        <v>0</v>
      </c>
      <c r="AH24" s="116"/>
      <c r="AI24" s="116"/>
      <c r="AJ24" s="116"/>
      <c r="AK24" s="116"/>
      <c r="AL24" s="116">
        <v>0</v>
      </c>
      <c r="AM24" s="116"/>
      <c r="AN24" s="116"/>
      <c r="AO24" s="116">
        <v>0</v>
      </c>
      <c r="AP24" s="116">
        <v>0</v>
      </c>
      <c r="AQ24" s="116"/>
      <c r="AR24" s="116"/>
      <c r="AS24" s="116"/>
      <c r="AT24" s="116">
        <v>0</v>
      </c>
      <c r="AU24" s="29">
        <f>SUM(Tabla1[[#This Row],[Recursos propios2]:[Recursos del Balance2]])</f>
        <v>0</v>
      </c>
      <c r="AV24" s="116">
        <v>0</v>
      </c>
      <c r="AW24" s="129">
        <v>0</v>
      </c>
      <c r="AX24" s="52" t="e">
        <f>+Tabla1[[#This Row],[Total Recursos Comprometido 2025]]/Tabla1[[#This Row],[Total 2025]]</f>
        <v>#DIV/0!</v>
      </c>
      <c r="AY24" s="17" t="e">
        <f>+Tabla1[[#This Row],[Total Recursos Obligados]]/Tabla1[[#This Row],[Total 2025]]</f>
        <v>#DIV/0!</v>
      </c>
      <c r="AZ24" s="53" t="e">
        <f>+Tabla1[[#This Row],[Total Recursos Pagados]]/Tabla1[[#This Row],[Total 2025]]</f>
        <v>#DIV/0!</v>
      </c>
      <c r="BA24" s="65">
        <v>0</v>
      </c>
      <c r="BB24" s="54" t="e">
        <f>+[4]!Tabla1[[#This Row],[Total Recursos Gestionados2]]/[4]!Tabla1[[#This Row],[Total Recursos Comprometido 2024]]</f>
        <v>#REF!</v>
      </c>
      <c r="BC24" s="35" t="s">
        <v>271</v>
      </c>
      <c r="BD24" s="36" t="s">
        <v>270</v>
      </c>
      <c r="BE24" s="37">
        <v>2.12</v>
      </c>
    </row>
    <row r="25" spans="1:57" s="10" customFormat="1" ht="36">
      <c r="A25" s="60">
        <v>95</v>
      </c>
      <c r="B25" s="60" t="s">
        <v>114</v>
      </c>
      <c r="C25" s="60" t="s">
        <v>121</v>
      </c>
      <c r="D25" s="60" t="s">
        <v>122</v>
      </c>
      <c r="E25" s="60" t="s">
        <v>123</v>
      </c>
      <c r="F25" s="60" t="s">
        <v>124</v>
      </c>
      <c r="G25" s="60" t="s">
        <v>125</v>
      </c>
      <c r="H25" s="60">
        <v>240100800</v>
      </c>
      <c r="I25" s="60" t="s">
        <v>126</v>
      </c>
      <c r="J25" s="60">
        <v>0</v>
      </c>
      <c r="K25" s="60" t="s">
        <v>127</v>
      </c>
      <c r="L25" s="23" t="str">
        <f>+'[3]Plan Indicativo'!AC103</f>
        <v>Acumulativa</v>
      </c>
      <c r="M25" s="23">
        <f>+'[3]Plan Indicativo'!T103</f>
        <v>1</v>
      </c>
      <c r="N25" s="32">
        <f>+'[3]Plan Indicativo'!W103</f>
        <v>0</v>
      </c>
      <c r="O25" s="33">
        <v>0</v>
      </c>
      <c r="P25" s="34" t="str">
        <f t="shared" si="0"/>
        <v xml:space="preserve"> -</v>
      </c>
      <c r="Q25" s="45" t="e">
        <f>+Tabla1[[#This Row],[Logro Vigencia]]/Tabla1[[#This Row],[Meta Programada Vigencia]]</f>
        <v>#DIV/0!</v>
      </c>
      <c r="R25" s="115">
        <v>0</v>
      </c>
      <c r="S25" s="116"/>
      <c r="T25" s="116"/>
      <c r="U25" s="116"/>
      <c r="V25" s="116"/>
      <c r="W25" s="116">
        <v>0</v>
      </c>
      <c r="X25" s="116"/>
      <c r="Y25" s="116"/>
      <c r="Z25" s="116">
        <v>0</v>
      </c>
      <c r="AA25" s="116">
        <v>0</v>
      </c>
      <c r="AB25" s="116"/>
      <c r="AC25" s="116"/>
      <c r="AD25" s="116"/>
      <c r="AE25" s="116">
        <v>0</v>
      </c>
      <c r="AF25" s="51">
        <f>SUM(Tabla1[[#This Row],[Recursos propios]:[Recursos del Balance]])</f>
        <v>0</v>
      </c>
      <c r="AG25" s="115">
        <v>0</v>
      </c>
      <c r="AH25" s="116"/>
      <c r="AI25" s="116"/>
      <c r="AJ25" s="116"/>
      <c r="AK25" s="116"/>
      <c r="AL25" s="116">
        <v>0</v>
      </c>
      <c r="AM25" s="116"/>
      <c r="AN25" s="116"/>
      <c r="AO25" s="116">
        <v>0</v>
      </c>
      <c r="AP25" s="116">
        <v>0</v>
      </c>
      <c r="AQ25" s="116"/>
      <c r="AR25" s="116"/>
      <c r="AS25" s="116"/>
      <c r="AT25" s="116">
        <v>0</v>
      </c>
      <c r="AU25" s="29">
        <f>SUM(Tabla1[[#This Row],[Recursos propios2]:[Recursos del Balance2]])</f>
        <v>0</v>
      </c>
      <c r="AV25" s="116">
        <v>0</v>
      </c>
      <c r="AW25" s="129">
        <v>0</v>
      </c>
      <c r="AX25" s="52" t="e">
        <f>+Tabla1[[#This Row],[Total Recursos Comprometido 2025]]/Tabla1[[#This Row],[Total 2025]]</f>
        <v>#DIV/0!</v>
      </c>
      <c r="AY25" s="17" t="e">
        <f>+Tabla1[[#This Row],[Total Recursos Obligados]]/Tabla1[[#This Row],[Total 2025]]</f>
        <v>#DIV/0!</v>
      </c>
      <c r="AZ25" s="53" t="e">
        <f>+Tabla1[[#This Row],[Total Recursos Pagados]]/Tabla1[[#This Row],[Total 2025]]</f>
        <v>#DIV/0!</v>
      </c>
      <c r="BA25" s="65">
        <v>0</v>
      </c>
      <c r="BB25" s="54" t="e">
        <f>+[4]!Tabla1[[#This Row],[Total Recursos Gestionados2]]/[4]!Tabla1[[#This Row],[Total Recursos Comprometido 2024]]</f>
        <v>#REF!</v>
      </c>
      <c r="BC25" s="35" t="s">
        <v>271</v>
      </c>
      <c r="BD25" s="36" t="s">
        <v>270</v>
      </c>
      <c r="BE25" s="37">
        <v>11</v>
      </c>
    </row>
    <row r="26" spans="1:57" s="26" customFormat="1" ht="36">
      <c r="A26" s="62">
        <v>96</v>
      </c>
      <c r="B26" s="62" t="s">
        <v>114</v>
      </c>
      <c r="C26" s="62" t="s">
        <v>121</v>
      </c>
      <c r="D26" s="62" t="s">
        <v>128</v>
      </c>
      <c r="E26" s="62" t="s">
        <v>129</v>
      </c>
      <c r="F26" s="62" t="s">
        <v>130</v>
      </c>
      <c r="G26" s="62" t="s">
        <v>131</v>
      </c>
      <c r="H26" s="62">
        <v>240212000</v>
      </c>
      <c r="I26" s="62" t="s">
        <v>132</v>
      </c>
      <c r="J26" s="63">
        <v>4</v>
      </c>
      <c r="K26" s="62" t="s">
        <v>70</v>
      </c>
      <c r="L26" s="23" t="str">
        <f>+'[3]Plan Indicativo'!AC104</f>
        <v>Acumulativa</v>
      </c>
      <c r="M26" s="23">
        <f>+'[3]Plan Indicativo'!T104</f>
        <v>10</v>
      </c>
      <c r="N26" s="32">
        <f>+'[3]Plan Indicativo'!W104</f>
        <v>0</v>
      </c>
      <c r="O26" s="38">
        <v>0</v>
      </c>
      <c r="P26" s="34" t="str">
        <f t="shared" si="0"/>
        <v xml:space="preserve"> -</v>
      </c>
      <c r="Q26" s="47" t="e">
        <f>+Tabla1[[#This Row],[Logro Vigencia]]/Tabla1[[#This Row],[Meta Programada Vigencia]]</f>
        <v>#DIV/0!</v>
      </c>
      <c r="R26" s="162">
        <v>163351314</v>
      </c>
      <c r="S26" s="114"/>
      <c r="T26" s="114"/>
      <c r="U26" s="114"/>
      <c r="V26" s="114"/>
      <c r="W26" s="114">
        <v>0</v>
      </c>
      <c r="X26" s="114"/>
      <c r="Y26" s="114"/>
      <c r="Z26" s="114">
        <v>0</v>
      </c>
      <c r="AA26" s="114">
        <v>0</v>
      </c>
      <c r="AB26" s="114"/>
      <c r="AC26" s="114"/>
      <c r="AD26" s="163">
        <v>0</v>
      </c>
      <c r="AE26" s="114">
        <v>0</v>
      </c>
      <c r="AF26" s="51">
        <f>SUM(Tabla1[[#This Row],[Recursos propios]:[Recursos del Balance]])</f>
        <v>163351314</v>
      </c>
      <c r="AG26" s="113">
        <v>0</v>
      </c>
      <c r="AH26" s="114"/>
      <c r="AI26" s="114"/>
      <c r="AJ26" s="114"/>
      <c r="AK26" s="114"/>
      <c r="AL26" s="114">
        <v>0</v>
      </c>
      <c r="AM26" s="114"/>
      <c r="AN26" s="114"/>
      <c r="AO26" s="114">
        <v>0</v>
      </c>
      <c r="AP26" s="114">
        <v>0</v>
      </c>
      <c r="AQ26" s="114"/>
      <c r="AR26" s="114"/>
      <c r="AS26" s="114"/>
      <c r="AT26" s="114">
        <v>0</v>
      </c>
      <c r="AU26" s="29">
        <f>SUM(Tabla1[[#This Row],[Recursos propios2]:[Recursos del Balance2]])</f>
        <v>0</v>
      </c>
      <c r="AV26" s="114">
        <v>0</v>
      </c>
      <c r="AW26" s="128">
        <v>0</v>
      </c>
      <c r="AX26" s="19">
        <f>+Tabla1[[#This Row],[Total Recursos Comprometido 2025]]/Tabla1[[#This Row],[Total 2025]]</f>
        <v>0</v>
      </c>
      <c r="AY26" s="16">
        <f>+Tabla1[[#This Row],[Total Recursos Obligados]]/Tabla1[[#This Row],[Total 2025]]</f>
        <v>0</v>
      </c>
      <c r="AZ26" s="20">
        <f>+Tabla1[[#This Row],[Total Recursos Pagados]]/Tabla1[[#This Row],[Total 2025]]</f>
        <v>0</v>
      </c>
      <c r="BA26" s="64">
        <v>0</v>
      </c>
      <c r="BB26" s="54" t="e">
        <f>+[4]!Tabla1[[#This Row],[Total Recursos Gestionados2]]/[4]!Tabla1[[#This Row],[Total Recursos Comprometido 2024]]</f>
        <v>#REF!</v>
      </c>
      <c r="BC26" s="35" t="s">
        <v>271</v>
      </c>
      <c r="BD26" s="36" t="s">
        <v>270</v>
      </c>
      <c r="BE26" s="37">
        <v>11</v>
      </c>
    </row>
    <row r="27" spans="1:57" s="10" customFormat="1" ht="36">
      <c r="A27" s="60">
        <v>97</v>
      </c>
      <c r="B27" s="60" t="s">
        <v>114</v>
      </c>
      <c r="C27" s="60" t="s">
        <v>121</v>
      </c>
      <c r="D27" s="60" t="s">
        <v>128</v>
      </c>
      <c r="E27" s="60" t="s">
        <v>129</v>
      </c>
      <c r="F27" s="60" t="s">
        <v>133</v>
      </c>
      <c r="G27" s="60" t="s">
        <v>134</v>
      </c>
      <c r="H27" s="60">
        <v>240211900</v>
      </c>
      <c r="I27" s="60" t="s">
        <v>135</v>
      </c>
      <c r="J27" s="60">
        <v>0</v>
      </c>
      <c r="K27" s="60" t="s">
        <v>70</v>
      </c>
      <c r="L27" s="23" t="str">
        <f>+'[3]Plan Indicativo'!AC105</f>
        <v>Acumulativa</v>
      </c>
      <c r="M27" s="23">
        <f>+'[3]Plan Indicativo'!T105</f>
        <v>1</v>
      </c>
      <c r="N27" s="32">
        <f>+'[3]Plan Indicativo'!W105</f>
        <v>0</v>
      </c>
      <c r="O27" s="38">
        <v>0</v>
      </c>
      <c r="P27" s="34" t="str">
        <f t="shared" si="0"/>
        <v xml:space="preserve"> -</v>
      </c>
      <c r="Q27" s="48" t="e">
        <f>+Tabla1[[#This Row],[Logro Vigencia]]/Tabla1[[#This Row],[Meta Programada Vigencia]]</f>
        <v>#DIV/0!</v>
      </c>
      <c r="R27" s="162">
        <v>0</v>
      </c>
      <c r="S27" s="114"/>
      <c r="T27" s="114"/>
      <c r="U27" s="114"/>
      <c r="V27" s="114"/>
      <c r="W27" s="114">
        <v>0</v>
      </c>
      <c r="X27" s="114"/>
      <c r="Y27" s="114"/>
      <c r="Z27" s="114">
        <v>0</v>
      </c>
      <c r="AA27" s="114">
        <v>0</v>
      </c>
      <c r="AB27" s="114"/>
      <c r="AC27" s="114"/>
      <c r="AD27" s="114">
        <v>278962424</v>
      </c>
      <c r="AE27" s="114">
        <v>0</v>
      </c>
      <c r="AF27" s="51">
        <f>SUM(Tabla1[[#This Row],[Recursos propios]:[Recursos del Balance]])</f>
        <v>278962424</v>
      </c>
      <c r="AG27" s="113">
        <v>0</v>
      </c>
      <c r="AH27" s="114"/>
      <c r="AI27" s="114"/>
      <c r="AJ27" s="114"/>
      <c r="AK27" s="114"/>
      <c r="AL27" s="114">
        <v>0</v>
      </c>
      <c r="AM27" s="114"/>
      <c r="AN27" s="114"/>
      <c r="AO27" s="114">
        <v>0</v>
      </c>
      <c r="AP27" s="114">
        <v>0</v>
      </c>
      <c r="AQ27" s="114"/>
      <c r="AR27" s="114"/>
      <c r="AS27" s="114"/>
      <c r="AT27" s="114">
        <v>0</v>
      </c>
      <c r="AU27" s="29">
        <f>SUM(Tabla1[[#This Row],[Recursos propios2]:[Recursos del Balance2]])</f>
        <v>0</v>
      </c>
      <c r="AV27" s="114">
        <v>0</v>
      </c>
      <c r="AW27" s="128">
        <v>0</v>
      </c>
      <c r="AX27" s="19">
        <f>+Tabla1[[#This Row],[Total Recursos Comprometido 2025]]/Tabla1[[#This Row],[Total 2025]]</f>
        <v>0</v>
      </c>
      <c r="AY27" s="16">
        <f>+Tabla1[[#This Row],[Total Recursos Obligados]]/Tabla1[[#This Row],[Total 2025]]</f>
        <v>0</v>
      </c>
      <c r="AZ27" s="20">
        <f>+Tabla1[[#This Row],[Total Recursos Pagados]]/Tabla1[[#This Row],[Total 2025]]</f>
        <v>0</v>
      </c>
      <c r="BA27" s="79">
        <v>0</v>
      </c>
      <c r="BB27" s="54" t="e">
        <f>+[4]!Tabla1[[#This Row],[Total Recursos Gestionados2]]/[4]!Tabla1[[#This Row],[Total Recursos Comprometido 2024]]</f>
        <v>#REF!</v>
      </c>
      <c r="BC27" s="35" t="s">
        <v>271</v>
      </c>
      <c r="BD27" s="36" t="s">
        <v>270</v>
      </c>
      <c r="BE27" s="37">
        <v>11</v>
      </c>
    </row>
    <row r="28" spans="1:57" ht="36">
      <c r="A28" s="62">
        <v>98</v>
      </c>
      <c r="B28" s="62" t="s">
        <v>114</v>
      </c>
      <c r="C28" s="62" t="s">
        <v>121</v>
      </c>
      <c r="D28" s="62" t="s">
        <v>122</v>
      </c>
      <c r="E28" s="62" t="s">
        <v>136</v>
      </c>
      <c r="F28" s="62" t="s">
        <v>137</v>
      </c>
      <c r="G28" s="62" t="s">
        <v>138</v>
      </c>
      <c r="H28" s="62">
        <v>240103900</v>
      </c>
      <c r="I28" s="62" t="s">
        <v>139</v>
      </c>
      <c r="J28" s="63">
        <v>0</v>
      </c>
      <c r="K28" s="62" t="s">
        <v>70</v>
      </c>
      <c r="L28" s="23" t="str">
        <f>+'[3]Plan Indicativo'!AC106</f>
        <v>Acumulativa</v>
      </c>
      <c r="M28" s="23">
        <f>+'[3]Plan Indicativo'!T106</f>
        <v>2</v>
      </c>
      <c r="N28" s="32">
        <f>+'[3]Plan Indicativo'!W106</f>
        <v>0</v>
      </c>
      <c r="O28" s="49">
        <v>0</v>
      </c>
      <c r="P28" s="34" t="str">
        <f t="shared" si="0"/>
        <v xml:space="preserve"> -</v>
      </c>
      <c r="Q28" s="101" t="e">
        <f>+Tabla1[[#This Row],[Logro Vigencia]]/Tabla1[[#This Row],[Meta Programada Vigencia]]</f>
        <v>#DIV/0!</v>
      </c>
      <c r="R28" s="115">
        <v>0</v>
      </c>
      <c r="S28" s="116"/>
      <c r="T28" s="116"/>
      <c r="U28" s="116"/>
      <c r="V28" s="116"/>
      <c r="W28" s="116">
        <v>0</v>
      </c>
      <c r="X28" s="116"/>
      <c r="Y28" s="116"/>
      <c r="Z28" s="116">
        <v>0</v>
      </c>
      <c r="AA28" s="116">
        <v>0</v>
      </c>
      <c r="AB28" s="116"/>
      <c r="AC28" s="116"/>
      <c r="AD28" s="116"/>
      <c r="AE28" s="120">
        <v>0</v>
      </c>
      <c r="AF28" s="51">
        <f>SUM(Tabla1[[#This Row],[Recursos propios]:[Recursos del Balance]])</f>
        <v>0</v>
      </c>
      <c r="AG28" s="115">
        <v>0</v>
      </c>
      <c r="AH28" s="116"/>
      <c r="AI28" s="116"/>
      <c r="AJ28" s="116"/>
      <c r="AK28" s="116"/>
      <c r="AL28" s="116">
        <v>0</v>
      </c>
      <c r="AM28" s="116"/>
      <c r="AN28" s="116"/>
      <c r="AO28" s="116">
        <v>0</v>
      </c>
      <c r="AP28" s="116">
        <v>0</v>
      </c>
      <c r="AQ28" s="116"/>
      <c r="AR28" s="116"/>
      <c r="AS28" s="116"/>
      <c r="AT28" s="172">
        <v>0</v>
      </c>
      <c r="AU28" s="29">
        <f>SUM(Tabla1[[#This Row],[Recursos propios2]:[Recursos del Balance2]])</f>
        <v>0</v>
      </c>
      <c r="AV28" s="116">
        <v>0</v>
      </c>
      <c r="AW28" s="129">
        <v>0</v>
      </c>
      <c r="AX28" s="52" t="e">
        <f>+Tabla1[[#This Row],[Total Recursos Comprometido 2025]]/Tabla1[[#This Row],[Total 2025]]</f>
        <v>#DIV/0!</v>
      </c>
      <c r="AY28" s="17" t="e">
        <f>+Tabla1[[#This Row],[Total Recursos Obligados]]/Tabla1[[#This Row],[Total 2025]]</f>
        <v>#DIV/0!</v>
      </c>
      <c r="AZ28" s="53" t="e">
        <f>+Tabla1[[#This Row],[Total Recursos Pagados]]/Tabla1[[#This Row],[Total 2025]]</f>
        <v>#DIV/0!</v>
      </c>
      <c r="BA28" s="80">
        <v>0</v>
      </c>
      <c r="BB28" s="54" t="e">
        <f>+[4]!Tabla1[[#This Row],[Total Recursos Gestionados2]]/[4]!Tabla1[[#This Row],[Total Recursos Comprometido 2024]]</f>
        <v>#REF!</v>
      </c>
      <c r="BC28" s="35" t="s">
        <v>271</v>
      </c>
      <c r="BD28" s="36" t="s">
        <v>270</v>
      </c>
      <c r="BE28" s="37">
        <v>11</v>
      </c>
    </row>
    <row r="29" spans="1:57" ht="36.75" thickBot="1">
      <c r="A29" s="60">
        <v>99</v>
      </c>
      <c r="B29" s="60" t="s">
        <v>114</v>
      </c>
      <c r="C29" s="60" t="s">
        <v>121</v>
      </c>
      <c r="D29" s="60" t="s">
        <v>128</v>
      </c>
      <c r="E29" s="60" t="s">
        <v>129</v>
      </c>
      <c r="F29" s="60" t="s">
        <v>140</v>
      </c>
      <c r="G29" s="60" t="s">
        <v>141</v>
      </c>
      <c r="H29" s="60">
        <v>240208300</v>
      </c>
      <c r="I29" s="60" t="s">
        <v>142</v>
      </c>
      <c r="J29" s="60">
        <v>0</v>
      </c>
      <c r="K29" s="60" t="s">
        <v>70</v>
      </c>
      <c r="L29" s="23" t="str">
        <f>+'[3]Plan Indicativo'!AC107</f>
        <v>Acumulativa</v>
      </c>
      <c r="M29" s="23">
        <f>+'[3]Plan Indicativo'!T107</f>
        <v>5</v>
      </c>
      <c r="N29" s="32">
        <f>+'[3]Plan Indicativo'!W107</f>
        <v>0</v>
      </c>
      <c r="O29" s="49">
        <v>0</v>
      </c>
      <c r="P29" s="34" t="str">
        <f t="shared" si="0"/>
        <v xml:space="preserve"> -</v>
      </c>
      <c r="Q29" s="101" t="e">
        <f>+Tabla1[[#This Row],[Logro Vigencia]]/Tabla1[[#This Row],[Meta Programada Vigencia]]</f>
        <v>#DIV/0!</v>
      </c>
      <c r="R29" s="161">
        <v>484287426</v>
      </c>
      <c r="S29" s="116"/>
      <c r="T29" s="116"/>
      <c r="U29" s="116"/>
      <c r="V29" s="116"/>
      <c r="W29" s="116">
        <v>0</v>
      </c>
      <c r="X29" s="116"/>
      <c r="Y29" s="116"/>
      <c r="Z29" s="116">
        <v>0</v>
      </c>
      <c r="AA29" s="116">
        <v>0</v>
      </c>
      <c r="AB29" s="116"/>
      <c r="AC29" s="116"/>
      <c r="AD29" s="116"/>
      <c r="AE29" s="120">
        <v>0</v>
      </c>
      <c r="AF29" s="51">
        <f>SUM(Tabla1[[#This Row],[Recursos propios]:[Recursos del Balance]])</f>
        <v>484287426</v>
      </c>
      <c r="AG29" s="115">
        <v>0</v>
      </c>
      <c r="AH29" s="116"/>
      <c r="AI29" s="116"/>
      <c r="AJ29" s="116"/>
      <c r="AK29" s="116"/>
      <c r="AL29" s="116">
        <v>0</v>
      </c>
      <c r="AM29" s="116"/>
      <c r="AN29" s="116"/>
      <c r="AO29" s="116">
        <v>0</v>
      </c>
      <c r="AP29" s="116">
        <v>0</v>
      </c>
      <c r="AQ29" s="116"/>
      <c r="AR29" s="116"/>
      <c r="AS29" s="116"/>
      <c r="AT29" s="120">
        <v>0</v>
      </c>
      <c r="AU29" s="29">
        <f>SUM(Tabla1[[#This Row],[Recursos propios2]:[Recursos del Balance2]])</f>
        <v>0</v>
      </c>
      <c r="AV29" s="116">
        <v>0</v>
      </c>
      <c r="AW29" s="129">
        <v>0</v>
      </c>
      <c r="AX29" s="52">
        <f>+Tabla1[[#This Row],[Total Recursos Comprometido 2025]]/Tabla1[[#This Row],[Total 2025]]</f>
        <v>0</v>
      </c>
      <c r="AY29" s="17">
        <f>+Tabla1[[#This Row],[Total Recursos Obligados]]/Tabla1[[#This Row],[Total 2025]]</f>
        <v>0</v>
      </c>
      <c r="AZ29" s="53">
        <f>+Tabla1[[#This Row],[Total Recursos Pagados]]/Tabla1[[#This Row],[Total 2025]]</f>
        <v>0</v>
      </c>
      <c r="BA29" s="80">
        <v>0</v>
      </c>
      <c r="BB29" s="54" t="e">
        <f>+[4]!Tabla1[[#This Row],[Total Recursos Gestionados2]]/[4]!Tabla1[[#This Row],[Total Recursos Comprometido 2024]]</f>
        <v>#REF!</v>
      </c>
      <c r="BC29" s="55" t="s">
        <v>271</v>
      </c>
      <c r="BD29" s="56" t="s">
        <v>270</v>
      </c>
      <c r="BE29" s="57">
        <v>11</v>
      </c>
    </row>
    <row r="30" spans="1:57" ht="36">
      <c r="A30" s="62">
        <v>100</v>
      </c>
      <c r="B30" s="62" t="s">
        <v>114</v>
      </c>
      <c r="C30" s="62" t="s">
        <v>121</v>
      </c>
      <c r="D30" s="62" t="s">
        <v>128</v>
      </c>
      <c r="E30" s="62" t="s">
        <v>129</v>
      </c>
      <c r="F30" s="62" t="s">
        <v>143</v>
      </c>
      <c r="G30" s="62" t="s">
        <v>144</v>
      </c>
      <c r="H30" s="62">
        <v>240204400</v>
      </c>
      <c r="I30" s="62" t="s">
        <v>145</v>
      </c>
      <c r="J30" s="63">
        <v>3</v>
      </c>
      <c r="K30" s="62" t="s">
        <v>70</v>
      </c>
      <c r="L30" s="23" t="str">
        <f>+'[3]Plan Indicativo'!AC108</f>
        <v>Acumulativa</v>
      </c>
      <c r="M30" s="23">
        <f>+'[3]Plan Indicativo'!T108</f>
        <v>1</v>
      </c>
      <c r="N30" s="32">
        <f>+'[3]Plan Indicativo'!W108</f>
        <v>0</v>
      </c>
      <c r="O30" s="95">
        <v>0</v>
      </c>
      <c r="P30" s="96" t="str">
        <f t="shared" si="0"/>
        <v xml:space="preserve"> -</v>
      </c>
      <c r="Q30" s="102" t="e">
        <f>+Tabla1[[#This Row],[Logro Vigencia]]/Tabla1[[#This Row],[Meta Programada Vigencia]]</f>
        <v>#DIV/0!</v>
      </c>
      <c r="R30" s="121">
        <v>0</v>
      </c>
      <c r="S30" s="122"/>
      <c r="T30" s="122"/>
      <c r="U30" s="122"/>
      <c r="V30" s="122"/>
      <c r="W30" s="122">
        <v>0</v>
      </c>
      <c r="X30" s="122"/>
      <c r="Y30" s="122"/>
      <c r="Z30" s="122">
        <v>0</v>
      </c>
      <c r="AA30" s="122">
        <v>0</v>
      </c>
      <c r="AB30" s="122"/>
      <c r="AC30" s="122"/>
      <c r="AD30" s="122"/>
      <c r="AE30" s="123">
        <v>0</v>
      </c>
      <c r="AF30" s="97">
        <f>SUM(Tabla1[[#This Row],[Recursos propios]:[Recursos del Balance]])</f>
        <v>0</v>
      </c>
      <c r="AG30" s="121">
        <v>0</v>
      </c>
      <c r="AH30" s="122"/>
      <c r="AI30" s="122"/>
      <c r="AJ30" s="122"/>
      <c r="AK30" s="122"/>
      <c r="AL30" s="122">
        <v>0</v>
      </c>
      <c r="AM30" s="122"/>
      <c r="AN30" s="122"/>
      <c r="AO30" s="122">
        <v>0</v>
      </c>
      <c r="AP30" s="122">
        <v>0</v>
      </c>
      <c r="AQ30" s="122"/>
      <c r="AR30" s="122"/>
      <c r="AS30" s="122"/>
      <c r="AT30" s="123">
        <v>0</v>
      </c>
      <c r="AU30" s="98">
        <f>SUM(Tabla1[[#This Row],[Recursos propios2]:[Recursos del Balance2]])</f>
        <v>0</v>
      </c>
      <c r="AV30" s="122">
        <v>0</v>
      </c>
      <c r="AW30" s="122">
        <v>0</v>
      </c>
      <c r="AX30" s="99" t="e">
        <f>+Tabla1[[#This Row],[Total Recursos Comprometido 2025]]/Tabla1[[#This Row],[Total 2025]]</f>
        <v>#DIV/0!</v>
      </c>
      <c r="AY30" s="100" t="e">
        <f>+Tabla1[[#This Row],[Total Recursos Obligados]]/Tabla1[[#This Row],[Total 2025]]</f>
        <v>#DIV/0!</v>
      </c>
      <c r="AZ30" s="100" t="e">
        <f>+Tabla1[[#This Row],[Total Recursos Pagados]]/Tabla1[[#This Row],[Total 2025]]</f>
        <v>#DIV/0!</v>
      </c>
      <c r="BA30" s="15">
        <v>0</v>
      </c>
      <c r="BB30" s="54" t="e">
        <f>+[4]!Tabla1[[#This Row],[Total Recursos Gestionados2]]/[4]!Tabla1[[#This Row],[Total Recursos Comprometido 2024]]</f>
        <v>#REF!</v>
      </c>
      <c r="BC30" s="35" t="s">
        <v>271</v>
      </c>
      <c r="BD30" s="22" t="s">
        <v>270</v>
      </c>
      <c r="BE30" s="37">
        <v>11</v>
      </c>
    </row>
    <row r="31" spans="1:57" ht="36">
      <c r="A31" s="60">
        <v>101</v>
      </c>
      <c r="B31" s="60" t="s">
        <v>114</v>
      </c>
      <c r="C31" s="60" t="s">
        <v>121</v>
      </c>
      <c r="D31" s="60" t="s">
        <v>128</v>
      </c>
      <c r="E31" s="60" t="s">
        <v>129</v>
      </c>
      <c r="F31" s="60" t="s">
        <v>146</v>
      </c>
      <c r="G31" s="60" t="s">
        <v>147</v>
      </c>
      <c r="H31" s="60">
        <v>240211800</v>
      </c>
      <c r="I31" s="60" t="s">
        <v>148</v>
      </c>
      <c r="J31" s="60">
        <v>0</v>
      </c>
      <c r="K31" s="60" t="s">
        <v>70</v>
      </c>
      <c r="L31" s="23" t="str">
        <f>+'[3]Plan Indicativo'!AC109</f>
        <v>Acumulativa</v>
      </c>
      <c r="M31" s="23">
        <f>+'[3]Plan Indicativo'!T109</f>
        <v>4</v>
      </c>
      <c r="N31" s="32">
        <f>+'[3]Plan Indicativo'!W109</f>
        <v>1</v>
      </c>
      <c r="O31" s="49">
        <v>0.9</v>
      </c>
      <c r="P31" s="34">
        <f t="shared" si="0"/>
        <v>0.9</v>
      </c>
      <c r="Q31" s="61">
        <f>+Tabla1[[#This Row],[Logro Vigencia]]/Tabla1[[#This Row],[Meta Programada Vigencia]]</f>
        <v>0.9</v>
      </c>
      <c r="R31" s="115">
        <v>0</v>
      </c>
      <c r="S31" s="116"/>
      <c r="T31" s="116"/>
      <c r="U31" s="116"/>
      <c r="V31" s="116"/>
      <c r="W31" s="116">
        <v>0</v>
      </c>
      <c r="X31" s="116"/>
      <c r="Y31" s="116"/>
      <c r="Z31" s="116">
        <v>0</v>
      </c>
      <c r="AA31" s="116">
        <v>0</v>
      </c>
      <c r="AB31" s="116"/>
      <c r="AC31" s="116"/>
      <c r="AD31" s="116">
        <v>120344831</v>
      </c>
      <c r="AE31" s="120">
        <v>0</v>
      </c>
      <c r="AF31" s="15">
        <f>SUM(Tabla1[[#This Row],[Recursos propios]:[Recursos del Balance]])</f>
        <v>120344831</v>
      </c>
      <c r="AG31" s="115">
        <v>0</v>
      </c>
      <c r="AH31" s="116"/>
      <c r="AI31" s="116"/>
      <c r="AJ31" s="116"/>
      <c r="AK31" s="116"/>
      <c r="AL31" s="116">
        <v>0</v>
      </c>
      <c r="AM31" s="116"/>
      <c r="AN31" s="116"/>
      <c r="AO31" s="116">
        <v>0</v>
      </c>
      <c r="AP31" s="116">
        <v>0</v>
      </c>
      <c r="AQ31" s="116"/>
      <c r="AR31" s="116"/>
      <c r="AS31" s="116"/>
      <c r="AT31" s="120">
        <v>0</v>
      </c>
      <c r="AU31" s="29">
        <f>SUM(Tabla1[[#This Row],[Recursos propios2]:[Recursos del Balance2]])</f>
        <v>0</v>
      </c>
      <c r="AV31" s="116">
        <v>0</v>
      </c>
      <c r="AW31" s="116">
        <v>0</v>
      </c>
      <c r="AX31" s="52">
        <f>+Tabla1[[#This Row],[Total Recursos Comprometido 2025]]/Tabla1[[#This Row],[Total 2025]]</f>
        <v>0</v>
      </c>
      <c r="AY31" s="17">
        <f>+Tabla1[[#This Row],[Total Recursos Obligados]]/Tabla1[[#This Row],[Total 2025]]</f>
        <v>0</v>
      </c>
      <c r="AZ31" s="17">
        <f>+Tabla1[[#This Row],[Total Recursos Pagados]]/Tabla1[[#This Row],[Total 2025]]</f>
        <v>0</v>
      </c>
      <c r="BA31" s="15">
        <v>0</v>
      </c>
      <c r="BB31" s="54" t="e">
        <f>+[4]!Tabla1[[#This Row],[Total Recursos Gestionados2]]/[4]!Tabla1[[#This Row],[Total Recursos Comprometido 2024]]</f>
        <v>#REF!</v>
      </c>
      <c r="BC31" s="35" t="s">
        <v>271</v>
      </c>
      <c r="BD31" s="22" t="s">
        <v>270</v>
      </c>
      <c r="BE31" s="37">
        <v>11</v>
      </c>
    </row>
    <row r="32" spans="1:57" ht="36">
      <c r="A32" s="62">
        <v>102</v>
      </c>
      <c r="B32" s="62" t="s">
        <v>114</v>
      </c>
      <c r="C32" s="62" t="s">
        <v>121</v>
      </c>
      <c r="D32" s="62" t="s">
        <v>128</v>
      </c>
      <c r="E32" s="62" t="s">
        <v>129</v>
      </c>
      <c r="F32" s="62" t="s">
        <v>149</v>
      </c>
      <c r="G32" s="62" t="s">
        <v>150</v>
      </c>
      <c r="H32" s="62">
        <v>240211300</v>
      </c>
      <c r="I32" s="62" t="s">
        <v>151</v>
      </c>
      <c r="J32" s="63">
        <v>0</v>
      </c>
      <c r="K32" s="62" t="s">
        <v>152</v>
      </c>
      <c r="L32" s="23" t="str">
        <f>+'[3]Plan Indicativo'!AC110</f>
        <v>Acumulativa</v>
      </c>
      <c r="M32" s="23">
        <f>+'[3]Plan Indicativo'!T110</f>
        <v>1</v>
      </c>
      <c r="N32" s="32">
        <f>+'[3]Plan Indicativo'!W110</f>
        <v>0</v>
      </c>
      <c r="O32" s="49">
        <v>0</v>
      </c>
      <c r="P32" s="34" t="str">
        <f t="shared" si="0"/>
        <v xml:space="preserve"> -</v>
      </c>
      <c r="Q32" s="61" t="e">
        <f>+Tabla1[[#This Row],[Logro Vigencia]]/Tabla1[[#This Row],[Meta Programada Vigencia]]</f>
        <v>#DIV/0!</v>
      </c>
      <c r="R32" s="115">
        <v>3241809429</v>
      </c>
      <c r="S32" s="116"/>
      <c r="T32" s="116"/>
      <c r="U32" s="116"/>
      <c r="V32" s="116"/>
      <c r="W32" s="116">
        <v>0</v>
      </c>
      <c r="X32" s="116"/>
      <c r="Y32" s="116"/>
      <c r="Z32" s="116">
        <v>0</v>
      </c>
      <c r="AA32" s="116">
        <v>0</v>
      </c>
      <c r="AB32" s="116"/>
      <c r="AC32" s="116"/>
      <c r="AD32" s="116">
        <v>350000000</v>
      </c>
      <c r="AE32" s="120">
        <v>0</v>
      </c>
      <c r="AF32" s="15">
        <f>SUM(Tabla1[[#This Row],[Recursos propios]:[Recursos del Balance]])</f>
        <v>3591809429</v>
      </c>
      <c r="AG32" s="115">
        <v>0</v>
      </c>
      <c r="AH32" s="116"/>
      <c r="AI32" s="116"/>
      <c r="AJ32" s="116"/>
      <c r="AK32" s="116"/>
      <c r="AL32" s="116">
        <v>0</v>
      </c>
      <c r="AM32" s="116"/>
      <c r="AN32" s="116"/>
      <c r="AO32" s="116">
        <v>0</v>
      </c>
      <c r="AP32" s="116">
        <v>0</v>
      </c>
      <c r="AQ32" s="116"/>
      <c r="AR32" s="116"/>
      <c r="AS32" s="116"/>
      <c r="AT32" s="120">
        <v>0</v>
      </c>
      <c r="AU32" s="29">
        <f>SUM(Tabla1[[#This Row],[Recursos propios2]:[Recursos del Balance2]])</f>
        <v>0</v>
      </c>
      <c r="AV32" s="116">
        <v>0</v>
      </c>
      <c r="AW32" s="116">
        <v>0</v>
      </c>
      <c r="AX32" s="52">
        <f>+Tabla1[[#This Row],[Total Recursos Comprometido 2025]]/Tabla1[[#This Row],[Total 2025]]</f>
        <v>0</v>
      </c>
      <c r="AY32" s="17">
        <f>+Tabla1[[#This Row],[Total Recursos Obligados]]/Tabla1[[#This Row],[Total 2025]]</f>
        <v>0</v>
      </c>
      <c r="AZ32" s="17">
        <f>+Tabla1[[#This Row],[Total Recursos Pagados]]/Tabla1[[#This Row],[Total 2025]]</f>
        <v>0</v>
      </c>
      <c r="BA32" s="15">
        <v>0</v>
      </c>
      <c r="BB32" s="54" t="e">
        <f>+[4]!Tabla1[[#This Row],[Total Recursos Gestionados2]]/[4]!Tabla1[[#This Row],[Total Recursos Comprometido 2024]]</f>
        <v>#REF!</v>
      </c>
      <c r="BC32" s="35" t="s">
        <v>271</v>
      </c>
      <c r="BD32" s="22" t="s">
        <v>270</v>
      </c>
      <c r="BE32" s="37">
        <v>11</v>
      </c>
    </row>
    <row r="33" spans="1:57" ht="36">
      <c r="A33" s="60">
        <v>103</v>
      </c>
      <c r="B33" s="60" t="s">
        <v>114</v>
      </c>
      <c r="C33" s="60" t="s">
        <v>121</v>
      </c>
      <c r="D33" s="60" t="s">
        <v>128</v>
      </c>
      <c r="E33" s="60" t="s">
        <v>129</v>
      </c>
      <c r="F33" s="60" t="s">
        <v>153</v>
      </c>
      <c r="G33" s="60" t="s">
        <v>154</v>
      </c>
      <c r="H33" s="60">
        <v>240211400</v>
      </c>
      <c r="I33" s="60" t="s">
        <v>155</v>
      </c>
      <c r="J33" s="60">
        <v>14</v>
      </c>
      <c r="K33" s="60" t="s">
        <v>127</v>
      </c>
      <c r="L33" s="23" t="str">
        <f>+'[3]Plan Indicativo'!AC111</f>
        <v>Acumulativa</v>
      </c>
      <c r="M33" s="23">
        <f>+'[3]Plan Indicativo'!T111</f>
        <v>20</v>
      </c>
      <c r="N33" s="32">
        <f>+'[3]Plan Indicativo'!W111</f>
        <v>17.16</v>
      </c>
      <c r="O33" s="49">
        <v>24.315000000000001</v>
      </c>
      <c r="P33" s="34">
        <f t="shared" si="0"/>
        <v>1</v>
      </c>
      <c r="Q33" s="61">
        <f>+Tabla1[[#This Row],[Logro Vigencia]]/Tabla1[[#This Row],[Meta Programada Vigencia]]</f>
        <v>1.4169580419580421</v>
      </c>
      <c r="R33" s="124">
        <v>33127736917.299999</v>
      </c>
      <c r="S33" s="116"/>
      <c r="T33" s="116"/>
      <c r="U33" s="116"/>
      <c r="V33" s="116"/>
      <c r="W33" s="116"/>
      <c r="X33" s="116"/>
      <c r="Y33" s="116"/>
      <c r="Z33" s="116">
        <v>0</v>
      </c>
      <c r="AA33" s="116">
        <v>0</v>
      </c>
      <c r="AB33" s="116"/>
      <c r="AC33" s="116"/>
      <c r="AD33" s="116"/>
      <c r="AE33" s="120">
        <v>0</v>
      </c>
      <c r="AF33" s="15">
        <f>SUM(Tabla1[[#This Row],[Recursos propios]:[Recursos del Balance]])</f>
        <v>33127736917.299999</v>
      </c>
      <c r="AG33" s="115">
        <v>17776952761</v>
      </c>
      <c r="AH33" s="116"/>
      <c r="AI33" s="116"/>
      <c r="AJ33" s="116"/>
      <c r="AK33" s="116"/>
      <c r="AL33" s="116">
        <v>12354998254.33</v>
      </c>
      <c r="AM33" s="116"/>
      <c r="AN33" s="116"/>
      <c r="AO33" s="116">
        <v>0</v>
      </c>
      <c r="AP33" s="116">
        <v>0</v>
      </c>
      <c r="AQ33" s="116"/>
      <c r="AR33" s="116"/>
      <c r="AS33" s="116">
        <v>1949291925.97</v>
      </c>
      <c r="AT33" s="120">
        <v>0</v>
      </c>
      <c r="AU33" s="29">
        <f>SUM(Tabla1[[#This Row],[Recursos propios2]:[Recursos del Balance2]])</f>
        <v>32081242941.300003</v>
      </c>
      <c r="AV33" s="114">
        <v>28572422604.529999</v>
      </c>
      <c r="AW33" s="130">
        <v>28572422604.529999</v>
      </c>
      <c r="AX33" s="52">
        <f>+Tabla1[[#This Row],[Total Recursos Comprometido 2025]]/Tabla1[[#This Row],[Total 2025]]</f>
        <v>0.96841033908798357</v>
      </c>
      <c r="AY33" s="17">
        <f>+Tabla1[[#This Row],[Total Recursos Obligados]]/Tabla1[[#This Row],[Total 2025]]</f>
        <v>0.86249243876387105</v>
      </c>
      <c r="AZ33" s="17">
        <f>+Tabla1[[#This Row],[Total Recursos Pagados]]/Tabla1[[#This Row],[Total 2025]]</f>
        <v>0.86249243876387105</v>
      </c>
      <c r="BA33" s="15">
        <v>0</v>
      </c>
      <c r="BB33" s="54" t="e">
        <f>+[4]!Tabla1[[#This Row],[Total Recursos Gestionados2]]/[4]!Tabla1[[#This Row],[Total Recursos Comprometido 2024]]</f>
        <v>#REF!</v>
      </c>
      <c r="BC33" s="35" t="s">
        <v>271</v>
      </c>
      <c r="BD33" s="22" t="s">
        <v>270</v>
      </c>
      <c r="BE33" s="37">
        <v>11</v>
      </c>
    </row>
    <row r="34" spans="1:57" ht="36">
      <c r="A34" s="62">
        <v>104</v>
      </c>
      <c r="B34" s="62" t="s">
        <v>114</v>
      </c>
      <c r="C34" s="62" t="s">
        <v>121</v>
      </c>
      <c r="D34" s="62" t="s">
        <v>128</v>
      </c>
      <c r="E34" s="62" t="s">
        <v>129</v>
      </c>
      <c r="F34" s="62" t="s">
        <v>156</v>
      </c>
      <c r="G34" s="62" t="s">
        <v>157</v>
      </c>
      <c r="H34" s="62">
        <v>240211500</v>
      </c>
      <c r="I34" s="62" t="s">
        <v>158</v>
      </c>
      <c r="J34" s="63">
        <v>0</v>
      </c>
      <c r="K34" s="62" t="s">
        <v>127</v>
      </c>
      <c r="L34" s="23" t="str">
        <f>+'[3]Plan Indicativo'!AC112</f>
        <v>Acumulativa</v>
      </c>
      <c r="M34" s="23">
        <f>+'[3]Plan Indicativo'!T112</f>
        <v>80</v>
      </c>
      <c r="N34" s="32">
        <f>+'[3]Plan Indicativo'!W112</f>
        <v>0</v>
      </c>
      <c r="O34" s="49">
        <v>0</v>
      </c>
      <c r="P34" s="34" t="str">
        <f t="shared" si="0"/>
        <v xml:space="preserve"> -</v>
      </c>
      <c r="Q34" s="61" t="e">
        <f>+Tabla1[[#This Row],[Logro Vigencia]]/Tabla1[[#This Row],[Meta Programada Vigencia]]</f>
        <v>#DIV/0!</v>
      </c>
      <c r="R34" s="115">
        <v>0</v>
      </c>
      <c r="S34" s="116"/>
      <c r="T34" s="116"/>
      <c r="U34" s="116"/>
      <c r="V34" s="116"/>
      <c r="W34" s="116">
        <v>0</v>
      </c>
      <c r="X34" s="116"/>
      <c r="Y34" s="116"/>
      <c r="Z34" s="116">
        <v>0</v>
      </c>
      <c r="AA34" s="116">
        <v>0</v>
      </c>
      <c r="AB34" s="116"/>
      <c r="AC34" s="116"/>
      <c r="AD34" s="116"/>
      <c r="AE34" s="120">
        <v>0</v>
      </c>
      <c r="AF34" s="15">
        <f>SUM(Tabla1[[#This Row],[Recursos propios]:[Recursos del Balance]])</f>
        <v>0</v>
      </c>
      <c r="AG34" s="115">
        <v>0</v>
      </c>
      <c r="AH34" s="116"/>
      <c r="AI34" s="116"/>
      <c r="AJ34" s="116"/>
      <c r="AK34" s="116"/>
      <c r="AL34" s="116">
        <v>0</v>
      </c>
      <c r="AM34" s="116"/>
      <c r="AN34" s="116"/>
      <c r="AO34" s="116">
        <v>0</v>
      </c>
      <c r="AP34" s="116">
        <v>0</v>
      </c>
      <c r="AQ34" s="116"/>
      <c r="AR34" s="116"/>
      <c r="AS34" s="116"/>
      <c r="AT34" s="120">
        <v>0</v>
      </c>
      <c r="AU34" s="29">
        <f>SUM(Tabla1[[#This Row],[Recursos propios2]:[Recursos del Balance2]])</f>
        <v>0</v>
      </c>
      <c r="AV34" s="116">
        <v>0</v>
      </c>
      <c r="AW34" s="116">
        <v>0</v>
      </c>
      <c r="AX34" s="52" t="e">
        <f>+Tabla1[[#This Row],[Total Recursos Comprometido 2025]]/Tabla1[[#This Row],[Total 2025]]</f>
        <v>#DIV/0!</v>
      </c>
      <c r="AY34" s="17" t="e">
        <f>+Tabla1[[#This Row],[Total Recursos Obligados]]/Tabla1[[#This Row],[Total 2025]]</f>
        <v>#DIV/0!</v>
      </c>
      <c r="AZ34" s="17" t="e">
        <f>+Tabla1[[#This Row],[Total Recursos Pagados]]/Tabla1[[#This Row],[Total 2025]]</f>
        <v>#DIV/0!</v>
      </c>
      <c r="BA34" s="15">
        <v>0</v>
      </c>
      <c r="BB34" s="54" t="e">
        <f>+[4]!Tabla1[[#This Row],[Total Recursos Gestionados2]]/[4]!Tabla1[[#This Row],[Total Recursos Comprometido 2024]]</f>
        <v>#REF!</v>
      </c>
      <c r="BC34" s="35" t="s">
        <v>271</v>
      </c>
      <c r="BD34" s="22" t="s">
        <v>270</v>
      </c>
      <c r="BE34" s="37">
        <v>11</v>
      </c>
    </row>
    <row r="35" spans="1:57" ht="36">
      <c r="A35" s="60">
        <v>105</v>
      </c>
      <c r="B35" s="60" t="s">
        <v>114</v>
      </c>
      <c r="C35" s="60" t="s">
        <v>121</v>
      </c>
      <c r="D35" s="60" t="s">
        <v>128</v>
      </c>
      <c r="E35" s="60" t="s">
        <v>129</v>
      </c>
      <c r="F35" s="60" t="s">
        <v>159</v>
      </c>
      <c r="G35" s="60" t="s">
        <v>160</v>
      </c>
      <c r="H35" s="60">
        <v>240204200</v>
      </c>
      <c r="I35" s="60" t="s">
        <v>161</v>
      </c>
      <c r="J35" s="60">
        <v>4660</v>
      </c>
      <c r="K35" s="60" t="s">
        <v>162</v>
      </c>
      <c r="L35" s="23" t="str">
        <f>+'[3]Plan Indicativo'!AC113</f>
        <v>Acumulativa</v>
      </c>
      <c r="M35" s="23">
        <f>+'[3]Plan Indicativo'!T113</f>
        <v>5000</v>
      </c>
      <c r="N35" s="32">
        <f>+'[3]Plan Indicativo'!W113</f>
        <v>4000</v>
      </c>
      <c r="O35" s="49">
        <v>3049</v>
      </c>
      <c r="P35" s="34">
        <f t="shared" si="0"/>
        <v>0.76224999999999998</v>
      </c>
      <c r="Q35" s="61">
        <f>+Tabla1[[#This Row],[Logro Vigencia]]/Tabla1[[#This Row],[Meta Programada Vigencia]]</f>
        <v>0.76224999999999998</v>
      </c>
      <c r="R35" s="161">
        <v>5122592280</v>
      </c>
      <c r="S35" s="116"/>
      <c r="T35" s="116"/>
      <c r="U35" s="116"/>
      <c r="V35" s="116"/>
      <c r="W35" s="116">
        <v>0</v>
      </c>
      <c r="X35" s="116"/>
      <c r="Y35" s="116"/>
      <c r="Z35" s="116">
        <v>0</v>
      </c>
      <c r="AA35" s="116">
        <v>0</v>
      </c>
      <c r="AB35" s="116"/>
      <c r="AC35" s="116"/>
      <c r="AD35" s="116">
        <v>4400000000</v>
      </c>
      <c r="AE35" s="120">
        <v>0</v>
      </c>
      <c r="AF35" s="15">
        <f>SUM(Tabla1[[#This Row],[Recursos propios]:[Recursos del Balance]])</f>
        <v>9522592280</v>
      </c>
      <c r="AG35" s="161">
        <v>4112543505</v>
      </c>
      <c r="AH35" s="116"/>
      <c r="AI35" s="116"/>
      <c r="AJ35" s="116"/>
      <c r="AK35" s="116"/>
      <c r="AL35" s="116">
        <v>0</v>
      </c>
      <c r="AM35" s="116"/>
      <c r="AN35" s="116"/>
      <c r="AO35" s="116">
        <v>0</v>
      </c>
      <c r="AP35" s="116">
        <v>0</v>
      </c>
      <c r="AQ35" s="116"/>
      <c r="AR35" s="116"/>
      <c r="AS35" s="116">
        <v>4399764092.5</v>
      </c>
      <c r="AT35" s="120">
        <v>0</v>
      </c>
      <c r="AU35" s="29">
        <f>SUM(Tabla1[[#This Row],[Recursos propios2]:[Recursos del Balance2]])</f>
        <v>8512307597.5</v>
      </c>
      <c r="AV35" s="160">
        <v>8448552455</v>
      </c>
      <c r="AW35" s="160">
        <v>8444552455</v>
      </c>
      <c r="AX35" s="52">
        <f>+Tabla1[[#This Row],[Total Recursos Comprometido 2025]]/Tabla1[[#This Row],[Total 2025]]</f>
        <v>0.89390654846980389</v>
      </c>
      <c r="AY35" s="17">
        <f>+Tabla1[[#This Row],[Total Recursos Obligados]]/Tabla1[[#This Row],[Total 2025]]</f>
        <v>0.88721140279671828</v>
      </c>
      <c r="AZ35" s="17">
        <f>+Tabla1[[#This Row],[Total Recursos Pagados]]/Tabla1[[#This Row],[Total 2025]]</f>
        <v>0.88679134910940449</v>
      </c>
      <c r="BA35" s="15">
        <v>0</v>
      </c>
      <c r="BB35" s="54" t="e">
        <f>+[4]!Tabla1[[#This Row],[Total Recursos Gestionados2]]/[4]!Tabla1[[#This Row],[Total Recursos Comprometido 2024]]</f>
        <v>#REF!</v>
      </c>
      <c r="BC35" s="35" t="s">
        <v>271</v>
      </c>
      <c r="BD35" s="22" t="s">
        <v>270</v>
      </c>
      <c r="BE35" s="37">
        <v>11</v>
      </c>
    </row>
    <row r="36" spans="1:57" ht="36">
      <c r="A36" s="62">
        <v>106</v>
      </c>
      <c r="B36" s="62" t="s">
        <v>114</v>
      </c>
      <c r="C36" s="62" t="s">
        <v>121</v>
      </c>
      <c r="D36" s="62" t="s">
        <v>128</v>
      </c>
      <c r="E36" s="62" t="s">
        <v>129</v>
      </c>
      <c r="F36" s="62" t="s">
        <v>163</v>
      </c>
      <c r="G36" s="62" t="s">
        <v>164</v>
      </c>
      <c r="H36" s="62">
        <v>240211200</v>
      </c>
      <c r="I36" s="62" t="s">
        <v>165</v>
      </c>
      <c r="J36" s="63">
        <v>110</v>
      </c>
      <c r="K36" s="62" t="s">
        <v>127</v>
      </c>
      <c r="L36" s="23" t="str">
        <f>+'[3]Plan Indicativo'!AC114</f>
        <v>No Acumulativa</v>
      </c>
      <c r="M36" s="23">
        <f>+'[3]Plan Indicativo'!T114</f>
        <v>110</v>
      </c>
      <c r="N36" s="32">
        <f>+'[3]Plan Indicativo'!W114</f>
        <v>110</v>
      </c>
      <c r="O36" s="168">
        <v>221</v>
      </c>
      <c r="P36" s="34">
        <f t="shared" si="0"/>
        <v>1</v>
      </c>
      <c r="Q36" s="61">
        <f>+Tabla1[[#This Row],[Logro Vigencia]]/Tabla1[[#This Row],[Meta Programada Vigencia]]</f>
        <v>2.0090909090909093</v>
      </c>
      <c r="R36" s="115">
        <v>3000000000</v>
      </c>
      <c r="S36" s="116"/>
      <c r="T36" s="116"/>
      <c r="U36" s="116"/>
      <c r="V36" s="116"/>
      <c r="W36" s="116">
        <v>0</v>
      </c>
      <c r="X36" s="116"/>
      <c r="Y36" s="116"/>
      <c r="Z36" s="116">
        <v>0</v>
      </c>
      <c r="AA36" s="116">
        <v>0</v>
      </c>
      <c r="AB36" s="116"/>
      <c r="AC36" s="116"/>
      <c r="AD36" s="116"/>
      <c r="AE36" s="120">
        <v>0</v>
      </c>
      <c r="AF36" s="15">
        <f>SUM(Tabla1[[#This Row],[Recursos propios]:[Recursos del Balance]])</f>
        <v>3000000000</v>
      </c>
      <c r="AG36" s="115">
        <v>3000000000</v>
      </c>
      <c r="AH36" s="116"/>
      <c r="AI36" s="116"/>
      <c r="AJ36" s="116"/>
      <c r="AK36" s="116"/>
      <c r="AL36" s="116">
        <v>0</v>
      </c>
      <c r="AM36" s="116"/>
      <c r="AN36" s="116"/>
      <c r="AO36" s="116">
        <v>0</v>
      </c>
      <c r="AP36" s="116">
        <v>0</v>
      </c>
      <c r="AQ36" s="116"/>
      <c r="AR36" s="116"/>
      <c r="AS36" s="116"/>
      <c r="AT36" s="120">
        <v>0</v>
      </c>
      <c r="AU36" s="29">
        <f>SUM(Tabla1[[#This Row],[Recursos propios2]:[Recursos del Balance2]])</f>
        <v>3000000000</v>
      </c>
      <c r="AV36" s="116">
        <v>2859916391.5599999</v>
      </c>
      <c r="AW36" s="116">
        <v>2859916391.5599999</v>
      </c>
      <c r="AX36" s="52">
        <f>+Tabla1[[#This Row],[Total Recursos Comprometido 2025]]/Tabla1[[#This Row],[Total 2025]]</f>
        <v>1</v>
      </c>
      <c r="AY36" s="17">
        <f>+Tabla1[[#This Row],[Total Recursos Obligados]]/Tabla1[[#This Row],[Total 2025]]</f>
        <v>0.95330546385333337</v>
      </c>
      <c r="AZ36" s="17">
        <f>+Tabla1[[#This Row],[Total Recursos Pagados]]/Tabla1[[#This Row],[Total 2025]]</f>
        <v>0.95330546385333337</v>
      </c>
      <c r="BA36" s="15">
        <v>0</v>
      </c>
      <c r="BB36" s="54" t="e">
        <f>+[4]!Tabla1[[#This Row],[Total Recursos Gestionados2]]/[4]!Tabla1[[#This Row],[Total Recursos Comprometido 2024]]</f>
        <v>#REF!</v>
      </c>
      <c r="BC36" s="35" t="s">
        <v>271</v>
      </c>
      <c r="BD36" s="22" t="s">
        <v>270</v>
      </c>
      <c r="BE36" s="37">
        <v>11</v>
      </c>
    </row>
    <row r="37" spans="1:57" ht="36">
      <c r="A37" s="60">
        <v>107</v>
      </c>
      <c r="B37" s="60" t="s">
        <v>114</v>
      </c>
      <c r="C37" s="60" t="s">
        <v>121</v>
      </c>
      <c r="D37" s="60" t="s">
        <v>128</v>
      </c>
      <c r="E37" s="60" t="s">
        <v>129</v>
      </c>
      <c r="F37" s="60" t="s">
        <v>166</v>
      </c>
      <c r="G37" s="60" t="s">
        <v>167</v>
      </c>
      <c r="H37" s="60">
        <v>240207000</v>
      </c>
      <c r="I37" s="60" t="s">
        <v>168</v>
      </c>
      <c r="J37" s="60">
        <v>0</v>
      </c>
      <c r="K37" s="60" t="s">
        <v>70</v>
      </c>
      <c r="L37" s="23" t="str">
        <f>+'[3]Plan Indicativo'!AC115</f>
        <v>Acumulativa</v>
      </c>
      <c r="M37" s="23">
        <f>+'[3]Plan Indicativo'!T115</f>
        <v>1</v>
      </c>
      <c r="N37" s="32">
        <f>+'[3]Plan Indicativo'!W115</f>
        <v>0</v>
      </c>
      <c r="O37" s="49">
        <v>0</v>
      </c>
      <c r="P37" s="34" t="str">
        <f t="shared" si="0"/>
        <v xml:space="preserve"> -</v>
      </c>
      <c r="Q37" s="61" t="e">
        <f>+Tabla1[[#This Row],[Logro Vigencia]]/Tabla1[[#This Row],[Meta Programada Vigencia]]</f>
        <v>#DIV/0!</v>
      </c>
      <c r="R37" s="115">
        <v>0</v>
      </c>
      <c r="S37" s="116"/>
      <c r="T37" s="116"/>
      <c r="U37" s="116"/>
      <c r="V37" s="116"/>
      <c r="W37" s="116">
        <v>0</v>
      </c>
      <c r="X37" s="116"/>
      <c r="Y37" s="116"/>
      <c r="Z37" s="116">
        <v>0</v>
      </c>
      <c r="AA37" s="116">
        <v>0</v>
      </c>
      <c r="AB37" s="116"/>
      <c r="AC37" s="116"/>
      <c r="AD37" s="116"/>
      <c r="AE37" s="120">
        <v>0</v>
      </c>
      <c r="AF37" s="15">
        <f>SUM(Tabla1[[#This Row],[Recursos propios]:[Recursos del Balance]])</f>
        <v>0</v>
      </c>
      <c r="AG37" s="115">
        <v>0</v>
      </c>
      <c r="AH37" s="116"/>
      <c r="AI37" s="116"/>
      <c r="AJ37" s="116"/>
      <c r="AK37" s="116"/>
      <c r="AL37" s="116">
        <v>0</v>
      </c>
      <c r="AM37" s="116"/>
      <c r="AN37" s="116"/>
      <c r="AO37" s="116">
        <v>0</v>
      </c>
      <c r="AP37" s="116">
        <v>0</v>
      </c>
      <c r="AQ37" s="116"/>
      <c r="AR37" s="116"/>
      <c r="AS37" s="116"/>
      <c r="AT37" s="120">
        <v>0</v>
      </c>
      <c r="AU37" s="29">
        <f>SUM(Tabla1[[#This Row],[Recursos propios2]:[Recursos del Balance2]])</f>
        <v>0</v>
      </c>
      <c r="AV37" s="116">
        <v>0</v>
      </c>
      <c r="AW37" s="116">
        <v>0</v>
      </c>
      <c r="AX37" s="52" t="e">
        <f>+Tabla1[[#This Row],[Total Recursos Comprometido 2025]]/Tabla1[[#This Row],[Total 2025]]</f>
        <v>#DIV/0!</v>
      </c>
      <c r="AY37" s="17" t="e">
        <f>+Tabla1[[#This Row],[Total Recursos Obligados]]/Tabla1[[#This Row],[Total 2025]]</f>
        <v>#DIV/0!</v>
      </c>
      <c r="AZ37" s="17" t="e">
        <f>+Tabla1[[#This Row],[Total Recursos Pagados]]/Tabla1[[#This Row],[Total 2025]]</f>
        <v>#DIV/0!</v>
      </c>
      <c r="BA37" s="15">
        <v>0</v>
      </c>
      <c r="BB37" s="54" t="e">
        <f>+[4]!Tabla1[[#This Row],[Total Recursos Gestionados2]]/[4]!Tabla1[[#This Row],[Total Recursos Comprometido 2024]]</f>
        <v>#REF!</v>
      </c>
      <c r="BC37" s="35" t="s">
        <v>271</v>
      </c>
      <c r="BD37" s="22" t="s">
        <v>270</v>
      </c>
      <c r="BE37" s="37">
        <v>11</v>
      </c>
    </row>
    <row r="38" spans="1:57" ht="36">
      <c r="A38" s="62">
        <v>108</v>
      </c>
      <c r="B38" s="62" t="s">
        <v>114</v>
      </c>
      <c r="C38" s="62" t="s">
        <v>121</v>
      </c>
      <c r="D38" s="62" t="s">
        <v>128</v>
      </c>
      <c r="E38" s="62" t="s">
        <v>129</v>
      </c>
      <c r="F38" s="62" t="s">
        <v>169</v>
      </c>
      <c r="G38" s="62" t="s">
        <v>170</v>
      </c>
      <c r="H38" s="62">
        <v>240206200</v>
      </c>
      <c r="I38" s="62" t="s">
        <v>171</v>
      </c>
      <c r="J38" s="63">
        <v>0</v>
      </c>
      <c r="K38" s="62" t="s">
        <v>70</v>
      </c>
      <c r="L38" s="23" t="str">
        <f>+'[3]Plan Indicativo'!AC116</f>
        <v>Acumulativa</v>
      </c>
      <c r="M38" s="23">
        <f>+'[3]Plan Indicativo'!T116</f>
        <v>1</v>
      </c>
      <c r="N38" s="32">
        <f>+'[3]Plan Indicativo'!W116</f>
        <v>0</v>
      </c>
      <c r="O38" s="49">
        <v>0</v>
      </c>
      <c r="P38" s="34" t="str">
        <f t="shared" si="0"/>
        <v xml:space="preserve"> -</v>
      </c>
      <c r="Q38" s="61" t="e">
        <f>+Tabla1[[#This Row],[Logro Vigencia]]/Tabla1[[#This Row],[Meta Programada Vigencia]]</f>
        <v>#DIV/0!</v>
      </c>
      <c r="R38" s="115">
        <v>0</v>
      </c>
      <c r="S38" s="116"/>
      <c r="T38" s="116"/>
      <c r="U38" s="116"/>
      <c r="V38" s="116"/>
      <c r="W38" s="116">
        <v>0</v>
      </c>
      <c r="X38" s="116"/>
      <c r="Y38" s="116"/>
      <c r="Z38" s="116">
        <v>0</v>
      </c>
      <c r="AA38" s="116">
        <v>0</v>
      </c>
      <c r="AB38" s="116"/>
      <c r="AC38" s="116"/>
      <c r="AD38" s="116"/>
      <c r="AE38" s="120">
        <v>0</v>
      </c>
      <c r="AF38" s="15">
        <f>SUM(Tabla1[[#This Row],[Recursos propios]:[Recursos del Balance]])</f>
        <v>0</v>
      </c>
      <c r="AG38" s="115">
        <v>0</v>
      </c>
      <c r="AH38" s="116"/>
      <c r="AI38" s="116"/>
      <c r="AJ38" s="116"/>
      <c r="AK38" s="116"/>
      <c r="AL38" s="116">
        <v>0</v>
      </c>
      <c r="AM38" s="116"/>
      <c r="AN38" s="116"/>
      <c r="AO38" s="116">
        <v>0</v>
      </c>
      <c r="AP38" s="116">
        <v>0</v>
      </c>
      <c r="AQ38" s="116"/>
      <c r="AR38" s="116"/>
      <c r="AS38" s="116"/>
      <c r="AT38" s="120">
        <v>0</v>
      </c>
      <c r="AU38" s="29">
        <f>SUM(Tabla1[[#This Row],[Recursos propios2]:[Recursos del Balance2]])</f>
        <v>0</v>
      </c>
      <c r="AV38" s="116">
        <v>0</v>
      </c>
      <c r="AW38" s="116">
        <v>0</v>
      </c>
      <c r="AX38" s="52" t="e">
        <f>+Tabla1[[#This Row],[Total Recursos Comprometido 2025]]/Tabla1[[#This Row],[Total 2025]]</f>
        <v>#DIV/0!</v>
      </c>
      <c r="AY38" s="17" t="e">
        <f>+Tabla1[[#This Row],[Total Recursos Obligados]]/Tabla1[[#This Row],[Total 2025]]</f>
        <v>#DIV/0!</v>
      </c>
      <c r="AZ38" s="17" t="e">
        <f>+Tabla1[[#This Row],[Total Recursos Pagados]]/Tabla1[[#This Row],[Total 2025]]</f>
        <v>#DIV/0!</v>
      </c>
      <c r="BA38" s="15">
        <v>0</v>
      </c>
      <c r="BB38" s="54" t="e">
        <f>+[4]!Tabla1[[#This Row],[Total Recursos Gestionados2]]/[4]!Tabla1[[#This Row],[Total Recursos Comprometido 2024]]</f>
        <v>#REF!</v>
      </c>
      <c r="BC38" s="35" t="s">
        <v>271</v>
      </c>
      <c r="BD38" s="22" t="s">
        <v>270</v>
      </c>
      <c r="BE38" s="37">
        <v>11</v>
      </c>
    </row>
    <row r="39" spans="1:57" ht="36">
      <c r="A39" s="60">
        <v>109</v>
      </c>
      <c r="B39" s="60" t="s">
        <v>114</v>
      </c>
      <c r="C39" s="60" t="s">
        <v>121</v>
      </c>
      <c r="D39" s="60" t="s">
        <v>128</v>
      </c>
      <c r="E39" s="60" t="s">
        <v>129</v>
      </c>
      <c r="F39" s="60" t="s">
        <v>172</v>
      </c>
      <c r="G39" s="60" t="s">
        <v>173</v>
      </c>
      <c r="H39" s="60">
        <v>240209400</v>
      </c>
      <c r="I39" s="60" t="s">
        <v>174</v>
      </c>
      <c r="J39" s="60">
        <v>0</v>
      </c>
      <c r="K39" s="60" t="s">
        <v>162</v>
      </c>
      <c r="L39" s="23" t="str">
        <f>+'[3]Plan Indicativo'!AC117</f>
        <v>Acumulativa</v>
      </c>
      <c r="M39" s="23">
        <f>+'[3]Plan Indicativo'!T117</f>
        <v>10000</v>
      </c>
      <c r="N39" s="32">
        <f>+'[3]Plan Indicativo'!W117</f>
        <v>0</v>
      </c>
      <c r="O39" s="49">
        <v>0</v>
      </c>
      <c r="P39" s="34" t="str">
        <f t="shared" si="0"/>
        <v xml:space="preserve"> -</v>
      </c>
      <c r="Q39" s="61" t="e">
        <f>+Tabla1[[#This Row],[Logro Vigencia]]/Tabla1[[#This Row],[Meta Programada Vigencia]]</f>
        <v>#DIV/0!</v>
      </c>
      <c r="R39" s="115">
        <v>0</v>
      </c>
      <c r="S39" s="116"/>
      <c r="T39" s="116"/>
      <c r="U39" s="116"/>
      <c r="V39" s="116"/>
      <c r="W39" s="116">
        <v>0</v>
      </c>
      <c r="X39" s="116"/>
      <c r="Y39" s="116"/>
      <c r="Z39" s="116">
        <v>0</v>
      </c>
      <c r="AA39" s="116">
        <v>0</v>
      </c>
      <c r="AB39" s="116"/>
      <c r="AC39" s="116"/>
      <c r="AD39" s="116"/>
      <c r="AE39" s="120">
        <v>0</v>
      </c>
      <c r="AF39" s="15">
        <f>SUM(Tabla1[[#This Row],[Recursos propios]:[Recursos del Balance]])</f>
        <v>0</v>
      </c>
      <c r="AG39" s="115">
        <v>0</v>
      </c>
      <c r="AH39" s="116"/>
      <c r="AI39" s="116"/>
      <c r="AJ39" s="116"/>
      <c r="AK39" s="116"/>
      <c r="AL39" s="116">
        <v>0</v>
      </c>
      <c r="AM39" s="116"/>
      <c r="AN39" s="116"/>
      <c r="AO39" s="116">
        <v>0</v>
      </c>
      <c r="AP39" s="116">
        <v>0</v>
      </c>
      <c r="AQ39" s="116"/>
      <c r="AR39" s="116"/>
      <c r="AS39" s="116"/>
      <c r="AT39" s="120">
        <v>0</v>
      </c>
      <c r="AU39" s="29">
        <f>SUM(Tabla1[[#This Row],[Recursos propios2]:[Recursos del Balance2]])</f>
        <v>0</v>
      </c>
      <c r="AV39" s="116">
        <v>0</v>
      </c>
      <c r="AW39" s="116">
        <v>0</v>
      </c>
      <c r="AX39" s="52" t="e">
        <f>+Tabla1[[#This Row],[Total Recursos Comprometido 2025]]/Tabla1[[#This Row],[Total 2025]]</f>
        <v>#DIV/0!</v>
      </c>
      <c r="AY39" s="17" t="e">
        <f>+Tabla1[[#This Row],[Total Recursos Obligados]]/Tabla1[[#This Row],[Total 2025]]</f>
        <v>#DIV/0!</v>
      </c>
      <c r="AZ39" s="17" t="e">
        <f>+Tabla1[[#This Row],[Total Recursos Pagados]]/Tabla1[[#This Row],[Total 2025]]</f>
        <v>#DIV/0!</v>
      </c>
      <c r="BA39" s="15">
        <v>0</v>
      </c>
      <c r="BB39" s="54" t="e">
        <f>+[4]!Tabla1[[#This Row],[Total Recursos Gestionados2]]/[4]!Tabla1[[#This Row],[Total Recursos Comprometido 2024]]</f>
        <v>#REF!</v>
      </c>
      <c r="BC39" s="35" t="s">
        <v>271</v>
      </c>
      <c r="BD39" s="22" t="s">
        <v>270</v>
      </c>
      <c r="BE39" s="37">
        <v>11.13</v>
      </c>
    </row>
    <row r="40" spans="1:57" ht="54">
      <c r="A40" s="67">
        <v>125</v>
      </c>
      <c r="B40" s="60" t="s">
        <v>114</v>
      </c>
      <c r="C40" s="60" t="s">
        <v>64</v>
      </c>
      <c r="D40" s="60" t="s">
        <v>175</v>
      </c>
      <c r="E40" s="60" t="s">
        <v>176</v>
      </c>
      <c r="F40" s="60" t="s">
        <v>177</v>
      </c>
      <c r="G40" s="60" t="s">
        <v>178</v>
      </c>
      <c r="H40" s="60">
        <v>210101600</v>
      </c>
      <c r="I40" s="60" t="s">
        <v>179</v>
      </c>
      <c r="J40" s="60">
        <v>0</v>
      </c>
      <c r="K40" s="60" t="s">
        <v>70</v>
      </c>
      <c r="L40" s="69" t="str">
        <f>+'[3]Plan Indicativo'!$AC$133</f>
        <v>Acumulativa</v>
      </c>
      <c r="M40" s="69">
        <f>+'[3]Plan Indicativo'!$T$133</f>
        <v>200</v>
      </c>
      <c r="N40" s="69">
        <f>+'[3]Plan Indicativo'!$W$133</f>
        <v>0</v>
      </c>
      <c r="O40" s="67">
        <v>0</v>
      </c>
      <c r="P40" s="34" t="str">
        <f t="shared" si="0"/>
        <v xml:space="preserve"> -</v>
      </c>
      <c r="Q40" s="103" t="e">
        <f>+Tabla1[[#This Row],[Logro Vigencia]]/Tabla1[[#This Row],[Meta Programada Vigencia]]</f>
        <v>#DIV/0!</v>
      </c>
      <c r="R40" s="115">
        <v>0</v>
      </c>
      <c r="S40" s="125"/>
      <c r="T40" s="125"/>
      <c r="U40" s="125"/>
      <c r="V40" s="125"/>
      <c r="W40" s="125">
        <v>0</v>
      </c>
      <c r="X40" s="125"/>
      <c r="Y40" s="125"/>
      <c r="Z40" s="125">
        <v>0</v>
      </c>
      <c r="AA40" s="125">
        <v>0</v>
      </c>
      <c r="AB40" s="125"/>
      <c r="AC40" s="125"/>
      <c r="AD40" s="125">
        <v>217439120.37</v>
      </c>
      <c r="AE40" s="126">
        <v>0</v>
      </c>
      <c r="AF40" s="70">
        <f>SUM(Tabla1[[#This Row],[Recursos propios]:[Recursos del Balance]])</f>
        <v>217439120.37</v>
      </c>
      <c r="AG40" s="127">
        <v>0</v>
      </c>
      <c r="AH40" s="125"/>
      <c r="AI40" s="125"/>
      <c r="AJ40" s="125"/>
      <c r="AK40" s="125"/>
      <c r="AL40" s="125">
        <v>0</v>
      </c>
      <c r="AM40" s="125"/>
      <c r="AN40" s="125"/>
      <c r="AO40" s="125">
        <v>0</v>
      </c>
      <c r="AP40" s="125">
        <v>0</v>
      </c>
      <c r="AQ40" s="125"/>
      <c r="AR40" s="125"/>
      <c r="AS40" s="125"/>
      <c r="AT40" s="126">
        <v>0</v>
      </c>
      <c r="AU40" s="71">
        <f>SUM(Tabla1[[#This Row],[Recursos propios2]:[Recursos del Balance2]])</f>
        <v>0</v>
      </c>
      <c r="AV40" s="125">
        <v>0</v>
      </c>
      <c r="AW40" s="125">
        <v>0</v>
      </c>
      <c r="AX40" s="72">
        <f>+Tabla1[[#This Row],[Total Recursos Comprometido 2025]]/Tabla1[[#This Row],[Total 2025]]</f>
        <v>0</v>
      </c>
      <c r="AY40" s="73">
        <f>+Tabla1[[#This Row],[Total Recursos Obligados]]/Tabla1[[#This Row],[Total 2025]]</f>
        <v>0</v>
      </c>
      <c r="AZ40" s="73">
        <f>+Tabla1[[#This Row],[Total Recursos Pagados]]/Tabla1[[#This Row],[Total 2025]]</f>
        <v>0</v>
      </c>
      <c r="BA40" s="70">
        <v>0</v>
      </c>
      <c r="BB40" s="54" t="e">
        <f>+[4]!Tabla1[[#This Row],[Total Recursos Gestionados2]]/[4]!Tabla1[[#This Row],[Total Recursos Comprometido 2024]]</f>
        <v>#REF!</v>
      </c>
      <c r="BC40" s="74" t="s">
        <v>271</v>
      </c>
      <c r="BD40" s="68" t="s">
        <v>270</v>
      </c>
      <c r="BE40" s="75">
        <v>10</v>
      </c>
    </row>
    <row r="41" spans="1:57" ht="54">
      <c r="A41" s="49">
        <v>128</v>
      </c>
      <c r="B41" s="62" t="s">
        <v>114</v>
      </c>
      <c r="C41" s="62" t="s">
        <v>79</v>
      </c>
      <c r="D41" s="62" t="s">
        <v>99</v>
      </c>
      <c r="E41" s="62" t="s">
        <v>180</v>
      </c>
      <c r="F41" s="62" t="s">
        <v>181</v>
      </c>
      <c r="G41" s="62" t="s">
        <v>182</v>
      </c>
      <c r="H41" s="62">
        <v>400304700</v>
      </c>
      <c r="I41" s="62" t="s">
        <v>183</v>
      </c>
      <c r="J41" s="63">
        <v>289645</v>
      </c>
      <c r="K41" s="62" t="s">
        <v>70</v>
      </c>
      <c r="L41" s="23" t="str">
        <f>+'[3]Plan Indicativo'!$AC$136</f>
        <v>No Acumulativa</v>
      </c>
      <c r="M41" s="77">
        <f>+'[3]Plan Indicativo'!$T$136</f>
        <v>289645</v>
      </c>
      <c r="N41" s="23">
        <f>+'[3]Plan Indicativo'!$W$136</f>
        <v>289645</v>
      </c>
      <c r="O41" s="49">
        <v>289645</v>
      </c>
      <c r="P41" s="45">
        <f t="shared" si="0"/>
        <v>1</v>
      </c>
      <c r="Q41" s="112">
        <f>+Tabla1[[#This Row],[Logro Vigencia]]/Tabla1[[#This Row],[Meta Programada Vigencia]]</f>
        <v>1</v>
      </c>
      <c r="R41" s="164">
        <v>10725683783.66</v>
      </c>
      <c r="S41" s="116"/>
      <c r="T41" s="116"/>
      <c r="U41" s="116"/>
      <c r="V41" s="116"/>
      <c r="W41" s="116">
        <v>0</v>
      </c>
      <c r="X41" s="116"/>
      <c r="Y41" s="116"/>
      <c r="Z41" s="15"/>
      <c r="AA41" s="116">
        <v>0</v>
      </c>
      <c r="AB41" s="116"/>
      <c r="AC41" s="116"/>
      <c r="AD41" s="15"/>
      <c r="AE41" s="120">
        <v>0</v>
      </c>
      <c r="AF41" s="15">
        <f>SUM(Tabla1[[#This Row],[Recursos propios]:[Recursos del Balance]])</f>
        <v>10725683783.66</v>
      </c>
      <c r="AG41" s="115">
        <v>0</v>
      </c>
      <c r="AH41" s="116"/>
      <c r="AI41" s="116"/>
      <c r="AJ41" s="116"/>
      <c r="AK41" s="116"/>
      <c r="AL41" s="116">
        <v>0</v>
      </c>
      <c r="AM41" s="116"/>
      <c r="AN41" s="116"/>
      <c r="AO41" s="178">
        <v>9115229597</v>
      </c>
      <c r="AP41" s="116">
        <v>0</v>
      </c>
      <c r="AQ41" s="116"/>
      <c r="AR41" s="116"/>
      <c r="AS41" s="116"/>
      <c r="AT41" s="120">
        <v>0</v>
      </c>
      <c r="AU41" s="29">
        <f>SUM(Tabla1[[#This Row],[Recursos propios2]:[Recursos del Balance2]])</f>
        <v>9115229597</v>
      </c>
      <c r="AV41" s="177">
        <v>9851909252.5799999</v>
      </c>
      <c r="AW41" s="181">
        <v>9851909252.5799999</v>
      </c>
      <c r="AX41" s="52">
        <f>+Tabla1[[#This Row],[Total Recursos Comprometido 2025]]/Tabla1[[#This Row],[Total 2025]]</f>
        <v>0.84985067440516571</v>
      </c>
      <c r="AY41" s="17">
        <f>+Tabla1[[#This Row],[Total Recursos Obligados]]/Tabla1[[#This Row],[Total 2025]]</f>
        <v>0.91853437517791192</v>
      </c>
      <c r="AZ41" s="17">
        <f>+Tabla1[[#This Row],[Total Recursos Pagados]]/Tabla1[[#This Row],[Total 2025]]</f>
        <v>0.91853437517791192</v>
      </c>
      <c r="BA41" s="15">
        <v>0</v>
      </c>
      <c r="BB41" s="54" t="e">
        <f>+[4]!Tabla1[[#This Row],[Total Recursos Gestionados2]]/[4]!Tabla1[[#This Row],[Total Recursos Comprometido 2024]]</f>
        <v>#REF!</v>
      </c>
      <c r="BC41" s="35" t="s">
        <v>271</v>
      </c>
      <c r="BD41" s="22" t="s">
        <v>270</v>
      </c>
      <c r="BE41" s="37" t="s">
        <v>272</v>
      </c>
    </row>
    <row r="42" spans="1:57" ht="54">
      <c r="A42" s="67">
        <v>129</v>
      </c>
      <c r="B42" s="60" t="s">
        <v>114</v>
      </c>
      <c r="C42" s="60" t="s">
        <v>79</v>
      </c>
      <c r="D42" s="60" t="s">
        <v>99</v>
      </c>
      <c r="E42" s="60" t="s">
        <v>180</v>
      </c>
      <c r="F42" s="60" t="s">
        <v>184</v>
      </c>
      <c r="G42" s="60" t="s">
        <v>185</v>
      </c>
      <c r="H42" s="60">
        <v>400304800</v>
      </c>
      <c r="I42" s="60" t="s">
        <v>186</v>
      </c>
      <c r="J42" s="60">
        <v>24000</v>
      </c>
      <c r="K42" s="60" t="s">
        <v>187</v>
      </c>
      <c r="L42" s="69" t="str">
        <f>+'[3]Plan Indicativo'!$AC$137</f>
        <v>Acumulativa</v>
      </c>
      <c r="M42" s="69">
        <f>+'[3]Plan Indicativo'!$T$137</f>
        <v>18000</v>
      </c>
      <c r="N42" s="69">
        <f>+'[3]Plan Indicativo'!$W$137</f>
        <v>2400</v>
      </c>
      <c r="O42" s="67">
        <v>5627</v>
      </c>
      <c r="P42" s="34">
        <f t="shared" si="0"/>
        <v>1</v>
      </c>
      <c r="Q42" s="103">
        <f>+Tabla1[[#This Row],[Logro Vigencia]]/Tabla1[[#This Row],[Meta Programada Vigencia]]</f>
        <v>2.3445833333333335</v>
      </c>
      <c r="R42" s="127">
        <v>200000000</v>
      </c>
      <c r="S42" s="125"/>
      <c r="T42" s="125"/>
      <c r="U42" s="125"/>
      <c r="V42" s="125"/>
      <c r="W42" s="125">
        <v>0</v>
      </c>
      <c r="X42" s="125"/>
      <c r="Y42" s="125"/>
      <c r="Z42" s="125">
        <v>0</v>
      </c>
      <c r="AA42" s="125">
        <v>0</v>
      </c>
      <c r="AB42" s="125"/>
      <c r="AC42" s="125"/>
      <c r="AD42" s="125"/>
      <c r="AE42" s="126">
        <v>0</v>
      </c>
      <c r="AF42" s="70">
        <f>SUM(Tabla1[[#This Row],[Recursos propios]:[Recursos del Balance]])</f>
        <v>200000000</v>
      </c>
      <c r="AG42" s="127">
        <v>0</v>
      </c>
      <c r="AH42" s="125"/>
      <c r="AI42" s="125"/>
      <c r="AJ42" s="125"/>
      <c r="AK42" s="125"/>
      <c r="AL42" s="125">
        <v>0</v>
      </c>
      <c r="AM42" s="125"/>
      <c r="AN42" s="125"/>
      <c r="AO42" s="173">
        <v>0</v>
      </c>
      <c r="AP42" s="125">
        <v>0</v>
      </c>
      <c r="AQ42" s="125"/>
      <c r="AR42" s="125"/>
      <c r="AS42" s="125"/>
      <c r="AT42" s="126">
        <v>0</v>
      </c>
      <c r="AU42" s="71">
        <f>SUM(Tabla1[[#This Row],[Recursos propios2]:[Recursos del Balance2]])</f>
        <v>0</v>
      </c>
      <c r="AV42" s="125">
        <v>0</v>
      </c>
      <c r="AW42" s="125">
        <v>0</v>
      </c>
      <c r="AX42" s="72">
        <f>+Tabla1[[#This Row],[Total Recursos Comprometido 2025]]/Tabla1[[#This Row],[Total 2025]]</f>
        <v>0</v>
      </c>
      <c r="AY42" s="73">
        <f>+Tabla1[[#This Row],[Total Recursos Obligados]]/Tabla1[[#This Row],[Total 2025]]</f>
        <v>0</v>
      </c>
      <c r="AZ42" s="73">
        <f>+Tabla1[[#This Row],[Total Recursos Pagados]]/Tabla1[[#This Row],[Total 2025]]</f>
        <v>0</v>
      </c>
      <c r="BA42" s="70">
        <v>0</v>
      </c>
      <c r="BB42" s="54" t="e">
        <f>+[4]!Tabla1[[#This Row],[Total Recursos Gestionados2]]/[4]!Tabla1[[#This Row],[Total Recursos Comprometido 2024]]</f>
        <v>#REF!</v>
      </c>
      <c r="BC42" s="74" t="s">
        <v>271</v>
      </c>
      <c r="BD42" s="68" t="s">
        <v>270</v>
      </c>
      <c r="BE42" s="75" t="s">
        <v>272</v>
      </c>
    </row>
    <row r="43" spans="1:57" ht="36">
      <c r="A43" s="49">
        <v>135</v>
      </c>
      <c r="B43" s="60" t="s">
        <v>188</v>
      </c>
      <c r="C43" s="60" t="s">
        <v>189</v>
      </c>
      <c r="D43" s="60" t="s">
        <v>190</v>
      </c>
      <c r="E43" s="60" t="s">
        <v>191</v>
      </c>
      <c r="F43" s="60" t="s">
        <v>192</v>
      </c>
      <c r="G43" s="60" t="s">
        <v>193</v>
      </c>
      <c r="H43" s="60">
        <v>430201500</v>
      </c>
      <c r="I43" s="60" t="s">
        <v>194</v>
      </c>
      <c r="J43" s="60">
        <v>0</v>
      </c>
      <c r="K43" s="60" t="s">
        <v>70</v>
      </c>
      <c r="L43" s="23" t="str">
        <f>+'[3]Plan Indicativo'!AC143</f>
        <v>Acumulativa</v>
      </c>
      <c r="M43" s="23">
        <f>+'[3]Plan Indicativo'!T143</f>
        <v>1</v>
      </c>
      <c r="N43" s="23">
        <f>+'[3]Plan Indicativo'!W143</f>
        <v>0</v>
      </c>
      <c r="O43" s="49">
        <v>0</v>
      </c>
      <c r="P43" s="34" t="str">
        <f t="shared" si="0"/>
        <v xml:space="preserve"> -</v>
      </c>
      <c r="Q43" s="61" t="e">
        <f>+Tabla1[[#This Row],[Logro Vigencia]]/Tabla1[[#This Row],[Meta Programada Vigencia]]</f>
        <v>#DIV/0!</v>
      </c>
      <c r="R43" s="115">
        <v>0</v>
      </c>
      <c r="S43" s="116"/>
      <c r="T43" s="116"/>
      <c r="U43" s="116"/>
      <c r="V43" s="116"/>
      <c r="W43" s="116">
        <v>0</v>
      </c>
      <c r="X43" s="116"/>
      <c r="Y43" s="116"/>
      <c r="Z43" s="116">
        <v>0</v>
      </c>
      <c r="AA43" s="116">
        <v>0</v>
      </c>
      <c r="AB43" s="116"/>
      <c r="AC43" s="116"/>
      <c r="AD43" s="116"/>
      <c r="AE43" s="120">
        <v>0</v>
      </c>
      <c r="AF43" s="15">
        <f>SUM(Tabla1[[#This Row],[Recursos propios]:[Recursos del Balance]])</f>
        <v>0</v>
      </c>
      <c r="AG43" s="115">
        <v>0</v>
      </c>
      <c r="AH43" s="116"/>
      <c r="AI43" s="116"/>
      <c r="AJ43" s="116"/>
      <c r="AK43" s="116"/>
      <c r="AL43" s="116">
        <v>0</v>
      </c>
      <c r="AM43" s="116"/>
      <c r="AN43" s="116"/>
      <c r="AO43" s="173">
        <v>0</v>
      </c>
      <c r="AP43" s="116">
        <v>0</v>
      </c>
      <c r="AQ43" s="116"/>
      <c r="AR43" s="116"/>
      <c r="AS43" s="116"/>
      <c r="AT43" s="120">
        <v>0</v>
      </c>
      <c r="AU43" s="29">
        <f>SUM(Tabla1[[#This Row],[Recursos propios2]:[Recursos del Balance2]])</f>
        <v>0</v>
      </c>
      <c r="AV43" s="116">
        <v>0</v>
      </c>
      <c r="AW43" s="116">
        <v>0</v>
      </c>
      <c r="AX43" s="52" t="e">
        <f>+Tabla1[[#This Row],[Total Recursos Comprometido 2025]]/Tabla1[[#This Row],[Total 2025]]</f>
        <v>#DIV/0!</v>
      </c>
      <c r="AY43" s="17" t="e">
        <f>+Tabla1[[#This Row],[Total Recursos Obligados]]/Tabla1[[#This Row],[Total 2025]]</f>
        <v>#DIV/0!</v>
      </c>
      <c r="AZ43" s="17" t="e">
        <f>+Tabla1[[#This Row],[Total Recursos Pagados]]/Tabla1[[#This Row],[Total 2025]]</f>
        <v>#DIV/0!</v>
      </c>
      <c r="BA43" s="15">
        <v>0</v>
      </c>
      <c r="BB43" s="54" t="e">
        <f>+[4]!Tabla1[[#This Row],[Total Recursos Gestionados2]]/[4]!Tabla1[[#This Row],[Total Recursos Comprometido 2024]]</f>
        <v>#REF!</v>
      </c>
      <c r="BC43" s="35" t="s">
        <v>271</v>
      </c>
      <c r="BD43" s="22" t="s">
        <v>270</v>
      </c>
      <c r="BE43" s="37">
        <v>3</v>
      </c>
    </row>
    <row r="44" spans="1:57" ht="36">
      <c r="A44" s="67">
        <v>136</v>
      </c>
      <c r="B44" s="62" t="s">
        <v>188</v>
      </c>
      <c r="C44" s="62" t="s">
        <v>189</v>
      </c>
      <c r="D44" s="62" t="s">
        <v>195</v>
      </c>
      <c r="E44" s="62" t="s">
        <v>196</v>
      </c>
      <c r="F44" s="62" t="s">
        <v>197</v>
      </c>
      <c r="G44" s="62" t="s">
        <v>198</v>
      </c>
      <c r="H44" s="62">
        <v>430101100</v>
      </c>
      <c r="I44" s="62" t="s">
        <v>199</v>
      </c>
      <c r="J44" s="63">
        <v>0</v>
      </c>
      <c r="K44" s="62" t="s">
        <v>70</v>
      </c>
      <c r="L44" s="23" t="str">
        <f>+'[3]Plan Indicativo'!AC144</f>
        <v>Acumulativa</v>
      </c>
      <c r="M44" s="23">
        <f>+'[3]Plan Indicativo'!T144</f>
        <v>4</v>
      </c>
      <c r="N44" s="23">
        <f>+'[3]Plan Indicativo'!W144</f>
        <v>0</v>
      </c>
      <c r="O44" s="67">
        <v>0</v>
      </c>
      <c r="P44" s="34" t="str">
        <f t="shared" si="0"/>
        <v xml:space="preserve"> -</v>
      </c>
      <c r="Q44" s="103" t="e">
        <f>+Tabla1[[#This Row],[Logro Vigencia]]/Tabla1[[#This Row],[Meta Programada Vigencia]]</f>
        <v>#DIV/0!</v>
      </c>
      <c r="R44" s="127">
        <v>0</v>
      </c>
      <c r="S44" s="125"/>
      <c r="T44" s="125"/>
      <c r="U44" s="125"/>
      <c r="V44" s="125"/>
      <c r="W44" s="125">
        <v>0</v>
      </c>
      <c r="X44" s="125"/>
      <c r="Y44" s="125"/>
      <c r="Z44" s="125">
        <v>0</v>
      </c>
      <c r="AA44" s="125">
        <v>0</v>
      </c>
      <c r="AB44" s="125"/>
      <c r="AC44" s="125"/>
      <c r="AD44" s="125"/>
      <c r="AE44" s="126">
        <v>0</v>
      </c>
      <c r="AF44" s="70">
        <f>SUM(Tabla1[[#This Row],[Recursos propios]:[Recursos del Balance]])</f>
        <v>0</v>
      </c>
      <c r="AG44" s="127">
        <v>0</v>
      </c>
      <c r="AH44" s="125"/>
      <c r="AI44" s="125"/>
      <c r="AJ44" s="125"/>
      <c r="AK44" s="125"/>
      <c r="AL44" s="125">
        <v>0</v>
      </c>
      <c r="AM44" s="125"/>
      <c r="AN44" s="125"/>
      <c r="AO44" s="173">
        <v>0</v>
      </c>
      <c r="AP44" s="125">
        <v>0</v>
      </c>
      <c r="AQ44" s="125"/>
      <c r="AR44" s="125"/>
      <c r="AS44" s="125"/>
      <c r="AT44" s="126">
        <v>0</v>
      </c>
      <c r="AU44" s="71">
        <f>SUM(Tabla1[[#This Row],[Recursos propios2]:[Recursos del Balance2]])</f>
        <v>0</v>
      </c>
      <c r="AV44" s="125">
        <v>0</v>
      </c>
      <c r="AW44" s="125">
        <v>0</v>
      </c>
      <c r="AX44" s="72" t="e">
        <f>+Tabla1[[#This Row],[Total Recursos Comprometido 2025]]/Tabla1[[#This Row],[Total 2025]]</f>
        <v>#DIV/0!</v>
      </c>
      <c r="AY44" s="73" t="e">
        <f>+Tabla1[[#This Row],[Total Recursos Obligados]]/Tabla1[[#This Row],[Total 2025]]</f>
        <v>#DIV/0!</v>
      </c>
      <c r="AZ44" s="73" t="e">
        <f>+Tabla1[[#This Row],[Total Recursos Pagados]]/Tabla1[[#This Row],[Total 2025]]</f>
        <v>#DIV/0!</v>
      </c>
      <c r="BA44" s="70">
        <v>0</v>
      </c>
      <c r="BB44" s="54" t="e">
        <f>+[4]!Tabla1[[#This Row],[Total Recursos Gestionados2]]/[4]!Tabla1[[#This Row],[Total Recursos Comprometido 2024]]</f>
        <v>#REF!</v>
      </c>
      <c r="BC44" s="74" t="s">
        <v>271</v>
      </c>
      <c r="BD44" s="68" t="s">
        <v>270</v>
      </c>
      <c r="BE44" s="75">
        <v>3</v>
      </c>
    </row>
    <row r="45" spans="1:57" ht="72">
      <c r="A45" s="67">
        <v>145</v>
      </c>
      <c r="B45" s="60" t="s">
        <v>188</v>
      </c>
      <c r="C45" s="60" t="s">
        <v>200</v>
      </c>
      <c r="D45" s="60" t="s">
        <v>201</v>
      </c>
      <c r="E45" s="60" t="s">
        <v>202</v>
      </c>
      <c r="F45" s="60" t="s">
        <v>203</v>
      </c>
      <c r="G45" s="60" t="s">
        <v>204</v>
      </c>
      <c r="H45" s="60">
        <v>330207300</v>
      </c>
      <c r="I45" s="60" t="s">
        <v>205</v>
      </c>
      <c r="J45" s="60">
        <v>0</v>
      </c>
      <c r="K45" s="60" t="s">
        <v>70</v>
      </c>
      <c r="L45" s="69" t="str">
        <f>+'[3]Plan Indicativo'!$AC$153</f>
        <v>Acumulativa</v>
      </c>
      <c r="M45" s="69">
        <f>+'[3]Plan Indicativo'!$T$153</f>
        <v>2</v>
      </c>
      <c r="N45" s="69">
        <f>+'[3]Plan Indicativo'!$W$153</f>
        <v>1</v>
      </c>
      <c r="O45" s="67">
        <v>1</v>
      </c>
      <c r="P45" s="34">
        <f t="shared" si="0"/>
        <v>1</v>
      </c>
      <c r="Q45" s="103">
        <f>+Tabla1[[#This Row],[Logro Vigencia]]/Tabla1[[#This Row],[Meta Programada Vigencia]]</f>
        <v>1</v>
      </c>
      <c r="R45" s="127"/>
      <c r="S45" s="125"/>
      <c r="T45" s="125"/>
      <c r="U45" s="125"/>
      <c r="V45" s="125"/>
      <c r="W45" s="125">
        <v>0</v>
      </c>
      <c r="X45" s="125"/>
      <c r="Y45" s="125"/>
      <c r="Z45" s="125">
        <v>0</v>
      </c>
      <c r="AA45" s="125">
        <v>0</v>
      </c>
      <c r="AB45" s="125"/>
      <c r="AC45" s="125"/>
      <c r="AD45" s="125">
        <v>210612869.34</v>
      </c>
      <c r="AE45" s="126">
        <v>0</v>
      </c>
      <c r="AF45" s="70">
        <f>SUM(Tabla1[[#This Row],[Recursos propios]:[Recursos del Balance]])</f>
        <v>210612869.34</v>
      </c>
      <c r="AG45" s="127"/>
      <c r="AH45" s="125"/>
      <c r="AI45" s="125"/>
      <c r="AJ45" s="125"/>
      <c r="AK45" s="125"/>
      <c r="AL45" s="125">
        <v>0</v>
      </c>
      <c r="AM45" s="125"/>
      <c r="AN45" s="125"/>
      <c r="AO45" s="173">
        <v>0</v>
      </c>
      <c r="AP45" s="125">
        <v>0</v>
      </c>
      <c r="AQ45" s="125"/>
      <c r="AR45" s="125"/>
      <c r="AS45" s="125">
        <v>210612869.34</v>
      </c>
      <c r="AT45" s="126">
        <v>0</v>
      </c>
      <c r="AU45" s="71">
        <f>SUM(Tabla1[[#This Row],[Recursos propios2]:[Recursos del Balance2]])</f>
        <v>210612869.34</v>
      </c>
      <c r="AV45" s="70">
        <v>210612869.34</v>
      </c>
      <c r="AW45" s="70">
        <v>210612869.34</v>
      </c>
      <c r="AX45" s="72">
        <f>+Tabla1[[#This Row],[Total Recursos Comprometido 2025]]/Tabla1[[#This Row],[Total 2025]]</f>
        <v>1</v>
      </c>
      <c r="AY45" s="73">
        <f>+Tabla1[[#This Row],[Total Recursos Obligados]]/Tabla1[[#This Row],[Total 2025]]</f>
        <v>1</v>
      </c>
      <c r="AZ45" s="73">
        <f>+Tabla1[[#This Row],[Total Recursos Pagados]]/Tabla1[[#This Row],[Total 2025]]</f>
        <v>1</v>
      </c>
      <c r="BA45" s="70">
        <v>0</v>
      </c>
      <c r="BB45" s="54" t="e">
        <f>+[4]!Tabla1[[#This Row],[Total Recursos Gestionados2]]/[4]!Tabla1[[#This Row],[Total Recursos Comprometido 2024]]</f>
        <v>#REF!</v>
      </c>
      <c r="BC45" s="74" t="s">
        <v>271</v>
      </c>
      <c r="BD45" s="68" t="s">
        <v>270</v>
      </c>
      <c r="BE45" s="75">
        <v>11</v>
      </c>
    </row>
    <row r="46" spans="1:57" ht="54">
      <c r="A46" s="49">
        <v>235</v>
      </c>
      <c r="B46" s="60" t="s">
        <v>206</v>
      </c>
      <c r="C46" s="60" t="s">
        <v>207</v>
      </c>
      <c r="D46" s="60" t="s">
        <v>208</v>
      </c>
      <c r="E46" s="60" t="s">
        <v>209</v>
      </c>
      <c r="F46" s="60" t="s">
        <v>210</v>
      </c>
      <c r="G46" s="60" t="s">
        <v>211</v>
      </c>
      <c r="H46" s="60">
        <v>450200700</v>
      </c>
      <c r="I46" s="60" t="s">
        <v>212</v>
      </c>
      <c r="J46" s="60" t="s">
        <v>213</v>
      </c>
      <c r="K46" s="60" t="s">
        <v>70</v>
      </c>
      <c r="L46" s="23" t="str">
        <f>+'[3]Plan Indicativo'!$AC$243</f>
        <v>Acumulativa</v>
      </c>
      <c r="M46" s="23">
        <f>+'[3]Plan Indicativo'!$T$243</f>
        <v>3</v>
      </c>
      <c r="N46" s="23">
        <f>+'[3]Plan Indicativo'!$W$243</f>
        <v>0</v>
      </c>
      <c r="O46" s="49">
        <v>0</v>
      </c>
      <c r="P46" s="34" t="str">
        <f t="shared" si="0"/>
        <v xml:space="preserve"> -</v>
      </c>
      <c r="Q46" s="61" t="e">
        <f>+Tabla1[[#This Row],[Logro Vigencia]]/Tabla1[[#This Row],[Meta Programada Vigencia]]</f>
        <v>#DIV/0!</v>
      </c>
      <c r="R46" s="115">
        <v>0</v>
      </c>
      <c r="S46" s="116"/>
      <c r="T46" s="116"/>
      <c r="U46" s="116"/>
      <c r="V46" s="116"/>
      <c r="W46" s="116">
        <v>0</v>
      </c>
      <c r="X46" s="116"/>
      <c r="Y46" s="116"/>
      <c r="Z46" s="116">
        <v>0</v>
      </c>
      <c r="AA46" s="116">
        <v>0</v>
      </c>
      <c r="AB46" s="116"/>
      <c r="AC46" s="116"/>
      <c r="AD46" s="116"/>
      <c r="AE46" s="120">
        <v>0</v>
      </c>
      <c r="AF46" s="15">
        <f>SUM(Tabla1[[#This Row],[Recursos propios]:[Recursos del Balance]])</f>
        <v>0</v>
      </c>
      <c r="AG46" s="115">
        <v>0</v>
      </c>
      <c r="AH46" s="116"/>
      <c r="AI46" s="116"/>
      <c r="AJ46" s="116"/>
      <c r="AK46" s="116"/>
      <c r="AL46" s="116">
        <v>0</v>
      </c>
      <c r="AM46" s="116"/>
      <c r="AN46" s="116"/>
      <c r="AO46" s="173">
        <v>0</v>
      </c>
      <c r="AP46" s="116">
        <v>0</v>
      </c>
      <c r="AQ46" s="116"/>
      <c r="AR46" s="116"/>
      <c r="AS46" s="116"/>
      <c r="AT46" s="120">
        <v>0</v>
      </c>
      <c r="AU46" s="29">
        <f>SUM(Tabla1[[#This Row],[Recursos propios2]:[Recursos del Balance2]])</f>
        <v>0</v>
      </c>
      <c r="AV46" s="116">
        <v>0</v>
      </c>
      <c r="AW46" s="116">
        <v>0</v>
      </c>
      <c r="AX46" s="52" t="e">
        <f>+Tabla1[[#This Row],[Total Recursos Comprometido 2025]]/Tabla1[[#This Row],[Total 2025]]</f>
        <v>#DIV/0!</v>
      </c>
      <c r="AY46" s="17" t="e">
        <f>+Tabla1[[#This Row],[Total Recursos Obligados]]/Tabla1[[#This Row],[Total 2025]]</f>
        <v>#DIV/0!</v>
      </c>
      <c r="AZ46" s="17" t="e">
        <f>+Tabla1[[#This Row],[Total Recursos Pagados]]/Tabla1[[#This Row],[Total 2025]]</f>
        <v>#DIV/0!</v>
      </c>
      <c r="BA46" s="15">
        <v>0</v>
      </c>
      <c r="BB46" s="54" t="e">
        <f>+[4]!Tabla1[[#This Row],[Total Recursos Gestionados2]]/[4]!Tabla1[[#This Row],[Total Recursos Comprometido 2024]]</f>
        <v>#REF!</v>
      </c>
      <c r="BC46" s="35" t="s">
        <v>271</v>
      </c>
      <c r="BD46" s="22" t="s">
        <v>270</v>
      </c>
      <c r="BE46" s="37">
        <v>10.11</v>
      </c>
    </row>
    <row r="47" spans="1:57" ht="54">
      <c r="A47" s="67">
        <v>236</v>
      </c>
      <c r="B47" s="62" t="s">
        <v>206</v>
      </c>
      <c r="C47" s="62" t="s">
        <v>207</v>
      </c>
      <c r="D47" s="62" t="s">
        <v>208</v>
      </c>
      <c r="E47" s="62" t="s">
        <v>209</v>
      </c>
      <c r="F47" s="62" t="s">
        <v>214</v>
      </c>
      <c r="G47" s="62" t="s">
        <v>215</v>
      </c>
      <c r="H47" s="62">
        <v>450200300</v>
      </c>
      <c r="I47" s="62" t="s">
        <v>216</v>
      </c>
      <c r="J47" s="63">
        <v>13</v>
      </c>
      <c r="K47" s="62" t="s">
        <v>70</v>
      </c>
      <c r="L47" s="69" t="str">
        <f>+'[3]Plan Indicativo'!$AC$244</f>
        <v>Acumulativa</v>
      </c>
      <c r="M47" s="78">
        <f>+'[3]Plan Indicativo'!$T$244</f>
        <v>10</v>
      </c>
      <c r="N47" s="69">
        <f>+'[3]Plan Indicativo'!$W$244</f>
        <v>0</v>
      </c>
      <c r="O47" s="67">
        <v>0</v>
      </c>
      <c r="P47" s="34" t="str">
        <f t="shared" si="0"/>
        <v xml:space="preserve"> -</v>
      </c>
      <c r="Q47" s="103" t="e">
        <f>+Tabla1[[#This Row],[Logro Vigencia]]/Tabla1[[#This Row],[Meta Programada Vigencia]]</f>
        <v>#DIV/0!</v>
      </c>
      <c r="R47" s="127">
        <v>0</v>
      </c>
      <c r="S47" s="125"/>
      <c r="T47" s="125"/>
      <c r="U47" s="125"/>
      <c r="V47" s="125"/>
      <c r="W47" s="125">
        <v>0</v>
      </c>
      <c r="X47" s="125"/>
      <c r="Y47" s="125"/>
      <c r="Z47" s="125">
        <v>0</v>
      </c>
      <c r="AA47" s="125">
        <v>0</v>
      </c>
      <c r="AB47" s="125"/>
      <c r="AC47" s="125"/>
      <c r="AD47" s="125"/>
      <c r="AE47" s="126">
        <v>0</v>
      </c>
      <c r="AF47" s="70">
        <f>SUM(Tabla1[[#This Row],[Recursos propios]:[Recursos del Balance]])</f>
        <v>0</v>
      </c>
      <c r="AG47" s="127">
        <v>0</v>
      </c>
      <c r="AH47" s="125"/>
      <c r="AI47" s="125"/>
      <c r="AJ47" s="125"/>
      <c r="AK47" s="125"/>
      <c r="AL47" s="125">
        <v>0</v>
      </c>
      <c r="AM47" s="125"/>
      <c r="AN47" s="125"/>
      <c r="AO47" s="173">
        <v>0</v>
      </c>
      <c r="AP47" s="125">
        <v>0</v>
      </c>
      <c r="AQ47" s="125"/>
      <c r="AR47" s="125"/>
      <c r="AS47" s="125"/>
      <c r="AT47" s="126">
        <v>0</v>
      </c>
      <c r="AU47" s="71">
        <f>SUM(Tabla1[[#This Row],[Recursos propios2]:[Recursos del Balance2]])</f>
        <v>0</v>
      </c>
      <c r="AV47" s="125">
        <v>0</v>
      </c>
      <c r="AW47" s="125">
        <v>0</v>
      </c>
      <c r="AX47" s="72" t="e">
        <f>+Tabla1[[#This Row],[Total Recursos Comprometido 2025]]/Tabla1[[#This Row],[Total 2025]]</f>
        <v>#DIV/0!</v>
      </c>
      <c r="AY47" s="73" t="e">
        <f>+Tabla1[[#This Row],[Total Recursos Obligados]]/Tabla1[[#This Row],[Total 2025]]</f>
        <v>#DIV/0!</v>
      </c>
      <c r="AZ47" s="73" t="e">
        <f>+Tabla1[[#This Row],[Total Recursos Pagados]]/Tabla1[[#This Row],[Total 2025]]</f>
        <v>#DIV/0!</v>
      </c>
      <c r="BA47" s="70">
        <v>0</v>
      </c>
      <c r="BB47" s="54" t="e">
        <f>+[4]!Tabla1[[#This Row],[Total Recursos Gestionados2]]/[4]!Tabla1[[#This Row],[Total Recursos Comprometido 2024]]</f>
        <v>#REF!</v>
      </c>
      <c r="BC47" s="74" t="s">
        <v>271</v>
      </c>
      <c r="BD47" s="68" t="s">
        <v>270</v>
      </c>
      <c r="BE47" s="75">
        <v>10</v>
      </c>
    </row>
    <row r="48" spans="1:57" ht="72">
      <c r="A48" s="49">
        <v>251</v>
      </c>
      <c r="B48" s="60" t="s">
        <v>206</v>
      </c>
      <c r="C48" s="60" t="s">
        <v>207</v>
      </c>
      <c r="D48" s="60" t="s">
        <v>217</v>
      </c>
      <c r="E48" s="60" t="s">
        <v>218</v>
      </c>
      <c r="F48" s="60" t="s">
        <v>219</v>
      </c>
      <c r="G48" s="60" t="s">
        <v>220</v>
      </c>
      <c r="H48" s="60">
        <v>459903100</v>
      </c>
      <c r="I48" s="60" t="s">
        <v>221</v>
      </c>
      <c r="J48" s="60">
        <v>9</v>
      </c>
      <c r="K48" s="60" t="s">
        <v>70</v>
      </c>
      <c r="L48" s="23" t="str">
        <f>+'[3]Plan Indicativo'!$AC$259</f>
        <v>No Acumulativa</v>
      </c>
      <c r="M48" s="23">
        <f>+'[3]Plan Indicativo'!$T$259</f>
        <v>9</v>
      </c>
      <c r="N48" s="23">
        <f>+'[3]Plan Indicativo'!$W$259</f>
        <v>9</v>
      </c>
      <c r="O48" s="49">
        <v>9</v>
      </c>
      <c r="P48" s="34">
        <f t="shared" si="0"/>
        <v>1</v>
      </c>
      <c r="Q48" s="61">
        <f>+Tabla1[[#This Row],[Logro Vigencia]]/Tabla1[[#This Row],[Meta Programada Vigencia]]</f>
        <v>1</v>
      </c>
      <c r="R48" s="115">
        <v>11506163086</v>
      </c>
      <c r="S48" s="116"/>
      <c r="T48" s="116"/>
      <c r="U48" s="116"/>
      <c r="V48" s="116"/>
      <c r="W48" s="116">
        <v>0</v>
      </c>
      <c r="X48" s="116"/>
      <c r="Y48" s="116"/>
      <c r="Z48" s="116">
        <v>0</v>
      </c>
      <c r="AA48" s="116">
        <v>0</v>
      </c>
      <c r="AB48" s="116"/>
      <c r="AC48" s="116"/>
      <c r="AD48" s="116"/>
      <c r="AE48" s="120"/>
      <c r="AF48" s="15">
        <f>SUM(Tabla1[[#This Row],[Recursos propios]:[Recursos del Balance]])</f>
        <v>11506163086</v>
      </c>
      <c r="AG48" s="115">
        <v>11497526665.93</v>
      </c>
      <c r="AH48" s="116"/>
      <c r="AI48" s="116"/>
      <c r="AJ48" s="116"/>
      <c r="AK48" s="116"/>
      <c r="AL48" s="116">
        <v>0</v>
      </c>
      <c r="AM48" s="116"/>
      <c r="AN48" s="116"/>
      <c r="AO48" s="116">
        <v>0</v>
      </c>
      <c r="AP48" s="116">
        <v>0</v>
      </c>
      <c r="AQ48" s="116"/>
      <c r="AR48" s="116"/>
      <c r="AS48" s="116"/>
      <c r="AT48" s="120"/>
      <c r="AU48" s="29">
        <f>SUM(Tabla1[[#This Row],[Recursos propios2]:[Recursos del Balance2]])</f>
        <v>11497526665.93</v>
      </c>
      <c r="AV48" s="177">
        <v>11494043332.610001</v>
      </c>
      <c r="AW48" s="181">
        <v>11452233332.6</v>
      </c>
      <c r="AX48" s="52">
        <f>+Tabla1[[#This Row],[Total Recursos Comprometido 2025]]/Tabla1[[#This Row],[Total 2025]]</f>
        <v>0.99924940920744398</v>
      </c>
      <c r="AY48" s="17">
        <f>+Tabla1[[#This Row],[Total Recursos Obligados]]/Tabla1[[#This Row],[Total 2025]]</f>
        <v>0.99894667290047834</v>
      </c>
      <c r="AZ48" s="17">
        <f>+Tabla1[[#This Row],[Total Recursos Pagados]]/Tabla1[[#This Row],[Total 2025]]</f>
        <v>0.99531296810266678</v>
      </c>
      <c r="BA48" s="15">
        <v>0</v>
      </c>
      <c r="BB48" s="54" t="e">
        <f>+[4]!Tabla1[[#This Row],[Total Recursos Gestionados2]]/[4]!Tabla1[[#This Row],[Total Recursos Comprometido 2024]]</f>
        <v>#REF!</v>
      </c>
      <c r="BC48" s="35" t="s">
        <v>271</v>
      </c>
      <c r="BD48" s="22" t="s">
        <v>270</v>
      </c>
      <c r="BE48" s="37">
        <v>16</v>
      </c>
    </row>
    <row r="49" spans="1:57" ht="72">
      <c r="A49" s="49">
        <v>252</v>
      </c>
      <c r="B49" s="62" t="s">
        <v>206</v>
      </c>
      <c r="C49" s="62" t="s">
        <v>207</v>
      </c>
      <c r="D49" s="62" t="s">
        <v>217</v>
      </c>
      <c r="E49" s="62" t="s">
        <v>218</v>
      </c>
      <c r="F49" s="62" t="s">
        <v>222</v>
      </c>
      <c r="G49" s="62" t="s">
        <v>223</v>
      </c>
      <c r="H49" s="62">
        <v>459901100</v>
      </c>
      <c r="I49" s="62" t="s">
        <v>224</v>
      </c>
      <c r="J49" s="63">
        <v>0</v>
      </c>
      <c r="K49" s="62" t="s">
        <v>70</v>
      </c>
      <c r="L49" s="23" t="str">
        <f>+'[3]Plan Indicativo'!$AC$260</f>
        <v>Acumulativa</v>
      </c>
      <c r="M49" s="77">
        <f>+'[3]Plan Indicativo'!$T$260</f>
        <v>5</v>
      </c>
      <c r="N49" s="23">
        <f>+'[3]Plan Indicativo'!$W$260</f>
        <v>1.5</v>
      </c>
      <c r="O49" s="49">
        <v>1</v>
      </c>
      <c r="P49" s="34">
        <f t="shared" si="0"/>
        <v>0.66666666666666663</v>
      </c>
      <c r="Q49" s="61">
        <f>+Tabla1[[#This Row],[Logro Vigencia]]/Tabla1[[#This Row],[Meta Programada Vigencia]]</f>
        <v>0.66666666666666663</v>
      </c>
      <c r="R49" s="161">
        <v>146668350</v>
      </c>
      <c r="S49" s="116"/>
      <c r="T49" s="116"/>
      <c r="U49" s="116"/>
      <c r="V49" s="116"/>
      <c r="W49" s="116">
        <v>0</v>
      </c>
      <c r="X49" s="116"/>
      <c r="Y49" s="116"/>
      <c r="Z49" s="116">
        <v>0</v>
      </c>
      <c r="AA49" s="116">
        <v>0</v>
      </c>
      <c r="AB49" s="116"/>
      <c r="AC49" s="116"/>
      <c r="AD49" s="116">
        <v>15969850</v>
      </c>
      <c r="AE49" s="120">
        <v>0</v>
      </c>
      <c r="AF49" s="15">
        <f>SUM(Tabla1[[#This Row],[Recursos propios]:[Recursos del Balance]])</f>
        <v>162638200</v>
      </c>
      <c r="AG49" s="161">
        <v>41000000</v>
      </c>
      <c r="AH49" s="116"/>
      <c r="AI49" s="116"/>
      <c r="AJ49" s="116"/>
      <c r="AK49" s="116"/>
      <c r="AL49" s="116">
        <v>0</v>
      </c>
      <c r="AM49" s="116"/>
      <c r="AN49" s="116"/>
      <c r="AO49" s="116">
        <v>0</v>
      </c>
      <c r="AP49" s="116">
        <v>0</v>
      </c>
      <c r="AQ49" s="116"/>
      <c r="AR49" s="116"/>
      <c r="AS49" s="15">
        <v>15610281</v>
      </c>
      <c r="AT49" s="120"/>
      <c r="AU49" s="29">
        <f>SUM(Tabla1[[#This Row],[Recursos propios2]:[Recursos del Balance2]])</f>
        <v>56610281</v>
      </c>
      <c r="AV49" s="15">
        <v>56610161</v>
      </c>
      <c r="AW49" s="15">
        <v>56610161</v>
      </c>
      <c r="AX49" s="52">
        <f>+Tabla1[[#This Row],[Total Recursos Comprometido 2025]]/Tabla1[[#This Row],[Total 2025]]</f>
        <v>0.34807493565472319</v>
      </c>
      <c r="AY49" s="17">
        <f>+Tabla1[[#This Row],[Total Recursos Obligados]]/Tabla1[[#This Row],[Total 2025]]</f>
        <v>0.34807419782068422</v>
      </c>
      <c r="AZ49" s="17">
        <f>+Tabla1[[#This Row],[Total Recursos Pagados]]/Tabla1[[#This Row],[Total 2025]]</f>
        <v>0.34807419782068422</v>
      </c>
      <c r="BA49" s="15">
        <v>0</v>
      </c>
      <c r="BB49" s="54" t="e">
        <f>+[4]!Tabla1[[#This Row],[Total Recursos Gestionados2]]/[4]!Tabla1[[#This Row],[Total Recursos Comprometido 2024]]</f>
        <v>#REF!</v>
      </c>
      <c r="BC49" s="35" t="s">
        <v>271</v>
      </c>
      <c r="BD49" s="22" t="s">
        <v>270</v>
      </c>
      <c r="BE49" s="37">
        <v>16</v>
      </c>
    </row>
    <row r="50" spans="1:57" ht="72">
      <c r="A50" s="67">
        <v>253</v>
      </c>
      <c r="B50" s="60" t="s">
        <v>206</v>
      </c>
      <c r="C50" s="60" t="s">
        <v>207</v>
      </c>
      <c r="D50" s="60" t="s">
        <v>217</v>
      </c>
      <c r="E50" s="60" t="s">
        <v>218</v>
      </c>
      <c r="F50" s="60" t="s">
        <v>225</v>
      </c>
      <c r="G50" s="60" t="s">
        <v>226</v>
      </c>
      <c r="H50" s="60">
        <v>459900600</v>
      </c>
      <c r="I50" s="60" t="s">
        <v>227</v>
      </c>
      <c r="J50" s="60">
        <v>0</v>
      </c>
      <c r="K50" s="60" t="s">
        <v>70</v>
      </c>
      <c r="L50" s="69" t="str">
        <f>+'[3]Plan Indicativo'!$AC$261</f>
        <v>Acumulativa</v>
      </c>
      <c r="M50" s="69">
        <f>+'[3]Plan Indicativo'!$T$261</f>
        <v>4</v>
      </c>
      <c r="N50" s="69">
        <f>+'[3]Plan Indicativo'!$W$261</f>
        <v>2</v>
      </c>
      <c r="O50" s="67">
        <v>0.5</v>
      </c>
      <c r="P50" s="34">
        <f t="shared" si="0"/>
        <v>0.25</v>
      </c>
      <c r="Q50" s="103">
        <f>+Tabla1[[#This Row],[Logro Vigencia]]/Tabla1[[#This Row],[Meta Programada Vigencia]]</f>
        <v>0.25</v>
      </c>
      <c r="R50" s="127">
        <v>2245000000</v>
      </c>
      <c r="S50" s="125"/>
      <c r="T50" s="125"/>
      <c r="U50" s="125"/>
      <c r="V50" s="125"/>
      <c r="W50" s="125">
        <v>0</v>
      </c>
      <c r="X50" s="125"/>
      <c r="Y50" s="125"/>
      <c r="Z50" s="125">
        <v>0</v>
      </c>
      <c r="AA50" s="125">
        <v>0</v>
      </c>
      <c r="AB50" s="125"/>
      <c r="AC50" s="125"/>
      <c r="AD50" s="165">
        <v>120489877.19</v>
      </c>
      <c r="AE50" s="126">
        <v>0</v>
      </c>
      <c r="AF50" s="70">
        <f>SUM(Tabla1[[#This Row],[Recursos propios]:[Recursos del Balance]])</f>
        <v>2365489877.1900001</v>
      </c>
      <c r="AG50" s="174">
        <v>2244994239</v>
      </c>
      <c r="AH50" s="125"/>
      <c r="AI50" s="125"/>
      <c r="AJ50" s="125"/>
      <c r="AK50" s="125"/>
      <c r="AL50" s="125">
        <v>0</v>
      </c>
      <c r="AM50" s="125"/>
      <c r="AN50" s="125"/>
      <c r="AO50" s="125">
        <v>0</v>
      </c>
      <c r="AP50" s="125">
        <v>0</v>
      </c>
      <c r="AQ50" s="125"/>
      <c r="AR50" s="125"/>
      <c r="AS50" s="70">
        <v>120489877.19</v>
      </c>
      <c r="AT50" s="126">
        <v>0</v>
      </c>
      <c r="AU50" s="71">
        <f>SUM(Tabla1[[#This Row],[Recursos propios2]:[Recursos del Balance2]])</f>
        <v>2365484116.1900001</v>
      </c>
      <c r="AV50" s="125">
        <v>0</v>
      </c>
      <c r="AW50" s="125">
        <v>0</v>
      </c>
      <c r="AX50" s="72">
        <f>+Tabla1[[#This Row],[Total Recursos Comprometido 2025]]/Tabla1[[#This Row],[Total 2025]]</f>
        <v>0.99999756456366373</v>
      </c>
      <c r="AY50" s="73">
        <f>+Tabla1[[#This Row],[Total Recursos Obligados]]/Tabla1[[#This Row],[Total 2025]]</f>
        <v>0</v>
      </c>
      <c r="AZ50" s="73">
        <f>+Tabla1[[#This Row],[Total Recursos Pagados]]/Tabla1[[#This Row],[Total 2025]]</f>
        <v>0</v>
      </c>
      <c r="BA50" s="70">
        <v>0</v>
      </c>
      <c r="BB50" s="54" t="e">
        <f>+[4]!Tabla1[[#This Row],[Total Recursos Gestionados2]]/[4]!Tabla1[[#This Row],[Total Recursos Comprometido 2024]]</f>
        <v>#REF!</v>
      </c>
      <c r="BC50" s="74" t="s">
        <v>271</v>
      </c>
      <c r="BD50" s="68" t="s">
        <v>270</v>
      </c>
      <c r="BE50" s="75">
        <v>16</v>
      </c>
    </row>
    <row r="51" spans="1:57" ht="54">
      <c r="A51" s="67">
        <v>303</v>
      </c>
      <c r="B51" s="60" t="s">
        <v>63</v>
      </c>
      <c r="C51" s="60" t="s">
        <v>64</v>
      </c>
      <c r="D51" s="60" t="s">
        <v>65</v>
      </c>
      <c r="E51" s="60" t="s">
        <v>66</v>
      </c>
      <c r="F51" s="60" t="s">
        <v>228</v>
      </c>
      <c r="G51" s="60" t="s">
        <v>229</v>
      </c>
      <c r="H51" s="60">
        <v>210201000</v>
      </c>
      <c r="I51" s="60" t="s">
        <v>230</v>
      </c>
      <c r="J51" s="60">
        <v>4100</v>
      </c>
      <c r="K51" s="60" t="s">
        <v>231</v>
      </c>
      <c r="L51" s="69" t="str">
        <f>+'[3]Plan Indicativo'!$AC$311</f>
        <v>Acumulativa</v>
      </c>
      <c r="M51" s="69">
        <f>+'[3]Plan Indicativo'!$T$311</f>
        <v>4100</v>
      </c>
      <c r="N51" s="69">
        <f>+'[3]Plan Indicativo'!$W$311</f>
        <v>1100</v>
      </c>
      <c r="O51" s="67">
        <v>1100</v>
      </c>
      <c r="P51" s="34">
        <f t="shared" si="0"/>
        <v>1</v>
      </c>
      <c r="Q51" s="103">
        <f>+Tabla1[[#This Row],[Logro Vigencia]]/Tabla1[[#This Row],[Meta Programada Vigencia]]</f>
        <v>1</v>
      </c>
      <c r="R51" s="127">
        <v>7000000000</v>
      </c>
      <c r="S51" s="125"/>
      <c r="T51" s="125"/>
      <c r="U51" s="125"/>
      <c r="V51" s="125"/>
      <c r="W51" s="125">
        <v>0</v>
      </c>
      <c r="X51" s="125"/>
      <c r="Y51" s="125"/>
      <c r="Z51" s="125">
        <v>0</v>
      </c>
      <c r="AA51" s="125">
        <v>0</v>
      </c>
      <c r="AB51" s="125"/>
      <c r="AC51" s="125"/>
      <c r="AD51" s="125"/>
      <c r="AE51" s="126">
        <v>0</v>
      </c>
      <c r="AF51" s="70">
        <f>SUM(Tabla1[[#This Row],[Recursos propios]:[Recursos del Balance]])</f>
        <v>7000000000</v>
      </c>
      <c r="AG51" s="127">
        <v>7000000000</v>
      </c>
      <c r="AH51" s="125"/>
      <c r="AI51" s="125"/>
      <c r="AJ51" s="125"/>
      <c r="AK51" s="125"/>
      <c r="AL51" s="125">
        <v>0</v>
      </c>
      <c r="AM51" s="125"/>
      <c r="AN51" s="125"/>
      <c r="AO51" s="125">
        <v>0</v>
      </c>
      <c r="AP51" s="125">
        <v>0</v>
      </c>
      <c r="AQ51" s="125"/>
      <c r="AR51" s="125"/>
      <c r="AS51" s="125"/>
      <c r="AT51" s="126">
        <v>0</v>
      </c>
      <c r="AU51" s="71">
        <f>SUM(Tabla1[[#This Row],[Recursos propios2]:[Recursos del Balance2]])</f>
        <v>7000000000</v>
      </c>
      <c r="AV51" s="125">
        <v>3500000000</v>
      </c>
      <c r="AW51" s="125">
        <v>3500000000</v>
      </c>
      <c r="AX51" s="72">
        <f>+Tabla1[[#This Row],[Total Recursos Comprometido 2025]]/Tabla1[[#This Row],[Total 2025]]</f>
        <v>1</v>
      </c>
      <c r="AY51" s="73">
        <f>+Tabla1[[#This Row],[Total Recursos Obligados]]/Tabla1[[#This Row],[Total 2025]]</f>
        <v>0.5</v>
      </c>
      <c r="AZ51" s="73">
        <f>+Tabla1[[#This Row],[Total Recursos Pagados]]/Tabla1[[#This Row],[Total 2025]]</f>
        <v>0.5</v>
      </c>
      <c r="BA51" s="70">
        <v>0</v>
      </c>
      <c r="BB51" s="54" t="e">
        <f>+[4]!Tabla1[[#This Row],[Total Recursos Gestionados2]]/[4]!Tabla1[[#This Row],[Total Recursos Comprometido 2024]]</f>
        <v>#REF!</v>
      </c>
      <c r="BC51" s="74" t="s">
        <v>269</v>
      </c>
      <c r="BD51" s="68" t="s">
        <v>270</v>
      </c>
      <c r="BE51" s="75">
        <v>16</v>
      </c>
    </row>
    <row r="52" spans="1:57" ht="36">
      <c r="A52" s="67">
        <v>134</v>
      </c>
      <c r="B52" s="131" t="s">
        <v>188</v>
      </c>
      <c r="C52" s="131" t="s">
        <v>189</v>
      </c>
      <c r="D52" s="131">
        <v>4301</v>
      </c>
      <c r="E52" s="131" t="s">
        <v>196</v>
      </c>
      <c r="F52" s="131">
        <v>4301004</v>
      </c>
      <c r="G52" s="131" t="s">
        <v>313</v>
      </c>
      <c r="H52" s="131">
        <v>430100400</v>
      </c>
      <c r="I52" s="131" t="s">
        <v>314</v>
      </c>
      <c r="J52" s="137">
        <v>80</v>
      </c>
      <c r="K52" s="131" t="s">
        <v>70</v>
      </c>
      <c r="L52" s="69" t="s">
        <v>315</v>
      </c>
      <c r="M52" s="78">
        <v>80</v>
      </c>
      <c r="N52" s="69">
        <v>20</v>
      </c>
      <c r="O52" s="67">
        <v>0.9</v>
      </c>
      <c r="P52" s="132">
        <v>0.2</v>
      </c>
      <c r="Q52" s="103">
        <v>0.2</v>
      </c>
      <c r="R52" s="166">
        <v>1684796494.4300001</v>
      </c>
      <c r="S52" s="133"/>
      <c r="T52" s="133"/>
      <c r="U52" s="133"/>
      <c r="V52" s="133"/>
      <c r="W52" s="133"/>
      <c r="X52" s="133"/>
      <c r="Y52" s="133"/>
      <c r="Z52" s="133"/>
      <c r="AA52" s="133">
        <v>0</v>
      </c>
      <c r="AB52" s="133"/>
      <c r="AC52" s="133"/>
      <c r="AD52" s="133"/>
      <c r="AE52" s="175">
        <v>212852387</v>
      </c>
      <c r="AF52" s="70">
        <f>SUM(Tabla1[[#This Row],[Recursos propios]:[Recursos del Balance]])</f>
        <v>1897648881.4300001</v>
      </c>
      <c r="AG52" s="166">
        <v>1352557081.55</v>
      </c>
      <c r="AH52" s="133"/>
      <c r="AI52" s="133"/>
      <c r="AJ52" s="133"/>
      <c r="AK52" s="133"/>
      <c r="AL52" s="133"/>
      <c r="AM52" s="133"/>
      <c r="AN52" s="133"/>
      <c r="AO52" s="133"/>
      <c r="AP52" s="133">
        <v>0</v>
      </c>
      <c r="AQ52" s="133"/>
      <c r="AR52" s="133"/>
      <c r="AS52" s="133"/>
      <c r="AT52" s="134"/>
      <c r="AU52" s="71">
        <f>SUM(Tabla1[[#This Row],[Recursos propios2]:[Recursos del Balance2]])</f>
        <v>1352557081.55</v>
      </c>
      <c r="AV52" s="133">
        <v>552115024</v>
      </c>
      <c r="AW52" s="133">
        <v>552115024</v>
      </c>
      <c r="AX52" s="72">
        <v>1</v>
      </c>
      <c r="AY52" s="136">
        <v>6.0542820763250869E-2</v>
      </c>
      <c r="AZ52" s="136">
        <v>6.0542820763250869E-2</v>
      </c>
      <c r="BA52" s="135">
        <v>0</v>
      </c>
      <c r="BB52" s="54" t="e">
        <f>+[4]!Tabla1[[#This Row],[Total Recursos Gestionados2]]/[4]!Tabla1[[#This Row],[Total Recursos Comprometido 2024]]</f>
        <v>#REF!</v>
      </c>
      <c r="BC52" s="74" t="s">
        <v>271</v>
      </c>
      <c r="BD52" s="68" t="s">
        <v>270</v>
      </c>
      <c r="BE52" s="75">
        <v>16</v>
      </c>
    </row>
    <row r="53" spans="1:57" ht="45" customHeight="1">
      <c r="A53" s="49">
        <v>245</v>
      </c>
      <c r="B53" s="22" t="s">
        <v>206</v>
      </c>
      <c r="C53" s="23" t="s">
        <v>207</v>
      </c>
      <c r="D53" s="23">
        <v>4599</v>
      </c>
      <c r="E53" s="22" t="s">
        <v>218</v>
      </c>
      <c r="F53" s="23">
        <v>4599002</v>
      </c>
      <c r="G53" s="22" t="s">
        <v>324</v>
      </c>
      <c r="H53" s="23">
        <v>459900200</v>
      </c>
      <c r="I53" s="23" t="s">
        <v>325</v>
      </c>
      <c r="J53" s="156">
        <v>1</v>
      </c>
      <c r="K53" s="23" t="s">
        <v>326</v>
      </c>
      <c r="L53" s="23" t="s">
        <v>315</v>
      </c>
      <c r="M53" s="156">
        <v>1</v>
      </c>
      <c r="N53" s="61"/>
      <c r="O53" s="67" t="s">
        <v>360</v>
      </c>
      <c r="P53" s="34" t="str">
        <f>IF(N53=0," -",IF(Q53&gt;100%,100%,Q53))</f>
        <v xml:space="preserve"> -</v>
      </c>
      <c r="Q53" s="61" t="e">
        <f>+[4]!Tabla1[[#This Row],[Logro Vigencia]]/[4]!Tabla1[[#This Row],[Meta Programada Vigencia]]</f>
        <v>#REF!</v>
      </c>
      <c r="R53" s="176"/>
      <c r="S53" s="125"/>
      <c r="T53" s="125"/>
      <c r="U53" s="125"/>
      <c r="V53" s="125"/>
      <c r="W53" s="125"/>
      <c r="X53" s="125"/>
      <c r="Y53" s="125"/>
      <c r="Z53" s="125"/>
      <c r="AA53" s="125">
        <v>3717493101.1999998</v>
      </c>
      <c r="AB53" s="125"/>
      <c r="AC53" s="125">
        <v>4373250</v>
      </c>
      <c r="AD53" s="125">
        <v>6741779473.0100002</v>
      </c>
      <c r="AE53" s="167">
        <v>25011855573.740002</v>
      </c>
      <c r="AF53" s="70">
        <f>SUM(Tabla1[[#This Row],[Recursos propios]:[Recursos del Balance]])</f>
        <v>35475501397.949997</v>
      </c>
      <c r="AG53" s="116">
        <v>8850106800</v>
      </c>
      <c r="AH53" s="125"/>
      <c r="AI53" s="125"/>
      <c r="AJ53" s="125"/>
      <c r="AK53" s="125"/>
      <c r="AL53" s="125"/>
      <c r="AM53" s="125"/>
      <c r="AN53" s="125"/>
      <c r="AO53" s="125"/>
      <c r="AP53" s="70"/>
      <c r="AQ53" s="125"/>
      <c r="AR53" s="125"/>
      <c r="AS53" s="125">
        <v>4613865289.6999998</v>
      </c>
      <c r="AT53" s="167">
        <v>1109885166.8599999</v>
      </c>
      <c r="AU53" s="71">
        <f>SUM(Tabla1[[#This Row],[Recursos propios2]:[Recursos del Balance2]])</f>
        <v>14573857256.560001</v>
      </c>
      <c r="AV53" s="182">
        <v>9450532344.8600006</v>
      </c>
      <c r="AW53" s="125">
        <v>9450532344.5799999</v>
      </c>
      <c r="AX53" s="72" t="e">
        <f>+[4]!Tabla1[[#This Row],[Total Recursos Comprometido 2024]]/[4]!Tabla1[[#This Row],[Total 2024]]</f>
        <v>#REF!</v>
      </c>
      <c r="AY53" s="136" t="e">
        <f>+[4]!Tabla1[[#This Row],[Total Recursos Obligados]]/[4]!Tabla1[[#This Row],[Total 2024]]</f>
        <v>#REF!</v>
      </c>
      <c r="AZ53" s="136" t="e">
        <f>+[4]!Tabla1[[#This Row],[Total Recursos Pagados]]/[4]!Tabla1[[#This Row],[Total 2024]]</f>
        <v>#REF!</v>
      </c>
      <c r="BA53" s="157"/>
      <c r="BB53" s="17" t="e">
        <f>+[4]!Tabla1[[#This Row],[Total Recursos Gestionados2]]/[4]!Tabla1[[#This Row],[Total Recursos Comprometido 2024]]</f>
        <v>#REF!</v>
      </c>
      <c r="BC53" s="35" t="s">
        <v>271</v>
      </c>
      <c r="BD53" s="22" t="s">
        <v>270</v>
      </c>
      <c r="BE53" s="37">
        <v>16</v>
      </c>
    </row>
    <row r="54" spans="1:57">
      <c r="A54" s="67"/>
      <c r="B54" s="68"/>
      <c r="C54" s="69"/>
      <c r="D54" s="69"/>
      <c r="E54" s="69"/>
      <c r="F54" s="69"/>
      <c r="G54" s="69"/>
      <c r="H54" s="69"/>
      <c r="I54" s="69"/>
      <c r="J54" s="69"/>
      <c r="K54" s="69"/>
      <c r="L54" s="69"/>
      <c r="M54" s="69"/>
      <c r="N54" s="69"/>
      <c r="O54" s="67"/>
      <c r="P54" s="108">
        <f>+AVERAGE(Tabla1[Porcentaje Avance Vigencia])</f>
        <v>0.73350509688449572</v>
      </c>
      <c r="Q54" s="69"/>
      <c r="R54" s="109"/>
      <c r="S54" s="109"/>
      <c r="T54" s="109"/>
      <c r="U54" s="109"/>
      <c r="V54" s="109"/>
      <c r="W54" s="109"/>
      <c r="X54" s="109"/>
      <c r="Y54" s="109"/>
      <c r="Z54" s="109"/>
      <c r="AA54" s="109"/>
      <c r="AB54" s="109"/>
      <c r="AC54" s="109"/>
      <c r="AD54" s="109"/>
      <c r="AE54" s="109"/>
      <c r="AF54" s="110">
        <f>SUBTOTAL(109,Tabla1[Total 2025])</f>
        <v>253202206623.51001</v>
      </c>
      <c r="AG54" s="109"/>
      <c r="AH54" s="109"/>
      <c r="AI54" s="109"/>
      <c r="AJ54" s="109"/>
      <c r="AK54" s="109"/>
      <c r="AL54" s="109"/>
      <c r="AM54" s="109"/>
      <c r="AN54" s="109"/>
      <c r="AO54" s="109"/>
      <c r="AP54" s="109"/>
      <c r="AQ54" s="109"/>
      <c r="AR54" s="109"/>
      <c r="AS54" s="109"/>
      <c r="AT54" s="109"/>
      <c r="AU54" s="110">
        <f>+SUM(Tabla1[Total Recursos Comprometido 2025])</f>
        <v>175606930931.18997</v>
      </c>
      <c r="AV54" s="110">
        <f>+SUM(Tabla1[Total Recursos Obligados])</f>
        <v>120827398242.89</v>
      </c>
      <c r="AW54" s="110">
        <f>+SUM(Tabla1[Total Recursos Pagados])</f>
        <v>116433449207.54001</v>
      </c>
      <c r="AX54" s="109"/>
      <c r="AY54" s="109"/>
      <c r="AZ54" s="109"/>
      <c r="BA54" s="109"/>
      <c r="BB54" s="109"/>
      <c r="BC54" s="74"/>
      <c r="BD54" s="68"/>
      <c r="BE54" s="75"/>
    </row>
    <row r="55" spans="1:57">
      <c r="AF55" s="81"/>
      <c r="AU55" s="81"/>
      <c r="AV55" s="81"/>
      <c r="AW55" s="81"/>
    </row>
    <row r="56" spans="1:57">
      <c r="AF56" s="111"/>
      <c r="AU56" s="111"/>
      <c r="AV56" s="111"/>
      <c r="AW56" s="111"/>
    </row>
    <row r="57" spans="1:57">
      <c r="AF57" s="81"/>
      <c r="AU57" s="81"/>
      <c r="AV57" s="81"/>
      <c r="AW57" s="81"/>
    </row>
    <row r="59" spans="1:57">
      <c r="AF59" s="81"/>
    </row>
  </sheetData>
  <sheetProtection formatCells="0" formatColumns="0" formatRows="0" insertRows="0" autoFilter="0"/>
  <mergeCells count="13">
    <mergeCell ref="BC9:BD9"/>
    <mergeCell ref="A9:N9"/>
    <mergeCell ref="O9:Q9"/>
    <mergeCell ref="R9:AF9"/>
    <mergeCell ref="A1:B4"/>
    <mergeCell ref="AG9:AW9"/>
    <mergeCell ref="AX9:AZ9"/>
    <mergeCell ref="BA9:BB9"/>
    <mergeCell ref="C1:BB4"/>
    <mergeCell ref="BC1:BE1"/>
    <mergeCell ref="BC2:BE2"/>
    <mergeCell ref="BC3:BE3"/>
    <mergeCell ref="BC4:BE4"/>
  </mergeCells>
  <phoneticPr fontId="9" type="noConversion"/>
  <pageMargins left="0.7" right="0.7" top="0.75" bottom="0.75" header="0.3" footer="0.3"/>
  <pageSetup paperSize="9" orientation="portrait" r:id="rId1"/>
  <ignoredErrors>
    <ignoredError sqref="D11:F51" numberStoredAsText="1"/>
    <ignoredError sqref="AF14 AU14" unlockedFormula="1"/>
  </ignoredError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Hoja2</vt:lpstr>
      <vt:lpstr>Plan de Acción-proyectos </vt:lpstr>
      <vt:lpstr>Plan de Acción-metas</vt:lpstr>
      <vt:lpstr>'Plan de Acción-proyectos '!PA</vt:lpstr>
      <vt:lpstr>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MORON</dc:creator>
  <cp:lastModifiedBy>MONICA</cp:lastModifiedBy>
  <dcterms:created xsi:type="dcterms:W3CDTF">2024-06-03T22:05:35Z</dcterms:created>
  <dcterms:modified xsi:type="dcterms:W3CDTF">2026-02-10T19:39:58Z</dcterms:modified>
</cp:coreProperties>
</file>