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Planes de Acción\"/>
    </mc:Choice>
  </mc:AlternateContent>
  <xr:revisionPtr revIDLastSave="0" documentId="13_ncr:1_{ABA36602-4758-4C51-B4A0-197215805ED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6" r:id="rId1"/>
    <sheet name="Plan de Acción-metas" sheetId="1" r:id="rId2"/>
  </sheets>
  <externalReferences>
    <externalReference r:id="rId3"/>
  </externalReference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1" i="6" l="1"/>
  <c r="AY11" i="6" s="1"/>
  <c r="AU11" i="6"/>
  <c r="AX11" i="6" s="1"/>
  <c r="AZ11" i="6"/>
  <c r="BB11" i="6"/>
  <c r="AE12" i="6"/>
  <c r="AU12" i="6"/>
  <c r="BB12" i="6"/>
  <c r="AE13" i="6"/>
  <c r="AX13" i="6" s="1"/>
  <c r="AU13" i="6"/>
  <c r="AY13" i="6"/>
  <c r="AZ13" i="6"/>
  <c r="BB13" i="6"/>
  <c r="AE14" i="6"/>
  <c r="AY14" i="6" s="1"/>
  <c r="AU14" i="6"/>
  <c r="AX14" i="6" s="1"/>
  <c r="AZ14" i="6"/>
  <c r="BB14" i="6"/>
  <c r="AE15" i="6"/>
  <c r="AU15" i="6"/>
  <c r="AX15" i="6" s="1"/>
  <c r="AY15" i="6"/>
  <c r="AZ15" i="6"/>
  <c r="BB15" i="6"/>
  <c r="AE16" i="6"/>
  <c r="AY16" i="6" s="1"/>
  <c r="AU16" i="6"/>
  <c r="AX16" i="6" s="1"/>
  <c r="BB16" i="6"/>
  <c r="AE17" i="6"/>
  <c r="AX17" i="6" s="1"/>
  <c r="AU17" i="6"/>
  <c r="AY17" i="6"/>
  <c r="AZ17" i="6"/>
  <c r="BB17" i="6"/>
  <c r="AE18" i="6"/>
  <c r="AY18" i="6" s="1"/>
  <c r="AU18" i="6"/>
  <c r="AX18" i="6" s="1"/>
  <c r="AZ18" i="6"/>
  <c r="BB18" i="6"/>
  <c r="P19" i="6"/>
  <c r="S19" i="6"/>
  <c r="AC19" i="6"/>
  <c r="AD19" i="6"/>
  <c r="AD21" i="6" s="1"/>
  <c r="AF19" i="6"/>
  <c r="AI19" i="6"/>
  <c r="AI21" i="6" s="1"/>
  <c r="AS19" i="6"/>
  <c r="AS21" i="6" s="1"/>
  <c r="AT19" i="6"/>
  <c r="AV19" i="6"/>
  <c r="AW19" i="6"/>
  <c r="AW21" i="6" s="1"/>
  <c r="P21" i="6"/>
  <c r="S21" i="6"/>
  <c r="AC21" i="6"/>
  <c r="AF21" i="6"/>
  <c r="AT21" i="6"/>
  <c r="AV21" i="6"/>
  <c r="AX12" i="6" l="1"/>
  <c r="AE19" i="6"/>
  <c r="AZ12" i="6"/>
  <c r="AZ16" i="6"/>
  <c r="AU19" i="6"/>
  <c r="AU21" i="6" s="1"/>
  <c r="AY12" i="6"/>
  <c r="AE20" i="6"/>
  <c r="AE21" i="6" s="1"/>
  <c r="N18" i="1" l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AU11" i="1" l="1"/>
  <c r="BB11" i="1" s="1"/>
  <c r="AW19" i="1" l="1"/>
  <c r="AV19" i="1"/>
  <c r="AU12" i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U19" i="1" l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<sst xmlns="http://schemas.openxmlformats.org/spreadsheetml/2006/main" count="320" uniqueCount="153">
  <si>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</si>
  <si>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</si>
  <si>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</si>
  <si>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</si>
  <si>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</si>
  <si>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</si>
  <si>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</si>
  <si>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</si>
  <si>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</si>
  <si>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</si>
  <si>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</si>
  <si>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</si>
  <si>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</si>
  <si>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</si>
  <si>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</si>
  <si>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</si>
  <si>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</si>
  <si>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</si>
  <si>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</si>
  <si>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</si>
  <si>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</si>
  <si>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</si>
  <si>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</si>
  <si>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</si>
  <si>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</si>
  <si>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</si>
  <si>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</si>
  <si>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</si>
  <si>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</si>
  <si>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</si>
  <si>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</si>
  <si>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</si>
  <si>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</si>
  <si>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</si>
  <si>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</si>
  <si>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</si>
  <si>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</si>
  <si>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</si>
  <si>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</si>
  <si>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</si>
  <si>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</si>
  <si>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</si>
  <si>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</si>
  <si>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</si>
  <si>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</si>
  <si>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</si>
  <si>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</si>
  <si>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</si>
  <si>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</si>
  <si>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</si>
  <si>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</si>
  <si>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</si>
  <si>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</si>
  <si>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</si>
  <si>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</si>
  <si>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</si>
  <si>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</si>
  <si>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</si>
  <si>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</si>
  <si>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</si>
  <si>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</si>
  <si>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</si>
  <si>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</si>
  <si>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</si>
  <si>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</si>
  <si>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</si>
  <si>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</si>
  <si>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</si>
  <si>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</si>
  <si>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</si>
  <si>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</si>
  <si>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</si>
  <si>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</si>
  <si>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</si>
  <si>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</si>
  <si>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</si>
  <si>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</si>
  <si>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</si>
  <si>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</si>
  <si>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</si>
  <si>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</si>
  <si>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</si>
  <si>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</si>
  <si>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</si>
  <si>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</si>
  <si>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</si>
  <si>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</si>
  <si>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</si>
  <si>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</si>
  <si>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</si>
  <si>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</si>
  <si>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</si>
  <si>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</si>
  <si>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</si>
  <si>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</si>
  <si>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</si>
  <si>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</si>
  <si>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</si>
  <si>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</si>
  <si>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</si>
  <si>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</si>
  <si>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</si>
  <si>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</si>
  <si>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</si>
  <si>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</si>
  <si>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</si>
  <si>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</si>
  <si>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</si>
  <si>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</si>
  <si>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</si>
  <si>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</si>
  <si>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</si>
  <si>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</si>
  <si>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</si>
  <si>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</si>
  <si>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</si>
  <si>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</si>
  <si>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</si>
  <si>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</si>
  <si>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</si>
  <si>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</si>
  <si>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</si>
  <si>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</si>
  <si>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</si>
  <si>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</si>
  <si>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</si>
  <si>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</si>
  <si>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</si>
  <si>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</si>
  <si>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</si>
  <si>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</si>
  <si>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</si>
  <si>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</si>
  <si>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</si>
  <si>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</si>
  <si>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</si>
  <si>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</si>
  <si>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</si>
  <si>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</si>
  <si>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</si>
  <si>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</si>
  <si>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</si>
  <si>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</si>
  <si>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</si>
  <si>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</si>
  <si>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</si>
  <si>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</si>
  <si>
    <t>Línea Estratégica</t>
  </si>
  <si>
    <t>Línea Base</t>
  </si>
  <si>
    <t>Mejorar la dotación de 9 casas de la juventud</t>
  </si>
  <si>
    <t>Total 2025</t>
  </si>
  <si>
    <t>Total Recursos Gestionados</t>
  </si>
  <si>
    <t>SANDRA MILENA RODRÍGUEZ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</si>
</sst>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5" formatCode="_-[$$-240A]\ * #,##0.00_-;\-[$$-240A]\ * #,##0.00_-;_-[$$-240A]\ * &quot;-&quot;??_-;_-@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44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8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21" xfId="0" applyNumberFormat="1" applyFont="1" applyBorder="1" applyAlignment="1" applyProtection="1">
      <alignment horizontal="center" vertical="center"/>
      <protection locked="0"/>
    </xf>
    <xf numFmtId="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44" fontId="14" fillId="0" borderId="21" xfId="0" applyNumberFormat="1" applyFont="1" applyBorder="1" applyAlignment="1" applyProtection="1">
      <alignment horizontal="center" vertical="center" wrapText="1"/>
      <protection locked="0"/>
    </xf>
    <xf numFmtId="44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4" fontId="16" fillId="0" borderId="20" xfId="0" applyNumberFormat="1" applyFont="1" applyBorder="1" applyAlignment="1">
      <alignment horizontal="center" vertical="center" wrapText="1"/>
    </xf>
    <xf numFmtId="44" fontId="13" fillId="0" borderId="8" xfId="0" applyNumberFormat="1" applyFont="1" applyBorder="1" applyAlignment="1" applyProtection="1">
      <alignment horizontal="center" vertical="center" wrapText="1"/>
      <protection locked="0"/>
    </xf>
    <xf numFmtId="44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44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44" fontId="13" fillId="0" borderId="20" xfId="0" applyNumberFormat="1" applyFont="1" applyBorder="1" applyAlignment="1" applyProtection="1">
      <alignment horizontal="center" vertical="center" wrapText="1"/>
      <protection locked="0"/>
    </xf>
    <xf numFmtId="44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44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8" fontId="13" fillId="0" borderId="47" xfId="0" applyNumberFormat="1" applyFont="1" applyBorder="1" applyAlignment="1" applyProtection="1">
      <alignment horizontal="center" vertical="center"/>
      <protection locked="0"/>
    </xf>
    <xf numFmtId="44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>
      <alignment horizontal="center" vertical="center"/>
    </xf>
    <xf numFmtId="0" fontId="13" fillId="0" borderId="47" xfId="0" applyFont="1" applyBorder="1" applyAlignment="1" applyProtection="1">
      <alignment horizontal="center" vertical="center"/>
      <protection locked="0"/>
    </xf>
    <xf numFmtId="44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44" fontId="13" fillId="0" borderId="46" xfId="0" applyNumberFormat="1" applyFont="1" applyFill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8" fontId="13" fillId="0" borderId="1" xfId="0" applyNumberFormat="1" applyFont="1" applyBorder="1" applyAlignment="1" applyProtection="1">
      <alignment horizontal="center" vertical="center" wrapText="1"/>
      <protection locked="0"/>
    </xf>
    <xf numFmtId="44" fontId="16" fillId="0" borderId="1" xfId="2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44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44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44" fontId="2" fillId="0" borderId="0" xfId="2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18" fillId="0" borderId="21" xfId="0" applyNumberFormat="1" applyFont="1" applyBorder="1" applyAlignment="1" applyProtection="1">
      <alignment horizontal="center" vertical="center" wrapText="1"/>
      <protection locked="0"/>
    </xf>
    <xf numFmtId="44" fontId="18" fillId="0" borderId="20" xfId="0" applyNumberFormat="1" applyFont="1" applyBorder="1" applyAlignment="1" applyProtection="1">
      <alignment horizontal="center" vertical="center"/>
      <protection locked="0"/>
    </xf>
    <xf numFmtId="44" fontId="18" fillId="0" borderId="1" xfId="0" applyNumberFormat="1" applyFont="1" applyBorder="1" applyAlignment="1" applyProtection="1">
      <alignment horizontal="center" vertical="center" wrapText="1"/>
      <protection locked="0"/>
    </xf>
    <xf numFmtId="44" fontId="18" fillId="0" borderId="1" xfId="0" applyNumberFormat="1" applyFont="1" applyBorder="1" applyAlignment="1" applyProtection="1">
      <alignment horizontal="center" vertical="center"/>
      <protection locked="0"/>
    </xf>
    <xf numFmtId="8" fontId="13" fillId="0" borderId="20" xfId="0" applyNumberFormat="1" applyFont="1" applyBorder="1" applyAlignment="1" applyProtection="1">
      <alignment horizontal="center" vertical="center"/>
      <protection locked="0"/>
    </xf>
    <xf numFmtId="8" fontId="18" fillId="0" borderId="1" xfId="0" applyNumberFormat="1" applyFont="1" applyBorder="1" applyAlignment="1" applyProtection="1">
      <alignment horizontal="center" vertical="center"/>
      <protection locked="0"/>
    </xf>
    <xf numFmtId="8" fontId="2" fillId="0" borderId="0" xfId="2" applyNumberFormat="1" applyFont="1" applyAlignment="1">
      <alignment horizontal="center" vertical="center"/>
    </xf>
    <xf numFmtId="4" fontId="13" fillId="0" borderId="8" xfId="0" applyNumberFormat="1" applyFont="1" applyBorder="1" applyAlignment="1" applyProtection="1">
      <alignment horizontal="center" vertical="center"/>
      <protection locked="0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0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0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0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1809750</xdr:colOff>
      <xdr:row>0</xdr:row>
      <xdr:rowOff>222249</xdr:rowOff>
    </xdr:from>
    <xdr:ext cx="1135063" cy="1067431"/>
    <xdr:pic>
      <xdr:nvPicPr>
        <xdr:cNvPr id="2" name="Imagen 1">
          <a:extLst>
            <a:ext uri="{FF2B5EF4-FFF2-40B4-BE49-F238E27FC236}">
              <a16:creationId xmlns:a16="http://schemas.microsoft.com/office/drawing/2014/main" id="{F3A0D02C-97C1-44EE-B988-FED90A603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84149"/>
          <a:ext cx="1135063" cy="10674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24">
          <cell r="T24">
            <v>5000</v>
          </cell>
          <cell r="W24">
            <v>1300</v>
          </cell>
          <cell r="AC24" t="str">
            <v>Acumulativa</v>
          </cell>
        </row>
        <row r="138">
          <cell r="T138">
            <v>15000</v>
          </cell>
          <cell r="W138">
            <v>3500</v>
          </cell>
          <cell r="AC138" t="str">
            <v>Acumulativa</v>
          </cell>
        </row>
        <row r="139">
          <cell r="T139">
            <v>195000</v>
          </cell>
          <cell r="W139">
            <v>51500</v>
          </cell>
          <cell r="AC139" t="str">
            <v>Acumulativa</v>
          </cell>
        </row>
        <row r="140">
          <cell r="T140">
            <v>20000</v>
          </cell>
          <cell r="W140">
            <v>5000</v>
          </cell>
          <cell r="AC140" t="str">
            <v>Acumulativa</v>
          </cell>
        </row>
        <row r="141">
          <cell r="T141">
            <v>18</v>
          </cell>
          <cell r="W141">
            <v>18</v>
          </cell>
          <cell r="AC141" t="str">
            <v>No Acumulativa</v>
          </cell>
        </row>
        <row r="142">
          <cell r="T142">
            <v>80</v>
          </cell>
          <cell r="W142">
            <v>20</v>
          </cell>
          <cell r="AC142" t="str">
            <v>Acumulativa</v>
          </cell>
        </row>
        <row r="145">
          <cell r="T145">
            <v>9</v>
          </cell>
          <cell r="W145">
            <v>2</v>
          </cell>
          <cell r="AC145" t="str">
            <v>Acumulativa</v>
          </cell>
        </row>
        <row r="146">
          <cell r="T146">
            <v>9</v>
          </cell>
          <cell r="W146">
            <v>2</v>
          </cell>
          <cell r="AC146" t="str">
            <v>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CA6941-AF54-4CA1-8A79-6FECDDE6F327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í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dataDxfId="98" totalsRow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97" totalsRowDxfId="40"/>
    <tableColumn id="46" xr3:uid="{00000000-0010-0000-0000-00002E000000}" name="Recursos propios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dataDxfId="93" totalsRowDxfId="36"/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dataDxfId="84" totalsRowDxfId="27"/>
    <tableColumn id="27" xr3:uid="{7DD93E19-2832-4A51-8A0C-E61BADE2EBF2}" name="Recursos del Balance" dataDxfId="83" totalsRowDxfId="26"/>
    <tableColumn id="50" xr3:uid="{00000000-0010-0000-0000-000032000000}" name="Total 2025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dataDxfId="81" totalsRowDxfId="24"/>
    <tableColumn id="52" xr3:uid="{00000000-0010-0000-0000-000034000000}" name="SGP Educación2" dataDxfId="80" totalsRowDxfId="23"/>
    <tableColumn id="53" xr3:uid="{00000000-0010-0000-0000-000035000000}" name="SGP Salud " dataDxfId="79" totalsRowDxfId="22"/>
    <tableColumn id="62" xr3:uid="{7C7CEB6E-F374-4CFE-9734-C5F0F9CACDEF}" name="SGP Deporte " dataDxfId="78" totalsRowDxfId="21"/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dataDxfId="69" totalsRowDxfId="12"/>
    <tableColumn id="10" xr3:uid="{6E2474FE-BE7F-4145-9A73-37EE37601765}" name="Recursos del Balance2" dataDxfId="68" totalsRowDxfId="11"/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/>
    <tableColumn id="4" xr3:uid="{FACF9905-9C80-4C0B-AA93-96434C5C0E89}" name="Total Recursos Pagados" totalsRowFunction="sum" dataDxfId="65" totalsRowDxfId="8"/>
    <tableColumn id="30" xr3:uid="{222F91FD-F5ED-4EEE-9A8F-E86D76F6FD1C}" name="Ejecución Recursos Comprometidos" dataDxfId="64" totalsRowDxfId="7">
      <calculatedColumnFormula>+Tabla1[[#This Row],[Total Recursos Comprometido]]/Tabla1[[#This Row],[Total 2025]]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2025]]</calculatedColumnFormula>
    </tableColumn>
    <tableColumn id="31" xr3:uid="{425B0788-0421-4008-BBBD-C96BE816DACB}" name="Total Recursos Gestionados" dataDxfId="61" totalsRowDxfId="4"/>
    <tableColumn id="33" xr3:uid="{DC8E6CD1-31C8-440A-AC48-81F7B88607CF}" name="Nivel de Gestión" dataDxfId="60" totalsRowDxfId="3" dataCellStyle="Porcentaje">
      <calculatedColumnFormula>+Tabla1[[#This Row],[Total Recursos Gestionados]]/Tabla1[[#This Row],[Total Recursos Comprometido]]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1CEC-C2F1-466A-BDD4-9F4EDEE583A4}">
  <sheetPr>
    <tabColor theme="8" tint="-0.249977111117893"/>
  </sheetPr>
  <dimension ref="A1:BE23"/>
  <sheetViews>
    <sheetView showGridLines="0" zoomScale="60" zoomScaleNormal="60" workbookViewId="0">
      <selection activeCell="AW20" sqref="AW20"/>
    </sheetView>
  </sheetViews>
  <sheetFormatPr baseColWidth="10" defaultColWidth="11.125" defaultRowHeight="15"/>
  <cols>
    <col min="1" max="1" width="24" style="4" customWidth="1"/>
    <col min="2" max="2" width="36.125" style="4" customWidth="1"/>
    <col min="3" max="3" width="20.125" style="4" customWidth="1"/>
    <col min="4" max="4" width="19.125" style="4" customWidth="1"/>
    <col min="5" max="5" width="25.75" style="4" customWidth="1"/>
    <col min="6" max="6" width="21.75" style="4" customWidth="1"/>
    <col min="7" max="7" width="33.75" style="4" customWidth="1"/>
    <col min="8" max="8" width="20.125" style="4" bestFit="1" customWidth="1"/>
    <col min="9" max="9" width="25.125" style="4" customWidth="1"/>
    <col min="10" max="10" width="26.125" style="4" bestFit="1" customWidth="1"/>
    <col min="11" max="11" width="28.125" style="4" customWidth="1"/>
    <col min="12" max="12" width="34.125" style="4" customWidth="1"/>
    <col min="13" max="13" width="26.75" style="4" customWidth="1"/>
    <col min="14" max="14" width="28.75" style="4" customWidth="1"/>
    <col min="15" max="15" width="27.125" style="4" customWidth="1"/>
    <col min="16" max="16" width="22.125" style="4" customWidth="1"/>
    <col min="17" max="17" width="17.75" style="4" customWidth="1"/>
    <col min="18" max="18" width="18.125" style="4" customWidth="1"/>
    <col min="19" max="19" width="19.75" style="4" bestFit="1" customWidth="1"/>
    <col min="20" max="28" width="18.125" style="4" customWidth="1"/>
    <col min="29" max="30" width="19.75" style="4" bestFit="1" customWidth="1"/>
    <col min="31" max="32" width="24.125" style="4" customWidth="1"/>
    <col min="33" max="34" width="19" style="4" customWidth="1"/>
    <col min="35" max="35" width="19.75" style="4" bestFit="1" customWidth="1"/>
    <col min="36" max="42" width="19" style="4" customWidth="1"/>
    <col min="43" max="43" width="26.75" style="4" customWidth="1"/>
    <col min="44" max="44" width="25.25" style="4" customWidth="1"/>
    <col min="45" max="46" width="19.75" style="4" bestFit="1" customWidth="1"/>
    <col min="47" max="49" width="22.75" style="4" customWidth="1"/>
    <col min="50" max="53" width="27.125" style="4" customWidth="1"/>
    <col min="54" max="54" width="25.75" style="4" customWidth="1"/>
    <col min="55" max="55" width="17.75" style="4" customWidth="1"/>
    <col min="56" max="56" width="19.75" style="30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31"/>
      <c r="B1" s="132"/>
      <c r="C1" s="145" t="s">
        <v>30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7"/>
      <c r="BC1" s="154" t="s">
        <v>31</v>
      </c>
      <c r="BD1" s="155"/>
      <c r="BE1" s="156"/>
    </row>
    <row r="2" spans="1:57" ht="30" customHeight="1">
      <c r="A2" s="133"/>
      <c r="B2" s="134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50"/>
      <c r="BC2" s="123" t="s">
        <v>117</v>
      </c>
      <c r="BD2" s="124"/>
      <c r="BE2" s="125"/>
    </row>
    <row r="3" spans="1:57" ht="30" customHeight="1">
      <c r="A3" s="133"/>
      <c r="B3" s="134"/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50"/>
      <c r="BC3" s="123" t="s">
        <v>118</v>
      </c>
      <c r="BD3" s="124"/>
      <c r="BE3" s="125"/>
    </row>
    <row r="4" spans="1:57" ht="30" customHeight="1" thickBot="1">
      <c r="A4" s="135"/>
      <c r="B4" s="136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3"/>
      <c r="BC4" s="126" t="s">
        <v>119</v>
      </c>
      <c r="BD4" s="127"/>
      <c r="BE4" s="128"/>
    </row>
    <row r="5" spans="1:57" ht="23.25" customHeight="1" thickTop="1"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.1" customHeight="1" thickBot="1">
      <c r="A9" s="137" t="s">
        <v>27</v>
      </c>
      <c r="B9" s="137"/>
      <c r="C9" s="137"/>
      <c r="D9" s="137"/>
      <c r="E9" s="137"/>
      <c r="F9" s="137"/>
      <c r="G9" s="137"/>
      <c r="H9" s="138" t="s">
        <v>25</v>
      </c>
      <c r="I9" s="139"/>
      <c r="J9" s="139"/>
      <c r="K9" s="139"/>
      <c r="L9" s="139"/>
      <c r="M9" s="139"/>
      <c r="N9" s="139"/>
      <c r="O9" s="140"/>
      <c r="P9" s="141" t="s">
        <v>24</v>
      </c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3"/>
      <c r="AE9" s="144"/>
      <c r="AF9" s="138" t="s">
        <v>23</v>
      </c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8" t="s">
        <v>41</v>
      </c>
      <c r="AY9" s="139"/>
      <c r="AZ9" s="140"/>
      <c r="BA9" s="139" t="s">
        <v>43</v>
      </c>
      <c r="BB9" s="139"/>
      <c r="BC9" s="129" t="s">
        <v>22</v>
      </c>
      <c r="BD9" s="130"/>
      <c r="BE9" s="14"/>
    </row>
    <row r="10" spans="1:57" s="2" customFormat="1" ht="57" customHeight="1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33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1" t="s">
        <v>2</v>
      </c>
      <c r="P10" s="47" t="s">
        <v>44</v>
      </c>
      <c r="Q10" s="47" t="s">
        <v>45</v>
      </c>
      <c r="R10" s="47" t="s">
        <v>132</v>
      </c>
      <c r="S10" s="47" t="s">
        <v>47</v>
      </c>
      <c r="T10" s="47" t="s">
        <v>123</v>
      </c>
      <c r="U10" s="47" t="s">
        <v>49</v>
      </c>
      <c r="V10" s="47" t="s">
        <v>121</v>
      </c>
      <c r="W10" s="47" t="s">
        <v>133</v>
      </c>
      <c r="X10" s="47" t="s">
        <v>134</v>
      </c>
      <c r="Y10" s="47" t="s">
        <v>135</v>
      </c>
      <c r="Z10" s="47" t="s">
        <v>136</v>
      </c>
      <c r="AA10" s="47" t="s">
        <v>54</v>
      </c>
      <c r="AB10" s="47" t="s">
        <v>129</v>
      </c>
      <c r="AC10" s="47" t="s">
        <v>130</v>
      </c>
      <c r="AD10" s="47" t="s">
        <v>60</v>
      </c>
      <c r="AE10" s="47" t="s">
        <v>137</v>
      </c>
      <c r="AF10" s="47" t="s">
        <v>138</v>
      </c>
      <c r="AG10" s="47" t="s">
        <v>139</v>
      </c>
      <c r="AH10" s="47" t="s">
        <v>140</v>
      </c>
      <c r="AI10" s="47" t="s">
        <v>141</v>
      </c>
      <c r="AJ10" s="47" t="s">
        <v>142</v>
      </c>
      <c r="AK10" s="47" t="s">
        <v>143</v>
      </c>
      <c r="AL10" s="47" t="s">
        <v>50</v>
      </c>
      <c r="AM10" s="47" t="s">
        <v>51</v>
      </c>
      <c r="AN10" s="47" t="s">
        <v>144</v>
      </c>
      <c r="AO10" s="47" t="s">
        <v>52</v>
      </c>
      <c r="AP10" s="47" t="s">
        <v>53</v>
      </c>
      <c r="AQ10" s="47" t="s">
        <v>128</v>
      </c>
      <c r="AR10" s="47" t="s">
        <v>145</v>
      </c>
      <c r="AS10" s="47" t="s">
        <v>146</v>
      </c>
      <c r="AT10" s="47" t="s">
        <v>61</v>
      </c>
      <c r="AU10" s="47" t="s">
        <v>131</v>
      </c>
      <c r="AV10" s="47" t="s">
        <v>34</v>
      </c>
      <c r="AW10" s="62" t="s">
        <v>35</v>
      </c>
      <c r="AX10" s="47" t="s">
        <v>40</v>
      </c>
      <c r="AY10" s="47" t="s">
        <v>38</v>
      </c>
      <c r="AZ10" s="47" t="s">
        <v>37</v>
      </c>
      <c r="BA10" s="51" t="s">
        <v>42</v>
      </c>
      <c r="BB10" s="62" t="s">
        <v>39</v>
      </c>
      <c r="BC10" s="47" t="s">
        <v>1</v>
      </c>
      <c r="BD10" s="47" t="s">
        <v>0</v>
      </c>
      <c r="BE10" s="49" t="s">
        <v>21</v>
      </c>
    </row>
    <row r="11" spans="1:57" s="9" customFormat="1" ht="144">
      <c r="A11" s="71">
        <v>17</v>
      </c>
      <c r="B11" s="71" t="s">
        <v>62</v>
      </c>
      <c r="C11" s="72" t="s">
        <v>63</v>
      </c>
      <c r="D11" s="71" t="s">
        <v>64</v>
      </c>
      <c r="E11" s="72" t="s">
        <v>65</v>
      </c>
      <c r="F11" s="71" t="s">
        <v>66</v>
      </c>
      <c r="G11" s="72" t="s">
        <v>67</v>
      </c>
      <c r="H11" s="66" t="s">
        <v>87</v>
      </c>
      <c r="I11" s="63" t="s">
        <v>88</v>
      </c>
      <c r="J11" s="64">
        <v>3635448808</v>
      </c>
      <c r="K11" s="64">
        <v>1090575000</v>
      </c>
      <c r="L11" s="63"/>
      <c r="M11" s="63"/>
      <c r="N11" s="75"/>
      <c r="O11" s="67" t="s">
        <v>89</v>
      </c>
      <c r="P11" s="68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5">
        <v>165000000</v>
      </c>
      <c r="AE11" s="114">
        <f>SUM(Tabla13[[#This Row],[Recursos propios]:[Recursos del Balance]])</f>
        <v>386000000</v>
      </c>
      <c r="AF11" s="115">
        <v>220633331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6">
        <v>157166666</v>
      </c>
      <c r="AU11" s="116">
        <f>SUM(Tabla13[[#This Row],[Recursos propios ]:[Recursos del Balance2]])</f>
        <v>377799997</v>
      </c>
      <c r="AV11" s="77">
        <v>300433332</v>
      </c>
      <c r="AW11" s="77">
        <v>296933332</v>
      </c>
      <c r="AX11" s="20">
        <f>+Tabla13[[#This Row],[Total Recursos Comprometido]]/Tabla13[[#This Row],[Total]]</f>
        <v>0.97875646891191714</v>
      </c>
      <c r="AY11" s="17">
        <f>+Tabla13[[#This Row],[Total Recursos Obligados]]/Tabla13[[#This Row],[Total]]</f>
        <v>0.77832469430051809</v>
      </c>
      <c r="AZ11" s="21">
        <f>+Tabla13[[#This Row],[Total Recursos Pagados]]/Tabla13[[#This Row],[Total]]</f>
        <v>0.7692573367875648</v>
      </c>
      <c r="BA11" s="81"/>
      <c r="BB11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106</v>
      </c>
      <c r="BD11" s="42" t="s">
        <v>152</v>
      </c>
      <c r="BE11" s="43" t="s">
        <v>107</v>
      </c>
    </row>
    <row r="12" spans="1:57" s="10" customFormat="1" ht="135">
      <c r="A12" s="71">
        <v>130</v>
      </c>
      <c r="B12" s="71" t="s">
        <v>68</v>
      </c>
      <c r="C12" s="72" t="s">
        <v>69</v>
      </c>
      <c r="D12" s="71" t="s">
        <v>70</v>
      </c>
      <c r="E12" s="72" t="s">
        <v>71</v>
      </c>
      <c r="F12" s="71" t="s">
        <v>72</v>
      </c>
      <c r="G12" s="72" t="s">
        <v>73</v>
      </c>
      <c r="H12" s="66">
        <v>2024680010188</v>
      </c>
      <c r="I12" s="63" t="s">
        <v>90</v>
      </c>
      <c r="J12" s="65">
        <v>31294286462.23</v>
      </c>
      <c r="K12" s="65">
        <v>6458748141</v>
      </c>
      <c r="L12" s="63" t="s">
        <v>91</v>
      </c>
      <c r="M12" s="63" t="s">
        <v>92</v>
      </c>
      <c r="N12" s="75"/>
      <c r="O12" s="67" t="s">
        <v>93</v>
      </c>
      <c r="P12" s="68">
        <v>301331575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25">
        <v>957047338</v>
      </c>
      <c r="AE12" s="26">
        <f>SUM(Tabla13[[#This Row],[Recursos propios]:[Recursos del Balance]])</f>
        <v>2056950913</v>
      </c>
      <c r="AF12" s="76">
        <v>251013734</v>
      </c>
      <c r="AG12" s="15"/>
      <c r="AH12" s="15"/>
      <c r="AI12" s="15">
        <v>727269999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17">
        <v>630902400.61000001</v>
      </c>
      <c r="AU12" s="117">
        <f>SUM(Tabla13[[#This Row],[Recursos propios ]:[Recursos del Balance2]])</f>
        <v>1639186133.6100001</v>
      </c>
      <c r="AV12" s="122">
        <v>1039839999</v>
      </c>
      <c r="AW12" s="121">
        <v>1029639999</v>
      </c>
      <c r="AX12" s="58">
        <f>+Tabla13[[#This Row],[Total Recursos Comprometido]]/Tabla13[[#This Row],[Total]]</f>
        <v>0.79690094851087001</v>
      </c>
      <c r="AY12" s="18">
        <f>+Tabla13[[#This Row],[Total Recursos Obligados]]/Tabla13[[#This Row],[Total]]</f>
        <v>0.50552494589354358</v>
      </c>
      <c r="AZ12" s="59">
        <f>+Tabla13[[#This Row],[Total Recursos Pagados]]/Tabla13[[#This Row],[Total]]</f>
        <v>0.50056614987389347</v>
      </c>
      <c r="BA12" s="82"/>
      <c r="BB12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106</v>
      </c>
      <c r="BD12" s="42" t="s">
        <v>152</v>
      </c>
      <c r="BE12" s="24">
        <v>3</v>
      </c>
    </row>
    <row r="13" spans="1:57" s="10" customFormat="1" ht="180">
      <c r="A13" s="73">
        <v>131</v>
      </c>
      <c r="B13" s="73" t="s">
        <v>68</v>
      </c>
      <c r="C13" s="74" t="s">
        <v>69</v>
      </c>
      <c r="D13" s="73" t="s">
        <v>70</v>
      </c>
      <c r="E13" s="74" t="s">
        <v>71</v>
      </c>
      <c r="F13" s="73" t="s">
        <v>74</v>
      </c>
      <c r="G13" s="74" t="s">
        <v>75</v>
      </c>
      <c r="H13" s="66">
        <v>2024680010188</v>
      </c>
      <c r="I13" s="63" t="s">
        <v>90</v>
      </c>
      <c r="J13" s="65">
        <v>31294286462.23</v>
      </c>
      <c r="K13" s="65">
        <v>6458748141</v>
      </c>
      <c r="L13" s="63" t="s">
        <v>91</v>
      </c>
      <c r="M13" s="63" t="s">
        <v>94</v>
      </c>
      <c r="N13" s="75"/>
      <c r="O13" s="67" t="s">
        <v>95</v>
      </c>
      <c r="P13" s="68">
        <v>720429196</v>
      </c>
      <c r="Q13" s="15"/>
      <c r="R13" s="15"/>
      <c r="S13" s="25">
        <v>2168606749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1250293658.1800001</v>
      </c>
      <c r="AE13" s="26">
        <f>SUM(Tabla13[[#This Row],[Recursos propios]:[Recursos del Balance]])</f>
        <v>4401797228.1800003</v>
      </c>
      <c r="AF13" s="118">
        <v>639106410</v>
      </c>
      <c r="AG13" s="15"/>
      <c r="AH13" s="15"/>
      <c r="AI13" s="15">
        <v>2130731664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74933433</v>
      </c>
      <c r="AT13" s="25">
        <v>1143442978</v>
      </c>
      <c r="AU13" s="15">
        <f>SUM(Tabla13[[#This Row],[Recursos propios ]:[Recursos del Balance2]])</f>
        <v>3988214485</v>
      </c>
      <c r="AV13" s="122">
        <v>3139367611.73</v>
      </c>
      <c r="AW13" s="121">
        <v>3124167611.73</v>
      </c>
      <c r="AX13" s="19">
        <f>+Tabla13[[#This Row],[Total Recursos Comprometido]]/Tabla13[[#This Row],[Total]]</f>
        <v>0.90604230005592434</v>
      </c>
      <c r="AY13" s="32">
        <f>+Tabla13[[#This Row],[Total Recursos Obligados]]/Tabla13[[#This Row],[Total]]</f>
        <v>0.71320132413914628</v>
      </c>
      <c r="AZ13" s="33">
        <f>+Tabla13[[#This Row],[Total Recursos Pagados]]/Tabla13[[#This Row],[Total]]</f>
        <v>0.70974818915539672</v>
      </c>
      <c r="BA13" s="83"/>
      <c r="BB13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106</v>
      </c>
      <c r="BD13" s="42" t="s">
        <v>152</v>
      </c>
      <c r="BE13" s="24">
        <v>3</v>
      </c>
    </row>
    <row r="14" spans="1:57" s="10" customFormat="1" ht="180">
      <c r="A14" s="71">
        <v>132</v>
      </c>
      <c r="B14" s="71" t="s">
        <v>68</v>
      </c>
      <c r="C14" s="72" t="s">
        <v>69</v>
      </c>
      <c r="D14" s="71" t="s">
        <v>70</v>
      </c>
      <c r="E14" s="72" t="s">
        <v>71</v>
      </c>
      <c r="F14" s="71" t="s">
        <v>76</v>
      </c>
      <c r="G14" s="72" t="s">
        <v>77</v>
      </c>
      <c r="H14" s="66">
        <v>2024680010180</v>
      </c>
      <c r="I14" s="63" t="s">
        <v>96</v>
      </c>
      <c r="J14" s="106">
        <v>3028841568</v>
      </c>
      <c r="K14" s="106">
        <v>1468578510.4400001</v>
      </c>
      <c r="L14" s="63" t="s">
        <v>91</v>
      </c>
      <c r="M14" s="63" t="s">
        <v>94</v>
      </c>
      <c r="N14" s="75"/>
      <c r="O14" s="67" t="s">
        <v>97</v>
      </c>
      <c r="P14" s="68">
        <v>1175000000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1468578510.4400001</v>
      </c>
      <c r="AF14" s="118">
        <v>959043394.55999994</v>
      </c>
      <c r="AG14" s="15"/>
      <c r="AH14" s="15"/>
      <c r="AI14" s="15">
        <v>146617935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19">
        <v>146216552.44</v>
      </c>
      <c r="AU14" s="117">
        <f>SUM(Tabla13[[#This Row],[Recursos propios ]:[Recursos del Balance2]])</f>
        <v>1251877882</v>
      </c>
      <c r="AV14" s="77">
        <v>409212000</v>
      </c>
      <c r="AW14" s="79">
        <v>409212000</v>
      </c>
      <c r="AX14" s="20">
        <f>+Tabla13[[#This Row],[Total Recursos Comprometido]]/Tabla13[[#This Row],[Total]]</f>
        <v>0.85244191788216039</v>
      </c>
      <c r="AY14" s="17">
        <f>+Tabla13[[#This Row],[Total Recursos Obligados]]/Tabla13[[#This Row],[Total]]</f>
        <v>0.27864495979680121</v>
      </c>
      <c r="AZ14" s="21">
        <f>+Tabla13[[#This Row],[Total Recursos Pagados]]/Tabla13[[#This Row],[Total]]</f>
        <v>0.27864495979680121</v>
      </c>
      <c r="BA14" s="81"/>
      <c r="BB14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106</v>
      </c>
      <c r="BD14" s="42" t="s">
        <v>152</v>
      </c>
      <c r="BE14" s="24">
        <v>3</v>
      </c>
    </row>
    <row r="15" spans="1:57" s="10" customFormat="1" ht="90">
      <c r="A15" s="73">
        <v>133</v>
      </c>
      <c r="B15" s="73" t="s">
        <v>68</v>
      </c>
      <c r="C15" s="74" t="s">
        <v>69</v>
      </c>
      <c r="D15" s="73" t="s">
        <v>70</v>
      </c>
      <c r="E15" s="74" t="s">
        <v>71</v>
      </c>
      <c r="F15" s="73" t="s">
        <v>78</v>
      </c>
      <c r="G15" s="74" t="s">
        <v>79</v>
      </c>
      <c r="H15" s="66">
        <v>2024680010167</v>
      </c>
      <c r="I15" s="63" t="s">
        <v>98</v>
      </c>
      <c r="J15" s="65">
        <v>15361176062.188728</v>
      </c>
      <c r="K15" s="65">
        <v>5827107667.6899996</v>
      </c>
      <c r="L15" s="63" t="s">
        <v>99</v>
      </c>
      <c r="M15" s="63" t="s">
        <v>100</v>
      </c>
      <c r="N15" s="75">
        <v>619703</v>
      </c>
      <c r="O15" s="67" t="s">
        <v>101</v>
      </c>
      <c r="P15" s="68">
        <v>1348930450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288987489</v>
      </c>
      <c r="AD15" s="27">
        <v>2383266063.5599999</v>
      </c>
      <c r="AE15" s="26">
        <f>SUM(Tabla13[[#This Row],[Recursos propios]:[Recursos del Balance]])</f>
        <v>4021184002.5599999</v>
      </c>
      <c r="AF15" s="76">
        <v>1291662989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>
        <v>114526613</v>
      </c>
      <c r="AT15" s="119">
        <v>2078174928.54</v>
      </c>
      <c r="AU15" s="117">
        <f>SUM(Tabla13[[#This Row],[Recursos propios ]:[Recursos del Balance2]])</f>
        <v>3484364530.54</v>
      </c>
      <c r="AV15" s="78">
        <v>2262284695.6900001</v>
      </c>
      <c r="AW15" s="80">
        <v>2262284695.6900001</v>
      </c>
      <c r="AX15" s="19">
        <f>+Tabla13[[#This Row],[Total Recursos Comprometido]]/Tabla13[[#This Row],[Total]]</f>
        <v>0.86650213676413579</v>
      </c>
      <c r="AY15" s="32">
        <f>+Tabla13[[#This Row],[Total Recursos Obligados]]/Tabla13[[#This Row],[Total]]</f>
        <v>0.56259168798288395</v>
      </c>
      <c r="AZ15" s="33">
        <f>+Tabla13[[#This Row],[Total Recursos Pagados]]/Tabla13[[#This Row],[Total]]</f>
        <v>0.56259168798288395</v>
      </c>
      <c r="BA15" s="83"/>
      <c r="BB15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106</v>
      </c>
      <c r="BD15" s="42" t="s">
        <v>152</v>
      </c>
      <c r="BE15" s="24">
        <v>3</v>
      </c>
    </row>
    <row r="16" spans="1:57" s="10" customFormat="1" ht="105">
      <c r="A16" s="71">
        <v>134</v>
      </c>
      <c r="B16" s="71" t="s">
        <v>68</v>
      </c>
      <c r="C16" s="72" t="s">
        <v>69</v>
      </c>
      <c r="D16" s="71" t="s">
        <v>70</v>
      </c>
      <c r="E16" s="72" t="s">
        <v>71</v>
      </c>
      <c r="F16" s="71" t="s">
        <v>80</v>
      </c>
      <c r="G16" s="72" t="s">
        <v>81</v>
      </c>
      <c r="H16" s="66">
        <v>2024680010167</v>
      </c>
      <c r="I16" s="63" t="s">
        <v>98</v>
      </c>
      <c r="J16" s="65">
        <v>15361176062.188728</v>
      </c>
      <c r="K16" s="65">
        <v>5827107667.6899996</v>
      </c>
      <c r="L16" s="63">
        <v>1</v>
      </c>
      <c r="M16" s="63" t="s">
        <v>100</v>
      </c>
      <c r="N16" s="75">
        <v>619703</v>
      </c>
      <c r="O16" s="67" t="s">
        <v>102</v>
      </c>
      <c r="P16" s="68">
        <v>1017322000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211863078</v>
      </c>
      <c r="AD16" s="27">
        <v>576738587.13</v>
      </c>
      <c r="AE16" s="26">
        <f>SUM(Tabla13[[#This Row],[Recursos propios]:[Recursos del Balance]])</f>
        <v>1805923665.1300001</v>
      </c>
      <c r="AF16" s="76">
        <v>681688333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105863078</v>
      </c>
      <c r="AT16" s="117">
        <v>452401148</v>
      </c>
      <c r="AU16" s="117">
        <f>SUM(Tabla13[[#This Row],[Recursos propios ]:[Recursos del Balance2]])</f>
        <v>1239952559</v>
      </c>
      <c r="AV16" s="78">
        <v>639406667</v>
      </c>
      <c r="AW16" s="78">
        <v>639406667</v>
      </c>
      <c r="AX16" s="19">
        <f>+Tabla13[[#This Row],[Total Recursos Comprometido]]/Tabla13[[#This Row],[Total]]</f>
        <v>0.68660297383651681</v>
      </c>
      <c r="AY16" s="32">
        <f>+Tabla13[[#This Row],[Total Recursos Obligados]]/Tabla13[[#This Row],[Total]]</f>
        <v>0.35406073874887289</v>
      </c>
      <c r="AZ16" s="33">
        <f>+Tabla13[[#This Row],[Total Recursos Pagados]]/Tabla13[[#This Row],[Total]]</f>
        <v>0.35406073874887289</v>
      </c>
      <c r="BA16" s="83"/>
      <c r="BB16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106</v>
      </c>
      <c r="BD16" s="42" t="s">
        <v>152</v>
      </c>
      <c r="BE16" s="24">
        <v>3</v>
      </c>
    </row>
    <row r="17" spans="1:57" s="10" customFormat="1" ht="144">
      <c r="A17" s="73">
        <v>137</v>
      </c>
      <c r="B17" s="73" t="s">
        <v>68</v>
      </c>
      <c r="C17" s="74" t="s">
        <v>63</v>
      </c>
      <c r="D17" s="73" t="s">
        <v>64</v>
      </c>
      <c r="E17" s="74" t="s">
        <v>82</v>
      </c>
      <c r="F17" s="73" t="s">
        <v>83</v>
      </c>
      <c r="G17" s="74" t="s">
        <v>84</v>
      </c>
      <c r="H17" s="66" t="s">
        <v>87</v>
      </c>
      <c r="I17" s="63" t="s">
        <v>88</v>
      </c>
      <c r="J17" s="64">
        <v>3635448808</v>
      </c>
      <c r="K17" s="64">
        <v>1090575000</v>
      </c>
      <c r="L17" s="63"/>
      <c r="M17" s="63"/>
      <c r="N17" s="75"/>
      <c r="O17" s="67" t="s">
        <v>103</v>
      </c>
      <c r="P17" s="68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6">
        <v>79991150</v>
      </c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79991150</v>
      </c>
      <c r="AV17" s="78"/>
      <c r="AW17" s="80"/>
      <c r="AX17" s="58">
        <f>+Tabla13[[#This Row],[Total Recursos Comprometido]]/Tabla13[[#This Row],[Total]]</f>
        <v>0.99988937499999997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2"/>
      <c r="BB17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106</v>
      </c>
      <c r="BD17" s="42" t="s">
        <v>152</v>
      </c>
      <c r="BE17" s="24" t="s">
        <v>107</v>
      </c>
    </row>
    <row r="18" spans="1:57" s="10" customFormat="1" ht="144">
      <c r="A18" s="71">
        <v>138</v>
      </c>
      <c r="B18" s="71" t="s">
        <v>68</v>
      </c>
      <c r="C18" s="72" t="s">
        <v>63</v>
      </c>
      <c r="D18" s="71" t="s">
        <v>64</v>
      </c>
      <c r="E18" s="72" t="s">
        <v>82</v>
      </c>
      <c r="F18" s="71" t="s">
        <v>85</v>
      </c>
      <c r="G18" s="72" t="s">
        <v>86</v>
      </c>
      <c r="H18" s="66" t="s">
        <v>87</v>
      </c>
      <c r="I18" s="63" t="s">
        <v>88</v>
      </c>
      <c r="J18" s="64">
        <v>3635448808</v>
      </c>
      <c r="K18" s="64">
        <v>1090575000</v>
      </c>
      <c r="L18" s="63" t="s">
        <v>91</v>
      </c>
      <c r="M18" s="63" t="s">
        <v>104</v>
      </c>
      <c r="N18" s="75">
        <v>438</v>
      </c>
      <c r="O18" s="67" t="s">
        <v>105</v>
      </c>
      <c r="P18" s="68">
        <v>458890354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624575000</v>
      </c>
      <c r="AF18" s="76">
        <v>241576600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19">
        <v>110600000</v>
      </c>
      <c r="AU18" s="117">
        <f>SUM(Tabla13[[#This Row],[Recursos propios ]:[Recursos del Balance2]])</f>
        <v>352176600</v>
      </c>
      <c r="AV18" s="78">
        <v>268120000</v>
      </c>
      <c r="AW18" s="80">
        <v>268120000</v>
      </c>
      <c r="AX18" s="19">
        <f>+Tabla13[[#This Row],[Total Recursos Comprometido]]/Tabla13[[#This Row],[Total]]</f>
        <v>0.56386598887243322</v>
      </c>
      <c r="AY18" s="32">
        <f>+Tabla13[[#This Row],[Total Recursos Obligados]]/Tabla13[[#This Row],[Total]]</f>
        <v>0.42928391306088137</v>
      </c>
      <c r="AZ18" s="33">
        <f>+Tabla13[[#This Row],[Total Recursos Pagados]]/Tabla13[[#This Row],[Total]]</f>
        <v>0.42928391306088137</v>
      </c>
      <c r="BA18" s="83"/>
      <c r="BB18" s="7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106</v>
      </c>
      <c r="BD18" s="42" t="s">
        <v>152</v>
      </c>
      <c r="BE18" s="24" t="s">
        <v>107</v>
      </c>
    </row>
    <row r="19" spans="1:57">
      <c r="A19" s="107"/>
      <c r="B19" s="107"/>
      <c r="C19" s="107"/>
      <c r="D19" s="107"/>
      <c r="E19" s="107"/>
      <c r="F19" s="107"/>
      <c r="G19" s="107"/>
      <c r="H19" s="88"/>
      <c r="I19" s="88"/>
      <c r="J19" s="88"/>
      <c r="K19" s="88"/>
      <c r="L19" s="88"/>
      <c r="M19" s="88"/>
      <c r="N19" s="88"/>
      <c r="O19" s="88"/>
      <c r="P19" s="89">
        <f>SUBTOTAL(109,Tabla13[Recursos propios])</f>
        <v>5322903575</v>
      </c>
      <c r="Q19" s="88"/>
      <c r="R19" s="88"/>
      <c r="S19" s="89">
        <f>SUBTOTAL(109,Tabla13[SGP Deporte])</f>
        <v>3063796684</v>
      </c>
      <c r="T19" s="88"/>
      <c r="U19" s="88"/>
      <c r="V19" s="88"/>
      <c r="W19" s="88"/>
      <c r="X19" s="88"/>
      <c r="Y19" s="88"/>
      <c r="Z19" s="88"/>
      <c r="AA19" s="88"/>
      <c r="AB19" s="88"/>
      <c r="AC19" s="89">
        <f>SUBTOTAL(109,Tabla13[[Otros ]])</f>
        <v>813318192</v>
      </c>
      <c r="AD19" s="89">
        <f>SUBTOTAL(109,Tabla13[Recursos del Balance])</f>
        <v>5644990868.3100004</v>
      </c>
      <c r="AE19" s="89">
        <f>SUBTOTAL(109,Tabla13[Total])</f>
        <v>14845009319.310001</v>
      </c>
      <c r="AF19" s="89">
        <f>SUBTOTAL(109,Tabla13[[Recursos propios ]])</f>
        <v>4364715941.5599995</v>
      </c>
      <c r="AG19" s="88"/>
      <c r="AH19" s="88"/>
      <c r="AI19" s="89">
        <f>SUBTOTAL(109,Tabla13[SGP Deporte2])</f>
        <v>3004619598</v>
      </c>
      <c r="AJ19" s="88"/>
      <c r="AK19" s="88"/>
      <c r="AL19" s="88"/>
      <c r="AM19" s="88"/>
      <c r="AN19" s="88"/>
      <c r="AO19" s="88"/>
      <c r="AP19" s="88"/>
      <c r="AQ19" s="88"/>
      <c r="AR19" s="88"/>
      <c r="AS19" s="89">
        <f>SUBTOTAL(109,Tabla13[Otros 2])</f>
        <v>325323124</v>
      </c>
      <c r="AT19" s="89">
        <f>SUBTOTAL(109,Tabla13[Recursos del Balance2])</f>
        <v>4718904673.5900002</v>
      </c>
      <c r="AU19" s="89">
        <f>SUBTOTAL(109,Tabla13[Total Recursos Comprometido])</f>
        <v>12413563337.150002</v>
      </c>
      <c r="AV19" s="89">
        <f>SUBTOTAL(109,Tabla13[Total Recursos Obligados])</f>
        <v>8058664305.4200001</v>
      </c>
      <c r="AW19" s="89">
        <f>SUBTOTAL(109,Tabla13[Total Recursos Pagados])</f>
        <v>8029764305.4200001</v>
      </c>
      <c r="AX19" s="108"/>
      <c r="AY19" s="89"/>
      <c r="AZ19" s="89"/>
      <c r="BA19" s="88"/>
      <c r="BB19" s="89"/>
      <c r="BC19" s="107"/>
      <c r="BD19" s="109"/>
      <c r="BE19" s="107"/>
    </row>
    <row r="20" spans="1:57">
      <c r="P20" s="110">
        <v>5322903574.999999</v>
      </c>
      <c r="S20" s="111">
        <v>3063796684</v>
      </c>
      <c r="AC20" s="112">
        <v>813318192</v>
      </c>
      <c r="AD20" s="120">
        <v>5644990868.3100004</v>
      </c>
      <c r="AE20" s="110">
        <f>SUBTOTAL(109,Tabla13[Total])</f>
        <v>14845009319.310001</v>
      </c>
      <c r="AF20" s="112">
        <v>4364715941.5599995</v>
      </c>
      <c r="AI20" s="112">
        <v>3004619598</v>
      </c>
      <c r="AS20" s="112">
        <v>325323124</v>
      </c>
      <c r="AT20" s="112">
        <v>4718904673.5899992</v>
      </c>
      <c r="AU20" s="112">
        <v>12413563337.15</v>
      </c>
      <c r="AV20" s="120">
        <v>8058664305.4200001</v>
      </c>
      <c r="AW20" s="120">
        <v>8029764305.4200001</v>
      </c>
    </row>
    <row r="21" spans="1:57">
      <c r="P21" s="113">
        <f>+Tabla13[[#Totals],[Recursos propios]]-P20</f>
        <v>0</v>
      </c>
      <c r="S21" s="111">
        <f>+Tabla13[[#Totals],[SGP Deporte]]-S20</f>
        <v>0</v>
      </c>
      <c r="AC21" s="113">
        <f>+Tabla13[[#Totals],[Otros ]]-AC20</f>
        <v>0</v>
      </c>
      <c r="AD21" s="113">
        <f>+Tabla13[[#Totals],[Recursos del Balance]]-AD20</f>
        <v>0</v>
      </c>
      <c r="AE21" s="113">
        <f>+Tabla13[[#Totals],[Total]]-AE20</f>
        <v>0</v>
      </c>
      <c r="AF21" s="113">
        <f>+Tabla13[[#Totals],[Recursos propios ]]-AF20</f>
        <v>0</v>
      </c>
      <c r="AI21" s="113">
        <f>+Tabla13[[#Totals],[SGP Deporte2]]-AI20</f>
        <v>0</v>
      </c>
      <c r="AS21" s="113">
        <f>+Tabla13[[#Totals],[Otros 2]]-AS20</f>
        <v>0</v>
      </c>
      <c r="AT21" s="113">
        <f>+Tabla13[[#Totals],[Recursos del Balance2]]-AT20</f>
        <v>0</v>
      </c>
      <c r="AU21" s="113">
        <f>+AU20-Tabla13[[#Totals],[Total Recursos Comprometido]]</f>
        <v>0</v>
      </c>
      <c r="AV21" s="113">
        <f>+AV20-Tabla13[[#Totals],[Total Recursos Obligados]]</f>
        <v>0</v>
      </c>
      <c r="AW21" s="113">
        <f>+AW20-Tabla13[[#Totals],[Total Recursos Pagados]]</f>
        <v>0</v>
      </c>
    </row>
    <row r="22" spans="1:57">
      <c r="AD22" s="113"/>
    </row>
    <row r="23" spans="1:57">
      <c r="P23" s="113"/>
    </row>
  </sheetData>
  <sheetProtection formatCells="0" formatColumns="0" formatRows="0" insertRows="0" autoFilter="0"/>
  <mergeCells count="13">
    <mergeCell ref="BC2:BE2"/>
    <mergeCell ref="BC3:BE3"/>
    <mergeCell ref="BC4:BE4"/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</mergeCell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9"/>
  <sheetViews>
    <sheetView showGridLines="0" tabSelected="1" topLeftCell="H1" zoomScale="60" zoomScaleNormal="60" workbookViewId="0">
      <selection activeCell="O15" sqref="O15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2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25" style="4" customWidth="1"/>
    <col min="11" max="11" width="16.125" style="4" customWidth="1"/>
    <col min="12" max="12" width="20" style="4" customWidth="1"/>
    <col min="13" max="14" width="23.125" style="4" customWidth="1"/>
    <col min="15" max="16" width="18.75" style="4" customWidth="1"/>
    <col min="17" max="17" width="19.125" style="5" hidden="1" customWidth="1"/>
    <col min="18" max="49" width="27.125" style="4" customWidth="1"/>
    <col min="50" max="52" width="22.75" style="35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31"/>
      <c r="B1" s="132"/>
      <c r="C1" s="145" t="s">
        <v>30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7"/>
      <c r="BC1" s="154" t="s">
        <v>31</v>
      </c>
      <c r="BD1" s="155"/>
      <c r="BE1" s="156"/>
    </row>
    <row r="2" spans="1:57" ht="30" customHeight="1">
      <c r="A2" s="133"/>
      <c r="B2" s="134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50"/>
      <c r="BC2" s="160" t="s">
        <v>117</v>
      </c>
      <c r="BD2" s="161"/>
      <c r="BE2" s="162"/>
    </row>
    <row r="3" spans="1:57" ht="30" customHeight="1">
      <c r="A3" s="133"/>
      <c r="B3" s="134"/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50"/>
      <c r="BC3" s="123" t="s">
        <v>118</v>
      </c>
      <c r="BD3" s="124"/>
      <c r="BE3" s="125"/>
    </row>
    <row r="4" spans="1:57" ht="30" customHeight="1" thickBot="1">
      <c r="A4" s="135"/>
      <c r="B4" s="136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3"/>
      <c r="BC4" s="126" t="s">
        <v>120</v>
      </c>
      <c r="BD4" s="127"/>
      <c r="BE4" s="128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.1" customHeight="1" thickBot="1">
      <c r="A9" s="137" t="s">
        <v>27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8" t="s">
        <v>26</v>
      </c>
      <c r="P9" s="139"/>
      <c r="Q9" s="140"/>
      <c r="R9" s="141" t="s">
        <v>24</v>
      </c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3"/>
      <c r="AF9" s="144"/>
      <c r="AG9" s="138" t="s">
        <v>23</v>
      </c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40"/>
      <c r="AX9" s="157" t="s">
        <v>41</v>
      </c>
      <c r="AY9" s="158"/>
      <c r="AZ9" s="159"/>
      <c r="BA9" s="139" t="s">
        <v>43</v>
      </c>
      <c r="BB9" s="139"/>
      <c r="BC9" s="129" t="s">
        <v>22</v>
      </c>
      <c r="BD9" s="130"/>
      <c r="BE9" s="14"/>
    </row>
    <row r="10" spans="1:57" s="2" customFormat="1" ht="57" customHeight="1">
      <c r="A10" s="47" t="s">
        <v>20</v>
      </c>
      <c r="B10" s="47" t="s">
        <v>147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148</v>
      </c>
      <c r="K10" s="47" t="s">
        <v>29</v>
      </c>
      <c r="L10" s="47" t="s">
        <v>11</v>
      </c>
      <c r="M10" s="47" t="s">
        <v>32</v>
      </c>
      <c r="N10" s="47" t="s">
        <v>10</v>
      </c>
      <c r="O10" s="47" t="s">
        <v>36</v>
      </c>
      <c r="P10" s="47" t="s">
        <v>9</v>
      </c>
      <c r="Q10" s="47" t="s">
        <v>59</v>
      </c>
      <c r="R10" s="47" t="s">
        <v>44</v>
      </c>
      <c r="S10" s="47" t="s">
        <v>45</v>
      </c>
      <c r="T10" s="47" t="s">
        <v>46</v>
      </c>
      <c r="U10" s="47" t="s">
        <v>47</v>
      </c>
      <c r="V10" s="47" t="s">
        <v>48</v>
      </c>
      <c r="W10" s="47" t="s">
        <v>49</v>
      </c>
      <c r="X10" s="47" t="s">
        <v>50</v>
      </c>
      <c r="Y10" s="47" t="s">
        <v>51</v>
      </c>
      <c r="Z10" s="47" t="s">
        <v>52</v>
      </c>
      <c r="AA10" s="47" t="s">
        <v>53</v>
      </c>
      <c r="AB10" s="47" t="s">
        <v>54</v>
      </c>
      <c r="AC10" s="47" t="s">
        <v>55</v>
      </c>
      <c r="AD10" s="47" t="s">
        <v>56</v>
      </c>
      <c r="AE10" s="47" t="s">
        <v>60</v>
      </c>
      <c r="AF10" s="47" t="s">
        <v>150</v>
      </c>
      <c r="AG10" s="47" t="s">
        <v>57</v>
      </c>
      <c r="AH10" s="47" t="s">
        <v>58</v>
      </c>
      <c r="AI10" s="47" t="s">
        <v>132</v>
      </c>
      <c r="AJ10" s="47" t="s">
        <v>124</v>
      </c>
      <c r="AK10" s="47" t="s">
        <v>123</v>
      </c>
      <c r="AL10" s="47" t="s">
        <v>122</v>
      </c>
      <c r="AM10" s="47" t="s">
        <v>121</v>
      </c>
      <c r="AN10" s="47" t="s">
        <v>125</v>
      </c>
      <c r="AO10" s="47" t="s">
        <v>126</v>
      </c>
      <c r="AP10" s="47" t="s">
        <v>127</v>
      </c>
      <c r="AQ10" s="47" t="s">
        <v>128</v>
      </c>
      <c r="AR10" s="47" t="s">
        <v>129</v>
      </c>
      <c r="AS10" s="47" t="s">
        <v>130</v>
      </c>
      <c r="AT10" s="47" t="s">
        <v>61</v>
      </c>
      <c r="AU10" s="47" t="s">
        <v>131</v>
      </c>
      <c r="AV10" s="47" t="s">
        <v>34</v>
      </c>
      <c r="AW10" s="47" t="s">
        <v>35</v>
      </c>
      <c r="AX10" s="48" t="s">
        <v>40</v>
      </c>
      <c r="AY10" s="48" t="s">
        <v>38</v>
      </c>
      <c r="AZ10" s="48" t="s">
        <v>37</v>
      </c>
      <c r="BA10" s="51" t="s">
        <v>151</v>
      </c>
      <c r="BB10" s="23" t="s">
        <v>39</v>
      </c>
      <c r="BC10" s="47" t="s">
        <v>1</v>
      </c>
      <c r="BD10" s="47" t="s">
        <v>0</v>
      </c>
      <c r="BE10" s="49" t="s">
        <v>21</v>
      </c>
    </row>
    <row r="11" spans="1:57" s="9" customFormat="1" ht="57">
      <c r="A11" s="41">
        <v>17</v>
      </c>
      <c r="B11" s="28" t="s">
        <v>62</v>
      </c>
      <c r="C11" s="28" t="s">
        <v>63</v>
      </c>
      <c r="D11" s="28" t="s">
        <v>64</v>
      </c>
      <c r="E11" s="28" t="s">
        <v>65</v>
      </c>
      <c r="F11" s="28" t="s">
        <v>66</v>
      </c>
      <c r="G11" s="28" t="s">
        <v>67</v>
      </c>
      <c r="H11" s="28">
        <v>410204300</v>
      </c>
      <c r="I11" s="28" t="s">
        <v>108</v>
      </c>
      <c r="J11" s="84">
        <v>0</v>
      </c>
      <c r="K11" s="28" t="s">
        <v>109</v>
      </c>
      <c r="L11" s="28" t="str">
        <f>+'[1]Plan Indicativo'!$AC$24</f>
        <v>Acumulativa</v>
      </c>
      <c r="M11" s="84">
        <f>+'[1]Plan Indicativo'!$T$24</f>
        <v>5000</v>
      </c>
      <c r="N11" s="42">
        <f>+'[1]Plan Indicativo'!$W$24</f>
        <v>1300</v>
      </c>
      <c r="O11" s="45">
        <v>1902</v>
      </c>
      <c r="P11" s="50">
        <f>+Tabla1[[#This Row],[Logro Vigencia]]/Tabla1[[#This Row],[Meta Programada Vigencia]]</f>
        <v>1.4630769230769232</v>
      </c>
      <c r="Q11" s="52"/>
      <c r="R11" s="86">
        <v>220766664</v>
      </c>
      <c r="S11" s="16"/>
      <c r="T11" s="16"/>
      <c r="U11" s="16">
        <v>0</v>
      </c>
      <c r="V11" s="16"/>
      <c r="W11" s="16"/>
      <c r="X11" s="16"/>
      <c r="Y11" s="16"/>
      <c r="Z11" s="16"/>
      <c r="AA11" s="16"/>
      <c r="AB11" s="16"/>
      <c r="AC11" s="16"/>
      <c r="AD11" s="16">
        <v>0</v>
      </c>
      <c r="AE11" s="16">
        <v>163446665</v>
      </c>
      <c r="AF11" s="56">
        <f>SUM(Tabla1[[#This Row],[Recursos propios]:[Recursos del Balance]])</f>
        <v>384213329</v>
      </c>
      <c r="AG11" s="76">
        <v>220766664</v>
      </c>
      <c r="AH11" s="16"/>
      <c r="AI11" s="16"/>
      <c r="AJ11" s="16"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v>0</v>
      </c>
      <c r="AT11" s="16">
        <v>163446665</v>
      </c>
      <c r="AU11" s="34">
        <f>SUM(Tabla1[[#This Row],[Recursos propios2]:[Recursos del Balance2]])</f>
        <v>384213329</v>
      </c>
      <c r="AV11" s="16">
        <v>384213329</v>
      </c>
      <c r="AW11" s="22">
        <v>384213329</v>
      </c>
      <c r="AX11" s="20">
        <f>+Tabla1[[#This Row],[Total Recursos Comprometido]]/Tabla1[[#This Row],[Total 2025]]</f>
        <v>1</v>
      </c>
      <c r="AY11" s="17">
        <f>+Tabla1[[#This Row],[Total Recursos Obligados]]/Tabla1[[#This Row],[Total 2025]]</f>
        <v>1</v>
      </c>
      <c r="AZ11" s="21">
        <f>+Tabla1[[#This Row],[Total Recursos Pagados]]/Tabla1[[#This Row],[Total 2025]]</f>
        <v>1</v>
      </c>
      <c r="BA11" s="81"/>
      <c r="BB11" s="60">
        <f>+Tabla1[[#This Row],[Total Recursos Gestionados]]/Tabla1[[#This Row],[Total Recursos Comprometido]]</f>
        <v>0</v>
      </c>
      <c r="BC11" s="41" t="s">
        <v>106</v>
      </c>
      <c r="BD11" s="42" t="s">
        <v>152</v>
      </c>
      <c r="BE11" s="43" t="s">
        <v>107</v>
      </c>
    </row>
    <row r="12" spans="1:57" s="10" customFormat="1" ht="28.5">
      <c r="A12" s="37">
        <v>130</v>
      </c>
      <c r="B12" s="28" t="s">
        <v>68</v>
      </c>
      <c r="C12" s="28" t="s">
        <v>69</v>
      </c>
      <c r="D12" s="29" t="s">
        <v>70</v>
      </c>
      <c r="E12" s="28" t="s">
        <v>71</v>
      </c>
      <c r="F12" s="29" t="s">
        <v>72</v>
      </c>
      <c r="G12" s="28" t="s">
        <v>73</v>
      </c>
      <c r="H12" s="29">
        <v>430100700</v>
      </c>
      <c r="I12" s="28" t="s">
        <v>110</v>
      </c>
      <c r="J12" s="85">
        <v>4000</v>
      </c>
      <c r="K12" s="29" t="s">
        <v>109</v>
      </c>
      <c r="L12" s="29" t="str">
        <f>+'[1]Plan Indicativo'!AC138</f>
        <v>Acumulativa</v>
      </c>
      <c r="M12" s="85">
        <f>+'[1]Plan Indicativo'!T138</f>
        <v>15000</v>
      </c>
      <c r="N12" s="38">
        <f>+'[1]Plan Indicativo'!W138</f>
        <v>3500</v>
      </c>
      <c r="O12" s="39">
        <v>4199</v>
      </c>
      <c r="P12" s="40">
        <f>+Tabla1[[#This Row],[Logro Vigencia]]/Tabla1[[#This Row],[Meta Programada Vigencia]]</f>
        <v>1.1997142857142857</v>
      </c>
      <c r="Q12" s="53"/>
      <c r="R12" s="76">
        <v>301317309</v>
      </c>
      <c r="S12" s="15"/>
      <c r="T12" s="15"/>
      <c r="U12" s="16">
        <v>727269999</v>
      </c>
      <c r="V12" s="15"/>
      <c r="W12" s="15"/>
      <c r="X12" s="15"/>
      <c r="Y12" s="15"/>
      <c r="Z12" s="15"/>
      <c r="AA12" s="15"/>
      <c r="AB12" s="15"/>
      <c r="AC12" s="15"/>
      <c r="AD12" s="16">
        <v>169909128</v>
      </c>
      <c r="AE12" s="15">
        <v>839703599.61000001</v>
      </c>
      <c r="AF12" s="57">
        <f>SUM(Tabla1[[#This Row],[Recursos propios]:[Recursos del Balance]])</f>
        <v>2038200035.6100001</v>
      </c>
      <c r="AG12" s="76">
        <v>301317309</v>
      </c>
      <c r="AH12" s="15"/>
      <c r="AI12" s="15"/>
      <c r="AJ12" s="16">
        <v>702109999</v>
      </c>
      <c r="AK12" s="15"/>
      <c r="AL12" s="15"/>
      <c r="AM12" s="15"/>
      <c r="AN12" s="15"/>
      <c r="AO12" s="15"/>
      <c r="AP12" s="15"/>
      <c r="AQ12" s="15"/>
      <c r="AR12" s="15"/>
      <c r="AS12" s="16">
        <v>130092127</v>
      </c>
      <c r="AT12" s="15">
        <v>709650597</v>
      </c>
      <c r="AU12" s="34">
        <f>SUM(Tabla1[[#This Row],[Recursos propios2]:[Recursos del Balance2]])</f>
        <v>1843170032</v>
      </c>
      <c r="AV12" s="16">
        <v>1843170032</v>
      </c>
      <c r="AW12" s="22">
        <v>1317681666</v>
      </c>
      <c r="AX12" s="58">
        <f>+Tabla1[[#This Row],[Total Recursos Comprometido]]/Tabla1[[#This Row],[Total 2025]]</f>
        <v>0.90431262869072082</v>
      </c>
      <c r="AY12" s="18">
        <f>+Tabla1[[#This Row],[Total Recursos Obligados]]/Tabla1[[#This Row],[Total 2025]]</f>
        <v>0.90431262869072082</v>
      </c>
      <c r="AZ12" s="59">
        <f>+Tabla1[[#This Row],[Total Recursos Pagados]]/Tabla1[[#This Row],[Total 2025]]</f>
        <v>0.64649280884034488</v>
      </c>
      <c r="BA12" s="82"/>
      <c r="BB12" s="60">
        <f>+Tabla1[[#This Row],[Total Recursos Gestionados]]/Tabla1[[#This Row],[Total Recursos Comprometido]]</f>
        <v>0</v>
      </c>
      <c r="BC12" s="41" t="s">
        <v>106</v>
      </c>
      <c r="BD12" s="42" t="s">
        <v>152</v>
      </c>
      <c r="BE12" s="43">
        <v>3</v>
      </c>
    </row>
    <row r="13" spans="1:57" s="10" customFormat="1" ht="57">
      <c r="A13" s="37">
        <v>131</v>
      </c>
      <c r="B13" s="28" t="s">
        <v>68</v>
      </c>
      <c r="C13" s="28" t="s">
        <v>69</v>
      </c>
      <c r="D13" s="29" t="s">
        <v>70</v>
      </c>
      <c r="E13" s="28" t="s">
        <v>71</v>
      </c>
      <c r="F13" s="29" t="s">
        <v>74</v>
      </c>
      <c r="G13" s="28" t="s">
        <v>75</v>
      </c>
      <c r="H13" s="29">
        <v>430103700</v>
      </c>
      <c r="I13" s="28" t="s">
        <v>111</v>
      </c>
      <c r="J13" s="29">
        <v>45300</v>
      </c>
      <c r="K13" s="29" t="s">
        <v>109</v>
      </c>
      <c r="L13" s="29" t="str">
        <f>+'[1]Plan Indicativo'!AC139</f>
        <v>Acumulativa</v>
      </c>
      <c r="M13" s="85">
        <f>+'[1]Plan Indicativo'!T139</f>
        <v>195000</v>
      </c>
      <c r="N13" s="38">
        <f>+'[1]Plan Indicativo'!W139</f>
        <v>51500</v>
      </c>
      <c r="O13" s="45">
        <v>91333</v>
      </c>
      <c r="P13" s="40">
        <f>+Tabla1[[#This Row],[Logro Vigencia]]/Tabla1[[#This Row],[Meta Programada Vigencia]]</f>
        <v>1.7734563106796117</v>
      </c>
      <c r="Q13" s="53"/>
      <c r="R13" s="76">
        <v>671102769</v>
      </c>
      <c r="S13" s="15"/>
      <c r="T13" s="15"/>
      <c r="U13" s="16">
        <v>2184818747.9899998</v>
      </c>
      <c r="V13" s="15"/>
      <c r="W13" s="15"/>
      <c r="X13" s="15"/>
      <c r="Y13" s="15"/>
      <c r="Z13" s="15"/>
      <c r="AA13" s="15"/>
      <c r="AB13" s="15"/>
      <c r="AC13" s="15"/>
      <c r="AD13" s="16">
        <v>86007038.849999994</v>
      </c>
      <c r="AE13" s="15">
        <v>1209626341.3299999</v>
      </c>
      <c r="AF13" s="57">
        <f>SUM(Tabla1[[#This Row],[Recursos propios]:[Recursos del Balance]])</f>
        <v>4151554897.1699996</v>
      </c>
      <c r="AG13" s="76">
        <v>659187785.66999996</v>
      </c>
      <c r="AH13" s="15"/>
      <c r="AI13" s="15"/>
      <c r="AJ13" s="16">
        <v>2125150413.3299999</v>
      </c>
      <c r="AK13" s="15"/>
      <c r="AL13" s="15"/>
      <c r="AM13" s="15"/>
      <c r="AN13" s="15"/>
      <c r="AO13" s="15"/>
      <c r="AP13" s="15"/>
      <c r="AQ13" s="15"/>
      <c r="AR13" s="15"/>
      <c r="AS13" s="16">
        <v>74800701</v>
      </c>
      <c r="AT13" s="15">
        <v>1192980257.3299999</v>
      </c>
      <c r="AU13" s="34">
        <f>SUM(Tabla1[[#This Row],[Recursos propios2]:[Recursos del Balance2]])</f>
        <v>4052119157.3299999</v>
      </c>
      <c r="AV13" s="16">
        <v>3973727901.73</v>
      </c>
      <c r="AW13" s="22">
        <v>3714893317.73</v>
      </c>
      <c r="AX13" s="20">
        <f>+Tabla1[[#This Row],[Total Recursos Comprometido]]/Tabla1[[#This Row],[Total 2025]]</f>
        <v>0.97604855474564911</v>
      </c>
      <c r="AY13" s="17">
        <f>+Tabla1[[#This Row],[Total Recursos Obligados]]/Tabla1[[#This Row],[Total 2025]]</f>
        <v>0.95716617030375306</v>
      </c>
      <c r="AZ13" s="21">
        <f>+Tabla1[[#This Row],[Total Recursos Pagados]]/Tabla1[[#This Row],[Total 2025]]</f>
        <v>0.89481975061014851</v>
      </c>
      <c r="BA13" s="81"/>
      <c r="BB13" s="60">
        <f>+Tabla1[[#This Row],[Total Recursos Gestionados]]/Tabla1[[#This Row],[Total Recursos Comprometido]]</f>
        <v>0</v>
      </c>
      <c r="BC13" s="41" t="s">
        <v>106</v>
      </c>
      <c r="BD13" s="42" t="s">
        <v>152</v>
      </c>
      <c r="BE13" s="43">
        <v>3</v>
      </c>
    </row>
    <row r="14" spans="1:57" s="10" customFormat="1" ht="28.5">
      <c r="A14" s="37">
        <v>132</v>
      </c>
      <c r="B14" s="28" t="s">
        <v>68</v>
      </c>
      <c r="C14" s="28" t="s">
        <v>69</v>
      </c>
      <c r="D14" s="29" t="s">
        <v>70</v>
      </c>
      <c r="E14" s="28" t="s">
        <v>71</v>
      </c>
      <c r="F14" s="29" t="s">
        <v>76</v>
      </c>
      <c r="G14" s="28" t="s">
        <v>77</v>
      </c>
      <c r="H14" s="29">
        <v>430100100</v>
      </c>
      <c r="I14" s="28" t="s">
        <v>112</v>
      </c>
      <c r="J14" s="85">
        <v>15000</v>
      </c>
      <c r="K14" s="29" t="s">
        <v>109</v>
      </c>
      <c r="L14" s="29" t="str">
        <f>+'[1]Plan Indicativo'!AC140</f>
        <v>Acumulativa</v>
      </c>
      <c r="M14" s="85">
        <f>+'[1]Plan Indicativo'!T140</f>
        <v>20000</v>
      </c>
      <c r="N14" s="38">
        <f>+'[1]Plan Indicativo'!W140</f>
        <v>5000</v>
      </c>
      <c r="O14" s="45">
        <v>13128</v>
      </c>
      <c r="P14" s="40">
        <f>+Tabla1[[#This Row],[Logro Vigencia]]/Tabla1[[#This Row],[Meta Programada Vigencia]]</f>
        <v>2.6255999999999999</v>
      </c>
      <c r="Q14" s="53"/>
      <c r="R14" s="87">
        <v>1175000000</v>
      </c>
      <c r="S14" s="15"/>
      <c r="T14" s="15"/>
      <c r="U14" s="16"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v>0</v>
      </c>
      <c r="AE14" s="15">
        <v>146960575.44</v>
      </c>
      <c r="AF14" s="57">
        <f>SUM(Tabla1[[#This Row],[Recursos propios]:[Recursos del Balance]])</f>
        <v>1468578510.4400001</v>
      </c>
      <c r="AG14" s="76">
        <v>1138045944.5599999</v>
      </c>
      <c r="AH14" s="15"/>
      <c r="AI14" s="15"/>
      <c r="AJ14" s="16">
        <v>146617295</v>
      </c>
      <c r="AK14" s="15"/>
      <c r="AL14" s="15"/>
      <c r="AM14" s="15"/>
      <c r="AN14" s="15"/>
      <c r="AO14" s="15"/>
      <c r="AP14" s="15"/>
      <c r="AQ14" s="15"/>
      <c r="AR14" s="15"/>
      <c r="AS14" s="16">
        <v>0</v>
      </c>
      <c r="AT14" s="15">
        <v>146216486.44</v>
      </c>
      <c r="AU14" s="34">
        <f>SUM(Tabla1[[#This Row],[Recursos propios2]:[Recursos del Balance2]])</f>
        <v>1430879726</v>
      </c>
      <c r="AV14" s="16">
        <v>1430879726</v>
      </c>
      <c r="AW14" s="22">
        <v>578785824.44000006</v>
      </c>
      <c r="AX14" s="58">
        <f>+Tabla1[[#This Row],[Total Recursos Comprometido]]/Tabla1[[#This Row],[Total 2025]]</f>
        <v>0.9743297452795322</v>
      </c>
      <c r="AY14" s="18">
        <f>+Tabla1[[#This Row],[Total Recursos Obligados]]/Tabla1[[#This Row],[Total 2025]]</f>
        <v>0.9743297452795322</v>
      </c>
      <c r="AZ14" s="59">
        <f>+Tabla1[[#This Row],[Total Recursos Pagados]]/Tabla1[[#This Row],[Total 2025]]</f>
        <v>0.39411296047535815</v>
      </c>
      <c r="BA14" s="82"/>
      <c r="BB14" s="60">
        <f>+Tabla1[[#This Row],[Total Recursos Gestionados]]/Tabla1[[#This Row],[Total Recursos Comprometido]]</f>
        <v>0</v>
      </c>
      <c r="BC14" s="41" t="s">
        <v>106</v>
      </c>
      <c r="BD14" s="42" t="s">
        <v>152</v>
      </c>
      <c r="BE14" s="43">
        <v>3</v>
      </c>
    </row>
    <row r="15" spans="1:57" s="10" customFormat="1" ht="28.5">
      <c r="A15" s="37">
        <v>133</v>
      </c>
      <c r="B15" s="28" t="s">
        <v>68</v>
      </c>
      <c r="C15" s="28" t="s">
        <v>69</v>
      </c>
      <c r="D15" s="29" t="s">
        <v>70</v>
      </c>
      <c r="E15" s="29" t="s">
        <v>71</v>
      </c>
      <c r="F15" s="29" t="s">
        <v>78</v>
      </c>
      <c r="G15" s="29" t="s">
        <v>79</v>
      </c>
      <c r="H15" s="29">
        <v>430100300</v>
      </c>
      <c r="I15" s="29" t="s">
        <v>113</v>
      </c>
      <c r="J15" s="29">
        <v>18</v>
      </c>
      <c r="K15" s="29" t="s">
        <v>109</v>
      </c>
      <c r="L15" s="29" t="str">
        <f>+'[1]Plan Indicativo'!AC141</f>
        <v>No Acumulativa</v>
      </c>
      <c r="M15" s="85">
        <f>+'[1]Plan Indicativo'!T141</f>
        <v>18</v>
      </c>
      <c r="N15" s="38">
        <f>+'[1]Plan Indicativo'!W141</f>
        <v>18</v>
      </c>
      <c r="O15" s="39">
        <v>17</v>
      </c>
      <c r="P15" s="44">
        <f>+Tabla1[[#This Row],[Logro Vigencia]]/Tabla1[[#This Row],[Meta Programada Vigencia]]</f>
        <v>0.94444444444444442</v>
      </c>
      <c r="Q15" s="54"/>
      <c r="R15" s="76">
        <v>1361541521.3399999</v>
      </c>
      <c r="S15" s="15"/>
      <c r="T15" s="15"/>
      <c r="U15" s="16">
        <v>0</v>
      </c>
      <c r="V15" s="15"/>
      <c r="W15" s="15"/>
      <c r="X15" s="15"/>
      <c r="Y15" s="15"/>
      <c r="Z15" s="15"/>
      <c r="AA15" s="15"/>
      <c r="AB15" s="15"/>
      <c r="AC15" s="15"/>
      <c r="AD15" s="16">
        <v>209078361</v>
      </c>
      <c r="AE15" s="15">
        <v>2415675285.4400001</v>
      </c>
      <c r="AF15" s="57">
        <f>SUM(Tabla1[[#This Row],[Recursos propios]:[Recursos del Balance]])</f>
        <v>3986295167.7799997</v>
      </c>
      <c r="AG15" s="76">
        <v>1319794922.01</v>
      </c>
      <c r="AH15" s="15"/>
      <c r="AI15" s="15"/>
      <c r="AJ15" s="16"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v>194090872</v>
      </c>
      <c r="AT15" s="15">
        <v>2339436589.3299999</v>
      </c>
      <c r="AU15" s="34">
        <f>SUM(Tabla1[[#This Row],[Recursos propios2]:[Recursos del Balance2]])</f>
        <v>3853322383.3400002</v>
      </c>
      <c r="AV15" s="16">
        <v>3628239050.3200002</v>
      </c>
      <c r="AW15" s="22">
        <v>3457095567.4099998</v>
      </c>
      <c r="AX15" s="19">
        <f>+Tabla1[[#This Row],[Total Recursos Comprometido]]/Tabla1[[#This Row],[Total 2025]]</f>
        <v>0.96664251420346947</v>
      </c>
      <c r="AY15" s="32">
        <f>+Tabla1[[#This Row],[Total Recursos Obligados]]/Tabla1[[#This Row],[Total 2025]]</f>
        <v>0.91017822253754377</v>
      </c>
      <c r="AZ15" s="33">
        <f>+Tabla1[[#This Row],[Total Recursos Pagados]]/Tabla1[[#This Row],[Total 2025]]</f>
        <v>0.86724525452922863</v>
      </c>
      <c r="BA15" s="83"/>
      <c r="BB15" s="60">
        <f>+Tabla1[[#This Row],[Total Recursos Gestionados]]/Tabla1[[#This Row],[Total Recursos Comprometido]]</f>
        <v>0</v>
      </c>
      <c r="BC15" s="41" t="s">
        <v>106</v>
      </c>
      <c r="BD15" s="42" t="s">
        <v>152</v>
      </c>
      <c r="BE15" s="43">
        <v>3</v>
      </c>
    </row>
    <row r="16" spans="1:57" s="10" customFormat="1" ht="28.5">
      <c r="A16" s="37">
        <v>134</v>
      </c>
      <c r="B16" s="28" t="s">
        <v>68</v>
      </c>
      <c r="C16" s="28" t="s">
        <v>69</v>
      </c>
      <c r="D16" s="28" t="s">
        <v>70</v>
      </c>
      <c r="E16" s="28" t="s">
        <v>71</v>
      </c>
      <c r="F16" s="28" t="s">
        <v>80</v>
      </c>
      <c r="G16" s="28" t="s">
        <v>81</v>
      </c>
      <c r="H16" s="28">
        <v>430100400</v>
      </c>
      <c r="I16" s="28" t="s">
        <v>114</v>
      </c>
      <c r="J16" s="84">
        <v>80</v>
      </c>
      <c r="K16" s="28" t="s">
        <v>109</v>
      </c>
      <c r="L16" s="29" t="str">
        <f>+'[1]Plan Indicativo'!AC142</f>
        <v>Acumulativa</v>
      </c>
      <c r="M16" s="85">
        <f>+'[1]Plan Indicativo'!T142</f>
        <v>80</v>
      </c>
      <c r="N16" s="38">
        <f>+'[1]Plan Indicativo'!W142</f>
        <v>20</v>
      </c>
      <c r="O16" s="45">
        <v>20</v>
      </c>
      <c r="P16" s="46">
        <f>+Tabla1[[#This Row],[Logro Vigencia]]/Tabla1[[#This Row],[Meta Programada Vigencia]]</f>
        <v>1</v>
      </c>
      <c r="Q16" s="55"/>
      <c r="R16" s="86">
        <v>683655333</v>
      </c>
      <c r="S16" s="16"/>
      <c r="T16" s="16"/>
      <c r="U16" s="16">
        <v>0</v>
      </c>
      <c r="V16" s="16"/>
      <c r="W16" s="16"/>
      <c r="X16" s="16"/>
      <c r="Y16" s="16"/>
      <c r="Z16" s="16"/>
      <c r="AA16" s="16"/>
      <c r="AB16" s="16"/>
      <c r="AC16" s="16"/>
      <c r="AD16" s="16">
        <v>111863078</v>
      </c>
      <c r="AE16" s="16">
        <v>477354481.35000002</v>
      </c>
      <c r="AF16" s="57">
        <f>SUM(Tabla1[[#This Row],[Recursos propios]:[Recursos del Balance]])</f>
        <v>1272872892.3499999</v>
      </c>
      <c r="AG16" s="76">
        <v>683655333</v>
      </c>
      <c r="AH16" s="16"/>
      <c r="AI16" s="16"/>
      <c r="AJ16" s="16"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v>109876049.59999999</v>
      </c>
      <c r="AT16" s="16">
        <v>462847814</v>
      </c>
      <c r="AU16" s="34">
        <f>SUM(Tabla1[[#This Row],[Recursos propios2]:[Recursos del Balance2]])</f>
        <v>1256379196.5999999</v>
      </c>
      <c r="AV16" s="16">
        <v>1244639196.5999999</v>
      </c>
      <c r="AW16" s="22">
        <v>1240939196.5999999</v>
      </c>
      <c r="AX16" s="20">
        <f>+Tabla1[[#This Row],[Total Recursos Comprometido]]/Tabla1[[#This Row],[Total 2025]]</f>
        <v>0.98704215020279906</v>
      </c>
      <c r="AY16" s="17">
        <f>+Tabla1[[#This Row],[Total Recursos Obligados]]/Tabla1[[#This Row],[Total 2025]]</f>
        <v>0.97781891976827751</v>
      </c>
      <c r="AZ16" s="21">
        <f>+Tabla1[[#This Row],[Total Recursos Pagados]]/Tabla1[[#This Row],[Total 2025]]</f>
        <v>0.9749121094950467</v>
      </c>
      <c r="BA16" s="81"/>
      <c r="BB16" s="60">
        <f>+Tabla1[[#This Row],[Total Recursos Gestionados]]/Tabla1[[#This Row],[Total Recursos Comprometido]]</f>
        <v>0</v>
      </c>
      <c r="BC16" s="41" t="s">
        <v>106</v>
      </c>
      <c r="BD16" s="42" t="s">
        <v>152</v>
      </c>
      <c r="BE16" s="43">
        <v>3</v>
      </c>
    </row>
    <row r="17" spans="1:57" s="10" customFormat="1" ht="57">
      <c r="A17" s="37">
        <v>137</v>
      </c>
      <c r="B17" s="28" t="s">
        <v>68</v>
      </c>
      <c r="C17" s="28" t="s">
        <v>63</v>
      </c>
      <c r="D17" s="29" t="s">
        <v>64</v>
      </c>
      <c r="E17" s="28" t="s">
        <v>82</v>
      </c>
      <c r="F17" s="29" t="s">
        <v>83</v>
      </c>
      <c r="G17" s="28" t="s">
        <v>149</v>
      </c>
      <c r="H17" s="29">
        <v>410205000</v>
      </c>
      <c r="I17" s="28" t="s">
        <v>115</v>
      </c>
      <c r="J17" s="29">
        <v>6</v>
      </c>
      <c r="K17" s="29" t="s">
        <v>109</v>
      </c>
      <c r="L17" s="29" t="str">
        <f>+'[1]Plan Indicativo'!$AC$145</f>
        <v>Acumulativa</v>
      </c>
      <c r="M17" s="29">
        <f>+'[1]Plan Indicativo'!$T$145</f>
        <v>9</v>
      </c>
      <c r="N17" s="38">
        <f>+'[1]Plan Indicativo'!$W$145</f>
        <v>2</v>
      </c>
      <c r="O17" s="39">
        <v>2</v>
      </c>
      <c r="P17" s="40">
        <f>+Tabla1[[#This Row],[Logro Vigencia]]/Tabla1[[#This Row],[Meta Programada Vigencia]]</f>
        <v>1</v>
      </c>
      <c r="Q17" s="53"/>
      <c r="R17" s="76">
        <v>79991150</v>
      </c>
      <c r="S17" s="15"/>
      <c r="T17" s="15"/>
      <c r="U17" s="16">
        <v>0</v>
      </c>
      <c r="V17" s="15"/>
      <c r="W17" s="15"/>
      <c r="X17" s="15"/>
      <c r="Y17" s="15"/>
      <c r="Z17" s="15"/>
      <c r="AA17" s="15"/>
      <c r="AB17" s="15"/>
      <c r="AC17" s="15"/>
      <c r="AD17" s="16">
        <v>0</v>
      </c>
      <c r="AE17" s="15">
        <v>0</v>
      </c>
      <c r="AF17" s="57">
        <f>SUM(Tabla1[[#This Row],[Recursos propios]:[Recursos del Balance]])</f>
        <v>79991150</v>
      </c>
      <c r="AG17" s="76">
        <v>79991150</v>
      </c>
      <c r="AH17" s="15"/>
      <c r="AI17" s="15"/>
      <c r="AJ17" s="16"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v>0</v>
      </c>
      <c r="AT17" s="15">
        <v>0</v>
      </c>
      <c r="AU17" s="34">
        <f>SUM(Tabla1[[#This Row],[Recursos propios2]:[Recursos del Balance2]])</f>
        <v>79991150</v>
      </c>
      <c r="AV17" s="16">
        <v>79991150</v>
      </c>
      <c r="AW17" s="22">
        <v>0</v>
      </c>
      <c r="AX17" s="58">
        <f>+Tabla1[[#This Row],[Total Recursos Comprometido]]/Tabla1[[#This Row],[Total 2025]]</f>
        <v>1</v>
      </c>
      <c r="AY17" s="18">
        <f>+Tabla1[[#This Row],[Total Recursos Obligados]]/Tabla1[[#This Row],[Total 2025]]</f>
        <v>1</v>
      </c>
      <c r="AZ17" s="59">
        <f>+Tabla1[[#This Row],[Total Recursos Pagados]]/Tabla1[[#This Row],[Total 2025]]</f>
        <v>0</v>
      </c>
      <c r="BA17" s="82"/>
      <c r="BB17" s="60">
        <f>+Tabla1[[#This Row],[Total Recursos Gestionados]]/Tabla1[[#This Row],[Total Recursos Comprometido]]</f>
        <v>0</v>
      </c>
      <c r="BC17" s="41" t="s">
        <v>106</v>
      </c>
      <c r="BD17" s="42" t="s">
        <v>152</v>
      </c>
      <c r="BE17" s="43" t="s">
        <v>107</v>
      </c>
    </row>
    <row r="18" spans="1:57" s="10" customFormat="1" ht="57">
      <c r="A18" s="37">
        <v>138</v>
      </c>
      <c r="B18" s="28" t="s">
        <v>68</v>
      </c>
      <c r="C18" s="28" t="s">
        <v>63</v>
      </c>
      <c r="D18" s="29" t="s">
        <v>64</v>
      </c>
      <c r="E18" s="28" t="s">
        <v>82</v>
      </c>
      <c r="F18" s="29" t="s">
        <v>85</v>
      </c>
      <c r="G18" s="28" t="s">
        <v>86</v>
      </c>
      <c r="H18" s="29">
        <v>410204200</v>
      </c>
      <c r="I18" s="28" t="s">
        <v>116</v>
      </c>
      <c r="J18" s="85">
        <v>0</v>
      </c>
      <c r="K18" s="29" t="s">
        <v>109</v>
      </c>
      <c r="L18" s="29" t="str">
        <f>+'[1]Plan Indicativo'!$AC$146</f>
        <v>Acumulativa</v>
      </c>
      <c r="M18" s="85">
        <f>+'[1]Plan Indicativo'!$T$146</f>
        <v>9</v>
      </c>
      <c r="N18" s="38">
        <f>+'[1]Plan Indicativo'!$W$146</f>
        <v>2</v>
      </c>
      <c r="O18" s="39">
        <v>2</v>
      </c>
      <c r="P18" s="40">
        <f>+Tabla1[[#This Row],[Logro Vigencia]]/Tabla1[[#This Row],[Meta Programada Vigencia]]</f>
        <v>1</v>
      </c>
      <c r="Q18" s="53"/>
      <c r="R18" s="76">
        <v>456856600</v>
      </c>
      <c r="S18" s="15"/>
      <c r="T18" s="15"/>
      <c r="U18" s="16">
        <v>0</v>
      </c>
      <c r="V18" s="15"/>
      <c r="W18" s="15"/>
      <c r="X18" s="15"/>
      <c r="Y18" s="15"/>
      <c r="Z18" s="15"/>
      <c r="AA18" s="15"/>
      <c r="AB18" s="15"/>
      <c r="AC18" s="15"/>
      <c r="AD18" s="16">
        <v>0</v>
      </c>
      <c r="AE18" s="15">
        <v>165684646</v>
      </c>
      <c r="AF18" s="57">
        <f>SUM(Tabla1[[#This Row],[Recursos propios]:[Recursos del Balance]])</f>
        <v>622541246</v>
      </c>
      <c r="AG18" s="76">
        <v>450281600</v>
      </c>
      <c r="AH18" s="15"/>
      <c r="AI18" s="15"/>
      <c r="AJ18" s="16"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v>0</v>
      </c>
      <c r="AT18" s="15">
        <v>144059646</v>
      </c>
      <c r="AU18" s="34">
        <f>SUM(Tabla1[[#This Row],[Recursos propios2]:[Recursos del Balance2]])</f>
        <v>594341246</v>
      </c>
      <c r="AV18" s="16">
        <v>585318802</v>
      </c>
      <c r="AW18" s="22">
        <v>471756416</v>
      </c>
      <c r="AX18" s="58">
        <f>+Tabla1[[#This Row],[Total Recursos Comprometido]]/Tabla1[[#This Row],[Total 2025]]</f>
        <v>0.95470179657782872</v>
      </c>
      <c r="AY18" s="18">
        <f>+Tabla1[[#This Row],[Total Recursos Obligados]]/Tabla1[[#This Row],[Total 2025]]</f>
        <v>0.94020887091551841</v>
      </c>
      <c r="AZ18" s="59">
        <f>+Tabla1[[#This Row],[Total Recursos Pagados]]/Tabla1[[#This Row],[Total 2025]]</f>
        <v>0.75779142190363402</v>
      </c>
      <c r="BA18" s="82"/>
      <c r="BB18" s="60">
        <f>+Tabla1[[#This Row],[Total Recursos Gestionados]]/Tabla1[[#This Row],[Total Recursos Comprometido]]</f>
        <v>0</v>
      </c>
      <c r="BC18" s="41" t="s">
        <v>106</v>
      </c>
      <c r="BD18" s="42" t="s">
        <v>152</v>
      </c>
      <c r="BE18" s="43" t="s">
        <v>107</v>
      </c>
    </row>
    <row r="19" spans="1:57">
      <c r="A19" s="90"/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0"/>
      <c r="P19" s="93"/>
      <c r="Q19" s="92"/>
      <c r="R19" s="94"/>
      <c r="S19" s="95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7"/>
      <c r="AF19" s="95"/>
      <c r="AG19" s="98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5"/>
      <c r="AT19" s="97"/>
      <c r="AU19" s="99">
        <f>SUBTOTAL(109,Tabla1[Total Recursos Comprometido])</f>
        <v>13494416220.27</v>
      </c>
      <c r="AV19" s="103">
        <f>SUBTOTAL(109,Tabla1[Total Recursos Obligados])</f>
        <v>13170179187.65</v>
      </c>
      <c r="AW19" s="103">
        <f>SUBTOTAL(109,Tabla1[Total Recursos Pagados])</f>
        <v>11165365317.18</v>
      </c>
      <c r="AX19" s="104"/>
      <c r="AY19" s="100"/>
      <c r="AZ19" s="100"/>
      <c r="BA19" s="100"/>
      <c r="BB19" s="100"/>
      <c r="BC19" s="101"/>
      <c r="BD19" s="91"/>
      <c r="BE19" s="102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2026-02-17T22:20:53Z</dcterms:modified>
</cp:coreProperties>
</file>