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B0DF9EAD-3CF6-4EB9-B207-D5495F107497}"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Acción-proyectos'!$A$9:$BE$33</definedName>
    <definedName name="PA">'Plan de Acción-metas'!$A$9:$BE$25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34" i="6" l="1"/>
  <c r="AU34" i="6"/>
  <c r="AT34" i="6"/>
  <c r="AS34" i="6"/>
  <c r="AR34" i="6"/>
  <c r="AQ34" i="6"/>
  <c r="AP34" i="6"/>
  <c r="AO34" i="6"/>
  <c r="AN34" i="6"/>
  <c r="AM34" i="6"/>
  <c r="AL34" i="6"/>
  <c r="AK34" i="6"/>
  <c r="AJ34" i="6"/>
  <c r="AI34" i="6"/>
  <c r="AH34" i="6"/>
  <c r="AG34" i="6"/>
  <c r="AD34" i="6"/>
  <c r="AC34" i="6"/>
  <c r="AB34" i="6"/>
  <c r="AA34" i="6"/>
  <c r="Z34" i="6"/>
  <c r="Y34" i="6"/>
  <c r="X34" i="6"/>
  <c r="W34" i="6"/>
  <c r="V34" i="6"/>
  <c r="U34" i="6"/>
  <c r="T34" i="6"/>
  <c r="S34" i="6"/>
  <c r="R34" i="6"/>
  <c r="Q34" i="6"/>
  <c r="P34" i="6"/>
  <c r="BB33" i="6"/>
  <c r="AZ33" i="6"/>
  <c r="AY33" i="6"/>
  <c r="AW33" i="6"/>
  <c r="AE33" i="6"/>
  <c r="AX33" i="6" s="1"/>
  <c r="N33" i="6"/>
  <c r="BB32" i="6"/>
  <c r="AZ32" i="6"/>
  <c r="AY32" i="6"/>
  <c r="AX32" i="6"/>
  <c r="N32" i="6"/>
  <c r="BB31" i="6"/>
  <c r="AZ31" i="6"/>
  <c r="AY31" i="6"/>
  <c r="AX31" i="6"/>
  <c r="BB30" i="6"/>
  <c r="AZ30" i="6"/>
  <c r="AY30" i="6"/>
  <c r="AE30" i="6"/>
  <c r="AX30" i="6" s="1"/>
  <c r="BB29" i="6"/>
  <c r="AZ29" i="6"/>
  <c r="AY29" i="6"/>
  <c r="AE29" i="6"/>
  <c r="AX29" i="6" s="1"/>
  <c r="BB28" i="6"/>
  <c r="AZ28" i="6"/>
  <c r="AY28" i="6"/>
  <c r="AE28" i="6"/>
  <c r="AX28" i="6" s="1"/>
  <c r="BB27" i="6"/>
  <c r="AZ27" i="6"/>
  <c r="AY27" i="6"/>
  <c r="AW27" i="6"/>
  <c r="AE27" i="6"/>
  <c r="AX27" i="6" s="1"/>
  <c r="BB26" i="6"/>
  <c r="AY26" i="6"/>
  <c r="AW26" i="6"/>
  <c r="AZ26" i="6" s="1"/>
  <c r="AE26" i="6"/>
  <c r="AX26" i="6" s="1"/>
  <c r="BB25" i="6"/>
  <c r="AY25" i="6"/>
  <c r="AX25" i="6"/>
  <c r="AW25" i="6"/>
  <c r="AZ25" i="6" s="1"/>
  <c r="AE25" i="6"/>
  <c r="AZ24" i="6"/>
  <c r="AY24" i="6"/>
  <c r="AW24" i="6"/>
  <c r="AE24" i="6"/>
  <c r="AX24" i="6" s="1"/>
  <c r="BB23" i="6"/>
  <c r="AY23" i="6"/>
  <c r="AW23" i="6"/>
  <c r="AZ23" i="6" s="1"/>
  <c r="AE23" i="6"/>
  <c r="AX23" i="6" s="1"/>
  <c r="BB22" i="6"/>
  <c r="AZ22" i="6"/>
  <c r="AY22" i="6"/>
  <c r="AX22" i="6"/>
  <c r="BB21" i="6"/>
  <c r="AZ21" i="6"/>
  <c r="AY21" i="6"/>
  <c r="AE21" i="6"/>
  <c r="AX21" i="6" s="1"/>
  <c r="BB20" i="6"/>
  <c r="AZ20" i="6"/>
  <c r="AY20" i="6"/>
  <c r="AE20" i="6"/>
  <c r="AX20" i="6" s="1"/>
  <c r="BB19" i="6"/>
  <c r="AZ19" i="6"/>
  <c r="AY19" i="6"/>
  <c r="AE19" i="6"/>
  <c r="AX19" i="6" s="1"/>
  <c r="BB18" i="6"/>
  <c r="AZ18" i="6"/>
  <c r="AY18" i="6"/>
  <c r="AX18" i="6"/>
  <c r="N18" i="6"/>
  <c r="BB17" i="6"/>
  <c r="AY17" i="6"/>
  <c r="AW17" i="6"/>
  <c r="AZ17" i="6" s="1"/>
  <c r="AE17" i="6"/>
  <c r="AX17" i="6" s="1"/>
  <c r="BB16" i="6"/>
  <c r="AZ16" i="6"/>
  <c r="AY16" i="6"/>
  <c r="AE16" i="6"/>
  <c r="AX16" i="6" s="1"/>
  <c r="BB15" i="6"/>
  <c r="AZ15" i="6"/>
  <c r="AY15" i="6"/>
  <c r="AW15" i="6"/>
  <c r="AE15" i="6"/>
  <c r="AX15" i="6" s="1"/>
  <c r="BB14" i="6"/>
  <c r="AY14" i="6"/>
  <c r="AW14" i="6"/>
  <c r="AZ14" i="6" s="1"/>
  <c r="AE14" i="6"/>
  <c r="AX14" i="6" s="1"/>
  <c r="BB13" i="6"/>
  <c r="AY13" i="6"/>
  <c r="AX13" i="6"/>
  <c r="AW13" i="6"/>
  <c r="AZ13" i="6" s="1"/>
  <c r="AE13" i="6"/>
  <c r="BB12" i="6"/>
  <c r="AZ12" i="6"/>
  <c r="AY12" i="6"/>
  <c r="AW12" i="6"/>
  <c r="AE12" i="6"/>
  <c r="AX12" i="6" s="1"/>
  <c r="BB11" i="6"/>
  <c r="AY11" i="6"/>
  <c r="AX11" i="6"/>
  <c r="AW11" i="6"/>
  <c r="AW34" i="6" s="1"/>
  <c r="AW36" i="6" s="1"/>
  <c r="AE11" i="6"/>
  <c r="N11" i="6"/>
  <c r="AY34" i="6" l="1"/>
  <c r="AE34" i="6"/>
  <c r="AE36" i="6" s="1"/>
  <c r="AZ11" i="6"/>
  <c r="AZ34" i="6" s="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AW26" i="1" l="1"/>
  <c r="AV26" i="1"/>
  <c r="AU12" i="1" l="1"/>
  <c r="BB12" i="1" s="1"/>
  <c r="AU13" i="1"/>
  <c r="BB13" i="1" s="1"/>
  <c r="AU14" i="1"/>
  <c r="BB14" i="1" s="1"/>
  <c r="AU15" i="1"/>
  <c r="BB15" i="1" s="1"/>
  <c r="AU16" i="1"/>
  <c r="BB16" i="1" s="1"/>
  <c r="AU17" i="1"/>
  <c r="BB17" i="1" s="1"/>
  <c r="AU18" i="1"/>
  <c r="BB18" i="1" s="1"/>
  <c r="AU19" i="1"/>
  <c r="BB19" i="1" s="1"/>
  <c r="AU20" i="1"/>
  <c r="BB20" i="1" s="1"/>
  <c r="AU21" i="1"/>
  <c r="BB21" i="1" s="1"/>
  <c r="AU22" i="1"/>
  <c r="BB22" i="1" s="1"/>
  <c r="AU23" i="1"/>
  <c r="BB23" i="1" s="1"/>
  <c r="AU24" i="1"/>
  <c r="BB24" i="1" s="1"/>
  <c r="AF11" i="1"/>
  <c r="AF12" i="1"/>
  <c r="AY12" i="1" s="1"/>
  <c r="AF13" i="1"/>
  <c r="AF14" i="1"/>
  <c r="AY14" i="1" s="1"/>
  <c r="AF15" i="1"/>
  <c r="AF16" i="1"/>
  <c r="AY16" i="1" s="1"/>
  <c r="AF17" i="1"/>
  <c r="AF18" i="1"/>
  <c r="AY18" i="1" s="1"/>
  <c r="AF19" i="1"/>
  <c r="AF20" i="1"/>
  <c r="AY20" i="1" s="1"/>
  <c r="AF21" i="1"/>
  <c r="AF22" i="1"/>
  <c r="AY22" i="1" s="1"/>
  <c r="AF23" i="1"/>
  <c r="AF24" i="1"/>
  <c r="AY24" i="1" s="1"/>
  <c r="AF25" i="1"/>
  <c r="P11" i="1"/>
  <c r="P12" i="1"/>
  <c r="P13" i="1"/>
  <c r="P14" i="1"/>
  <c r="P15" i="1"/>
  <c r="P16" i="1"/>
  <c r="P17" i="1"/>
  <c r="P18" i="1"/>
  <c r="P19" i="1"/>
  <c r="P20" i="1"/>
  <c r="P21" i="1"/>
  <c r="P22" i="1"/>
  <c r="P23" i="1"/>
  <c r="P24" i="1"/>
  <c r="P25" i="1"/>
  <c r="AX19" i="1" l="1"/>
  <c r="AX23" i="1"/>
  <c r="AX15" i="1"/>
  <c r="AX21" i="1"/>
  <c r="AX17" i="1"/>
  <c r="AX13" i="1"/>
  <c r="AZ22" i="1"/>
  <c r="AZ18" i="1"/>
  <c r="AZ14" i="1"/>
  <c r="AX22" i="1"/>
  <c r="AZ25" i="1"/>
  <c r="AZ21" i="1"/>
  <c r="AZ17" i="1"/>
  <c r="AZ13" i="1"/>
  <c r="AZ24" i="1"/>
  <c r="AZ20" i="1"/>
  <c r="AZ16" i="1"/>
  <c r="AZ12" i="1"/>
  <c r="AX24" i="1"/>
  <c r="AZ23" i="1"/>
  <c r="AZ19" i="1"/>
  <c r="AZ15" i="1"/>
  <c r="AZ11" i="1"/>
  <c r="AX18" i="1"/>
  <c r="AX14" i="1"/>
  <c r="AY25" i="1"/>
  <c r="AY21" i="1"/>
  <c r="AY17" i="1"/>
  <c r="AY13" i="1"/>
  <c r="AX20" i="1"/>
  <c r="AX16" i="1"/>
  <c r="AX12" i="1"/>
  <c r="AY23" i="1"/>
  <c r="AY19" i="1"/>
  <c r="AY15" i="1"/>
  <c r="AY11" i="1"/>
  <c r="AU25" i="1" l="1"/>
  <c r="AX25" i="1" l="1"/>
  <c r="BB25" i="1"/>
  <c r="AU11" i="1"/>
  <c r="BB11" i="1" s="1"/>
  <c r="AU26" i="1" l="1"/>
  <c r="AX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AEA6972D-7A55-4878-97AA-1FACFE67E158}">
      <text>
        <r>
          <rPr>
            <b/>
            <sz val="9"/>
            <color indexed="81"/>
            <rFont val="Tahoma"/>
            <family val="2"/>
          </rPr>
          <t>MONICA:</t>
        </r>
        <r>
          <rPr>
            <sz val="9"/>
            <color indexed="81"/>
            <rFont val="Tahoma"/>
            <family val="2"/>
          </rPr>
          <t xml:space="preserve">
Valor total del proyecto</t>
        </r>
      </text>
    </comment>
    <comment ref="K10" authorId="0" shapeId="0" xr:uid="{FCBFD326-27CC-40A1-A6B2-79274EC357FF}">
      <text>
        <r>
          <rPr>
            <b/>
            <sz val="9"/>
            <color indexed="81"/>
            <rFont val="Tahoma"/>
            <family val="2"/>
          </rPr>
          <t>MONICA:</t>
        </r>
        <r>
          <rPr>
            <sz val="9"/>
            <color indexed="81"/>
            <rFont val="Tahoma"/>
            <family val="2"/>
          </rPr>
          <t xml:space="preserve">
Valor vigencia 2024 del proyecto</t>
        </r>
      </text>
    </comment>
    <comment ref="L10" authorId="0" shapeId="0" xr:uid="{87E6A7C2-EF80-4891-ADCE-DE9061A9223F}">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BD6F8E7B-390E-4281-95CA-9542490CEB14}">
      <text>
        <r>
          <rPr>
            <b/>
            <sz val="9"/>
            <color indexed="81"/>
            <rFont val="Tahoma"/>
            <family val="2"/>
          </rPr>
          <t>MONICA:</t>
        </r>
        <r>
          <rPr>
            <sz val="9"/>
            <color indexed="81"/>
            <rFont val="Tahoma"/>
            <family val="2"/>
          </rPr>
          <t xml:space="preserve">
Enfoque diferencial que apunte directamente el producto.</t>
        </r>
      </text>
    </comment>
    <comment ref="N10" authorId="0" shapeId="0" xr:uid="{99713BCA-9F53-4106-850A-BAB467485945}">
      <text>
        <r>
          <rPr>
            <b/>
            <sz val="9"/>
            <color indexed="81"/>
            <rFont val="Tahoma"/>
            <family val="2"/>
          </rPr>
          <t>MONICA:</t>
        </r>
        <r>
          <rPr>
            <sz val="9"/>
            <color indexed="81"/>
            <rFont val="Tahoma"/>
            <family val="2"/>
          </rPr>
          <t xml:space="preserve">
Cuantitativa</t>
        </r>
      </text>
    </comment>
    <comment ref="O10" authorId="0" shapeId="0" xr:uid="{25959AD0-60EC-4156-BCAD-C8DE094823B0}">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<sst xmlns="http://schemas.openxmlformats.org/spreadsheetml/2006/main" count="579" uniqueCount="252">
  <si>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</si>
  <si>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</si>
  <si>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</si>
  <si>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</si>
  <si>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</si>
  <si>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</si>
  <si>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</si>
  <si>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</si>
  <si>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</si>
  <si>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</si>
  <si>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</si>
  <si>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</si>
  <si>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</si>
  <si>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</si>
  <si>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</si>
  <si>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</si>
  <si>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</si>
  <si>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</si>
  <si>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</si>
  <si>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</si>
  <si>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</si>
  <si>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</si>
  <si>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</si>
  <si>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</si>
  <si>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</si>
  <si>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</si>
  <si>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</si>
  <si>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</si>
  <si>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</si>
  <si>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</si>
  <si>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</si>
  <si>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</si>
  <si>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</si>
  <si>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</si>
  <si>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</si>
  <si>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</si>
  <si>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</si>
  <si>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Transferencias de capital - cofinanciación departamento 2024</t>
  </si>
  <si>
    <t>Transferencias de capital - cofinanciación nación 2024</t>
  </si>
  <si>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</si>
  <si>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</si>
  <si>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</si>
  <si>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</si>
  <si>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</si>
  <si>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</si>
  <si>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</si>
  <si>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</si>
  <si>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</si>
  <si>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</si>
  <si>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</si>
  <si>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</si>
  <si>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</si>
  <si>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</si>
  <si>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</si>
  <si>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</si>
  <si>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</si>
  <si>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</si>
  <si>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</si>
  <si>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</si>
  <si>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</si>
  <si>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</si>
  <si>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</si>
  <si>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</si>
  <si>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</si>
  <si>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</si>
  <si>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protege</t>
  </si>
  <si>
    <t>Cultura.</t>
  </si>
  <si>
    <t>3301</t>
  </si>
  <si>
    <t>Promoción y acceso efectivo a procesos culturales y artísticos. (3301)</t>
  </si>
  <si>
    <t>3301053</t>
  </si>
  <si>
    <t>Promocionar 100 actividades culturales como eventos basados en las manifestaciones culturales, turísticas y/o tradicionales de Bucaramanga como ciudad región   (revitalizando a su vez diversos escenarios como la concha Acústica José A. Morales).</t>
  </si>
  <si>
    <t>Territorio seguro que progresa</t>
  </si>
  <si>
    <t>Comercio, industria y turismo</t>
  </si>
  <si>
    <t>3502</t>
  </si>
  <si>
    <t>Productividad y competitividad de las empresas colombianas (3502).</t>
  </si>
  <si>
    <t>3502046</t>
  </si>
  <si>
    <t>Realizar siete (7) campañas que consoliden la promoción de Bucaramanga como epicentro Turístico</t>
  </si>
  <si>
    <t>3502049</t>
  </si>
  <si>
    <t>Realizar 5 recorridos turísticos para la ciudad de Bucaramanga</t>
  </si>
  <si>
    <t>3502114</t>
  </si>
  <si>
    <t>Dotar ocho 8 equipamientos turisticos en Bucaramanga</t>
  </si>
  <si>
    <t>Territorio seguro que integra</t>
  </si>
  <si>
    <t>3301054</t>
  </si>
  <si>
    <t>Brindar apoyo financiero al sector artístico y cultural a través de mil (1000) estímulos en convocatorias, nacionales, departamentales y/o municipales para fomentar la creación, investigación, itinerancia, distribución y/o comercialización artística, cultural, creativa y de gestión cultural.</t>
  </si>
  <si>
    <t>3301073</t>
  </si>
  <si>
    <t>Fortalecer tres (3) servicios de circulación artística y cultural a través del territorio Cultural, creativo, turístico y de los saberes</t>
  </si>
  <si>
    <t>3301129</t>
  </si>
  <si>
    <t>Realizar cinco (5) Documentos de Planeación  elaborados, actualizados e implementados para el desarrollo de un territorio cultural y turistico de Bucaramanga.</t>
  </si>
  <si>
    <t>3301087</t>
  </si>
  <si>
    <t>Implementar 2 servicios de educación informal en áreas artísticas y culturales en la Biblioteca Gabriel Turbay y sus bibliotecas satélites y estrategias digitales y didácticas a través del fomento de las habilidades de lectura, escritura y oralidad en la ciudad de Bucaramanga.</t>
  </si>
  <si>
    <t>3301126</t>
  </si>
  <si>
    <t>Ofrecer servicios de apoyo al proceso de formación artística y cultural implementado a través de dos (2) programas de formación en artes, oficios y saberes en el Municipio de Bucaramanga y sus zonas rurales.</t>
  </si>
  <si>
    <t>3302</t>
  </si>
  <si>
    <t>Gestión, protección y salvaguardia del patrimonio cultural colombiano. (3302)</t>
  </si>
  <si>
    <t>3302002</t>
  </si>
  <si>
    <t xml:space="preserve">Elaborar dos (2) documentos de lineamientos técnicos sobre el inventario de los BIC de Interés Cultural y atractivos turísticos del ámbito municipal con las que cuenta la entidad territorial elaborado
</t>
  </si>
  <si>
    <t>3302049</t>
  </si>
  <si>
    <t xml:space="preserve">Brindar  1 servicio de salvaguardia al patrimonio inmaterial a través del proceso de identificación, documentación, investigación, recuperación, preservación, protección, promoción, valoración, transmisión y revitalización  del patrimonio inmaterial del municipio de Bucaramanga.
</t>
  </si>
  <si>
    <t>3302051</t>
  </si>
  <si>
    <t xml:space="preserve">Brindar 50 servicios de intervencion de patrimonio material mueble a través de la recuperación  de obras del patrimonio artístico visual, bibliográfico y documental del Municipio de Bucaramanga.
</t>
  </si>
  <si>
    <t>3301061</t>
  </si>
  <si>
    <t>Asistir a 300 personas técnicamente a través del fortalecimiento a los consejeros de Cultura</t>
  </si>
  <si>
    <t>Territorio seguro que genera valor</t>
  </si>
  <si>
    <t>Gobierno territorial</t>
  </si>
  <si>
    <t>4599</t>
  </si>
  <si>
    <t>Fortalecimiento a la gestión y dirección de la administración pública territorial (4599)</t>
  </si>
  <si>
    <t>4599034</t>
  </si>
  <si>
    <t>Dotar una Sede con mobiliario y demás elementos requeridos para apoyar la prestación de los servicios del IMCT</t>
  </si>
  <si>
    <t>3301099</t>
  </si>
  <si>
    <t xml:space="preserve">Brindar 3 servicios de acceso y aprovechamiento de información a los procesos culturales y artísticos a través de herramientas tecnológicas y de comunicación </t>
  </si>
  <si>
    <t>2024680010174</t>
  </si>
  <si>
    <t>Desarrollo de agenda cultural, artística, turística y/o tradicional a través de la promoción de manifestaciones y actividades en la ciudad de Bucaramanga</t>
  </si>
  <si>
    <t>Toda la ciudad de Bucaramanga</t>
  </si>
  <si>
    <t>Familia, jovenes, adultos</t>
  </si>
  <si>
    <t>2024680010151</t>
  </si>
  <si>
    <t>Desarrollo de eventos de promoción cultural, artística, gastronómica, turística, histórica y patrimonial en la ciudad de Bucaramanga</t>
  </si>
  <si>
    <t>toda la ciudad de Bucaramanga</t>
  </si>
  <si>
    <t>20246800010120</t>
  </si>
  <si>
    <t>Desarrollo y Consolidación de la Estrategia Ciudad Región en el municipio de Bucaramanga</t>
  </si>
  <si>
    <t>2024680010153</t>
  </si>
  <si>
    <t>Divulgación y posicionamiento de las diferentes experiencias turísticas, culturales y patrimoniales para la apuesta de Bucaramanga como epicentro turístico en la ciudad de Bucaramanga</t>
  </si>
  <si>
    <t>Familia, jovenes, adultos, Taxistas</t>
  </si>
  <si>
    <t>2024680010121</t>
  </si>
  <si>
    <t>Apoyo a la promoción de las diferentes áreas artísticas y culturales en las líneas de creación, circulación, investigación, itinerancia, distribución y/o comercialización para los artistas y gestores culturales locales en Bucaramanga.</t>
  </si>
  <si>
    <t>Desarrollo de los beneficios económicos periódicos BEPS para el beneficio de los gestores y creadores  de la ciudad de Bucaramanga</t>
  </si>
  <si>
    <t>Fortalecimiento institucional del IMCT a través de la formulación de documentos de planificación en el sector cultural y turístico del municipio de Bucaramanga</t>
  </si>
  <si>
    <t>Secretaria de Planeación, Contratistas del IMCT</t>
  </si>
  <si>
    <t>adultos</t>
  </si>
  <si>
    <t>Apoyo al fomento y promoción de las habilidades de lectura, escritura y oralidad en la Biblioteca Gabriel Turbay e infraestructura cultural de la ciudad de Bucaramanga</t>
  </si>
  <si>
    <t>niñas,niños, jóvenes y adultos</t>
  </si>
  <si>
    <t>Fortalecimiento de los procesos que desarrolla la Escuela municipal de artes y oficios para la reconstrucción del tejido social y cultural de los ciudadanos del municipio de Bucaramanga</t>
  </si>
  <si>
    <t>2024680010150</t>
  </si>
  <si>
    <t xml:space="preserve">Implementación de estrategias para la conservación y la salvaguarda del patrimonio cultural material e inmaterial en el municipio de Bucaramanga.  
</t>
  </si>
  <si>
    <t>Municipio de Bucaramanga</t>
  </si>
  <si>
    <t xml:space="preserve"> Comuna 12</t>
  </si>
  <si>
    <t xml:space="preserve">Implementación de estrategias para la conservación y la salvaguarda del patrimonio cultural material e inmaterial en el municipio de Bucaramanga.  </t>
  </si>
  <si>
    <t>Monumentos de bucaramanga</t>
  </si>
  <si>
    <t>2024680010187</t>
  </si>
  <si>
    <t>Fortalecimiento para la promoción e intervención de los escenarios para los espectáculos públicos de las artes escénicas de la ciudad de
Bucaramanga</t>
  </si>
  <si>
    <t>2024680010175</t>
  </si>
  <si>
    <t>Fortalecimiento del consejo municipal de cultura y de turismo de Bucaramanga</t>
  </si>
  <si>
    <t>2024680010178</t>
  </si>
  <si>
    <t>Fortalecimiento de los espacios culturales  del Instituto Municipal de cultura y turismo - IMCT del Municipio de Bucaramanga.</t>
  </si>
  <si>
    <t>2024680010114</t>
  </si>
  <si>
    <t xml:space="preserve">Fortalecimiento de los servicios a la comunidad a través del acceso y aprovechamiento de las tecnologías de la información y la comunicación en el municipio de Bucaramanga. </t>
  </si>
  <si>
    <t>IMCT</t>
  </si>
  <si>
    <t>MAYLIN TATIANA JARAMILLO B.</t>
  </si>
  <si>
    <t>10, 11</t>
  </si>
  <si>
    <t>8, 11</t>
  </si>
  <si>
    <t>4, 10</t>
  </si>
  <si>
    <t>Servicio de promoción de actividades culturales (330105300)</t>
  </si>
  <si>
    <t>Número</t>
  </si>
  <si>
    <t xml:space="preserve">Número de campañas realizadas (350204600). </t>
  </si>
  <si>
    <t>Recorridos realizados (350204900)</t>
  </si>
  <si>
    <t>Equipamientos turisticos dotados (350211400)</t>
  </si>
  <si>
    <t>Servicio de apoyo financiero al sector artístico y cultural -estimulos.
  (330105400)</t>
  </si>
  <si>
    <t>Servicio de circulación artística y cultural 
  (330107300)</t>
  </si>
  <si>
    <t>Documentos de planeación 
  (330112900)</t>
  </si>
  <si>
    <t>Servicio de educación informal en áreas artísticas y culturales 
  (330108700)</t>
  </si>
  <si>
    <t>Servicio de apoyo al proceso de formación artística y cultural 
  (330112600)</t>
  </si>
  <si>
    <t>Documentos de lineamientos técnicos (330200200)</t>
  </si>
  <si>
    <t>Servicio de salvaguardia al patrimonio inmaterial (330204900)</t>
  </si>
  <si>
    <t>Servicios de intervención al patrimonio material mueble (330205100)</t>
  </si>
  <si>
    <t>Personas asistidas técnicamente
 (330106100)</t>
  </si>
  <si>
    <t>Sedes dotadas
  (459903400)</t>
  </si>
  <si>
    <t>Servicio de información para el sector artístico y cultural (330109900)</t>
  </si>
  <si>
    <t>Versión:3.0</t>
  </si>
  <si>
    <t>Fecha aprobación: Abril 10 de 2025</t>
  </si>
  <si>
    <t>Página: 1 de 2</t>
  </si>
  <si>
    <t>Página: 2 de 2</t>
  </si>
  <si>
    <t>LAURA MELISSA PATIÑO CONTRERAS</t>
  </si>
  <si>
    <t>Total 2025</t>
  </si>
  <si>
    <t>SGP Salud 2025</t>
  </si>
  <si>
    <r>
      <t>SGP Deporte 2025</t>
    </r>
    <r>
      <rPr>
        <b/>
        <sz val="12"/>
        <color rgb="FF002060"/>
        <rFont val="Arial"/>
        <family val="2"/>
      </rPr>
      <t>5</t>
    </r>
  </si>
  <si>
    <r>
      <t>SGP Cultura 2025</t>
    </r>
    <r>
      <rPr>
        <b/>
        <sz val="12"/>
        <color rgb="FF002060"/>
        <rFont val="Arial"/>
        <family val="2"/>
      </rPr>
      <t>6</t>
    </r>
  </si>
  <si>
    <t>SGP Libre inversión 2025</t>
  </si>
  <si>
    <t>SGP Libre destinación 2025</t>
  </si>
  <si>
    <t>SGP Alimentación escolar 2025</t>
  </si>
  <si>
    <t>SGP APSB 2025</t>
  </si>
  <si>
    <t>Crédito 2025</t>
  </si>
  <si>
    <t>Transferencias de capital - cofinanciación departamento 2025</t>
  </si>
  <si>
    <t>Transferencias de capital - cofinanciación nación 2025</t>
  </si>
  <si>
    <t>Otros 2025</t>
  </si>
  <si>
    <t>Total Recursos Comprometido 2025</t>
  </si>
  <si>
    <t>Recursos propios 2024</t>
  </si>
  <si>
    <t>SGP Educación 2024</t>
  </si>
  <si>
    <t>SGP Salud 2024</t>
  </si>
  <si>
    <t>SGP Deporte 2024</t>
  </si>
  <si>
    <t>SGP Cultura 2024</t>
  </si>
  <si>
    <t>SGP Libre inversión 2024</t>
  </si>
  <si>
    <t>SGP Libre destinación 2024</t>
  </si>
  <si>
    <t>SGP Alimentación escolar 2024</t>
  </si>
  <si>
    <t>SGP Municipios río Magdalena 2024</t>
  </si>
  <si>
    <t>SGP APSB 2024</t>
  </si>
  <si>
    <t>Crédito 2024</t>
  </si>
  <si>
    <t>Otros 2024</t>
  </si>
  <si>
    <r>
      <t>Recursos propios 2024</t>
    </r>
    <r>
      <rPr>
        <b/>
        <sz val="12"/>
        <color rgb="FF002060"/>
        <rFont val="Arial"/>
        <family val="2"/>
      </rPr>
      <t>2</t>
    </r>
  </si>
  <si>
    <r>
      <t>SGP Educación 2024</t>
    </r>
    <r>
      <rPr>
        <b/>
        <sz val="12"/>
        <color rgb="FF002060"/>
        <rFont val="Arial"/>
        <family val="2"/>
      </rPr>
      <t>3</t>
    </r>
  </si>
  <si>
    <r>
      <t>SGP Salud 2024</t>
    </r>
    <r>
      <rPr>
        <b/>
        <sz val="12"/>
        <color rgb="FF002060"/>
        <rFont val="Arial"/>
        <family val="2"/>
      </rPr>
      <t>4</t>
    </r>
  </si>
  <si>
    <r>
      <t>SGP Deporte 2024</t>
    </r>
    <r>
      <rPr>
        <b/>
        <sz val="12"/>
        <color rgb="FF002060"/>
        <rFont val="Arial"/>
        <family val="2"/>
      </rPr>
      <t>5</t>
    </r>
  </si>
  <si>
    <r>
      <t>SGP Cultura 2024</t>
    </r>
    <r>
      <rPr>
        <b/>
        <sz val="12"/>
        <color rgb="FF002060"/>
        <rFont val="Arial"/>
        <family val="2"/>
      </rPr>
      <t>6</t>
    </r>
  </si>
  <si>
    <r>
      <t>SGP Libre inversión 2024</t>
    </r>
    <r>
      <rPr>
        <b/>
        <sz val="12"/>
        <color rgb="FF002060"/>
        <rFont val="Arial"/>
        <family val="2"/>
      </rPr>
      <t>7</t>
    </r>
  </si>
  <si>
    <r>
      <t>SGP Libre destinación 2024</t>
    </r>
    <r>
      <rPr>
        <b/>
        <sz val="12"/>
        <color rgb="FF002060"/>
        <rFont val="Arial"/>
        <family val="2"/>
      </rPr>
      <t>8</t>
    </r>
  </si>
  <si>
    <r>
      <t>SGP Alimentación escolar 2024</t>
    </r>
    <r>
      <rPr>
        <b/>
        <sz val="12"/>
        <color rgb="FF002060"/>
        <rFont val="Arial"/>
        <family val="2"/>
      </rPr>
      <t>9</t>
    </r>
  </si>
  <si>
    <r>
      <t>SGP Municipios río Magdalena 2024</t>
    </r>
    <r>
      <rPr>
        <b/>
        <sz val="12"/>
        <color rgb="FF002060"/>
        <rFont val="Arial"/>
        <family val="2"/>
      </rPr>
      <t>10</t>
    </r>
  </si>
  <si>
    <r>
      <t>SGP APSB 2024</t>
    </r>
    <r>
      <rPr>
        <b/>
        <sz val="12"/>
        <color rgb="FF002060"/>
        <rFont val="Arial"/>
        <family val="2"/>
      </rPr>
      <t>11</t>
    </r>
  </si>
  <si>
    <r>
      <t>Crédito 2024</t>
    </r>
    <r>
      <rPr>
        <b/>
        <sz val="12"/>
        <color rgb="FF002060"/>
        <rFont val="Arial"/>
        <family val="2"/>
      </rPr>
      <t>12</t>
    </r>
  </si>
  <si>
    <r>
      <t>Transferencias de capital - cofinanciación departamento 2024</t>
    </r>
    <r>
      <rPr>
        <b/>
        <sz val="12"/>
        <color rgb="FF002060"/>
        <rFont val="Arial"/>
        <family val="2"/>
      </rPr>
      <t>13</t>
    </r>
  </si>
  <si>
    <r>
      <t>Transferencias de capital - cofinanciación nación 2024</t>
    </r>
    <r>
      <rPr>
        <b/>
        <sz val="12"/>
        <color rgb="FF002060"/>
        <rFont val="Arial"/>
        <family val="2"/>
      </rPr>
      <t>14</t>
    </r>
  </si>
  <si>
    <r>
      <t>Otros 2024</t>
    </r>
    <r>
      <rPr>
        <b/>
        <sz val="12"/>
        <color rgb="FF002060"/>
        <rFont val="Arial"/>
        <family val="2"/>
      </rPr>
      <t>15</t>
    </r>
  </si>
  <si>
    <t>Total Recursos Comprometido 2024</t>
  </si>
  <si>
    <t>Beneficiarios directos del evento: Comunas 1, 2, 5, 7, 13, 14, 15, y 16.
Población asistente: Comunidad en general</t>
  </si>
  <si>
    <t>Niños, niñas, adolescentes, jóvenes, adultos y adultos mayores</t>
  </si>
  <si>
    <t>Beneficiarios directos del evento: Comunas 1, 10, 14 y 15.
Población asistente: Comunidad en general</t>
  </si>
  <si>
    <t>Alrededor de 99.694 personas</t>
  </si>
  <si>
    <t>Desarrollo de actividades para la gestión y promoción de la ciudad como destino cultural, patrimonial, histórico y turístico en Bucaramanga</t>
  </si>
  <si>
    <t>Jóvenes, adultos y adultos mayores</t>
  </si>
  <si>
    <t xml:space="preserve">Se intevinieron las 17 comunas y tres corregimientos </t>
  </si>
  <si>
    <t xml:space="preserve"> jovenes, adultos y personas mayores</t>
  </si>
  <si>
    <t>Desarrollar convocatoria de arte en circulación;
Desarrollar convocatoria para el fortalecimiento de las diferentes manifestaciones artísticas, culturales, creativas y de gestión cultural, a través de; Becas de creación, Becas de itinerancia, Becas de embellecimiento cultural y patrimonial, Salas concertadas, Concurso Jorge Valderrama Restrepo y Fortalecimiento cultural y turístico.</t>
  </si>
  <si>
    <t>Creadores y Gestores culturales</t>
  </si>
  <si>
    <t xml:space="preserve">Toda la ciudad de Bucaramanga incluidos los 3 corregimientos </t>
  </si>
  <si>
    <t xml:space="preserve"> _ </t>
  </si>
  <si>
    <t>niñas,niños, jóvenes y adultos y adultos mayores</t>
  </si>
  <si>
    <t xml:space="preserve">Brindar 50 servicios de intervencion de patrimonio material mueble a través de la recuperación  de obras del patrimonio artístico visual, bibliográfico y documental del Municipio de </t>
  </si>
  <si>
    <t>Fortalecimiento institucional a través de la dotación tecnológica, bibliográfica y mobiliaria en el Instituto Municipal de Cultural y Turismo - IMCT- del municipio de Bucaramanga</t>
  </si>
  <si>
    <t>Beneficiarios directos del evento: Comuna 1, Comuna 2, Comuna 11, Comuna 12, Comuna 13, Comuna 15
Población asistente: Comunidad en general</t>
  </si>
  <si>
    <t>52 asistentes</t>
  </si>
  <si>
    <t xml:space="preserve">9 ganadores con 22 artistas en la convocatoria de Arte urbano, convocatoria Cree en tutalento con 63 propuestas ganadoras, 154 artistas  presentaron propuesta, Covocatoria Banco de jurados con 258 hojas de vda elegibles.Fondo de itinerancia y circulación con 14 propuestas ganadoras, </t>
  </si>
  <si>
    <t>-</t>
  </si>
  <si>
    <t xml:space="preserve">Territorio seguro que integra </t>
  </si>
  <si>
    <t xml:space="preserve">Cultura </t>
  </si>
  <si>
    <t>202500000026080</t>
  </si>
  <si>
    <t>Fortalecimiento del sector artístico y cultural a través de beneficios económicos periódicos – BEPS- como apoyo a la seguridad y bienestar de su vejez</t>
  </si>
  <si>
    <t>3301055</t>
  </si>
  <si>
    <t>Durante el mes de noviembre se desarrollaron las siguientes activiadades: * Festival de Cultura Ancestral
*  Día Mundial de La infancia
* EmaFets
* El Mágico Mundo del Arte</t>
  </si>
  <si>
    <t>La Campaña "Bucaramanga, la capital de lo que somos" sigue con cada uno de sus eventos de promocionar la ciudad como destino con los principales eventos desarrollados en el teatro santander, una estrategia que fortaleció la cadena productiva del turismo a través de actividades culturales, patrimoniales y turísticas para locales, visitantes y turistas.</t>
  </si>
  <si>
    <t xml:space="preserve">Se continuo con las realización de 
Descripción Acción: Se distribuyó y promocionó el pasaporte turístico de Bucaramanga en los puntos de información turística. Así como en estudiantes extranjeros de la universidad UDES y UNAB para vivir la experiencia en la ciudad. 
​​Publicación Redes Sociales Experiencia del Pasaporte Turístico con un Extranjero​​ 
​​  
</t>
  </si>
  <si>
    <t>se consolidó la campaña “Bucaramanga, el destino turístico que conecta con Santander”, mediante la entrega de material promocional (gorras, mugs, agendas, ponchos, folletos y abanicos) a más de 50 operadores turísticos y 1 delegaciones (barrancabermeja) del departamento durante las activaciones desarrolladas.</t>
  </si>
  <si>
    <t>Como parte de las estrategias de fortalecimiento de capacidades del sector turístico en el marco del Proyecto Ciudad Región, se logró articular de manera efectiva con el SENA Regional Santander el diseño e implementación de un proceso formativo especializado en servicio al cliente e innovación aplicada al turismo. Esta capacitación impactó a 24 prestadores y actores del sector turístico de Bucaramanga, quienes ortalecieron sus competencias en atención de calidad, adaptación a las necesidades del visitante, diseño de experiencias memorables y aplicación de metodologías innovadoras en la prestación del servicio</t>
  </si>
  <si>
    <t>Se mantiene los recorridos turisticos como son: Circuito "Los Orígenes"
-	Personas impactadas: 3002 participantes.
-	Enfoque: Historia del centro fundacional y raíces culturales de Bucaramanga.
-	Comuna impactada: 15
Visita Guiada "Lo Real Maravilloso"
-	Personas impactadas: 1050 asistentes 
-	Valor destacado: Puesta en valor de las expresiones culturales locales.
-	Comuna impactada: 15
Circuito "Nocturnos del Arte"
-	Lanzado en el mes de Abril en el marco de Bucarasanta.
-	Personas impactadas: 728 asistentes
-	Innovación: Propuesta de turismo cultural nocturno
-	Comuna impactada: 13 y 15.
Circuito Latifundio Rojo
-	Lanzado en el mes de septiembre en el marco de la feria Bonita de Colombia.
-	Personas impactadas: 195 asistentes 
-	Enfoque: Historia cultural y patrimonial del sector cabecera.
-	Comuna impactada: 12
Circuito Recuerdos Vivos
-	Personas impactadas: 99 asistentes 
-	Enfoque: Historia patrimonial y comercial de Bucaramanga.
-	Comuna impactada: 15</t>
  </si>
  <si>
    <t>Se mantuvo la activación de los puntos de información turística: Biblioteca Gabriel turbay, Neomundo, Centro Comercial el cacique</t>
  </si>
  <si>
    <t>El IMCT apoya la vejez de los gestores culturales y creadores culturales mediante beneficios econòmicos vitalicios o de foemnto al ahorro pensional, desarrollando:
- Jornada de divulgación a los beneficiarios del decreto 2012 de 2017 ejecutada el 23 de abril del 2025.
- Asignación de recursos comprometidos para 16  gestores y creadores culturales mediante el beneficio de anualidad vitalicia.                                                                                                                                                                                                                                                                                                                    En el mes de noviembre se habilito el boton de pago pse</t>
  </si>
  <si>
    <t xml:space="preserve">Para el mes de noviembre ya se encuentra con los documentos del técnicos del DTI, la guia metodoligia del observatorio de turismo en el municipio de Bucaramanga, la guia de actualización del informe de diagnóstico, renovación y/o reclasificación como destino turistico inteligente, junto con la acta de comité institucional de sempeño en donde fueron aprobados. 
</t>
  </si>
  <si>
    <t>Actividades en el mes de noviembre de 2025, BIBLIOTECA PÚBLICA MUNICIPAL GABRIEL TURBAY, se mantiene activo los puntos de atención comoc son la Sala Infantil, la ludoteca con el principito, la sala SMR, se mantiene los programas de taller de lectoescritura, el taller de puntillismo y dibujo libre, las activiadades  de lectura libre, talle de escritura creativa, el programa del dibujario semillero de literatura infantil letras Bucaras, la oferta en el sector rural del BIBIOBÚS y abiertas las bibliotecas satélites, Biblioteca Jorge Valderama, Biblioteca Campo Madrid, Biblioteca Maria Isabel Parra y Biblioteca la Americas  
).</t>
  </si>
  <si>
    <t xml:space="preserve">En el mes de Noviembre se mantiene habilitados los cursos de la EMA en las modalidades de danza, teatro, artes plasticas y la iniciación artistica de los niños, así mismo, se realizaron las activiades de parchate con al EMA todos los miércoles, un espacio liderado por los responsables de cada programa, orientado a vivir la cultura y el arte de manera participativa, creativa y cercana a la comunidad, se realiza con garn exito el EMA FEST 2025, donde participaron varios grupos de artista con mas de 56 actividades, donde artista, estudiantes y ciudadanos disfrutaron de los eventos. </t>
  </si>
  <si>
    <t xml:space="preserve">Para la elaboración de lineamientos técnicos, se implementó una innovadora metodología participativa a través de "Semilleros de Patrimonio Comunal". Se realizaron talleres de cartografía social en las comunas 3, 12 y 15 en alianza con la UIS, UNAB y UDI, donde la propia comunidad identificó y valoró 165 bienes y manifestaciones culturales. Estos insumos, junto con las mesas técnicas institucionales, permitieron consolidar las listas preliminares que fundamentarán los documentos de política pública
</t>
  </si>
  <si>
    <t xml:space="preserve">Descripción de la acción:  Mesa técnica (Número uno (1)) LISTA INDICATIVA DE MANIFESTACIONES CULTURALES DE INTERES PATRIMONIAL (LIMCIP)- Depuración y selección de las manifestaciones culturales identificadas, a través de la valoración patrimonial de precandidatos. 
  · Mesa técnica (Número dos (2))  LISTA INDICATIVA DE MANIFESTACIONES CULTURALES DE INTERES PATRIMONIAL (LIMCIP)- Análisis y calificación bajo los criterios de valoración de precandidatos LIMCIP. 
 </t>
  </si>
  <si>
    <t xml:space="preserve">Durante el mes de noviembre se continuó con el contrato de Consultoría No 604 de 2025 (adjudicado el 22 de octubre), donde avanzó en la segunda fase técnica. Las actividades se enfocaron en el levantamiento y estudios preliminares de los tres Bienes de Interés Cultural: Monumento al General Francisco de Paula Santander, Monumento a los fundadores y Candelabros Arpías. Y durante el mes de noviembre se adjudicó dentro del mismo proceso, el estudio técnico de las Farolas correspondientes al Parque Santander; estos objetos también forman parte del inventario de bienes muebles patrimoniales de la ciudad. 
El proceso tendrá cierre en el mes de noviembre con la entrega de los estudios técnicos correspondientes. </t>
  </si>
  <si>
    <t>No presentaron activiades en el mes de noviembre ya que la meta se cumplio al mas del 100% en el mes de octubre de 2025</t>
  </si>
  <si>
    <t xml:space="preserve">en el mes de noviembre se avanza la ejecucción de contrato, en cual ya presenta entregas parciales de elementos de técnologia y otrs de doatación </t>
  </si>
  <si>
    <t>1.Se fortalecio y acompaño las diferetes activiades y se brindo acceso a  la comunidad a través del acceso y aprovechamiento de las tecnologías de la información y la comunicación en el municipio de Bucaramanga.
2. Diseño y promoción de estrategias de contenido digital para las diferentes
plataformas y redes sociales teniendo en cuenta los diferentes públicos
objetivo y dispositivos de visualización.
3. Fortalecimiento al desarrollo de contenidos, formaciones y servicios del centro de acceso a la información IAC, con sus diferentes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</si>
</sst>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4" formatCode="_-&quot;$&quot;\ * #,##0.00_-;\-&quot;$&quot;\ * #,##0.00_-;_-&quot;$&quot;\ * &quot;-&quot;??_-;_-@_-"/>
    <numFmt numFmtId="43" formatCode="_-* #,##0.00_-;\-* #,##0.00_-;_-* &quot;-&quot;??_-;_-@_-"/>
    <numFmt numFmtId="164" formatCode="_-&quot;$&quot;\ * #,##0.00_-;\-&quot;$&quot;\ * #,##0.00_-;_-&quot;$&quot;\ * &quot;-&quot;??_-;_-@"/>
  </numFmts>
  <fonts count="26">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b/>
      <sz val="14"/>
      <color theme="1"/>
      <name val="Arial"/>
      <family val="2"/>
    </font>
    <font>
      <b/>
      <sz val="10"/>
      <color theme="1"/>
      <name val="Arial"/>
      <family val="2"/>
    </font>
    <font>
      <b/>
      <sz val="10"/>
      <color theme="1"/>
      <name val="Aptos Narrow"/>
      <family val="2"/>
      <scheme val="minor"/>
    </font>
    <font>
      <b/>
      <sz val="10"/>
      <color theme="0"/>
      <name val="Arial"/>
      <family val="2"/>
    </font>
    <font>
      <sz val="10"/>
      <name val="Arial"/>
      <family val="2"/>
    </font>
    <font>
      <sz val="10"/>
      <color theme="1"/>
      <name val="Aptos Narrow"/>
      <family val="2"/>
      <scheme val="minor"/>
    </font>
    <font>
      <sz val="10"/>
      <color theme="1"/>
      <name val="Arial"/>
      <family val="2"/>
    </font>
    <font>
      <sz val="11"/>
      <color theme="1"/>
      <name val="Arial"/>
    </font>
    <font>
      <sz val="11"/>
      <color rgb="FFFF0000"/>
      <name val="Arial"/>
      <family val="2"/>
    </font>
  </fonts>
  <fills count="9">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s>
  <cellStyleXfs count="4">
    <xf numFmtId="0" fontId="0"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21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8"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20" xfId="1" applyFont="1" applyFill="1" applyBorder="1" applyAlignment="1" applyProtection="1">
      <alignment horizontal="center" vertical="center"/>
      <protection locked="0"/>
    </xf>
    <xf numFmtId="9" fontId="13" fillId="0" borderId="20" xfId="1" applyFont="1" applyBorder="1" applyAlignment="1" applyProtection="1">
      <alignment horizontal="center" vertical="center" wrapText="1"/>
      <protection locked="0"/>
    </xf>
    <xf numFmtId="9" fontId="13" fillId="0" borderId="21" xfId="1" applyFont="1" applyBorder="1" applyAlignment="1" applyProtection="1">
      <alignment horizontal="center" vertical="center" wrapText="1"/>
      <protection locked="0"/>
    </xf>
    <xf numFmtId="44" fontId="13" fillId="0" borderId="21" xfId="0" applyNumberFormat="1" applyFont="1" applyBorder="1" applyAlignment="1" applyProtection="1">
      <alignment horizontal="center" vertical="center" wrapText="1"/>
      <protection locked="0"/>
    </xf>
    <xf numFmtId="0" fontId="5" fillId="2" borderId="17" xfId="0" applyFont="1" applyFill="1" applyBorder="1" applyAlignment="1">
      <alignment horizontal="center" vertical="center" wrapText="1"/>
    </xf>
    <xf numFmtId="164" fontId="13" fillId="0" borderId="20" xfId="0" applyNumberFormat="1" applyFont="1" applyBorder="1" applyAlignment="1" applyProtection="1">
      <alignment horizontal="center" vertical="center"/>
      <protection locked="0"/>
    </xf>
    <xf numFmtId="8" fontId="13" fillId="0" borderId="1" xfId="0" applyNumberFormat="1" applyFont="1" applyBorder="1" applyAlignment="1" applyProtection="1">
      <alignment horizontal="center" vertical="center"/>
      <protection locked="0"/>
    </xf>
    <xf numFmtId="44" fontId="13" fillId="0" borderId="21"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wrapText="1"/>
      <protection locked="0"/>
    </xf>
    <xf numFmtId="164" fontId="13" fillId="0" borderId="20"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9" fontId="13" fillId="0" borderId="1" xfId="1" applyFont="1" applyFill="1" applyBorder="1" applyAlignment="1" applyProtection="1">
      <alignment horizontal="center" vertical="center"/>
      <protection locked="0"/>
    </xf>
    <xf numFmtId="9" fontId="13" fillId="0" borderId="21" xfId="1" applyFont="1" applyFill="1" applyBorder="1" applyAlignment="1" applyProtection="1">
      <alignment horizontal="center" vertical="center"/>
      <protection locked="0"/>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1" xfId="0" applyFont="1" applyBorder="1" applyAlignment="1">
      <alignment horizontal="center" vertical="center"/>
    </xf>
    <xf numFmtId="0" fontId="13" fillId="0" borderId="20"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164" fontId="13" fillId="0" borderId="20" xfId="2" applyNumberFormat="1" applyFont="1" applyBorder="1" applyAlignment="1" applyProtection="1">
      <alignment horizontal="center" vertical="center"/>
      <protection locked="0"/>
    </xf>
    <xf numFmtId="9" fontId="13" fillId="0" borderId="1" xfId="1" applyFont="1" applyFill="1" applyBorder="1" applyAlignment="1">
      <alignment horizontal="center" vertical="center"/>
    </xf>
    <xf numFmtId="0" fontId="13" fillId="0" borderId="20"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5" fillId="2" borderId="18" xfId="0" applyFont="1" applyFill="1" applyBorder="1" applyAlignment="1">
      <alignment horizontal="center" vertical="center" wrapText="1"/>
    </xf>
    <xf numFmtId="9" fontId="5" fillId="2" borderId="18" xfId="1" applyFont="1" applyFill="1" applyBorder="1" applyAlignment="1">
      <alignment horizontal="center" vertical="center" wrapText="1"/>
    </xf>
    <xf numFmtId="0" fontId="5" fillId="2" borderId="24" xfId="0" applyFont="1" applyFill="1" applyBorder="1" applyAlignment="1">
      <alignment horizontal="center" vertical="center" wrapText="1"/>
    </xf>
    <xf numFmtId="9" fontId="13" fillId="3" borderId="1" xfId="1" applyFont="1" applyFill="1" applyBorder="1" applyAlignment="1">
      <alignment horizontal="center" vertical="center" wrapText="1"/>
    </xf>
    <xf numFmtId="0" fontId="5" fillId="2" borderId="25" xfId="0" applyFont="1" applyFill="1" applyBorder="1" applyAlignment="1">
      <alignment horizontal="center" vertical="center" wrapText="1"/>
    </xf>
    <xf numFmtId="9" fontId="13" fillId="3" borderId="21" xfId="1" applyFont="1" applyFill="1" applyBorder="1" applyAlignment="1">
      <alignment horizontal="center" vertical="center" wrapText="1"/>
    </xf>
    <xf numFmtId="9" fontId="13" fillId="0" borderId="21" xfId="1" applyFont="1" applyBorder="1" applyAlignment="1">
      <alignment horizontal="center" vertical="center"/>
    </xf>
    <xf numFmtId="9" fontId="13" fillId="0" borderId="21" xfId="1" applyFont="1" applyFill="1" applyBorder="1" applyAlignment="1">
      <alignment horizontal="center" vertical="center"/>
    </xf>
    <xf numFmtId="9" fontId="13" fillId="0" borderId="21" xfId="1" applyFont="1" applyBorder="1" applyAlignment="1">
      <alignment horizontal="center" vertical="center" wrapText="1"/>
    </xf>
    <xf numFmtId="44" fontId="15" fillId="0" borderId="21" xfId="0" applyNumberFormat="1" applyFont="1" applyBorder="1" applyAlignment="1" applyProtection="1">
      <alignment horizontal="center" vertical="center" wrapText="1"/>
      <protection locked="0"/>
    </xf>
    <xf numFmtId="44" fontId="15" fillId="0" borderId="21" xfId="0" applyNumberFormat="1" applyFont="1" applyBorder="1" applyAlignment="1" applyProtection="1">
      <alignment horizontal="center" vertical="center"/>
      <protection locked="0"/>
    </xf>
    <xf numFmtId="9" fontId="13" fillId="0" borderId="20" xfId="1" applyFont="1" applyBorder="1" applyAlignment="1" applyProtection="1">
      <alignment horizontal="center" vertical="center"/>
      <protection locked="0"/>
    </xf>
    <xf numFmtId="9" fontId="13" fillId="0" borderId="21"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9" fontId="13" fillId="0" borderId="8" xfId="1" applyFont="1" applyBorder="1" applyAlignment="1" applyProtection="1">
      <alignment horizontal="center" vertical="center"/>
      <protection locked="0"/>
    </xf>
    <xf numFmtId="9" fontId="13" fillId="0" borderId="8" xfId="1" applyFont="1" applyFill="1" applyBorder="1" applyAlignment="1" applyProtection="1">
      <alignment horizontal="center" vertical="center"/>
      <protection locked="0"/>
    </xf>
    <xf numFmtId="0" fontId="5" fillId="2" borderId="2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7" xfId="0" applyFont="1" applyBorder="1" applyAlignment="1">
      <alignment horizontal="center" vertical="center" wrapText="1"/>
    </xf>
    <xf numFmtId="44" fontId="13" fillId="0" borderId="10" xfId="1" applyNumberFormat="1" applyFont="1" applyBorder="1" applyAlignment="1" applyProtection="1">
      <alignment horizontal="center" vertical="center" wrapText="1"/>
      <protection locked="0"/>
    </xf>
    <xf numFmtId="44" fontId="13" fillId="0" borderId="10" xfId="1" applyNumberFormat="1" applyFont="1" applyBorder="1" applyAlignment="1" applyProtection="1">
      <alignment horizontal="center" vertical="center"/>
      <protection locked="0"/>
    </xf>
    <xf numFmtId="44" fontId="13" fillId="0" borderId="10" xfId="1" applyNumberFormat="1" applyFont="1" applyFill="1" applyBorder="1" applyAlignment="1" applyProtection="1">
      <alignment horizontal="center" vertical="center"/>
      <protection locked="0"/>
    </xf>
    <xf numFmtId="3" fontId="16" fillId="0" borderId="27" xfId="0" applyNumberFormat="1" applyFont="1" applyBorder="1" applyAlignment="1">
      <alignment horizontal="center" vertical="center" wrapText="1"/>
    </xf>
    <xf numFmtId="44" fontId="3" fillId="0" borderId="1" xfId="0" applyNumberFormat="1"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44" fontId="3" fillId="0" borderId="47" xfId="0" applyNumberFormat="1" applyFont="1" applyBorder="1" applyAlignment="1" applyProtection="1">
      <alignment horizontal="center" vertical="center"/>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wrapText="1"/>
    </xf>
    <xf numFmtId="0" fontId="13" fillId="0" borderId="47" xfId="0" applyFont="1" applyBorder="1" applyAlignment="1">
      <alignment horizontal="center" vertical="center"/>
    </xf>
    <xf numFmtId="9" fontId="15" fillId="0" borderId="47" xfId="0" applyNumberFormat="1" applyFont="1" applyBorder="1" applyAlignment="1">
      <alignment horizontal="center" vertical="center"/>
    </xf>
    <xf numFmtId="8" fontId="13" fillId="0" borderId="46" xfId="0" applyNumberFormat="1" applyFont="1" applyBorder="1" applyAlignment="1" applyProtection="1">
      <alignment horizontal="center" vertical="center"/>
      <protection locked="0"/>
    </xf>
    <xf numFmtId="44" fontId="13" fillId="0" borderId="47" xfId="0" applyNumberFormat="1"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5" fillId="0" borderId="47" xfId="0" applyFont="1" applyBorder="1" applyAlignment="1">
      <alignment horizontal="center" vertical="center"/>
    </xf>
    <xf numFmtId="0" fontId="13" fillId="0" borderId="46" xfId="0" applyFont="1" applyBorder="1" applyAlignment="1" applyProtection="1">
      <alignment horizontal="center" vertical="center"/>
      <protection locked="0"/>
    </xf>
    <xf numFmtId="44" fontId="15" fillId="0" borderId="47" xfId="0" applyNumberFormat="1" applyFont="1" applyBorder="1" applyAlignment="1" applyProtection="1">
      <alignment horizontal="center" vertical="center"/>
      <protection locked="0"/>
    </xf>
    <xf numFmtId="9" fontId="13" fillId="0" borderId="47" xfId="0" applyNumberFormat="1" applyFont="1" applyBorder="1" applyAlignment="1" applyProtection="1">
      <alignment horizontal="center" vertical="center"/>
      <protection locked="0"/>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43" fontId="13" fillId="0" borderId="47" xfId="0" applyNumberFormat="1" applyFont="1" applyFill="1" applyBorder="1" applyAlignment="1" applyProtection="1">
      <alignment horizontal="center" vertical="center"/>
      <protection locked="0"/>
    </xf>
    <xf numFmtId="9" fontId="13" fillId="0" borderId="46" xfId="0" applyNumberFormat="1" applyFont="1" applyBorder="1" applyAlignment="1" applyProtection="1">
      <alignment horizontal="center" vertical="center"/>
      <protection locked="0"/>
    </xf>
    <xf numFmtId="3" fontId="13" fillId="0" borderId="8" xfId="0" applyNumberFormat="1" applyFont="1" applyBorder="1" applyAlignment="1">
      <alignment horizontal="center" vertical="center"/>
    </xf>
    <xf numFmtId="0" fontId="13" fillId="0" borderId="21" xfId="0" applyFont="1" applyBorder="1" applyAlignment="1" applyProtection="1">
      <alignment horizontal="center" vertical="center"/>
      <protection locked="0"/>
    </xf>
    <xf numFmtId="0" fontId="2" fillId="0" borderId="0" xfId="0" applyFont="1" applyAlignment="1">
      <alignment horizontal="center" vertical="top"/>
    </xf>
    <xf numFmtId="0" fontId="18" fillId="0" borderId="0" xfId="0" applyFont="1" applyAlignment="1">
      <alignment horizontal="center" vertical="center"/>
    </xf>
    <xf numFmtId="44" fontId="18" fillId="0" borderId="0" xfId="2" applyFont="1" applyAlignment="1">
      <alignment horizontal="center" vertical="center"/>
    </xf>
    <xf numFmtId="44" fontId="2" fillId="0" borderId="0" xfId="2" applyFont="1" applyAlignment="1">
      <alignment horizontal="center" vertical="center"/>
    </xf>
    <xf numFmtId="0" fontId="4" fillId="0" borderId="0" xfId="0" applyFont="1" applyAlignment="1">
      <alignment vertical="top" wrapText="1"/>
    </xf>
    <xf numFmtId="0" fontId="19" fillId="0" borderId="0" xfId="0" applyFont="1" applyAlignment="1">
      <alignment vertical="center" wrapText="1"/>
    </xf>
    <xf numFmtId="44" fontId="19" fillId="0" borderId="0" xfId="2" applyFont="1" applyAlignment="1">
      <alignment vertical="center" wrapText="1"/>
    </xf>
    <xf numFmtId="0" fontId="4" fillId="0" borderId="0" xfId="0" applyFont="1" applyAlignment="1">
      <alignment vertical="top"/>
    </xf>
    <xf numFmtId="44" fontId="4" fillId="0" borderId="0" xfId="2" applyFont="1" applyAlignment="1">
      <alignment vertical="center" wrapText="1"/>
    </xf>
    <xf numFmtId="0" fontId="5" fillId="2" borderId="18" xfId="0" applyFont="1" applyFill="1" applyBorder="1" applyAlignment="1">
      <alignment horizontal="center" vertical="top" wrapText="1"/>
    </xf>
    <xf numFmtId="0" fontId="20" fillId="2" borderId="18" xfId="0" applyFont="1" applyFill="1" applyBorder="1" applyAlignment="1">
      <alignment horizontal="center" vertical="center" wrapText="1"/>
    </xf>
    <xf numFmtId="44" fontId="20" fillId="2" borderId="18" xfId="2" applyFont="1" applyFill="1" applyBorder="1" applyAlignment="1">
      <alignment horizontal="center" vertical="center" wrapText="1"/>
    </xf>
    <xf numFmtId="0" fontId="5" fillId="2" borderId="18" xfId="0" applyFont="1" applyFill="1" applyBorder="1" applyAlignment="1">
      <alignment horizontal="center" vertical="top"/>
    </xf>
    <xf numFmtId="44" fontId="5" fillId="2" borderId="18" xfId="2" applyFont="1" applyFill="1" applyBorder="1" applyAlignment="1">
      <alignment horizontal="center" vertical="center" wrapText="1"/>
    </xf>
    <xf numFmtId="44" fontId="5" fillId="2" borderId="26" xfId="2" applyFont="1" applyFill="1" applyBorder="1" applyAlignment="1">
      <alignment horizontal="center" vertical="center" wrapText="1"/>
    </xf>
    <xf numFmtId="0" fontId="16" fillId="0" borderId="27" xfId="0" applyFont="1" applyBorder="1" applyAlignment="1">
      <alignment horizontal="center" vertical="top" wrapText="1"/>
    </xf>
    <xf numFmtId="0" fontId="21" fillId="0" borderId="27" xfId="0" applyFont="1" applyBorder="1" applyAlignment="1">
      <alignment horizontal="center" vertical="center" wrapText="1"/>
    </xf>
    <xf numFmtId="44" fontId="21" fillId="0" borderId="27" xfId="2" applyFont="1" applyBorder="1" applyAlignment="1">
      <alignment horizontal="center" vertical="center" wrapText="1"/>
    </xf>
    <xf numFmtId="0" fontId="13" fillId="0" borderId="1" xfId="0" applyFont="1" applyBorder="1" applyAlignment="1">
      <alignment horizontal="center" vertical="center" wrapText="1"/>
    </xf>
    <xf numFmtId="44" fontId="13" fillId="3" borderId="1" xfId="2" applyFont="1" applyFill="1" applyBorder="1" applyAlignment="1">
      <alignment horizontal="center" vertical="center" wrapText="1"/>
    </xf>
    <xf numFmtId="44" fontId="15" fillId="0" borderId="1" xfId="2" applyFont="1" applyBorder="1" applyAlignment="1" applyProtection="1">
      <alignment horizontal="center" vertical="center"/>
      <protection locked="0"/>
    </xf>
    <xf numFmtId="44" fontId="13" fillId="0" borderId="21" xfId="2" applyFont="1" applyBorder="1" applyAlignment="1" applyProtection="1">
      <alignment horizontal="center" vertical="center" wrapText="1"/>
      <protection locked="0"/>
    </xf>
    <xf numFmtId="44" fontId="13" fillId="0" borderId="1" xfId="2" applyFont="1" applyBorder="1" applyAlignment="1" applyProtection="1">
      <alignment horizontal="center" vertical="center" wrapText="1"/>
      <protection locked="0"/>
    </xf>
    <xf numFmtId="0" fontId="22" fillId="4" borderId="0" xfId="0" applyFont="1" applyFill="1" applyAlignment="1">
      <alignment horizontal="center" vertical="center" wrapText="1"/>
    </xf>
    <xf numFmtId="44" fontId="13" fillId="0" borderId="1" xfId="2" applyFont="1" applyBorder="1" applyAlignment="1">
      <alignment horizontal="center" vertical="center"/>
    </xf>
    <xf numFmtId="44" fontId="13" fillId="0" borderId="1" xfId="2" applyFont="1" applyBorder="1" applyAlignment="1" applyProtection="1">
      <alignment horizontal="center" vertical="center"/>
      <protection locked="0"/>
    </xf>
    <xf numFmtId="44" fontId="13" fillId="0" borderId="21" xfId="2" applyFont="1" applyBorder="1" applyAlignment="1" applyProtection="1">
      <alignment horizontal="center" vertical="center"/>
      <protection locked="0"/>
    </xf>
    <xf numFmtId="0" fontId="22" fillId="4" borderId="0" xfId="0" applyFont="1" applyFill="1" applyAlignment="1">
      <alignment horizontal="center" vertical="center"/>
    </xf>
    <xf numFmtId="0" fontId="16" fillId="0" borderId="1" xfId="0" applyFont="1" applyBorder="1" applyAlignment="1">
      <alignment horizontal="center" vertical="top" wrapText="1"/>
    </xf>
    <xf numFmtId="0" fontId="21" fillId="0" borderId="1" xfId="0" applyFont="1" applyBorder="1" applyAlignment="1">
      <alignment horizontal="center" vertical="center" wrapText="1"/>
    </xf>
    <xf numFmtId="44" fontId="21" fillId="0" borderId="1" xfId="2" applyFont="1" applyBorder="1" applyAlignment="1">
      <alignment horizontal="center" vertical="center" wrapText="1"/>
    </xf>
    <xf numFmtId="0" fontId="0" fillId="5" borderId="0" xfId="0" applyFill="1" applyAlignment="1">
      <alignment horizontal="center" vertical="center"/>
    </xf>
    <xf numFmtId="44" fontId="13" fillId="0" borderId="1" xfId="2" applyFont="1" applyFill="1" applyBorder="1" applyAlignment="1">
      <alignment horizontal="center" vertical="center"/>
    </xf>
    <xf numFmtId="44" fontId="13" fillId="0" borderId="1" xfId="2" applyFont="1" applyFill="1" applyBorder="1" applyAlignment="1" applyProtection="1">
      <alignment horizontal="center" vertical="center"/>
      <protection locked="0"/>
    </xf>
    <xf numFmtId="44" fontId="13" fillId="0" borderId="21" xfId="2" applyFont="1" applyFill="1" applyBorder="1" applyAlignment="1" applyProtection="1">
      <alignment horizontal="center" vertical="center"/>
      <protection locked="0"/>
    </xf>
    <xf numFmtId="44" fontId="13" fillId="0" borderId="1" xfId="2" applyFont="1" applyBorder="1" applyAlignment="1">
      <alignment horizontal="center" vertical="center" wrapText="1"/>
    </xf>
    <xf numFmtId="0" fontId="0" fillId="6" borderId="0" xfId="0" applyFill="1" applyAlignment="1">
      <alignment horizontal="center" vertical="center"/>
    </xf>
    <xf numFmtId="0" fontId="14" fillId="5" borderId="0" xfId="0" applyFont="1" applyFill="1" applyAlignment="1">
      <alignment horizontal="center" vertical="center"/>
    </xf>
    <xf numFmtId="0" fontId="14" fillId="7" borderId="0" xfId="0" applyFont="1" applyFill="1" applyAlignment="1">
      <alignment horizontal="center" vertical="center"/>
    </xf>
    <xf numFmtId="0" fontId="0" fillId="7" borderId="0" xfId="0" applyFill="1" applyAlignment="1">
      <alignment horizontal="center" vertical="center"/>
    </xf>
    <xf numFmtId="0" fontId="3" fillId="0" borderId="47" xfId="0" applyFont="1" applyBorder="1" applyAlignment="1">
      <alignment horizontal="center" vertical="center"/>
    </xf>
    <xf numFmtId="0" fontId="3" fillId="0" borderId="47" xfId="0" applyFont="1" applyBorder="1" applyAlignment="1">
      <alignment horizontal="center" vertical="top"/>
    </xf>
    <xf numFmtId="0" fontId="23" fillId="0" borderId="47" xfId="0" applyFont="1" applyBorder="1" applyAlignment="1" applyProtection="1">
      <alignment horizontal="center" vertical="center"/>
      <protection locked="0"/>
    </xf>
    <xf numFmtId="0" fontId="3" fillId="0" borderId="47" xfId="0" applyFont="1" applyBorder="1" applyAlignment="1" applyProtection="1">
      <alignment horizontal="center" vertical="top"/>
      <protection locked="0"/>
    </xf>
    <xf numFmtId="44" fontId="3" fillId="0" borderId="46" xfId="0" applyNumberFormat="1" applyFont="1" applyBorder="1" applyAlignment="1" applyProtection="1">
      <alignment horizontal="center" vertical="center"/>
      <protection locked="0"/>
    </xf>
    <xf numFmtId="44" fontId="13" fillId="0" borderId="49" xfId="0" applyNumberFormat="1" applyFont="1" applyBorder="1" applyAlignment="1" applyProtection="1">
      <alignment horizontal="center" vertical="center"/>
      <protection locked="0"/>
    </xf>
    <xf numFmtId="0" fontId="3" fillId="0" borderId="47" xfId="0" applyFont="1" applyBorder="1" applyAlignment="1">
      <alignment horizontal="center" vertical="center" wrapText="1"/>
    </xf>
    <xf numFmtId="43" fontId="2" fillId="0" borderId="0" xfId="3" applyFont="1" applyAlignment="1">
      <alignment horizontal="center" vertical="center"/>
    </xf>
    <xf numFmtId="44" fontId="13" fillId="3" borderId="1" xfId="0" applyNumberFormat="1" applyFont="1" applyFill="1" applyBorder="1" applyAlignment="1" applyProtection="1">
      <alignment horizontal="center" vertical="center" wrapText="1"/>
      <protection locked="0"/>
    </xf>
    <xf numFmtId="44" fontId="15" fillId="3" borderId="21" xfId="0" applyNumberFormat="1" applyFont="1" applyFill="1" applyBorder="1" applyAlignment="1" applyProtection="1">
      <alignment horizontal="center" vertical="center" wrapText="1"/>
      <protection locked="0"/>
    </xf>
    <xf numFmtId="44" fontId="13" fillId="8" borderId="1" xfId="0" applyNumberFormat="1" applyFont="1" applyFill="1" applyBorder="1" applyAlignment="1" applyProtection="1">
      <alignment horizontal="center" vertical="center"/>
      <protection locked="0"/>
    </xf>
    <xf numFmtId="44" fontId="15" fillId="8" borderId="21" xfId="0" applyNumberFormat="1" applyFont="1" applyFill="1" applyBorder="1" applyAlignment="1" applyProtection="1">
      <alignment horizontal="center" vertical="center" wrapText="1"/>
      <protection locked="0"/>
    </xf>
    <xf numFmtId="1" fontId="21" fillId="0" borderId="1" xfId="0" applyNumberFormat="1" applyFont="1" applyBorder="1" applyAlignment="1">
      <alignment horizontal="center" vertical="center" wrapText="1"/>
    </xf>
    <xf numFmtId="6" fontId="13" fillId="3" borderId="1" xfId="0" applyNumberFormat="1" applyFont="1" applyFill="1" applyBorder="1" applyAlignment="1" applyProtection="1">
      <alignment horizontal="center" vertical="center"/>
      <protection locked="0"/>
    </xf>
    <xf numFmtId="44" fontId="13" fillId="3" borderId="1" xfId="0" applyNumberFormat="1" applyFont="1" applyFill="1" applyBorder="1" applyAlignment="1" applyProtection="1">
      <alignment horizontal="center" vertical="center"/>
      <protection locked="0"/>
    </xf>
    <xf numFmtId="6" fontId="13" fillId="3" borderId="1" xfId="0" applyNumberFormat="1" applyFont="1" applyFill="1" applyBorder="1" applyAlignment="1" applyProtection="1">
      <alignment horizontal="center" vertical="center" wrapText="1"/>
      <protection locked="0"/>
    </xf>
    <xf numFmtId="1" fontId="21" fillId="0" borderId="27" xfId="0" applyNumberFormat="1" applyFont="1" applyBorder="1" applyAlignment="1">
      <alignment horizontal="center" vertical="center" wrapText="1"/>
    </xf>
    <xf numFmtId="6" fontId="13" fillId="8" borderId="1" xfId="0" applyNumberFormat="1" applyFont="1" applyFill="1" applyBorder="1" applyAlignment="1" applyProtection="1">
      <alignment horizontal="center" vertical="center"/>
      <protection locked="0"/>
    </xf>
    <xf numFmtId="44" fontId="23" fillId="0" borderId="47" xfId="0" applyNumberFormat="1" applyFont="1" applyBorder="1" applyAlignment="1" applyProtection="1">
      <alignment horizontal="center" vertical="center"/>
      <protection locked="0"/>
    </xf>
    <xf numFmtId="44" fontId="3" fillId="0" borderId="50" xfId="2" applyFont="1" applyBorder="1" applyAlignment="1" applyProtection="1">
      <alignment horizontal="center" vertical="center"/>
      <protection locked="0"/>
    </xf>
    <xf numFmtId="44" fontId="2" fillId="0" borderId="0" xfId="0" applyNumberFormat="1" applyFont="1" applyAlignment="1">
      <alignment horizontal="center" vertical="center"/>
    </xf>
    <xf numFmtId="43" fontId="2" fillId="0" borderId="0" xfId="0" applyNumberFormat="1" applyFont="1" applyAlignment="1">
      <alignment horizontal="center" vertical="center"/>
    </xf>
    <xf numFmtId="4" fontId="2" fillId="0" borderId="0" xfId="0" applyNumberFormat="1" applyFont="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21"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8" fontId="21" fillId="3" borderId="1" xfId="2"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44" fontId="13" fillId="3" borderId="1" xfId="2" applyFont="1" applyFill="1" applyBorder="1" applyAlignment="1" applyProtection="1">
      <alignment horizontal="center" vertical="center"/>
      <protection locked="0"/>
    </xf>
    <xf numFmtId="9" fontId="13" fillId="3" borderId="21" xfId="1" applyFont="1" applyFill="1" applyBorder="1" applyAlignment="1" applyProtection="1">
      <alignment horizontal="center" vertical="center"/>
      <protection locked="0"/>
    </xf>
    <xf numFmtId="164" fontId="13" fillId="3" borderId="20" xfId="0" applyNumberFormat="1" applyFont="1" applyFill="1" applyBorder="1" applyAlignment="1" applyProtection="1">
      <alignment horizontal="center" vertical="center"/>
      <protection locked="0"/>
    </xf>
    <xf numFmtId="44" fontId="15" fillId="3" borderId="1" xfId="2" applyFont="1" applyFill="1" applyBorder="1" applyAlignment="1" applyProtection="1">
      <alignment horizontal="center" vertical="center"/>
      <protection locked="0"/>
    </xf>
    <xf numFmtId="44" fontId="13" fillId="3" borderId="21" xfId="2" applyFont="1" applyFill="1" applyBorder="1" applyAlignment="1" applyProtection="1">
      <alignment horizontal="center" vertical="center"/>
      <protection locked="0"/>
    </xf>
    <xf numFmtId="44" fontId="24" fillId="3" borderId="20" xfId="1" applyNumberFormat="1" applyFont="1" applyFill="1" applyBorder="1" applyAlignment="1" applyProtection="1">
      <alignment horizontal="center" vertical="center"/>
      <protection locked="0"/>
    </xf>
    <xf numFmtId="44" fontId="3" fillId="3" borderId="1" xfId="2" applyFont="1" applyFill="1" applyBorder="1" applyAlignment="1" applyProtection="1">
      <alignment horizontal="center" vertical="center"/>
      <protection locked="0"/>
    </xf>
    <xf numFmtId="44" fontId="13" fillId="3" borderId="10" xfId="1" applyNumberFormat="1" applyFont="1" applyFill="1" applyBorder="1" applyAlignment="1" applyProtection="1">
      <alignment horizontal="center" vertical="center"/>
      <protection locked="0"/>
    </xf>
    <xf numFmtId="44" fontId="24" fillId="3" borderId="1" xfId="1" applyNumberFormat="1" applyFont="1" applyFill="1" applyBorder="1" applyAlignment="1" applyProtection="1">
      <alignment horizontal="center" vertical="center"/>
      <protection locked="0"/>
    </xf>
    <xf numFmtId="0" fontId="13" fillId="3" borderId="20" xfId="0" applyFont="1" applyFill="1" applyBorder="1" applyAlignment="1">
      <alignment horizontal="center" vertical="center" wrapText="1"/>
    </xf>
    <xf numFmtId="0" fontId="0" fillId="8" borderId="0" xfId="0" applyFill="1" applyAlignment="1">
      <alignment horizontal="center" vertical="center"/>
    </xf>
    <xf numFmtId="0" fontId="3" fillId="0" borderId="0" xfId="0" applyFont="1" applyAlignment="1">
      <alignment horizontal="justify" vertical="center"/>
    </xf>
    <xf numFmtId="44" fontId="13" fillId="3" borderId="1" xfId="2" applyFont="1" applyFill="1" applyBorder="1" applyAlignment="1">
      <alignment horizontal="center" vertical="center"/>
    </xf>
    <xf numFmtId="44" fontId="25" fillId="0" borderId="47" xfId="0" applyNumberFormat="1" applyFont="1" applyBorder="1" applyAlignment="1" applyProtection="1">
      <alignment horizontal="center" vertical="center"/>
      <protection locked="0"/>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7" xfId="0" applyFont="1" applyBorder="1" applyAlignment="1">
      <alignment horizontal="left"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2"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37" xfId="0" applyFont="1" applyBorder="1" applyAlignment="1">
      <alignment vertical="center"/>
    </xf>
  </cellXfs>
  <cellStyles count="4">
    <cellStyle name="Millares" xfId="3" builtinId="3"/>
    <cellStyle name="Moneda" xfId="2" builtinId="4"/>
    <cellStyle name="Normal" xfId="0" builtinId="0"/>
    <cellStyle name="Porcentaje" xfId="1" builtinId="5"/>
  </cellStyles>
  <dxfs count="236">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2" formatCode="&quot;$&quot;\ #,##0.00;[Red]\-&quot;$&quot;\ #,##0.00"/>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family val="2"/>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0" formatCode="&quot;$&quot;\ #,##0;[Red]\-&quot;$&quot;\ #,##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235"/>
    </tableStyle>
    <tableStyle name="Estilo de tabla 4" pivot="0" count="1" xr9:uid="{00000000-0011-0000-FFFF-FFFF03000000}">
      <tableStyleElement type="firstRowStripe" dxfId="2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1809750</xdr:colOff>
      <xdr:row>0</xdr:row>
      <xdr:rowOff>222249</xdr:rowOff>
    </xdr:from>
    <xdr:to>
      <xdr:col>1</xdr:col>
      <xdr:colOff>1111250</xdr:colOff>
      <xdr:row>3</xdr:row>
      <xdr:rowOff>146680</xdr:rowOff>
    </xdr:to>
    <xdr:pic>
      <xdr:nvPicPr>
        <xdr:cNvPr id="2" name="Imagen 1">
          <a:extLst>
            <a:ext uri="{FF2B5EF4-FFF2-40B4-BE49-F238E27FC236}">
              <a16:creationId xmlns:a16="http://schemas.microsoft.com/office/drawing/2014/main" id="{33019C1D-9BD6-43F6-ADB5-5C3CA2DCE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0" y="222249"/>
          <a:ext cx="1130300" cy="106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9F3746A4-0DC7-4B3F-83C8-87D736EB7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32">
          <cell r="T32">
            <v>100</v>
          </cell>
          <cell r="W32">
            <v>30</v>
          </cell>
          <cell r="AC32" t="str">
            <v>Acumulativa</v>
          </cell>
        </row>
        <row r="82">
          <cell r="T82">
            <v>7</v>
          </cell>
          <cell r="W82">
            <v>2</v>
          </cell>
          <cell r="AC82" t="str">
            <v>Acumulativa</v>
          </cell>
        </row>
        <row r="83">
          <cell r="T83">
            <v>5</v>
          </cell>
          <cell r="W83">
            <v>2</v>
          </cell>
          <cell r="AC83" t="str">
            <v>Acumulativa</v>
          </cell>
        </row>
        <row r="84">
          <cell r="T84">
            <v>8</v>
          </cell>
          <cell r="W84">
            <v>4</v>
          </cell>
          <cell r="AC84" t="str">
            <v>Acumulativa</v>
          </cell>
        </row>
        <row r="147">
          <cell r="T147">
            <v>1000</v>
          </cell>
          <cell r="W147">
            <v>350</v>
          </cell>
          <cell r="AC147" t="str">
            <v>Acumulativa</v>
          </cell>
        </row>
        <row r="148">
          <cell r="T148">
            <v>3</v>
          </cell>
          <cell r="W148">
            <v>2</v>
          </cell>
          <cell r="AC148" t="str">
            <v>Acumulativa</v>
          </cell>
        </row>
        <row r="149">
          <cell r="T149">
            <v>5</v>
          </cell>
          <cell r="W149">
            <v>2</v>
          </cell>
          <cell r="AC149" t="str">
            <v>Acumulativa</v>
          </cell>
        </row>
        <row r="150">
          <cell r="T150">
            <v>2</v>
          </cell>
          <cell r="W150">
            <v>2</v>
          </cell>
          <cell r="AC150" t="str">
            <v>No Acumulativa</v>
          </cell>
        </row>
        <row r="151">
          <cell r="T151">
            <v>2</v>
          </cell>
          <cell r="W151">
            <v>2</v>
          </cell>
          <cell r="AC151" t="str">
            <v>No Acumulativa</v>
          </cell>
        </row>
        <row r="152">
          <cell r="T152">
            <v>2</v>
          </cell>
          <cell r="W152">
            <v>0.75</v>
          </cell>
          <cell r="AC152" t="str">
            <v>Acumulativa</v>
          </cell>
        </row>
        <row r="154">
          <cell r="T154">
            <v>1</v>
          </cell>
          <cell r="W154">
            <v>1</v>
          </cell>
          <cell r="AC154" t="str">
            <v>No Acumulativa</v>
          </cell>
        </row>
        <row r="155">
          <cell r="T155">
            <v>50</v>
          </cell>
          <cell r="W155">
            <v>20</v>
          </cell>
          <cell r="AC155" t="str">
            <v>Acumulativa</v>
          </cell>
        </row>
        <row r="156">
          <cell r="T156">
            <v>300</v>
          </cell>
          <cell r="W156">
            <v>80</v>
          </cell>
          <cell r="AC156" t="str">
            <v>Acumulativa</v>
          </cell>
        </row>
        <row r="250">
          <cell r="T250">
            <v>1</v>
          </cell>
          <cell r="W250">
            <v>1</v>
          </cell>
          <cell r="AC250" t="str">
            <v>No Acumulativa</v>
          </cell>
        </row>
        <row r="277">
          <cell r="T277">
            <v>3</v>
          </cell>
          <cell r="W277">
            <v>3</v>
          </cell>
          <cell r="AC277"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AF3DF9-7B5C-4011-AF7A-B452B419CD20}" name="Tabla13" displayName="Tabla13" ref="A10:BE34" totalsRowCount="1" headerRowDxfId="233" headerRowBorderDxfId="232" tableBorderDxfId="231">
  <autoFilter ref="A10:BE33" xr:uid="{BA886224-660A-4F4B-A9A8-7843BEAFE2A5}"/>
  <tableColumns count="57">
    <tableColumn id="1" xr3:uid="{01240C08-A9B5-4E90-A791-84388FB707AB}" name=" Consecutivo PDM" dataDxfId="230" totalsRowDxfId="229"/>
    <tableColumn id="2" xr3:uid="{137156C0-5EFE-45F1-BF22-DD416582A0B2}" name="Linea Estratégica" dataDxfId="228" totalsRowDxfId="227"/>
    <tableColumn id="5" xr3:uid="{F2D7DF86-8321-4C44-AA0F-ED687DA3E970}" name="Sector" dataDxfId="226" totalsRowDxfId="225"/>
    <tableColumn id="14" xr3:uid="{28223129-DE5C-4C5D-9355-C9C80D05C2FE}" name="Cod. Programa" dataDxfId="224" totalsRowDxfId="223"/>
    <tableColumn id="15" xr3:uid="{C0EACC6B-3168-4216-8BCB-4566BF22D046}" name="Programa" dataDxfId="222" totalsRowDxfId="221"/>
    <tableColumn id="16" xr3:uid="{54EB5A7E-D0FB-4B03-B941-DE2931E201D7}" name="Cod. de Producto" dataDxfId="220" totalsRowDxfId="219"/>
    <tableColumn id="17" xr3:uid="{EBEE81B9-8F3C-4080-9340-A254F25858BC}" name="Meta de Producto" dataDxfId="218" totalsRowDxfId="217"/>
    <tableColumn id="28" xr3:uid="{648122AE-F87F-4639-A250-40E01BB289FE}" name="Código BPIN" dataDxfId="216" totalsRowDxfId="215"/>
    <tableColumn id="29" xr3:uid="{52F826EC-953B-4657-ADB8-D1365F031872}" name="Nombre del Proyecto" dataDxfId="214" totalsRowDxfId="213"/>
    <tableColumn id="30" xr3:uid="{2DB5CC0E-0587-4A73-A729-7788358A24CB}" name="Valor del Proyecto" dataDxfId="212" totalsRowDxfId="211" dataCellStyle="Moneda"/>
    <tableColumn id="31" xr3:uid="{CFD08BF3-8876-49E4-A869-9A7FB77ACDCB}" name="Valor Vigencia Proyecto" dataDxfId="210" totalsRowDxfId="209" dataCellStyle="Moneda"/>
    <tableColumn id="32" xr3:uid="{866B286C-99EA-4C93-AB93-99C6497D2F75}" name="Comuna o Barrio Beneficiado" dataDxfId="208" totalsRowDxfId="207"/>
    <tableColumn id="33" xr3:uid="{AA6D9090-B5BC-4AFF-A5F4-359790592621}" name="Población Beneficiada" dataDxfId="206" totalsRowDxfId="205"/>
    <tableColumn id="34" xr3:uid="{176DC858-6C7A-4824-B4DD-C5051DAC3A06}" name="Número de Beneficiarios" dataDxfId="204" totalsRowDxfId="203"/>
    <tableColumn id="44" xr3:uid="{C4ED14C0-565A-45DA-9015-C41EA2DC52F4}" name="Actividades Realizadas" dataDxfId="202" totalsRowDxfId="201"/>
    <tableColumn id="46" xr3:uid="{22D2DCD4-3CDA-4071-A9AC-F9F9CB0908F9}" name="Recursos propios 2024" totalsRowFunction="sum" dataDxfId="200" totalsRowDxfId="199" dataCellStyle="Moneda"/>
    <tableColumn id="47" xr3:uid="{F2A024BD-D797-43D8-9BB2-B430C7AF7952}" name="SGP Educación 2024" totalsRowFunction="sum" dataDxfId="198" totalsRowDxfId="197" dataCellStyle="Porcentaje"/>
    <tableColumn id="48" xr3:uid="{1EE6A2DF-DA4B-458A-858D-602EDC278528}" name="SGP Salud 2024" totalsRowFunction="sum" dataDxfId="196" totalsRowDxfId="195"/>
    <tableColumn id="36" xr3:uid="{B9C1290D-7D4E-4484-821D-274C30BF2FD0}" name="SGP Deporte 2024" totalsRowFunction="sum" dataDxfId="194" totalsRowDxfId="193"/>
    <tableColumn id="35" xr3:uid="{18070752-A259-4A8C-9A4C-E6252FCC4A85}" name="SGP Cultura 2024" totalsRowFunction="sum" dataDxfId="192" totalsRowDxfId="191"/>
    <tableColumn id="13" xr3:uid="{04CB6B0E-7629-40AD-9451-5DE950CB64C4}" name="SGP Libre inversión 2024" totalsRowFunction="sum" dataDxfId="190" totalsRowDxfId="189"/>
    <tableColumn id="12" xr3:uid="{C67BD4CC-ACB8-4B79-B857-CAA964BF43AE}" name="SGP Libre destinación 2024" totalsRowFunction="sum" dataDxfId="188" totalsRowDxfId="187"/>
    <tableColumn id="11" xr3:uid="{55D41DD6-202D-4B3C-949B-EA9CA8BF3F1E}" name="SGP Alimentación escolar 2024" totalsRowFunction="sum" dataDxfId="186" totalsRowDxfId="185"/>
    <tableColumn id="10" xr3:uid="{F3D3FCA6-2405-4D76-A02B-F8E5662F249A}" name="SGP Municipios río Magdalena 2024" totalsRowFunction="sum" dataDxfId="184" totalsRowDxfId="183"/>
    <tableColumn id="9" xr3:uid="{5B0308DE-0615-41C9-832D-1925C0066D38}" name="SGP APSB 2024" totalsRowFunction="sum" dataDxfId="182" totalsRowDxfId="181"/>
    <tableColumn id="8" xr3:uid="{9ACEDD93-263C-4376-937D-3C981B5BDC00}" name="Crédito 2024" totalsRowFunction="sum" dataDxfId="180" totalsRowDxfId="179"/>
    <tableColumn id="7" xr3:uid="{5F93E553-5FC2-401C-8AB0-A4EA129388D1}" name="Transferencias de capital - cofinanciación departamento 2024" totalsRowFunction="sum" dataDxfId="178" totalsRowDxfId="177"/>
    <tableColumn id="6" xr3:uid="{087AFCB0-FB97-47BD-AD4C-C189D85B50E2}" name="Transferencias de capital - cofinanciación nación 2024" totalsRowFunction="sum" dataDxfId="176" totalsRowDxfId="175"/>
    <tableColumn id="49" xr3:uid="{F55ACDF6-0D1B-434F-AEF7-258D811684DE}" name="Otros 2024" totalsRowFunction="sum" dataDxfId="174" totalsRowDxfId="173"/>
    <tableColumn id="3" xr3:uid="{9F52926B-994E-4041-BE0D-3CD75EB823DB}" name="Recursos del Balance" totalsRowFunction="sum" dataDxfId="172" totalsRowDxfId="171"/>
    <tableColumn id="50" xr3:uid="{2B0B9199-5E10-4CFE-B5BF-3009CD9278AE}" name="Total 2025" totalsRowFunction="sum" dataDxfId="170" totalsRowDxfId="169">
      <calculatedColumnFormula>SUM(Tabla13[[#This Row],[Recursos propios 2024]:[Recursos del Balance]])</calculatedColumnFormula>
    </tableColumn>
    <tableColumn id="51" xr3:uid="{E97E5576-D081-4498-A3D1-190DF9EA53E1}" name="Recursos propios 20242" dataDxfId="168" totalsRowDxfId="167"/>
    <tableColumn id="52" xr3:uid="{06FABD58-9F7D-402D-B358-489C21C07DC9}" name="SGP Educación 20243" totalsRowFunction="sum" dataDxfId="166" totalsRowDxfId="165"/>
    <tableColumn id="53" xr3:uid="{AEF4143B-FBA6-486F-A879-840ED4DF156C}" name="SGP Salud 20244" totalsRowFunction="sum" dataDxfId="164" totalsRowDxfId="163"/>
    <tableColumn id="62" xr3:uid="{3E9B031C-F67B-4C03-970C-B42967800D7E}" name="SGP Deporte 20245" totalsRowFunction="sum" dataDxfId="162" totalsRowDxfId="161"/>
    <tableColumn id="61" xr3:uid="{6119FD83-0FC4-4717-9871-0941EB68D945}" name="SGP Cultura 20246" totalsRowFunction="sum" dataDxfId="160" totalsRowDxfId="159"/>
    <tableColumn id="45" xr3:uid="{34A1D4B4-C82C-4854-8429-DA3AFD004E6A}" name="SGP Libre inversión 20247" totalsRowFunction="sum" dataDxfId="158" totalsRowDxfId="157"/>
    <tableColumn id="43" xr3:uid="{16EC3EDE-1271-490C-A18A-6CBA2B4FDCEC}" name="SGP Libre destinación 20248" totalsRowFunction="sum" dataDxfId="156" totalsRowDxfId="155"/>
    <tableColumn id="42" xr3:uid="{CCA1DA83-C1CD-46D6-95CB-AA76F1AA9066}" name="SGP Alimentación escolar 20249" totalsRowFunction="sum" dataDxfId="154" totalsRowDxfId="153"/>
    <tableColumn id="41" xr3:uid="{4F85E390-2199-42FD-954F-3BB87F74930B}" name="SGP Municipios río Magdalena 202410" totalsRowFunction="sum" dataDxfId="152" totalsRowDxfId="151"/>
    <tableColumn id="40" xr3:uid="{86F3C24C-4262-433F-9562-4861CED5DD5C}" name="SGP APSB 202411" totalsRowFunction="sum" dataDxfId="150" totalsRowDxfId="149"/>
    <tableColumn id="39" xr3:uid="{E785DC66-29E7-4AAC-AA14-BD3B41510A81}" name="Crédito 202412" totalsRowFunction="sum" dataDxfId="148" totalsRowDxfId="147"/>
    <tableColumn id="38" xr3:uid="{26483842-B288-44BB-B98D-6600D0F64F3B}" name="Transferencias de capital - cofinanciación departamento 202413" totalsRowFunction="sum" dataDxfId="146" totalsRowDxfId="145"/>
    <tableColumn id="37" xr3:uid="{C2DD0A40-925A-4573-A3E7-390E0526B2F9}" name="Transferencias de capital - cofinanciación nación 202414" totalsRowFunction="sum" dataDxfId="144" totalsRowDxfId="143"/>
    <tableColumn id="54" xr3:uid="{DE5827B9-F9DF-43E3-85BF-66268C1E504C}" name="Otros 202415" totalsRowFunction="sum" dataDxfId="142" totalsRowDxfId="141"/>
    <tableColumn id="4" xr3:uid="{006D56D7-7330-42B8-95AB-67244ABB9A91}" name="Recursos del Balance2" totalsRowFunction="sum" dataDxfId="140" totalsRowDxfId="139"/>
    <tableColumn id="55" xr3:uid="{C8277CD8-80AC-4525-8861-2FB2652A0E47}" name="Total Recursos Comprometido 2024" totalsRowFunction="sum" dataDxfId="138" totalsRowDxfId="137" dataCellStyle="Moneda"/>
    <tableColumn id="20" xr3:uid="{A6A3AB90-3503-429D-8F8E-F05034265949}" name="Total Recursos Obligados" totalsRowFunction="sum" totalsRowDxfId="136" dataCellStyle="Moneda"/>
    <tableColumn id="21" xr3:uid="{8EAAAC36-45EE-4D45-99D7-B184F05BC13C}" name="Total Recursos Pagados" totalsRowFunction="sum" dataDxfId="135" totalsRowDxfId="134" dataCellStyle="Moneda"/>
    <tableColumn id="56" xr3:uid="{ACC8D2A6-C08C-4A5E-ABCB-E2EB86805EF3}" name="Ejecución Recursos Comprometidos" dataDxfId="133" totalsRowDxfId="132">
      <calculatedColumnFormula>+Tabla13[[#This Row],[Total Recursos Comprometido 2024]]/Tabla13[[#This Row],[Total 2025]]</calculatedColumnFormula>
    </tableColumn>
    <tableColumn id="24" xr3:uid="{94441D12-08AE-4720-B076-92DE18734C79}" name="Ejecución Recursos Obligados" totalsRowFunction="sum" dataDxfId="131" totalsRowDxfId="130" dataCellStyle="Moneda">
      <calculatedColumnFormula>Tabla13[[#This Row],[Total Recursos Obligados]]</calculatedColumnFormula>
    </tableColumn>
    <tableColumn id="23" xr3:uid="{05205B90-1F70-4789-927C-52F8582FF44E}" name="Ejecución Recursos Pagados" totalsRowFunction="sum" dataDxfId="129" totalsRowDxfId="128" dataCellStyle="Moneda">
      <calculatedColumnFormula>Tabla13[[#This Row],[Total Recursos Pagados]]</calculatedColumnFormula>
    </tableColumn>
    <tableColumn id="18" xr3:uid="{0E43C05E-3FD4-4168-95BC-35FC69278D4D}" name="Total Recursos Gestionados2" dataDxfId="127" totalsRowDxfId="126" dataCellStyle="Porcentaje"/>
    <tableColumn id="57" xr3:uid="{5D75D0FB-9980-484F-AF12-E6AC267823B7}" name="Nivel de Gestión" dataDxfId="125" totalsRowDxfId="124">
      <calculatedColumnFormula>IF(Tabla13[[#This Row],[Total Recursos Gestionados2]]=0,"_",IF(Tabla13[[#This Row],[Ejecución Recursos Comprometidos]]=0,100%,Tabla13[[#This Row],[Total Recursos Gestionados2]]/Tabla13[[#This Row],[Ejecución Recursos Comprometidos]]))</calculatedColumnFormula>
    </tableColumn>
    <tableColumn id="58" xr3:uid="{00162ACE-84D4-41AC-AD9A-463A1089DC19}" name="Dependencia" dataDxfId="123" totalsRowDxfId="122"/>
    <tableColumn id="59" xr3:uid="{BE975B8F-F496-4D57-9914-F1E7111580B8}" name="Responsable" dataDxfId="121" totalsRowDxfId="120"/>
    <tableColumn id="60" xr3:uid="{CE10A0F3-E31D-41BE-9AF7-1D48F949E694}" name="ODS" dataDxfId="119" totalsRowDxfId="118"/>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0:BE26" totalsRowCount="1" headerRowDxfId="117" dataDxfId="115" headerRowBorderDxfId="116" tableBorderDxfId="114">
  <tableColumns count="57">
    <tableColumn id="1" xr3:uid="{00000000-0010-0000-0000-000001000000}" name=" Consecutivo PDM" dataDxfId="113" totalsRowDxfId="56"/>
    <tableColumn id="2" xr3:uid="{00000000-0010-0000-0000-000002000000}" name="Linea Estratégica" dataDxfId="112" totalsRowDxfId="55"/>
    <tableColumn id="5" xr3:uid="{00000000-0010-0000-0000-000005000000}" name="Sector" dataDxfId="111" totalsRowDxfId="54"/>
    <tableColumn id="14" xr3:uid="{00000000-0010-0000-0000-00000E000000}" name="Cod. Programa" dataDxfId="110" totalsRowDxfId="53"/>
    <tableColumn id="15" xr3:uid="{00000000-0010-0000-0000-00000F000000}" name="Programa" dataDxfId="109" totalsRowDxfId="52"/>
    <tableColumn id="16" xr3:uid="{00000000-0010-0000-0000-000010000000}" name="Cod. de Producto" dataDxfId="108" totalsRowDxfId="51"/>
    <tableColumn id="17" xr3:uid="{00000000-0010-0000-0000-000011000000}" name="Meta de Producto" dataDxfId="107" totalsRowDxfId="50"/>
    <tableColumn id="18" xr3:uid="{00000000-0010-0000-0000-000012000000}" name="Cod. Indicador de Producto" dataDxfId="106" totalsRowDxfId="49"/>
    <tableColumn id="19" xr3:uid="{00000000-0010-0000-0000-000013000000}" name="Indicador de Producto" dataDxfId="105" totalsRowDxfId="48"/>
    <tableColumn id="20" xr3:uid="{00000000-0010-0000-0000-000014000000}" name="LÍnea Base" dataDxfId="104" totalsRowDxfId="47"/>
    <tableColumn id="21" xr3:uid="{00000000-0010-0000-0000-000015000000}" name="Unidad de Medida2" dataDxfId="103" totalsRowDxfId="46"/>
    <tableColumn id="22" xr3:uid="{00000000-0010-0000-0000-000016000000}" name="Tipo de Meta" dataDxfId="102" totalsRowDxfId="45"/>
    <tableColumn id="23" xr3:uid="{00000000-0010-0000-0000-000017000000}" name="Meta Programada Cuatrienio3" dataDxfId="101" totalsRowDxfId="44"/>
    <tableColumn id="24" xr3:uid="{00000000-0010-0000-0000-000018000000}" name="Meta Programada Vigencia" dataDxfId="100" totalsRowDxfId="43"/>
    <tableColumn id="25" xr3:uid="{00000000-0010-0000-0000-000019000000}" name="Logro Vigencia" dataDxfId="99" totalsRowDxfId="42"/>
    <tableColumn id="41" xr3:uid="{948C74B7-9F8F-43C1-93AB-EE07E4D2D27B}" name="Porcentaje Avance Vigencia" dataDxfId="98" totalsRowDxfId="41">
      <calculatedColumnFormula>+Tabla1[[#This Row],[Logro Vigencia]]/Tabla1[[#This Row],[Meta Programada Vigencia]]</calculatedColumnFormula>
    </tableColumn>
    <tableColumn id="26" xr3:uid="{00000000-0010-0000-0000-00001A000000}" name="Porcentaje Avance VigenciaR" dataDxfId="97" totalsRowDxfId="40"/>
    <tableColumn id="46" xr3:uid="{00000000-0010-0000-0000-00002E000000}" name="Recursos propios" dataDxfId="96" totalsRowDxfId="39"/>
    <tableColumn id="47" xr3:uid="{00000000-0010-0000-0000-00002F000000}" name="SGP Educación" dataDxfId="95" totalsRowDxfId="38"/>
    <tableColumn id="48" xr3:uid="{00000000-0010-0000-0000-000030000000}" name="SGP Salud" dataDxfId="94" totalsRowDxfId="37"/>
    <tableColumn id="36" xr3:uid="{9F9AF3B5-9302-4098-86C2-F3751C61856C}" name="SGP Deporte" dataDxfId="93" totalsRowDxfId="36"/>
    <tableColumn id="35" xr3:uid="{C5C853CA-0E38-42F1-B617-F223698DFB1E}" name="SGP Cultura" dataDxfId="92" totalsRowDxfId="35"/>
    <tableColumn id="13" xr3:uid="{D6B586E6-694C-47D3-A512-D9CFE88B0A7F}" name="SGP Libre inversión" dataDxfId="91" totalsRowDxfId="34"/>
    <tableColumn id="12" xr3:uid="{C6702C45-B7D4-4947-B509-EA37B6998105}" name="SGP Libre destinación" dataDxfId="90" totalsRowDxfId="33"/>
    <tableColumn id="11" xr3:uid="{6017F25B-848D-457C-9FE3-AA60351408C4}" name="SGP Alimentación escolar" dataDxfId="89" totalsRowDxfId="32"/>
    <tableColumn id="9" xr3:uid="{09919044-DCEC-4B52-92EE-B073D02DC126}" name="SGP APSB" dataDxfId="88" totalsRowDxfId="31"/>
    <tableColumn id="8" xr3:uid="{DB23BA9E-ECC6-40CB-BD89-0D2B86F37CB6}" name="Crédito" dataDxfId="87" totalsRowDxfId="30"/>
    <tableColumn id="7" xr3:uid="{D5A630DF-3B56-46D1-9753-5E0368C63EC6}" name="Transferencias de capital - cofinanciación departamento" dataDxfId="86" totalsRowDxfId="29"/>
    <tableColumn id="6" xr3:uid="{412FCA12-6813-443B-B6C2-123BED9F85F9}" name="Transferencias de capital - cofinanciación nación" dataDxfId="85" totalsRowDxfId="28"/>
    <tableColumn id="49" xr3:uid="{00000000-0010-0000-0000-000031000000}" name="Otros" dataDxfId="84" totalsRowDxfId="27"/>
    <tableColumn id="27" xr3:uid="{7DD93E19-2832-4A51-8A0C-E61BADE2EBF2}" name="Recursos del Balance" dataDxfId="83" totalsRowDxfId="26"/>
    <tableColumn id="50" xr3:uid="{00000000-0010-0000-0000-000032000000}" name="Total 2025" dataDxfId="82" totalsRowDxfId="25">
      <calculatedColumnFormula>SUM(Tabla1[[#This Row],[Recursos propios]:[Recursos del Balance]])</calculatedColumnFormula>
    </tableColumn>
    <tableColumn id="51" xr3:uid="{00000000-0010-0000-0000-000033000000}" name="Recursos propios2" dataDxfId="72" totalsRowDxfId="24"/>
    <tableColumn id="52" xr3:uid="{00000000-0010-0000-0000-000034000000}" name="SGP Educación2" dataDxfId="71" totalsRowDxfId="23"/>
    <tableColumn id="53" xr3:uid="{00000000-0010-0000-0000-000035000000}" name="SGP Salud 2025" dataDxfId="70" totalsRowDxfId="22"/>
    <tableColumn id="62" xr3:uid="{7C7CEB6E-F374-4CFE-9734-C5F0F9CACDEF}" name="SGP Deporte 20255" dataDxfId="69" totalsRowDxfId="21"/>
    <tableColumn id="61" xr3:uid="{3FADCE38-626D-4D04-8E80-59C4EF4A26E2}" name="SGP Cultura 20256" dataDxfId="68" totalsRowDxfId="20"/>
    <tableColumn id="45" xr3:uid="{6E60DE39-5E5F-42D9-8EA9-092D48DC1C96}" name="SGP Libre inversión 2025" dataDxfId="67" totalsRowDxfId="19"/>
    <tableColumn id="43" xr3:uid="{2BAC0D89-AF4D-42C7-B398-E355E1723AC0}" name="SGP Libre destinación 2025" dataDxfId="66" totalsRowDxfId="18"/>
    <tableColumn id="42" xr3:uid="{26B92485-4124-4A13-AFC5-F2B525B9055F}" name="SGP Alimentación escolar 2025" dataDxfId="65" totalsRowDxfId="17"/>
    <tableColumn id="40" xr3:uid="{1BEDA122-5557-4D48-AF95-BCC1CDE51394}" name="SGP APSB 2025" dataDxfId="64" totalsRowDxfId="16"/>
    <tableColumn id="39" xr3:uid="{08579477-3F83-4D37-83BA-A19DF09AE01D}" name="Crédito 2025" dataDxfId="63" totalsRowDxfId="15"/>
    <tableColumn id="38" xr3:uid="{A6A070B1-2233-4449-B2F2-3342ACF65D94}" name="Transferencias de capital - cofinanciación departamento 2025" dataDxfId="62" totalsRowDxfId="14"/>
    <tableColumn id="37" xr3:uid="{81D561A4-3CB9-4C97-9B09-8163BD53EE55}" name="Transferencias de capital - cofinanciación nación 2025" dataDxfId="61" totalsRowDxfId="13"/>
    <tableColumn id="54" xr3:uid="{00000000-0010-0000-0000-000036000000}" name="Otros 2025" dataDxfId="60" totalsRowDxfId="12"/>
    <tableColumn id="10" xr3:uid="{6E2474FE-BE7F-4145-9A73-37EE37601765}" name="Recursos del Balance2" dataDxfId="59" totalsRowDxfId="11"/>
    <tableColumn id="55" xr3:uid="{00000000-0010-0000-0000-000037000000}" name="Total Recursos Comprometido 2025" totalsRowFunction="sum" dataDxfId="81" totalsRowDxfId="10">
      <calculatedColumnFormula>SUM(Tabla1[[#This Row],[Recursos propios2]:[Recursos del Balance2]])</calculatedColumnFormula>
    </tableColumn>
    <tableColumn id="3" xr3:uid="{97D6E022-C782-4FF3-9460-66988DC9E046}" name="Total Recursos Obligados" totalsRowFunction="sum" dataDxfId="58" totalsRowDxfId="9"/>
    <tableColumn id="4" xr3:uid="{FACF9905-9C80-4C0B-AA93-96434C5C0E89}" name="Total Recursos Pagados" totalsRowFunction="sum" dataDxfId="57" totalsRowDxfId="8"/>
    <tableColumn id="30" xr3:uid="{222F91FD-F5ED-4EEE-9A8F-E86D76F6FD1C}" name="Ejecución Recursos Comprometidos" dataDxfId="80" totalsRowDxfId="7" dataCellStyle="Porcentaje">
      <calculatedColumnFormula>+Tabla1[[#This Row],[Total Recursos Comprometido 2025]]/Tabla1[[#This Row],[Total 2025]]</calculatedColumnFormula>
    </tableColumn>
    <tableColumn id="44" xr3:uid="{7DBE1784-C877-4957-91C7-B1BADAEDDC3F}" name="Ejecución Recursos Obligados" dataDxfId="79" totalsRowDxfId="6" dataCellStyle="Porcentaje">
      <calculatedColumnFormula>+Tabla1[[#This Row],[Total Recursos Obligados]]/Tabla1[[#This Row],[Total 2025]]</calculatedColumnFormula>
    </tableColumn>
    <tableColumn id="34" xr3:uid="{F07761C5-914C-41B3-B942-83BA8CBE6BCC}" name="Ejecución Recursos Pagados" dataDxfId="78" totalsRowDxfId="5" dataCellStyle="Porcentaje">
      <calculatedColumnFormula>+Tabla1[[#This Row],[Total Recursos Pagados]]/Tabla1[[#This Row],[Total 2025]]</calculatedColumnFormula>
    </tableColumn>
    <tableColumn id="31" xr3:uid="{425B0788-0421-4008-BBBD-C96BE816DACB}" name="Total Recursos Gestionados2" dataDxfId="77" totalsRowDxfId="4"/>
    <tableColumn id="33" xr3:uid="{DC8E6CD1-31C8-440A-AC48-81F7B88607CF}" name="Nivel de Gestión" dataDxfId="76" totalsRowDxfId="3" dataCellStyle="Porcentaje">
      <calculatedColumnFormula>+Tabla1[[#This Row],[Total Recursos Gestionados2]]/Tabla1[[#This Row],[Total Recursos Comprometido 2025]]</calculatedColumnFormula>
    </tableColumn>
    <tableColumn id="58" xr3:uid="{00000000-0010-0000-0000-00003A000000}" name="Dependencia" dataDxfId="75" totalsRowDxfId="2"/>
    <tableColumn id="59" xr3:uid="{00000000-0010-0000-0000-00003B000000}" name="Responsable" dataDxfId="74" totalsRowDxfId="1"/>
    <tableColumn id="60" xr3:uid="{00000000-0010-0000-0000-00003C000000}" name="ODS" dataDxfId="73" totalsRowDxfId="0"/>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7C57F-5842-41FC-8507-7C98E7900CB9}">
  <sheetPr>
    <tabColor theme="8" tint="-0.249977111117893"/>
  </sheetPr>
  <dimension ref="A1:BE45"/>
  <sheetViews>
    <sheetView showGridLines="0" topLeftCell="A2" zoomScale="60" zoomScaleNormal="60" workbookViewId="0">
      <selection activeCell="AW34" sqref="AW34"/>
    </sheetView>
  </sheetViews>
  <sheetFormatPr baseColWidth="10" defaultColWidth="11.25" defaultRowHeight="15"/>
  <cols>
    <col min="1" max="1" width="24" style="4" customWidth="1"/>
    <col min="2" max="2" width="36.25" style="4" customWidth="1"/>
    <col min="3" max="3" width="20.25" style="4" customWidth="1"/>
    <col min="4" max="4" width="19.25" style="4" customWidth="1"/>
    <col min="5" max="5" width="25.75" style="4" customWidth="1"/>
    <col min="6" max="6" width="21.75" style="4" customWidth="1"/>
    <col min="7" max="7" width="33.75" style="93" customWidth="1"/>
    <col min="8" max="8" width="20.375" style="94" customWidth="1"/>
    <col min="9" max="9" width="25.25" style="93" customWidth="1"/>
    <col min="10" max="10" width="26.625" style="95" customWidth="1"/>
    <col min="11" max="11" width="28.25" style="95" customWidth="1"/>
    <col min="12" max="12" width="34.25" style="4" customWidth="1"/>
    <col min="13" max="13" width="26.75" style="4" customWidth="1"/>
    <col min="14" max="14" width="28.75" style="4" customWidth="1"/>
    <col min="15" max="15" width="59.75" style="93" customWidth="1"/>
    <col min="16" max="16" width="27.125" style="96" bestFit="1" customWidth="1"/>
    <col min="17" max="17" width="28.125" style="4" bestFit="1" customWidth="1"/>
    <col min="18" max="18" width="23.75" style="4" customWidth="1"/>
    <col min="19" max="19" width="18.25" style="4" customWidth="1"/>
    <col min="20" max="20" width="26.875" style="4" bestFit="1" customWidth="1"/>
    <col min="21" max="23" width="18.25" style="4" customWidth="1"/>
    <col min="24" max="24" width="31.125" style="4" bestFit="1" customWidth="1"/>
    <col min="25" max="26" width="18.25" style="4" customWidth="1"/>
    <col min="27" max="28" width="40.875" style="4" bestFit="1" customWidth="1"/>
    <col min="29" max="29" width="24.875" style="4" bestFit="1" customWidth="1"/>
    <col min="30" max="31" width="24.25" style="4" customWidth="1"/>
    <col min="32" max="32" width="28.875" style="4" bestFit="1" customWidth="1"/>
    <col min="33" max="34" width="19" style="4" customWidth="1"/>
    <col min="35" max="35" width="26.75" style="4" bestFit="1" customWidth="1"/>
    <col min="36" max="36" width="24.75" style="4" customWidth="1"/>
    <col min="37" max="42" width="19" style="4" customWidth="1"/>
    <col min="43" max="43" width="26.75" style="4" customWidth="1"/>
    <col min="44" max="44" width="25.375" style="4" customWidth="1"/>
    <col min="45" max="46" width="19" style="4" customWidth="1"/>
    <col min="47" max="47" width="30.875" style="96" bestFit="1" customWidth="1"/>
    <col min="48" max="48" width="28.125" style="96" bestFit="1" customWidth="1"/>
    <col min="49" max="49" width="30.875" style="96" bestFit="1" customWidth="1"/>
    <col min="50" max="53" width="27.25" style="4" customWidth="1"/>
    <col min="54" max="54" width="25.75" style="4" customWidth="1"/>
    <col min="55" max="55" width="17.75" style="4" customWidth="1"/>
    <col min="56" max="56" width="19.75" style="31"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88"/>
      <c r="B1" s="189"/>
      <c r="C1" s="194" t="s">
        <v>31</v>
      </c>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6"/>
      <c r="BC1" s="203" t="s">
        <v>32</v>
      </c>
      <c r="BD1" s="204"/>
      <c r="BE1" s="205"/>
    </row>
    <row r="2" spans="1:57" ht="30" customHeight="1">
      <c r="A2" s="190"/>
      <c r="B2" s="191"/>
      <c r="C2" s="197"/>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9"/>
      <c r="BC2" s="206" t="s">
        <v>166</v>
      </c>
      <c r="BD2" s="207"/>
      <c r="BE2" s="208"/>
    </row>
    <row r="3" spans="1:57" ht="30" customHeight="1">
      <c r="A3" s="190"/>
      <c r="B3" s="191"/>
      <c r="C3" s="197"/>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9"/>
      <c r="BC3" s="206" t="s">
        <v>167</v>
      </c>
      <c r="BD3" s="207"/>
      <c r="BE3" s="208"/>
    </row>
    <row r="4" spans="1:57" ht="30" customHeight="1" thickBot="1">
      <c r="A4" s="192"/>
      <c r="B4" s="193"/>
      <c r="C4" s="200"/>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2"/>
      <c r="BC4" s="209" t="s">
        <v>168</v>
      </c>
      <c r="BD4" s="210"/>
      <c r="BE4" s="211"/>
    </row>
    <row r="5" spans="1:57" ht="23.25" customHeight="1" thickTop="1">
      <c r="BE5" s="11"/>
    </row>
    <row r="6" spans="1:57" ht="28.5" customHeight="1" thickBot="1">
      <c r="B6" s="3" t="s">
        <v>28</v>
      </c>
      <c r="C6" s="6"/>
      <c r="D6" s="6"/>
      <c r="E6" s="6"/>
      <c r="F6" s="6"/>
      <c r="G6" s="97"/>
      <c r="H6" s="98"/>
      <c r="I6" s="97"/>
      <c r="J6" s="99"/>
      <c r="K6" s="99"/>
      <c r="L6" s="6"/>
      <c r="M6" s="6"/>
      <c r="N6" s="6"/>
      <c r="O6" s="100"/>
      <c r="P6" s="101"/>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101"/>
      <c r="AV6" s="101"/>
      <c r="AW6" s="101"/>
      <c r="AX6" s="6"/>
      <c r="AY6" s="6"/>
      <c r="AZ6" s="6"/>
      <c r="BA6" s="6"/>
      <c r="BB6" s="6"/>
      <c r="BC6" s="12"/>
      <c r="BD6" s="32"/>
      <c r="BE6" s="13"/>
    </row>
    <row r="7" spans="1:57" ht="37.15" customHeight="1" thickBot="1">
      <c r="A7" s="1"/>
      <c r="B7" s="8">
        <v>2025</v>
      </c>
      <c r="C7" s="6"/>
      <c r="D7" s="6"/>
      <c r="E7" s="6"/>
      <c r="F7" s="6"/>
      <c r="G7" s="97"/>
      <c r="H7" s="98"/>
      <c r="I7" s="97"/>
      <c r="J7" s="99"/>
      <c r="K7" s="99"/>
      <c r="L7" s="6"/>
      <c r="M7" s="6"/>
      <c r="N7" s="6"/>
      <c r="O7" s="100"/>
      <c r="P7" s="101"/>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101"/>
      <c r="AV7" s="101"/>
      <c r="AW7" s="101"/>
      <c r="AX7" s="6"/>
      <c r="AY7" s="6"/>
      <c r="AZ7" s="6"/>
      <c r="BA7" s="6"/>
      <c r="BB7" s="6"/>
      <c r="BC7" s="12"/>
      <c r="BD7" s="32"/>
      <c r="BE7" s="13"/>
    </row>
    <row r="8" spans="1:57" ht="8.65" customHeight="1" thickBot="1">
      <c r="A8" s="1"/>
      <c r="B8" s="1"/>
      <c r="C8" s="7"/>
      <c r="D8" s="6"/>
      <c r="E8" s="6"/>
      <c r="F8" s="6"/>
      <c r="G8" s="97"/>
      <c r="H8" s="98"/>
      <c r="I8" s="97"/>
      <c r="J8" s="99"/>
      <c r="K8" s="99"/>
      <c r="L8" s="6"/>
      <c r="M8" s="6"/>
      <c r="N8" s="6"/>
      <c r="O8" s="100"/>
      <c r="P8" s="101"/>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101"/>
      <c r="AV8" s="101"/>
      <c r="AW8" s="101"/>
      <c r="AX8" s="6"/>
      <c r="AY8" s="6"/>
      <c r="AZ8" s="6"/>
      <c r="BA8" s="6"/>
      <c r="BB8" s="6"/>
      <c r="BC8" s="12"/>
      <c r="BD8" s="32"/>
      <c r="BE8" s="13"/>
    </row>
    <row r="9" spans="1:57" s="2" customFormat="1" ht="37.9" customHeight="1" thickBot="1">
      <c r="A9" s="180" t="s">
        <v>27</v>
      </c>
      <c r="B9" s="180"/>
      <c r="C9" s="180"/>
      <c r="D9" s="180"/>
      <c r="E9" s="180"/>
      <c r="F9" s="180"/>
      <c r="G9" s="180"/>
      <c r="H9" s="181" t="s">
        <v>25</v>
      </c>
      <c r="I9" s="182"/>
      <c r="J9" s="182"/>
      <c r="K9" s="182"/>
      <c r="L9" s="182"/>
      <c r="M9" s="182"/>
      <c r="N9" s="182"/>
      <c r="O9" s="183"/>
      <c r="P9" s="184" t="s">
        <v>24</v>
      </c>
      <c r="Q9" s="185"/>
      <c r="R9" s="185"/>
      <c r="S9" s="185"/>
      <c r="T9" s="185"/>
      <c r="U9" s="185"/>
      <c r="V9" s="185"/>
      <c r="W9" s="185"/>
      <c r="X9" s="185"/>
      <c r="Y9" s="185"/>
      <c r="Z9" s="185"/>
      <c r="AA9" s="185"/>
      <c r="AB9" s="185"/>
      <c r="AC9" s="185"/>
      <c r="AD9" s="186"/>
      <c r="AE9" s="187"/>
      <c r="AF9" s="181" t="s">
        <v>23</v>
      </c>
      <c r="AG9" s="182"/>
      <c r="AH9" s="182"/>
      <c r="AI9" s="182"/>
      <c r="AJ9" s="182"/>
      <c r="AK9" s="182"/>
      <c r="AL9" s="182"/>
      <c r="AM9" s="182"/>
      <c r="AN9" s="182"/>
      <c r="AO9" s="182"/>
      <c r="AP9" s="182"/>
      <c r="AQ9" s="182"/>
      <c r="AR9" s="182"/>
      <c r="AS9" s="182"/>
      <c r="AT9" s="182"/>
      <c r="AU9" s="182"/>
      <c r="AV9" s="182"/>
      <c r="AW9" s="182"/>
      <c r="AX9" s="181" t="s">
        <v>44</v>
      </c>
      <c r="AY9" s="182"/>
      <c r="AZ9" s="183"/>
      <c r="BA9" s="182" t="s">
        <v>46</v>
      </c>
      <c r="BB9" s="182"/>
      <c r="BC9" s="178" t="s">
        <v>22</v>
      </c>
      <c r="BD9" s="179"/>
      <c r="BE9" s="14"/>
    </row>
    <row r="10" spans="1:57" s="2" customFormat="1" ht="57" customHeight="1">
      <c r="A10" s="48" t="s">
        <v>20</v>
      </c>
      <c r="B10" s="48" t="s">
        <v>19</v>
      </c>
      <c r="C10" s="48" t="s">
        <v>18</v>
      </c>
      <c r="D10" s="48" t="s">
        <v>17</v>
      </c>
      <c r="E10" s="48" t="s">
        <v>16</v>
      </c>
      <c r="F10" s="48" t="s">
        <v>15</v>
      </c>
      <c r="G10" s="102" t="s">
        <v>14</v>
      </c>
      <c r="H10" s="103" t="s">
        <v>34</v>
      </c>
      <c r="I10" s="102" t="s">
        <v>8</v>
      </c>
      <c r="J10" s="104" t="s">
        <v>7</v>
      </c>
      <c r="K10" s="104" t="s">
        <v>6</v>
      </c>
      <c r="L10" s="48" t="s">
        <v>5</v>
      </c>
      <c r="M10" s="48" t="s">
        <v>4</v>
      </c>
      <c r="N10" s="48" t="s">
        <v>3</v>
      </c>
      <c r="O10" s="105" t="s">
        <v>2</v>
      </c>
      <c r="P10" s="106" t="s">
        <v>184</v>
      </c>
      <c r="Q10" s="48" t="s">
        <v>185</v>
      </c>
      <c r="R10" s="48" t="s">
        <v>186</v>
      </c>
      <c r="S10" s="48" t="s">
        <v>187</v>
      </c>
      <c r="T10" s="48" t="s">
        <v>188</v>
      </c>
      <c r="U10" s="48" t="s">
        <v>189</v>
      </c>
      <c r="V10" s="48" t="s">
        <v>190</v>
      </c>
      <c r="W10" s="48" t="s">
        <v>191</v>
      </c>
      <c r="X10" s="48" t="s">
        <v>192</v>
      </c>
      <c r="Y10" s="48" t="s">
        <v>193</v>
      </c>
      <c r="Z10" s="48" t="s">
        <v>194</v>
      </c>
      <c r="AA10" s="48" t="s">
        <v>37</v>
      </c>
      <c r="AB10" s="48" t="s">
        <v>38</v>
      </c>
      <c r="AC10" s="48" t="s">
        <v>195</v>
      </c>
      <c r="AD10" s="48" t="s">
        <v>63</v>
      </c>
      <c r="AE10" s="48" t="s">
        <v>171</v>
      </c>
      <c r="AF10" s="48" t="s">
        <v>196</v>
      </c>
      <c r="AG10" s="48" t="s">
        <v>197</v>
      </c>
      <c r="AH10" s="48" t="s">
        <v>198</v>
      </c>
      <c r="AI10" s="48" t="s">
        <v>199</v>
      </c>
      <c r="AJ10" s="48" t="s">
        <v>200</v>
      </c>
      <c r="AK10" s="48" t="s">
        <v>201</v>
      </c>
      <c r="AL10" s="48" t="s">
        <v>202</v>
      </c>
      <c r="AM10" s="48" t="s">
        <v>203</v>
      </c>
      <c r="AN10" s="48" t="s">
        <v>204</v>
      </c>
      <c r="AO10" s="48" t="s">
        <v>205</v>
      </c>
      <c r="AP10" s="48" t="s">
        <v>206</v>
      </c>
      <c r="AQ10" s="48" t="s">
        <v>207</v>
      </c>
      <c r="AR10" s="48" t="s">
        <v>208</v>
      </c>
      <c r="AS10" s="48" t="s">
        <v>209</v>
      </c>
      <c r="AT10" s="48" t="s">
        <v>64</v>
      </c>
      <c r="AU10" s="106" t="s">
        <v>210</v>
      </c>
      <c r="AV10" s="106" t="s">
        <v>35</v>
      </c>
      <c r="AW10" s="107" t="s">
        <v>36</v>
      </c>
      <c r="AX10" s="48" t="s">
        <v>43</v>
      </c>
      <c r="AY10" s="48" t="s">
        <v>41</v>
      </c>
      <c r="AZ10" s="48" t="s">
        <v>40</v>
      </c>
      <c r="BA10" s="52" t="s">
        <v>45</v>
      </c>
      <c r="BB10" s="64" t="s">
        <v>42</v>
      </c>
      <c r="BC10" s="48" t="s">
        <v>1</v>
      </c>
      <c r="BD10" s="48" t="s">
        <v>0</v>
      </c>
      <c r="BE10" s="50" t="s">
        <v>21</v>
      </c>
    </row>
    <row r="11" spans="1:57" s="116" customFormat="1" ht="180">
      <c r="A11" s="66">
        <v>25</v>
      </c>
      <c r="B11" s="66" t="s">
        <v>65</v>
      </c>
      <c r="C11" s="66" t="s">
        <v>66</v>
      </c>
      <c r="D11" s="66" t="s">
        <v>67</v>
      </c>
      <c r="E11" s="66" t="s">
        <v>68</v>
      </c>
      <c r="F11" s="66" t="s">
        <v>69</v>
      </c>
      <c r="G11" s="108" t="s">
        <v>70</v>
      </c>
      <c r="H11" s="109" t="s">
        <v>110</v>
      </c>
      <c r="I11" s="66" t="s">
        <v>111</v>
      </c>
      <c r="J11" s="110">
        <v>1500000000</v>
      </c>
      <c r="K11" s="110">
        <v>250000000</v>
      </c>
      <c r="L11" s="66" t="s">
        <v>211</v>
      </c>
      <c r="M11" s="111" t="s">
        <v>212</v>
      </c>
      <c r="N11" s="42">
        <f>170+60+200+30</f>
        <v>460</v>
      </c>
      <c r="O11" s="163" t="s">
        <v>235</v>
      </c>
      <c r="P11" s="112">
        <v>250000000</v>
      </c>
      <c r="Q11" s="53"/>
      <c r="R11" s="29"/>
      <c r="S11" s="16"/>
      <c r="T11" s="16">
        <v>0</v>
      </c>
      <c r="U11" s="16"/>
      <c r="V11" s="16"/>
      <c r="W11" s="16"/>
      <c r="X11" s="16"/>
      <c r="Y11" s="16"/>
      <c r="Z11" s="16"/>
      <c r="AA11" s="16"/>
      <c r="AB11" s="16"/>
      <c r="AC11" s="16">
        <v>0</v>
      </c>
      <c r="AD11" s="141">
        <v>500000000</v>
      </c>
      <c r="AE11" s="16">
        <f>SUM(Tabla13[[#This Row],[Recursos propios 2024]:[Recursos del Balance]])</f>
        <v>750000000</v>
      </c>
      <c r="AF11" s="142">
        <v>749140000</v>
      </c>
      <c r="AG11" s="24"/>
      <c r="AH11" s="16"/>
      <c r="AI11" s="16"/>
      <c r="AJ11" s="16"/>
      <c r="AK11" s="16"/>
      <c r="AL11" s="16"/>
      <c r="AM11" s="16"/>
      <c r="AN11" s="16"/>
      <c r="AO11" s="16"/>
      <c r="AP11" s="16"/>
      <c r="AQ11" s="16"/>
      <c r="AR11" s="16"/>
      <c r="AS11" s="16"/>
      <c r="AT11" s="16"/>
      <c r="AU11" s="113">
        <v>749140000</v>
      </c>
      <c r="AV11" s="113">
        <v>305845248</v>
      </c>
      <c r="AW11" s="114">
        <f>+Tabla13[[#This Row],[Total Recursos Obligados]]</f>
        <v>305845248</v>
      </c>
      <c r="AX11" s="20">
        <f>+Tabla13[[#This Row],[Total Recursos Comprometido 2024]]/Tabla13[[#This Row],[Total 2025]]</f>
        <v>0.99885333333333337</v>
      </c>
      <c r="AY11" s="115">
        <f>Tabla13[[#This Row],[Total Recursos Obligados]]</f>
        <v>305845248</v>
      </c>
      <c r="AZ11" s="114">
        <f>Tabla13[[#This Row],[Total Recursos Pagados]]</f>
        <v>305845248</v>
      </c>
      <c r="BA11" s="67"/>
      <c r="BB11" s="61" t="str">
        <f>IF(Tabla13[[#This Row],[Total Recursos Gestionados2]]=0,"_",IF(Tabla13[[#This Row],[Ejecución Recursos Comprometidos]]=0,100%,Tabla13[[#This Row],[Total Recursos Gestionados2]]/Tabla13[[#This Row],[Ejecución Recursos Comprometidos]]))</f>
        <v>_</v>
      </c>
      <c r="BC11" s="41" t="s">
        <v>145</v>
      </c>
      <c r="BD11" s="42" t="s">
        <v>170</v>
      </c>
      <c r="BE11" s="43" t="s">
        <v>147</v>
      </c>
    </row>
    <row r="12" spans="1:57" s="120" customFormat="1" ht="144">
      <c r="A12" s="66">
        <v>74</v>
      </c>
      <c r="B12" s="66" t="s">
        <v>71</v>
      </c>
      <c r="C12" s="66" t="s">
        <v>72</v>
      </c>
      <c r="D12" s="66" t="s">
        <v>73</v>
      </c>
      <c r="E12" s="66" t="s">
        <v>74</v>
      </c>
      <c r="F12" s="66" t="s">
        <v>75</v>
      </c>
      <c r="G12" s="108" t="s">
        <v>76</v>
      </c>
      <c r="H12" s="109" t="s">
        <v>114</v>
      </c>
      <c r="I12" s="66" t="s">
        <v>115</v>
      </c>
      <c r="J12" s="110">
        <v>8791128831.7199993</v>
      </c>
      <c r="K12" s="110">
        <v>1500000000</v>
      </c>
      <c r="L12" s="66" t="s">
        <v>213</v>
      </c>
      <c r="M12" s="111" t="s">
        <v>212</v>
      </c>
      <c r="N12" s="42" t="s">
        <v>214</v>
      </c>
      <c r="O12" s="46" t="s">
        <v>236</v>
      </c>
      <c r="P12" s="117">
        <v>1500000000</v>
      </c>
      <c r="Q12" s="54"/>
      <c r="R12" s="24"/>
      <c r="S12" s="15"/>
      <c r="T12" s="15">
        <v>0</v>
      </c>
      <c r="U12" s="15"/>
      <c r="V12" s="15"/>
      <c r="W12" s="15"/>
      <c r="X12" s="15"/>
      <c r="Y12" s="15"/>
      <c r="Z12" s="15"/>
      <c r="AA12" s="15"/>
      <c r="AB12" s="15"/>
      <c r="AC12" s="15">
        <v>0</v>
      </c>
      <c r="AD12" s="143"/>
      <c r="AE12" s="15">
        <f>SUM(Tabla13[[#This Row],[Recursos propios 2024]:[Recursos del Balance]])</f>
        <v>1500000000</v>
      </c>
      <c r="AF12" s="144">
        <v>1495600000</v>
      </c>
      <c r="AG12" s="24"/>
      <c r="AH12" s="15"/>
      <c r="AI12" s="15"/>
      <c r="AJ12" s="15"/>
      <c r="AK12" s="15"/>
      <c r="AL12" s="15"/>
      <c r="AM12" s="15"/>
      <c r="AN12" s="15"/>
      <c r="AO12" s="15"/>
      <c r="AP12" s="15"/>
      <c r="AQ12" s="15"/>
      <c r="AR12" s="15"/>
      <c r="AS12" s="15"/>
      <c r="AT12" s="15"/>
      <c r="AU12" s="113">
        <v>1495600000</v>
      </c>
      <c r="AV12" s="118">
        <v>1315677571</v>
      </c>
      <c r="AW12" s="119">
        <f>Tabla13[[#This Row],[Total Recursos Obligados]]</f>
        <v>1315677571</v>
      </c>
      <c r="AX12" s="59">
        <f>+Tabla13[[#This Row],[Total Recursos Comprometido 2024]]/Tabla13[[#This Row],[Total 2025]]</f>
        <v>0.99706666666666666</v>
      </c>
      <c r="AY12" s="118">
        <f>Tabla13[[#This Row],[Total Recursos Obligados]]</f>
        <v>1315677571</v>
      </c>
      <c r="AZ12" s="119">
        <f>Tabla13[[#This Row],[Total Recursos Pagados]]</f>
        <v>1315677571</v>
      </c>
      <c r="BA12" s="68"/>
      <c r="BB12" s="62" t="str">
        <f>IF(Tabla13[[#This Row],[Total Recursos Gestionados2]]=0,"_",IF(Tabla13[[#This Row],[Ejecución Recursos Comprometidos]]=0,100%,Tabla13[[#This Row],[Total Recursos Gestionados2]]/Tabla13[[#This Row],[Ejecución Recursos Comprometidos]]))</f>
        <v>_</v>
      </c>
      <c r="BC12" s="41" t="s">
        <v>145</v>
      </c>
      <c r="BD12" s="42" t="s">
        <v>170</v>
      </c>
      <c r="BE12" s="43" t="s">
        <v>148</v>
      </c>
    </row>
    <row r="13" spans="1:57" s="120" customFormat="1" ht="144">
      <c r="A13" s="65">
        <v>74</v>
      </c>
      <c r="B13" s="65" t="s">
        <v>71</v>
      </c>
      <c r="C13" s="65" t="s">
        <v>72</v>
      </c>
      <c r="D13" s="65" t="s">
        <v>73</v>
      </c>
      <c r="E13" s="65" t="s">
        <v>74</v>
      </c>
      <c r="F13" s="65" t="s">
        <v>75</v>
      </c>
      <c r="G13" s="121" t="s">
        <v>76</v>
      </c>
      <c r="H13" s="145">
        <v>202500000021290</v>
      </c>
      <c r="I13" s="65" t="s">
        <v>215</v>
      </c>
      <c r="J13" s="123">
        <v>29790925000</v>
      </c>
      <c r="K13" s="123">
        <v>7000000000</v>
      </c>
      <c r="L13" s="65" t="s">
        <v>226</v>
      </c>
      <c r="M13" s="111" t="s">
        <v>216</v>
      </c>
      <c r="N13" s="42" t="s">
        <v>227</v>
      </c>
      <c r="O13" s="46" t="s">
        <v>237</v>
      </c>
      <c r="P13" s="117"/>
      <c r="Q13" s="54"/>
      <c r="R13" s="24"/>
      <c r="S13" s="15"/>
      <c r="T13" s="15"/>
      <c r="U13" s="27"/>
      <c r="V13" s="15"/>
      <c r="W13" s="15"/>
      <c r="X13" s="15"/>
      <c r="Y13" s="15"/>
      <c r="Z13" s="15"/>
      <c r="AA13" s="15"/>
      <c r="AB13" s="15"/>
      <c r="AC13" s="15"/>
      <c r="AD13" s="146">
        <v>9300000000</v>
      </c>
      <c r="AE13" s="71">
        <f>SUM(Tabla13[[#This Row],[Recursos propios 2024]:[Recursos del Balance]])</f>
        <v>9300000000</v>
      </c>
      <c r="AF13" s="142">
        <v>9230816665</v>
      </c>
      <c r="AG13" s="24"/>
      <c r="AH13" s="15"/>
      <c r="AI13" s="15"/>
      <c r="AJ13" s="25"/>
      <c r="AK13" s="15"/>
      <c r="AL13" s="15"/>
      <c r="AM13" s="15"/>
      <c r="AN13" s="15"/>
      <c r="AO13" s="15"/>
      <c r="AP13" s="15"/>
      <c r="AQ13" s="15"/>
      <c r="AR13" s="15"/>
      <c r="AS13" s="15"/>
      <c r="AT13" s="15"/>
      <c r="AU13" s="113">
        <v>9230816665</v>
      </c>
      <c r="AV13" s="115">
        <v>6589722670.9799995</v>
      </c>
      <c r="AW13" s="114">
        <f>Tabla13[[#This Row],[Total Recursos Obligados]]</f>
        <v>6589722670.9799995</v>
      </c>
      <c r="AX13" s="20">
        <f>+Tabla13[[#This Row],[Total Recursos Comprometido 2024]]/Tabla13[[#This Row],[Total 2025]]</f>
        <v>0.99256093172043014</v>
      </c>
      <c r="AY13" s="115">
        <f>Tabla13[[#This Row],[Total Recursos Obligados]]</f>
        <v>6589722670.9799995</v>
      </c>
      <c r="AZ13" s="114">
        <f>Tabla13[[#This Row],[Total Recursos Pagados]]</f>
        <v>6589722670.9799995</v>
      </c>
      <c r="BA13" s="67"/>
      <c r="BB13" s="61" t="str">
        <f>IF(Tabla13[[#This Row],[Total Recursos Gestionados2]]=0,"_",IF(Tabla13[[#This Row],[Ejecución Recursos Comprometidos]]=0,100%,Tabla13[[#This Row],[Total Recursos Gestionados2]]/Tabla13[[#This Row],[Ejecución Recursos Comprometidos]]))</f>
        <v>_</v>
      </c>
      <c r="BC13" s="41" t="s">
        <v>145</v>
      </c>
      <c r="BD13" s="42" t="s">
        <v>170</v>
      </c>
      <c r="BE13" s="43"/>
    </row>
    <row r="14" spans="1:57" s="124" customFormat="1" ht="102.75" customHeight="1">
      <c r="A14" s="66">
        <v>74</v>
      </c>
      <c r="B14" s="66" t="s">
        <v>71</v>
      </c>
      <c r="C14" s="66" t="s">
        <v>72</v>
      </c>
      <c r="D14" s="66" t="s">
        <v>73</v>
      </c>
      <c r="E14" s="66" t="s">
        <v>74</v>
      </c>
      <c r="F14" s="66" t="s">
        <v>75</v>
      </c>
      <c r="G14" s="108" t="s">
        <v>76</v>
      </c>
      <c r="H14" s="109" t="s">
        <v>117</v>
      </c>
      <c r="I14" s="66" t="s">
        <v>118</v>
      </c>
      <c r="J14" s="110">
        <v>749827150</v>
      </c>
      <c r="K14" s="110">
        <v>257000000</v>
      </c>
      <c r="L14" s="66" t="s">
        <v>217</v>
      </c>
      <c r="M14" s="111" t="s">
        <v>113</v>
      </c>
      <c r="N14" s="42">
        <v>400</v>
      </c>
      <c r="O14" s="46" t="s">
        <v>238</v>
      </c>
      <c r="P14" s="117">
        <v>257000000</v>
      </c>
      <c r="Q14" s="54"/>
      <c r="R14" s="44"/>
      <c r="S14" s="15"/>
      <c r="T14" s="15"/>
      <c r="U14" s="15"/>
      <c r="V14" s="15"/>
      <c r="W14" s="15"/>
      <c r="X14" s="15"/>
      <c r="Y14" s="15"/>
      <c r="Z14" s="15"/>
      <c r="AA14" s="15"/>
      <c r="AB14" s="15"/>
      <c r="AC14" s="15"/>
      <c r="AD14" s="147">
        <v>109724000</v>
      </c>
      <c r="AE14" s="15">
        <f>SUM(Tabla13[[#This Row],[Recursos propios 2024]:[Recursos del Balance]])</f>
        <v>366724000</v>
      </c>
      <c r="AF14" s="142">
        <v>366724000</v>
      </c>
      <c r="AG14" s="24"/>
      <c r="AH14" s="15"/>
      <c r="AI14" s="15"/>
      <c r="AJ14" s="15"/>
      <c r="AK14" s="15"/>
      <c r="AL14" s="15"/>
      <c r="AM14" s="15"/>
      <c r="AN14" s="15"/>
      <c r="AO14" s="15"/>
      <c r="AP14" s="15"/>
      <c r="AQ14" s="15"/>
      <c r="AR14" s="15"/>
      <c r="AS14" s="15"/>
      <c r="AT14" s="15"/>
      <c r="AU14" s="113">
        <v>366724000</v>
      </c>
      <c r="AV14" s="118">
        <v>270822320</v>
      </c>
      <c r="AW14" s="119">
        <f>Tabla13[[#This Row],[Total Recursos Obligados]]</f>
        <v>270822320</v>
      </c>
      <c r="AX14" s="59">
        <f>+Tabla13[[#This Row],[Total Recursos Comprometido 2024]]/Tabla13[[#This Row],[Total 2025]]</f>
        <v>1</v>
      </c>
      <c r="AY14" s="118">
        <f>Tabla13[[#This Row],[Total Recursos Obligados]]</f>
        <v>270822320</v>
      </c>
      <c r="AZ14" s="119">
        <f>Tabla13[[#This Row],[Total Recursos Pagados]]</f>
        <v>270822320</v>
      </c>
      <c r="BA14" s="68"/>
      <c r="BB14" s="62" t="str">
        <f>IF(Tabla13[[#This Row],[Total Recursos Gestionados2]]=0,"_",IF(Tabla13[[#This Row],[Ejecución Recursos Comprometidos]]=0,100%,Tabla13[[#This Row],[Total Recursos Gestionados2]]/Tabla13[[#This Row],[Ejecución Recursos Comprometidos]]))</f>
        <v>_</v>
      </c>
      <c r="BC14" s="41" t="s">
        <v>145</v>
      </c>
      <c r="BD14" s="42" t="s">
        <v>170</v>
      </c>
      <c r="BE14" s="43"/>
    </row>
    <row r="15" spans="1:57" s="124" customFormat="1" ht="156" customHeight="1">
      <c r="A15" s="65">
        <v>74</v>
      </c>
      <c r="B15" s="65" t="s">
        <v>71</v>
      </c>
      <c r="C15" s="65" t="s">
        <v>72</v>
      </c>
      <c r="D15" s="65" t="s">
        <v>73</v>
      </c>
      <c r="E15" s="65" t="s">
        <v>74</v>
      </c>
      <c r="F15" s="65" t="s">
        <v>75</v>
      </c>
      <c r="G15" s="121" t="s">
        <v>76</v>
      </c>
      <c r="H15" s="122" t="s">
        <v>119</v>
      </c>
      <c r="I15" s="65" t="s">
        <v>120</v>
      </c>
      <c r="J15" s="123"/>
      <c r="K15" s="123">
        <v>15800000</v>
      </c>
      <c r="L15" s="65" t="s">
        <v>116</v>
      </c>
      <c r="M15" s="30" t="s">
        <v>121</v>
      </c>
      <c r="N15" s="38">
        <v>150</v>
      </c>
      <c r="O15" s="175" t="s">
        <v>239</v>
      </c>
      <c r="P15" s="125">
        <v>15800000</v>
      </c>
      <c r="Q15" s="55"/>
      <c r="R15" s="24"/>
      <c r="S15" s="15"/>
      <c r="T15" s="15"/>
      <c r="U15" s="15"/>
      <c r="V15" s="15"/>
      <c r="W15" s="15"/>
      <c r="X15" s="15"/>
      <c r="Y15" s="15"/>
      <c r="Z15" s="15"/>
      <c r="AA15" s="15"/>
      <c r="AB15" s="15"/>
      <c r="AC15" s="15"/>
      <c r="AD15" s="15"/>
      <c r="AE15" s="27">
        <f>SUM(Tabla13[[#This Row],[Recursos propios 2024]:[Recursos del Balance]])</f>
        <v>15800000</v>
      </c>
      <c r="AF15" s="142">
        <v>15800000</v>
      </c>
      <c r="AG15" s="24"/>
      <c r="AH15" s="15"/>
      <c r="AI15" s="15"/>
      <c r="AJ15" s="15"/>
      <c r="AK15" s="15"/>
      <c r="AL15" s="15"/>
      <c r="AM15" s="15"/>
      <c r="AN15" s="15"/>
      <c r="AO15" s="15"/>
      <c r="AP15" s="15"/>
      <c r="AQ15" s="15"/>
      <c r="AR15" s="15"/>
      <c r="AS15" s="15"/>
      <c r="AT15" s="15"/>
      <c r="AU15" s="113">
        <v>15800000</v>
      </c>
      <c r="AV15" s="118">
        <v>9822154</v>
      </c>
      <c r="AW15" s="119">
        <f>Tabla13[[#This Row],[Total Recursos Obligados]]</f>
        <v>9822154</v>
      </c>
      <c r="AX15" s="19">
        <f>+Tabla13[[#This Row],[Total Recursos Comprometido 2024]]/Tabla13[[#This Row],[Total 2025]]</f>
        <v>1</v>
      </c>
      <c r="AY15" s="126">
        <f>Tabla13[[#This Row],[Total Recursos Obligados]]</f>
        <v>9822154</v>
      </c>
      <c r="AZ15" s="127">
        <f>Tabla13[[#This Row],[Total Recursos Pagados]]</f>
        <v>9822154</v>
      </c>
      <c r="BA15" s="69"/>
      <c r="BB15" s="63" t="str">
        <f>IF(Tabla13[[#This Row],[Total Recursos Gestionados2]]=0,"_",IF(Tabla13[[#This Row],[Ejecución Recursos Comprometidos]]=0,100%,Tabla13[[#This Row],[Total Recursos Gestionados2]]/Tabla13[[#This Row],[Ejecución Recursos Comprometidos]]))</f>
        <v>_</v>
      </c>
      <c r="BC15" s="41" t="s">
        <v>145</v>
      </c>
      <c r="BD15" s="42" t="s">
        <v>170</v>
      </c>
      <c r="BE15" s="43">
        <v>8.11</v>
      </c>
    </row>
    <row r="16" spans="1:57" s="124" customFormat="1" ht="174.95" customHeight="1">
      <c r="A16" s="66">
        <v>75</v>
      </c>
      <c r="B16" s="66" t="s">
        <v>71</v>
      </c>
      <c r="C16" s="66" t="s">
        <v>72</v>
      </c>
      <c r="D16" s="66" t="s">
        <v>73</v>
      </c>
      <c r="E16" s="66" t="s">
        <v>74</v>
      </c>
      <c r="F16" s="66" t="s">
        <v>77</v>
      </c>
      <c r="G16" s="108" t="s">
        <v>78</v>
      </c>
      <c r="H16" s="109" t="s">
        <v>119</v>
      </c>
      <c r="I16" s="66" t="s">
        <v>120</v>
      </c>
      <c r="J16" s="110">
        <v>1173833760.01</v>
      </c>
      <c r="K16" s="110">
        <v>85060000</v>
      </c>
      <c r="L16" s="66" t="s">
        <v>116</v>
      </c>
      <c r="M16" s="111" t="s">
        <v>113</v>
      </c>
      <c r="N16" s="42">
        <v>558</v>
      </c>
      <c r="O16" s="46" t="s">
        <v>240</v>
      </c>
      <c r="P16" s="128">
        <v>85060000</v>
      </c>
      <c r="Q16" s="56"/>
      <c r="R16" s="29"/>
      <c r="S16" s="16"/>
      <c r="T16" s="16">
        <v>0</v>
      </c>
      <c r="U16" s="16"/>
      <c r="V16" s="16"/>
      <c r="W16" s="16"/>
      <c r="X16" s="16"/>
      <c r="Y16" s="16"/>
      <c r="Z16" s="16"/>
      <c r="AA16" s="16"/>
      <c r="AB16" s="16"/>
      <c r="AC16" s="16">
        <v>0</v>
      </c>
      <c r="AD16" s="148">
        <v>76789200</v>
      </c>
      <c r="AE16" s="27">
        <f>SUM(Tabla13[[#This Row],[Recursos propios 2024]:[Recursos del Balance]])</f>
        <v>161849200</v>
      </c>
      <c r="AF16" s="142">
        <v>148500000</v>
      </c>
      <c r="AG16" s="29"/>
      <c r="AH16" s="16"/>
      <c r="AI16" s="16"/>
      <c r="AJ16" s="16"/>
      <c r="AK16" s="16"/>
      <c r="AL16" s="16"/>
      <c r="AM16" s="16"/>
      <c r="AN16" s="16"/>
      <c r="AO16" s="16"/>
      <c r="AP16" s="16"/>
      <c r="AQ16" s="16"/>
      <c r="AR16" s="16"/>
      <c r="AS16" s="28"/>
      <c r="AT16" s="16"/>
      <c r="AU16" s="113">
        <v>148500000</v>
      </c>
      <c r="AV16" s="115">
        <v>67600000</v>
      </c>
      <c r="AW16" s="114">
        <v>67600000</v>
      </c>
      <c r="AX16" s="20">
        <f>+Tabla13[[#This Row],[Total Recursos Comprometido 2024]]/Tabla13[[#This Row],[Total 2025]]</f>
        <v>0.91752075388695153</v>
      </c>
      <c r="AY16" s="115">
        <f>Tabla13[[#This Row],[Total Recursos Obligados]]</f>
        <v>67600000</v>
      </c>
      <c r="AZ16" s="114">
        <f>Tabla13[[#This Row],[Total Recursos Pagados]]</f>
        <v>67600000</v>
      </c>
      <c r="BA16" s="67"/>
      <c r="BB16" s="61" t="str">
        <f>IF(Tabla13[[#This Row],[Total Recursos Gestionados2]]=0,"_",IF(Tabla13[[#This Row],[Ejecución Recursos Comprometidos]]=0,100%,Tabla13[[#This Row],[Total Recursos Gestionados2]]/Tabla13[[#This Row],[Ejecución Recursos Comprometidos]]))</f>
        <v>_</v>
      </c>
      <c r="BC16" s="41" t="s">
        <v>145</v>
      </c>
      <c r="BD16" s="42" t="s">
        <v>170</v>
      </c>
      <c r="BE16" s="43" t="s">
        <v>148</v>
      </c>
    </row>
    <row r="17" spans="1:57" s="124" customFormat="1" ht="198">
      <c r="A17" s="65">
        <v>76</v>
      </c>
      <c r="B17" s="65" t="s">
        <v>71</v>
      </c>
      <c r="C17" s="65" t="s">
        <v>72</v>
      </c>
      <c r="D17" s="65" t="s">
        <v>73</v>
      </c>
      <c r="E17" s="65" t="s">
        <v>74</v>
      </c>
      <c r="F17" s="65" t="s">
        <v>79</v>
      </c>
      <c r="G17" s="121" t="s">
        <v>80</v>
      </c>
      <c r="H17" s="122" t="s">
        <v>119</v>
      </c>
      <c r="I17" s="65" t="s">
        <v>120</v>
      </c>
      <c r="J17" s="123"/>
      <c r="K17" s="123">
        <v>199140000</v>
      </c>
      <c r="L17" s="65" t="s">
        <v>116</v>
      </c>
      <c r="M17" s="30" t="s">
        <v>113</v>
      </c>
      <c r="N17" s="38">
        <v>44</v>
      </c>
      <c r="O17" s="46" t="s">
        <v>241</v>
      </c>
      <c r="P17" s="117">
        <v>199140000</v>
      </c>
      <c r="Q17" s="54"/>
      <c r="R17" s="24"/>
      <c r="S17" s="15"/>
      <c r="T17" s="15">
        <v>0</v>
      </c>
      <c r="U17" s="15"/>
      <c r="V17" s="15"/>
      <c r="W17" s="15"/>
      <c r="X17" s="15"/>
      <c r="Y17" s="15"/>
      <c r="Z17" s="15"/>
      <c r="AA17" s="15"/>
      <c r="AB17" s="15"/>
      <c r="AC17" s="15">
        <v>0</v>
      </c>
      <c r="AD17" s="147">
        <v>29560000</v>
      </c>
      <c r="AE17" s="27">
        <f>SUM(Tabla13[[#This Row],[Recursos propios 2024]:[Recursos del Balance]])</f>
        <v>228700000</v>
      </c>
      <c r="AF17" s="142">
        <v>228400000</v>
      </c>
      <c r="AG17" s="24"/>
      <c r="AH17" s="15"/>
      <c r="AI17" s="15"/>
      <c r="AJ17" s="15"/>
      <c r="AK17" s="15"/>
      <c r="AL17" s="15"/>
      <c r="AM17" s="15"/>
      <c r="AN17" s="15"/>
      <c r="AO17" s="15"/>
      <c r="AP17" s="15"/>
      <c r="AQ17" s="15"/>
      <c r="AR17" s="15"/>
      <c r="AS17" s="15"/>
      <c r="AT17" s="15"/>
      <c r="AU17" s="113">
        <v>228400000</v>
      </c>
      <c r="AV17" s="118">
        <v>148200000</v>
      </c>
      <c r="AW17" s="119">
        <f>Tabla13[[#This Row],[Total Recursos Obligados]]</f>
        <v>148200000</v>
      </c>
      <c r="AX17" s="59">
        <f>+Tabla13[[#This Row],[Total Recursos Comprometido 2024]]/Tabla13[[#This Row],[Total 2025]]</f>
        <v>0.99868823786620031</v>
      </c>
      <c r="AY17" s="118">
        <f>Tabla13[[#This Row],[Total Recursos Obligados]]</f>
        <v>148200000</v>
      </c>
      <c r="AZ17" s="119">
        <f>Tabla13[[#This Row],[Total Recursos Pagados]]</f>
        <v>148200000</v>
      </c>
      <c r="BA17" s="68"/>
      <c r="BB17" s="62" t="str">
        <f>IF(Tabla13[[#This Row],[Total Recursos Gestionados2]]=0,"_",IF(Tabla13[[#This Row],[Ejecución Recursos Comprometidos]]=0,100%,Tabla13[[#This Row],[Total Recursos Gestionados2]]/Tabla13[[#This Row],[Ejecución Recursos Comprometidos]]))</f>
        <v>_</v>
      </c>
      <c r="BC17" s="41" t="s">
        <v>145</v>
      </c>
      <c r="BD17" s="42" t="s">
        <v>170</v>
      </c>
      <c r="BE17" s="43" t="s">
        <v>148</v>
      </c>
    </row>
    <row r="18" spans="1:57" s="124" customFormat="1" ht="234">
      <c r="A18" s="66">
        <v>139</v>
      </c>
      <c r="B18" s="66" t="s">
        <v>81</v>
      </c>
      <c r="C18" s="66" t="s">
        <v>66</v>
      </c>
      <c r="D18" s="66" t="s">
        <v>67</v>
      </c>
      <c r="E18" s="66" t="s">
        <v>68</v>
      </c>
      <c r="F18" s="66" t="s">
        <v>82</v>
      </c>
      <c r="G18" s="108" t="s">
        <v>83</v>
      </c>
      <c r="H18" s="109" t="s">
        <v>122</v>
      </c>
      <c r="I18" s="66" t="s">
        <v>123</v>
      </c>
      <c r="J18" s="110">
        <v>21450696112.060001</v>
      </c>
      <c r="K18" s="110">
        <v>1443000000</v>
      </c>
      <c r="L18" s="66" t="s">
        <v>116</v>
      </c>
      <c r="M18" s="111" t="s">
        <v>218</v>
      </c>
      <c r="N18" s="42">
        <f>22+154+258+57</f>
        <v>491</v>
      </c>
      <c r="O18" s="46" t="s">
        <v>228</v>
      </c>
      <c r="P18" s="128">
        <v>1443000000</v>
      </c>
      <c r="Q18" s="56"/>
      <c r="R18" s="29"/>
      <c r="S18" s="16"/>
      <c r="T18" s="16">
        <v>0</v>
      </c>
      <c r="U18" s="16"/>
      <c r="V18" s="16"/>
      <c r="W18" s="16"/>
      <c r="X18" s="16"/>
      <c r="Y18" s="16"/>
      <c r="Z18" s="16"/>
      <c r="AA18" s="16"/>
      <c r="AB18" s="16"/>
      <c r="AC18" s="16">
        <v>0</v>
      </c>
      <c r="AD18" s="148">
        <v>6066305086.8499994</v>
      </c>
      <c r="AE18" s="15">
        <v>7509305086.8499994</v>
      </c>
      <c r="AF18" s="142">
        <v>5354322207.3099995</v>
      </c>
      <c r="AG18" s="29"/>
      <c r="AH18" s="15"/>
      <c r="AI18" s="16"/>
      <c r="AJ18" s="16">
        <v>1770974188.6900001</v>
      </c>
      <c r="AK18" s="16"/>
      <c r="AL18" s="16"/>
      <c r="AM18" s="16"/>
      <c r="AN18" s="16"/>
      <c r="AO18" s="16"/>
      <c r="AP18" s="16"/>
      <c r="AQ18" s="16"/>
      <c r="AR18" s="16"/>
      <c r="AS18" s="28"/>
      <c r="AT18" s="16"/>
      <c r="AU18" s="113">
        <v>7125296396</v>
      </c>
      <c r="AV18" s="115">
        <v>5366482161.000001</v>
      </c>
      <c r="AW18" s="114">
        <v>5334482161.000001</v>
      </c>
      <c r="AX18" s="20">
        <f>+Tabla13[[#This Row],[Total Recursos Comprometido 2024]]/Tabla13[[#This Row],[Total 2025]]</f>
        <v>0.94886228666851469</v>
      </c>
      <c r="AY18" s="119">
        <f>Tabla13[[#This Row],[Total Recursos Obligados]]</f>
        <v>5366482161.000001</v>
      </c>
      <c r="AZ18" s="119">
        <f>Tabla13[[#This Row],[Total Recursos Pagados]]</f>
        <v>5334482161.000001</v>
      </c>
      <c r="BA18" s="67"/>
      <c r="BB18" s="61" t="str">
        <f>IF(Tabla13[[#This Row],[Total Recursos Gestionados2]]=0,"_",IF(Tabla13[[#This Row],[Ejecución Recursos Comprometidos]]=0,100%,Tabla13[[#This Row],[Total Recursos Gestionados2]]/Tabla13[[#This Row],[Ejecución Recursos Comprometidos]]))</f>
        <v>_</v>
      </c>
      <c r="BC18" s="41" t="s">
        <v>145</v>
      </c>
      <c r="BD18" s="42" t="s">
        <v>170</v>
      </c>
      <c r="BE18" s="43" t="s">
        <v>149</v>
      </c>
    </row>
    <row r="19" spans="1:57" s="174" customFormat="1" ht="198">
      <c r="A19" s="156">
        <v>139</v>
      </c>
      <c r="B19" s="156" t="s">
        <v>230</v>
      </c>
      <c r="C19" s="156" t="s">
        <v>231</v>
      </c>
      <c r="D19" s="156">
        <v>3301</v>
      </c>
      <c r="E19" s="156" t="s">
        <v>68</v>
      </c>
      <c r="F19" s="156" t="s">
        <v>82</v>
      </c>
      <c r="G19" s="157" t="s">
        <v>83</v>
      </c>
      <c r="H19" s="158" t="s">
        <v>232</v>
      </c>
      <c r="I19" s="159" t="s">
        <v>233</v>
      </c>
      <c r="J19" s="160">
        <v>2765716607.1100001</v>
      </c>
      <c r="K19" s="160">
        <v>430716607.11000001</v>
      </c>
      <c r="L19" s="159" t="s">
        <v>116</v>
      </c>
      <c r="M19" s="161" t="s">
        <v>218</v>
      </c>
      <c r="N19" s="162">
        <v>491</v>
      </c>
      <c r="O19" s="163" t="s">
        <v>228</v>
      </c>
      <c r="P19" s="164"/>
      <c r="Q19" s="165"/>
      <c r="R19" s="166"/>
      <c r="S19" s="147"/>
      <c r="T19" s="147"/>
      <c r="U19" s="147"/>
      <c r="V19" s="147"/>
      <c r="W19" s="147"/>
      <c r="X19" s="147"/>
      <c r="Y19" s="147"/>
      <c r="Z19" s="147"/>
      <c r="AA19" s="147"/>
      <c r="AB19" s="147"/>
      <c r="AC19" s="147"/>
      <c r="AD19" s="147">
        <v>12750000</v>
      </c>
      <c r="AE19" s="146">
        <f>SUM(Tabla13[[#This Row],[Recursos propios 2024]:[Recursos del Balance]])</f>
        <v>12750000</v>
      </c>
      <c r="AF19" s="142">
        <v>430716607</v>
      </c>
      <c r="AG19" s="166"/>
      <c r="AH19" s="147"/>
      <c r="AI19" s="147"/>
      <c r="AJ19" s="147"/>
      <c r="AK19" s="147"/>
      <c r="AL19" s="147"/>
      <c r="AM19" s="147"/>
      <c r="AN19" s="147"/>
      <c r="AO19" s="147"/>
      <c r="AP19" s="147"/>
      <c r="AQ19" s="147"/>
      <c r="AR19" s="147"/>
      <c r="AS19" s="147"/>
      <c r="AT19" s="147"/>
      <c r="AU19" s="167">
        <v>430716607</v>
      </c>
      <c r="AV19" s="164">
        <v>7000000</v>
      </c>
      <c r="AW19" s="168">
        <v>7000000</v>
      </c>
      <c r="AX19" s="169">
        <f>+Tabla13[[#This Row],[Total Recursos Comprometido 2024]]/Tabla13[[#This Row],[Total 2025]]</f>
        <v>33.781694666666667</v>
      </c>
      <c r="AY19" s="170">
        <f>Tabla13[[#This Row],[Total Recursos Obligados]]</f>
        <v>7000000</v>
      </c>
      <c r="AZ19" s="170">
        <f>Tabla13[[#This Row],[Total Recursos Pagados]]</f>
        <v>7000000</v>
      </c>
      <c r="BA19" s="171"/>
      <c r="BB19" s="172" t="str">
        <f>IF(Tabla13[[#This Row],[Total Recursos Gestionados2]]=0,"_",IF(Tabla13[[#This Row],[Ejecución Recursos Comprometidos]]=0,100%,Tabla13[[#This Row],[Total Recursos Gestionados2]]/Tabla13[[#This Row],[Ejecución Recursos Comprometidos]]))</f>
        <v>_</v>
      </c>
      <c r="BC19" s="173" t="s">
        <v>145</v>
      </c>
      <c r="BD19" s="42" t="s">
        <v>170</v>
      </c>
      <c r="BE19" s="43" t="s">
        <v>149</v>
      </c>
    </row>
    <row r="20" spans="1:57" s="10" customFormat="1" ht="234">
      <c r="A20" s="65">
        <v>140</v>
      </c>
      <c r="B20" s="65" t="s">
        <v>81</v>
      </c>
      <c r="C20" s="65" t="s">
        <v>66</v>
      </c>
      <c r="D20" s="65" t="s">
        <v>67</v>
      </c>
      <c r="E20" s="65" t="s">
        <v>68</v>
      </c>
      <c r="F20" s="65" t="s">
        <v>84</v>
      </c>
      <c r="G20" s="121" t="s">
        <v>85</v>
      </c>
      <c r="H20" s="122" t="s">
        <v>122</v>
      </c>
      <c r="I20" s="65" t="s">
        <v>123</v>
      </c>
      <c r="J20" s="123">
        <v>0</v>
      </c>
      <c r="K20" s="123">
        <v>0</v>
      </c>
      <c r="L20" s="66" t="s">
        <v>116</v>
      </c>
      <c r="M20" s="111" t="s">
        <v>218</v>
      </c>
      <c r="N20" s="38">
        <v>13.938000000000001</v>
      </c>
      <c r="O20" s="46" t="s">
        <v>219</v>
      </c>
      <c r="P20" s="117">
        <v>0</v>
      </c>
      <c r="Q20" s="54"/>
      <c r="R20" s="24"/>
      <c r="S20" s="15"/>
      <c r="T20" s="15">
        <v>0</v>
      </c>
      <c r="U20" s="15"/>
      <c r="V20" s="15"/>
      <c r="W20" s="15"/>
      <c r="X20" s="15"/>
      <c r="Y20" s="15"/>
      <c r="Z20" s="15"/>
      <c r="AA20" s="15"/>
      <c r="AB20" s="15"/>
      <c r="AC20" s="15"/>
      <c r="AD20" s="15"/>
      <c r="AE20" s="15">
        <f>SUM(Tabla13[[#This Row],[Recursos propios 2024]:[Recursos del Balance]])</f>
        <v>0</v>
      </c>
      <c r="AF20" s="57">
        <v>0</v>
      </c>
      <c r="AG20" s="24"/>
      <c r="AH20" s="15"/>
      <c r="AI20" s="15"/>
      <c r="AJ20" s="15"/>
      <c r="AK20" s="15"/>
      <c r="AL20" s="15"/>
      <c r="AM20" s="15"/>
      <c r="AN20" s="15"/>
      <c r="AO20" s="15"/>
      <c r="AP20" s="15"/>
      <c r="AQ20" s="15"/>
      <c r="AR20" s="15"/>
      <c r="AS20" s="15"/>
      <c r="AT20" s="15"/>
      <c r="AU20" s="113">
        <v>0</v>
      </c>
      <c r="AV20" s="118">
        <v>0</v>
      </c>
      <c r="AW20" s="119"/>
      <c r="AX20" s="59" t="e">
        <f>+Tabla13[[#This Row],[Total Recursos Comprometido 2024]]/Tabla13[[#This Row],[Total 2025]]</f>
        <v>#DIV/0!</v>
      </c>
      <c r="AY20" s="118">
        <f>Tabla13[[#This Row],[Total Recursos Obligados]]</f>
        <v>0</v>
      </c>
      <c r="AZ20" s="119">
        <f>Tabla13[[#This Row],[Total Recursos Pagados]]</f>
        <v>0</v>
      </c>
      <c r="BA20" s="68"/>
      <c r="BB20" s="62" t="str">
        <f>IF(Tabla13[[#This Row],[Total Recursos Gestionados2]]=0,"_",IF(Tabla13[[#This Row],[Ejecución Recursos Comprometidos]]=0,100%,Tabla13[[#This Row],[Total Recursos Gestionados2]]/Tabla13[[#This Row],[Ejecución Recursos Comprometidos]]))</f>
        <v>_</v>
      </c>
      <c r="BC20" s="41" t="s">
        <v>145</v>
      </c>
      <c r="BD20" s="42" t="s">
        <v>170</v>
      </c>
      <c r="BE20" s="43" t="s">
        <v>149</v>
      </c>
    </row>
    <row r="21" spans="1:57" s="124" customFormat="1" ht="198">
      <c r="A21" s="66">
        <v>139</v>
      </c>
      <c r="B21" s="66" t="s">
        <v>81</v>
      </c>
      <c r="C21" s="66" t="s">
        <v>66</v>
      </c>
      <c r="D21" s="66" t="s">
        <v>67</v>
      </c>
      <c r="E21" s="66" t="s">
        <v>68</v>
      </c>
      <c r="F21" s="66" t="s">
        <v>82</v>
      </c>
      <c r="G21" s="108" t="s">
        <v>83</v>
      </c>
      <c r="H21" s="149">
        <v>2024680010152</v>
      </c>
      <c r="I21" s="66" t="s">
        <v>124</v>
      </c>
      <c r="J21" s="110">
        <v>1551291350.47</v>
      </c>
      <c r="K21" s="110">
        <v>871163592</v>
      </c>
      <c r="L21" s="66" t="s">
        <v>112</v>
      </c>
      <c r="M21" s="30" t="s">
        <v>220</v>
      </c>
      <c r="N21" s="38">
        <v>16</v>
      </c>
      <c r="O21" s="46" t="s">
        <v>242</v>
      </c>
      <c r="P21" s="117">
        <v>871163592</v>
      </c>
      <c r="Q21" s="54"/>
      <c r="R21" s="24"/>
      <c r="S21" s="15"/>
      <c r="T21" s="15"/>
      <c r="U21" s="15"/>
      <c r="V21" s="15"/>
      <c r="W21" s="15"/>
      <c r="X21" s="15"/>
      <c r="Y21" s="15"/>
      <c r="Z21" s="15"/>
      <c r="AA21" s="15"/>
      <c r="AB21" s="15"/>
      <c r="AC21" s="15"/>
      <c r="AD21" s="15"/>
      <c r="AE21" s="71">
        <f>SUM(Tabla13[[#This Row],[Recursos propios 2024]:[Recursos del Balance]])</f>
        <v>871163592</v>
      </c>
      <c r="AF21" s="142">
        <v>871163592</v>
      </c>
      <c r="AG21" s="24"/>
      <c r="AH21" s="15"/>
      <c r="AI21" s="15"/>
      <c r="AJ21" s="15"/>
      <c r="AK21" s="15"/>
      <c r="AL21" s="15"/>
      <c r="AM21" s="15"/>
      <c r="AN21" s="15"/>
      <c r="AO21" s="15"/>
      <c r="AP21" s="15"/>
      <c r="AQ21" s="15"/>
      <c r="AR21" s="15"/>
      <c r="AS21" s="15"/>
      <c r="AT21" s="15"/>
      <c r="AU21" s="113">
        <v>871163592</v>
      </c>
      <c r="AV21" s="118">
        <v>856017075</v>
      </c>
      <c r="AW21" s="119">
        <v>856017075</v>
      </c>
      <c r="AX21" s="59">
        <f>+Tabla13[[#This Row],[Total Recursos Comprometido 2024]]/Tabla13[[#This Row],[Total 2025]]</f>
        <v>1</v>
      </c>
      <c r="AY21" s="118">
        <f>Tabla13[[#This Row],[Total Recursos Obligados]]</f>
        <v>856017075</v>
      </c>
      <c r="AZ21" s="119">
        <f>Tabla13[[#This Row],[Total Recursos Pagados]]</f>
        <v>856017075</v>
      </c>
      <c r="BA21" s="68"/>
      <c r="BB21" s="62" t="str">
        <f>IF(Tabla13[[#This Row],[Total Recursos Gestionados2]]=0,"_",IF(Tabla13[[#This Row],[Ejecución Recursos Comprometidos]]=0,100%,Tabla13[[#This Row],[Total Recursos Gestionados2]]/Tabla13[[#This Row],[Ejecución Recursos Comprometidos]]))</f>
        <v>_</v>
      </c>
      <c r="BC21" s="41" t="s">
        <v>145</v>
      </c>
      <c r="BD21" s="42" t="s">
        <v>170</v>
      </c>
      <c r="BE21" s="43"/>
    </row>
    <row r="22" spans="1:57" s="124" customFormat="1" ht="198">
      <c r="A22" s="66">
        <v>139</v>
      </c>
      <c r="B22" s="66" t="s">
        <v>81</v>
      </c>
      <c r="C22" s="66" t="s">
        <v>66</v>
      </c>
      <c r="D22" s="66" t="s">
        <v>92</v>
      </c>
      <c r="E22" s="66" t="s">
        <v>68</v>
      </c>
      <c r="F22" s="66" t="s">
        <v>234</v>
      </c>
      <c r="G22" s="108" t="s">
        <v>83</v>
      </c>
      <c r="H22" s="149">
        <v>202500000018669</v>
      </c>
      <c r="I22" s="66"/>
      <c r="J22" s="110"/>
      <c r="K22" s="110"/>
      <c r="L22" s="66"/>
      <c r="M22" s="30"/>
      <c r="N22" s="38"/>
      <c r="O22" s="39"/>
      <c r="P22" s="117"/>
      <c r="Q22" s="54"/>
      <c r="R22" s="24"/>
      <c r="S22" s="15"/>
      <c r="T22" s="15"/>
      <c r="U22" s="15"/>
      <c r="V22" s="15"/>
      <c r="W22" s="15"/>
      <c r="X22" s="15"/>
      <c r="Y22" s="15"/>
      <c r="Z22" s="15"/>
      <c r="AA22" s="15"/>
      <c r="AB22" s="15"/>
      <c r="AC22" s="15"/>
      <c r="AD22" s="147">
        <v>417966607.11000001</v>
      </c>
      <c r="AE22" s="15">
        <v>417966607.11000001</v>
      </c>
      <c r="AF22" s="57">
        <v>0</v>
      </c>
      <c r="AG22" s="24"/>
      <c r="AH22" s="15"/>
      <c r="AI22" s="15"/>
      <c r="AJ22" s="15"/>
      <c r="AK22" s="15"/>
      <c r="AL22" s="15"/>
      <c r="AM22" s="15"/>
      <c r="AN22" s="15"/>
      <c r="AO22" s="15"/>
      <c r="AP22" s="15"/>
      <c r="AQ22" s="15"/>
      <c r="AR22" s="15"/>
      <c r="AS22" s="15"/>
      <c r="AT22" s="15"/>
      <c r="AU22" s="113">
        <v>0</v>
      </c>
      <c r="AV22" s="118">
        <v>0</v>
      </c>
      <c r="AW22" s="119"/>
      <c r="AX22" s="59">
        <f>+Tabla13[[#This Row],[Total Recursos Comprometido 2024]]/Tabla13[[#This Row],[Total 2025]]</f>
        <v>0</v>
      </c>
      <c r="AY22" s="118">
        <f>Tabla13[[#This Row],[Total Recursos Obligados]]</f>
        <v>0</v>
      </c>
      <c r="AZ22" s="119">
        <f>Tabla13[[#This Row],[Total Recursos Pagados]]</f>
        <v>0</v>
      </c>
      <c r="BA22" s="68"/>
      <c r="BB22" s="62" t="str">
        <f>IF(Tabla13[[#This Row],[Total Recursos Gestionados2]]=0,"_",IF(Tabla13[[#This Row],[Ejecución Recursos Comprometidos]]=0,100%,Tabla13[[#This Row],[Total Recursos Gestionados2]]/Tabla13[[#This Row],[Ejecución Recursos Comprometidos]]))</f>
        <v>_</v>
      </c>
      <c r="BC22" s="41"/>
      <c r="BD22" s="42"/>
      <c r="BE22" s="43"/>
    </row>
    <row r="23" spans="1:57" s="129" customFormat="1" ht="162">
      <c r="A23" s="65">
        <v>141</v>
      </c>
      <c r="B23" s="65" t="s">
        <v>81</v>
      </c>
      <c r="C23" s="65" t="s">
        <v>66</v>
      </c>
      <c r="D23" s="65" t="s">
        <v>67</v>
      </c>
      <c r="E23" s="65" t="s">
        <v>68</v>
      </c>
      <c r="F23" s="65" t="s">
        <v>86</v>
      </c>
      <c r="G23" s="121" t="s">
        <v>87</v>
      </c>
      <c r="H23" s="145">
        <v>2024680010176</v>
      </c>
      <c r="I23" s="65" t="s">
        <v>125</v>
      </c>
      <c r="J23" s="123">
        <v>130618333</v>
      </c>
      <c r="K23" s="123">
        <v>32000000</v>
      </c>
      <c r="L23" s="65" t="s">
        <v>126</v>
      </c>
      <c r="M23" s="30" t="s">
        <v>127</v>
      </c>
      <c r="N23" s="38">
        <v>35</v>
      </c>
      <c r="O23" s="163" t="s">
        <v>243</v>
      </c>
      <c r="P23" s="117">
        <v>32000000</v>
      </c>
      <c r="Q23" s="54"/>
      <c r="R23" s="24"/>
      <c r="S23" s="15"/>
      <c r="T23" s="15">
        <v>0</v>
      </c>
      <c r="U23" s="15"/>
      <c r="V23" s="15"/>
      <c r="W23" s="15"/>
      <c r="X23" s="15"/>
      <c r="Y23" s="15"/>
      <c r="Z23" s="15"/>
      <c r="AA23" s="15"/>
      <c r="AB23" s="15"/>
      <c r="AC23" s="15"/>
      <c r="AD23" s="147">
        <v>21000000</v>
      </c>
      <c r="AE23" s="15">
        <f>SUM(Tabla13[[#This Row],[Recursos propios 2024]:[Recursos del Balance]])</f>
        <v>53000000</v>
      </c>
      <c r="AF23" s="142">
        <v>53000000</v>
      </c>
      <c r="AG23" s="24"/>
      <c r="AH23" s="15"/>
      <c r="AI23" s="15"/>
      <c r="AJ23" s="15"/>
      <c r="AK23" s="15"/>
      <c r="AL23" s="15"/>
      <c r="AM23" s="15"/>
      <c r="AN23" s="15"/>
      <c r="AO23" s="15"/>
      <c r="AP23" s="15"/>
      <c r="AQ23" s="15"/>
      <c r="AR23" s="15"/>
      <c r="AS23" s="15"/>
      <c r="AT23" s="15"/>
      <c r="AU23" s="113">
        <v>53000000</v>
      </c>
      <c r="AV23" s="118">
        <v>36750000</v>
      </c>
      <c r="AW23" s="119">
        <f>Tabla13[[#This Row],[Total Recursos Obligados]]</f>
        <v>36750000</v>
      </c>
      <c r="AX23" s="59">
        <f>+Tabla13[[#This Row],[Total Recursos Comprometido 2024]]/Tabla13[[#This Row],[Total 2025]]</f>
        <v>1</v>
      </c>
      <c r="AY23" s="118">
        <f>Tabla13[[#This Row],[Total Recursos Obligados]]</f>
        <v>36750000</v>
      </c>
      <c r="AZ23" s="119">
        <f>Tabla13[[#This Row],[Total Recursos Pagados]]</f>
        <v>36750000</v>
      </c>
      <c r="BA23" s="68"/>
      <c r="BB23" s="62" t="str">
        <f>IF(Tabla13[[#This Row],[Total Recursos Gestionados2]]=0,"_",IF(Tabla13[[#This Row],[Ejecución Recursos Comprometidos]]=0,100%,Tabla13[[#This Row],[Total Recursos Gestionados2]]/Tabla13[[#This Row],[Ejecución Recursos Comprometidos]]))</f>
        <v>_</v>
      </c>
      <c r="BC23" s="41" t="s">
        <v>145</v>
      </c>
      <c r="BD23" s="42" t="s">
        <v>170</v>
      </c>
      <c r="BE23" s="43" t="s">
        <v>149</v>
      </c>
    </row>
    <row r="24" spans="1:57" s="130" customFormat="1" ht="198">
      <c r="A24" s="66">
        <v>142</v>
      </c>
      <c r="B24" s="66" t="s">
        <v>81</v>
      </c>
      <c r="C24" s="66" t="s">
        <v>66</v>
      </c>
      <c r="D24" s="66">
        <v>3301</v>
      </c>
      <c r="E24" s="66" t="s">
        <v>68</v>
      </c>
      <c r="F24" s="66">
        <v>3301087</v>
      </c>
      <c r="G24" s="108" t="s">
        <v>89</v>
      </c>
      <c r="H24" s="149">
        <v>2024680010118</v>
      </c>
      <c r="I24" s="66" t="s">
        <v>128</v>
      </c>
      <c r="J24" s="110">
        <v>9725758923.4899998</v>
      </c>
      <c r="K24" s="110">
        <v>1020000000</v>
      </c>
      <c r="L24" s="66" t="s">
        <v>221</v>
      </c>
      <c r="M24" s="30" t="s">
        <v>129</v>
      </c>
      <c r="N24" s="38">
        <v>13.938000000000001</v>
      </c>
      <c r="O24" s="163" t="s">
        <v>244</v>
      </c>
      <c r="P24" s="117">
        <v>1020000000</v>
      </c>
      <c r="Q24" s="54"/>
      <c r="R24" s="24"/>
      <c r="S24" s="15"/>
      <c r="T24" s="15"/>
      <c r="U24" s="15"/>
      <c r="V24" s="15"/>
      <c r="W24" s="15"/>
      <c r="X24" s="15"/>
      <c r="Y24" s="15"/>
      <c r="Z24" s="15"/>
      <c r="AA24" s="15"/>
      <c r="AB24" s="15"/>
      <c r="AC24" s="15"/>
      <c r="AD24" s="147">
        <v>2009116867.03</v>
      </c>
      <c r="AE24" s="15">
        <f>SUM(Tabla13[[#This Row],[Recursos propios 2024]:[Recursos del Balance]])</f>
        <v>3029116867.0299997</v>
      </c>
      <c r="AF24" s="142">
        <v>2565174879.54</v>
      </c>
      <c r="AG24" s="24"/>
      <c r="AH24" s="15"/>
      <c r="AI24" s="15"/>
      <c r="AJ24" s="15">
        <v>221718432.09</v>
      </c>
      <c r="AK24" s="15"/>
      <c r="AL24" s="15"/>
      <c r="AM24" s="15"/>
      <c r="AN24" s="15"/>
      <c r="AO24" s="15"/>
      <c r="AP24" s="15"/>
      <c r="AQ24" s="15"/>
      <c r="AR24" s="15"/>
      <c r="AS24" s="15"/>
      <c r="AT24" s="15"/>
      <c r="AU24" s="113">
        <v>2786893311.6300001</v>
      </c>
      <c r="AV24" s="118">
        <v>1528441181</v>
      </c>
      <c r="AW24" s="119">
        <f>Tabla13[[#This Row],[Total Recursos Obligados]]</f>
        <v>1528441181</v>
      </c>
      <c r="AX24" s="59">
        <f>+Tabla13[[#This Row],[Total Recursos Comprometido 2024]]/Tabla13[[#This Row],[Total 2025]]</f>
        <v>0.92003492567868606</v>
      </c>
      <c r="AY24" s="118">
        <f>Tabla13[[#This Row],[Total Recursos Obligados]]</f>
        <v>1528441181</v>
      </c>
      <c r="AZ24" s="119">
        <f>Tabla13[[#This Row],[Total Recursos Pagados]]</f>
        <v>1528441181</v>
      </c>
      <c r="BA24" s="68"/>
      <c r="BB24" s="62" t="s">
        <v>222</v>
      </c>
      <c r="BC24" s="41" t="s">
        <v>145</v>
      </c>
      <c r="BD24" s="42" t="s">
        <v>170</v>
      </c>
      <c r="BE24" s="43">
        <v>4.0999999999999996</v>
      </c>
    </row>
    <row r="25" spans="1:57" s="124" customFormat="1" ht="180">
      <c r="A25" s="66">
        <v>143</v>
      </c>
      <c r="B25" s="66" t="s">
        <v>81</v>
      </c>
      <c r="C25" s="66" t="s">
        <v>66</v>
      </c>
      <c r="D25" s="66" t="s">
        <v>67</v>
      </c>
      <c r="E25" s="66" t="s">
        <v>68</v>
      </c>
      <c r="F25" s="66" t="s">
        <v>90</v>
      </c>
      <c r="G25" s="108" t="s">
        <v>91</v>
      </c>
      <c r="H25" s="149">
        <v>2024680010119</v>
      </c>
      <c r="I25" s="66" t="s">
        <v>130</v>
      </c>
      <c r="J25" s="110">
        <v>19812268960.150002</v>
      </c>
      <c r="K25" s="110">
        <v>4180000000</v>
      </c>
      <c r="L25" s="66" t="s">
        <v>112</v>
      </c>
      <c r="M25" s="30" t="s">
        <v>223</v>
      </c>
      <c r="N25" s="38">
        <v>440</v>
      </c>
      <c r="O25" s="163" t="s">
        <v>245</v>
      </c>
      <c r="P25" s="176">
        <v>2180913714</v>
      </c>
      <c r="Q25" s="54"/>
      <c r="R25" s="24"/>
      <c r="S25" s="15"/>
      <c r="T25" s="15">
        <v>1999086286</v>
      </c>
      <c r="U25" s="15"/>
      <c r="V25" s="15"/>
      <c r="W25" s="15"/>
      <c r="X25" s="15"/>
      <c r="Y25" s="15"/>
      <c r="Z25" s="15"/>
      <c r="AA25" s="15"/>
      <c r="AB25" s="15"/>
      <c r="AC25" s="15"/>
      <c r="AD25" s="147">
        <v>1547010000.03</v>
      </c>
      <c r="AE25" s="148">
        <f>SUM(Tabla13[[#This Row],[Recursos propios 2024]:[Recursos del Balance]])</f>
        <v>5727010000.0299997</v>
      </c>
      <c r="AF25" s="142">
        <v>3098368918.3099995</v>
      </c>
      <c r="AG25" s="24"/>
      <c r="AH25" s="15"/>
      <c r="AI25" s="15"/>
      <c r="AJ25" s="15">
        <v>2501692824.6700001</v>
      </c>
      <c r="AK25" s="15"/>
      <c r="AL25" s="15"/>
      <c r="AM25" s="15"/>
      <c r="AN25" s="15"/>
      <c r="AO25" s="15"/>
      <c r="AP25" s="15"/>
      <c r="AQ25" s="15"/>
      <c r="AR25" s="15"/>
      <c r="AS25" s="15"/>
      <c r="AT25" s="15"/>
      <c r="AU25" s="113">
        <v>5600061742.9799995</v>
      </c>
      <c r="AV25" s="118">
        <v>4063919921</v>
      </c>
      <c r="AW25" s="119">
        <f>Tabla13[[#This Row],[Total Recursos Obligados]]</f>
        <v>4063919921</v>
      </c>
      <c r="AX25" s="59">
        <f>+Tabla13[[#This Row],[Total Recursos Comprometido 2024]]/Tabla13[[#This Row],[Total 2025]]</f>
        <v>0.97783341446071592</v>
      </c>
      <c r="AY25" s="118">
        <f>Tabla13[[#This Row],[Total Recursos Obligados]]</f>
        <v>4063919921</v>
      </c>
      <c r="AZ25" s="119">
        <f>Tabla13[[#This Row],[Total Recursos Pagados]]</f>
        <v>4063919921</v>
      </c>
      <c r="BA25" s="68"/>
      <c r="BB25" s="62" t="str">
        <f>IF(Tabla13[[#This Row],[Total Recursos Gestionados2]]=0,"_",IF(Tabla13[[#This Row],[Ejecución Recursos Comprometidos]]=0,100%,Tabla13[[#This Row],[Total Recursos Gestionados2]]/Tabla13[[#This Row],[Ejecución Recursos Comprometidos]]))</f>
        <v>_</v>
      </c>
      <c r="BC25" s="41" t="s">
        <v>145</v>
      </c>
      <c r="BD25" s="42" t="s">
        <v>170</v>
      </c>
      <c r="BE25" s="43" t="s">
        <v>149</v>
      </c>
    </row>
    <row r="26" spans="1:57" s="131" customFormat="1" ht="180">
      <c r="A26" s="65">
        <v>144</v>
      </c>
      <c r="B26" s="65" t="s">
        <v>81</v>
      </c>
      <c r="C26" s="65" t="s">
        <v>66</v>
      </c>
      <c r="D26" s="65" t="s">
        <v>92</v>
      </c>
      <c r="E26" s="65" t="s">
        <v>93</v>
      </c>
      <c r="F26" s="65" t="s">
        <v>94</v>
      </c>
      <c r="G26" s="121" t="s">
        <v>95</v>
      </c>
      <c r="H26" s="122" t="s">
        <v>131</v>
      </c>
      <c r="I26" s="65" t="s">
        <v>132</v>
      </c>
      <c r="J26" s="123"/>
      <c r="K26" s="123">
        <v>360000000</v>
      </c>
      <c r="L26" s="65" t="s">
        <v>133</v>
      </c>
      <c r="M26" s="30" t="s">
        <v>129</v>
      </c>
      <c r="N26" s="38">
        <v>50</v>
      </c>
      <c r="O26" s="46" t="s">
        <v>246</v>
      </c>
      <c r="P26" s="117">
        <v>360000000</v>
      </c>
      <c r="Q26" s="54"/>
      <c r="R26" s="24"/>
      <c r="S26" s="15"/>
      <c r="T26" s="15">
        <v>0</v>
      </c>
      <c r="U26" s="15"/>
      <c r="V26" s="15"/>
      <c r="W26" s="15"/>
      <c r="X26" s="15"/>
      <c r="Y26" s="15"/>
      <c r="Z26" s="15"/>
      <c r="AA26" s="15"/>
      <c r="AB26" s="15"/>
      <c r="AC26" s="15">
        <v>0</v>
      </c>
      <c r="AD26" s="147">
        <v>141000000</v>
      </c>
      <c r="AE26" s="15">
        <f>SUM(Tabla13[[#This Row],[Recursos propios 2024]:[Recursos del Balance]])</f>
        <v>501000000</v>
      </c>
      <c r="AF26" s="142">
        <v>265566667</v>
      </c>
      <c r="AG26" s="24"/>
      <c r="AH26" s="15"/>
      <c r="AI26" s="15"/>
      <c r="AJ26" s="15"/>
      <c r="AK26" s="15"/>
      <c r="AL26" s="15"/>
      <c r="AM26" s="15"/>
      <c r="AN26" s="15"/>
      <c r="AO26" s="15"/>
      <c r="AP26" s="15"/>
      <c r="AQ26" s="15"/>
      <c r="AR26" s="15"/>
      <c r="AS26" s="15"/>
      <c r="AT26" s="15"/>
      <c r="AU26" s="113">
        <v>265566667</v>
      </c>
      <c r="AV26" s="118">
        <v>196566667</v>
      </c>
      <c r="AW26" s="119">
        <f>Tabla13[[#This Row],[Total Recursos Obligados]]</f>
        <v>196566667</v>
      </c>
      <c r="AX26" s="59">
        <f>+Tabla13[[#This Row],[Total Recursos Comprometido 2024]]/Tabla13[[#This Row],[Total 2025]]</f>
        <v>0.53007318762475053</v>
      </c>
      <c r="AY26" s="118">
        <f>Tabla13[[#This Row],[Total Recursos Obligados]]</f>
        <v>196566667</v>
      </c>
      <c r="AZ26" s="119">
        <f>Tabla13[[#This Row],[Total Recursos Pagados]]</f>
        <v>196566667</v>
      </c>
      <c r="BA26" s="68"/>
      <c r="BB26" s="62" t="str">
        <f>IF(Tabla13[[#This Row],[Total Recursos Gestionados2]]=0,"_",IF(Tabla13[[#This Row],[Ejecución Recursos Comprometidos]]=0,100%,Tabla13[[#This Row],[Total Recursos Gestionados2]]/Tabla13[[#This Row],[Ejecución Recursos Comprometidos]]))</f>
        <v>_</v>
      </c>
      <c r="BC26" s="41" t="s">
        <v>145</v>
      </c>
      <c r="BD26" s="42" t="s">
        <v>170</v>
      </c>
      <c r="BE26" s="43">
        <v>11</v>
      </c>
    </row>
    <row r="27" spans="1:57" s="132" customFormat="1" ht="216">
      <c r="A27" s="66">
        <v>146</v>
      </c>
      <c r="B27" s="66" t="s">
        <v>81</v>
      </c>
      <c r="C27" s="66" t="s">
        <v>66</v>
      </c>
      <c r="D27" s="66" t="s">
        <v>92</v>
      </c>
      <c r="E27" s="66" t="s">
        <v>93</v>
      </c>
      <c r="F27" s="66" t="s">
        <v>96</v>
      </c>
      <c r="G27" s="108" t="s">
        <v>97</v>
      </c>
      <c r="H27" s="109" t="s">
        <v>131</v>
      </c>
      <c r="I27" s="66" t="s">
        <v>132</v>
      </c>
      <c r="J27" s="110"/>
      <c r="K27" s="110">
        <v>231900000</v>
      </c>
      <c r="L27" s="66" t="s">
        <v>134</v>
      </c>
      <c r="M27" s="111" t="s">
        <v>129</v>
      </c>
      <c r="N27" s="42">
        <v>25</v>
      </c>
      <c r="O27" s="46" t="s">
        <v>247</v>
      </c>
      <c r="P27" s="112">
        <v>231900000</v>
      </c>
      <c r="Q27" s="53"/>
      <c r="R27" s="29"/>
      <c r="S27" s="16"/>
      <c r="T27" s="16">
        <v>0</v>
      </c>
      <c r="U27" s="16"/>
      <c r="V27" s="16"/>
      <c r="W27" s="16"/>
      <c r="X27" s="16"/>
      <c r="Y27" s="16"/>
      <c r="Z27" s="16"/>
      <c r="AA27" s="16"/>
      <c r="AB27" s="16"/>
      <c r="AC27" s="16">
        <v>0</v>
      </c>
      <c r="AD27" s="141">
        <v>95000000</v>
      </c>
      <c r="AE27" s="16">
        <f>SUM(Tabla13[[#This Row],[Recursos propios 2024]:[Recursos del Balance]])</f>
        <v>326900000</v>
      </c>
      <c r="AF27" s="142">
        <v>208931206</v>
      </c>
      <c r="AG27" s="24"/>
      <c r="AH27" s="16"/>
      <c r="AI27" s="16"/>
      <c r="AJ27" s="16"/>
      <c r="AK27" s="16"/>
      <c r="AL27" s="16"/>
      <c r="AM27" s="16"/>
      <c r="AN27" s="16"/>
      <c r="AO27" s="16"/>
      <c r="AP27" s="16"/>
      <c r="AQ27" s="16"/>
      <c r="AR27" s="16"/>
      <c r="AS27" s="16"/>
      <c r="AT27" s="16"/>
      <c r="AU27" s="113">
        <v>208931206</v>
      </c>
      <c r="AV27" s="113">
        <v>133673192</v>
      </c>
      <c r="AW27" s="114">
        <f>Tabla13[[#This Row],[Total Recursos Obligados]]</f>
        <v>133673192</v>
      </c>
      <c r="AX27" s="20">
        <f>+Tabla13[[#This Row],[Total Recursos Comprometido 2024]]/Tabla13[[#This Row],[Total 2025]]</f>
        <v>0.63912880391557048</v>
      </c>
      <c r="AY27" s="115">
        <f>Tabla13[[#This Row],[Total Recursos Obligados]]</f>
        <v>133673192</v>
      </c>
      <c r="AZ27" s="114">
        <f>Tabla13[[#This Row],[Total Recursos Pagados]]</f>
        <v>133673192</v>
      </c>
      <c r="BA27" s="67"/>
      <c r="BB27" s="61" t="str">
        <f>IF(Tabla13[[#This Row],[Total Recursos Gestionados2]]=0,"_",IF(Tabla13[[#This Row],[Ejecución Recursos Comprometidos]]=0,100%,Tabla13[[#This Row],[Total Recursos Gestionados2]]/Tabla13[[#This Row],[Ejecución Recursos Comprometidos]]))</f>
        <v>_</v>
      </c>
      <c r="BC27" s="41" t="s">
        <v>145</v>
      </c>
      <c r="BD27" s="42" t="s">
        <v>170</v>
      </c>
      <c r="BE27" s="43">
        <v>11</v>
      </c>
    </row>
    <row r="28" spans="1:57" s="132" customFormat="1" ht="171">
      <c r="A28" s="66">
        <v>147</v>
      </c>
      <c r="B28" s="66" t="s">
        <v>81</v>
      </c>
      <c r="C28" s="66" t="s">
        <v>66</v>
      </c>
      <c r="D28" s="66" t="s">
        <v>92</v>
      </c>
      <c r="E28" s="66" t="s">
        <v>93</v>
      </c>
      <c r="F28" s="66" t="s">
        <v>98</v>
      </c>
      <c r="G28" s="108" t="s">
        <v>99</v>
      </c>
      <c r="H28" s="149">
        <v>2024680010150</v>
      </c>
      <c r="I28" s="66" t="s">
        <v>135</v>
      </c>
      <c r="J28" s="110"/>
      <c r="K28" s="110">
        <v>2008100000</v>
      </c>
      <c r="L28" s="66" t="s">
        <v>133</v>
      </c>
      <c r="M28" s="30" t="s">
        <v>136</v>
      </c>
      <c r="N28" s="38">
        <v>16</v>
      </c>
      <c r="O28" s="46" t="s">
        <v>248</v>
      </c>
      <c r="P28" s="117">
        <v>2008100000</v>
      </c>
      <c r="Q28" s="54"/>
      <c r="R28" s="24"/>
      <c r="S28" s="15"/>
      <c r="T28" s="15">
        <v>0</v>
      </c>
      <c r="U28" s="15"/>
      <c r="V28" s="15"/>
      <c r="W28" s="15"/>
      <c r="X28" s="15"/>
      <c r="Y28" s="15"/>
      <c r="Z28" s="15"/>
      <c r="AA28" s="15"/>
      <c r="AB28" s="15"/>
      <c r="AC28" s="15">
        <v>0</v>
      </c>
      <c r="AD28" s="147">
        <v>2002989436.48</v>
      </c>
      <c r="AE28" s="15">
        <f>SUM(Tabla13[[#This Row],[Recursos propios 2024]:[Recursos del Balance]])</f>
        <v>4011089436.48</v>
      </c>
      <c r="AF28" s="142">
        <v>3395817361.6999998</v>
      </c>
      <c r="AG28" s="24"/>
      <c r="AH28" s="15"/>
      <c r="AI28" s="15"/>
      <c r="AJ28" s="15"/>
      <c r="AK28" s="15"/>
      <c r="AL28" s="15"/>
      <c r="AM28" s="15"/>
      <c r="AN28" s="15"/>
      <c r="AO28" s="15"/>
      <c r="AP28" s="15"/>
      <c r="AQ28" s="15"/>
      <c r="AR28" s="15"/>
      <c r="AS28" s="15"/>
      <c r="AT28" s="15"/>
      <c r="AU28" s="113">
        <v>3395817361.6999998</v>
      </c>
      <c r="AV28" s="118">
        <v>2131748609</v>
      </c>
      <c r="AW28" s="114">
        <v>2131748609</v>
      </c>
      <c r="AX28" s="59">
        <f>+Tabla13[[#This Row],[Total Recursos Comprometido 2024]]/Tabla13[[#This Row],[Total 2025]]</f>
        <v>0.84660724111902563</v>
      </c>
      <c r="AY28" s="118">
        <f>Tabla13[[#This Row],[Total Recursos Obligados]]</f>
        <v>2131748609</v>
      </c>
      <c r="AZ28" s="119">
        <f>Tabla13[[#This Row],[Total Recursos Pagados]]</f>
        <v>2131748609</v>
      </c>
      <c r="BA28" s="68"/>
      <c r="BB28" s="62" t="str">
        <f>IF(Tabla13[[#This Row],[Total Recursos Gestionados2]]=0,"_",IF(Tabla13[[#This Row],[Ejecución Recursos Comprometidos]]=0,100%,Tabla13[[#This Row],[Total Recursos Gestionados2]]/Tabla13[[#This Row],[Ejecución Recursos Comprometidos]]))</f>
        <v>_</v>
      </c>
      <c r="BC28" s="41" t="s">
        <v>145</v>
      </c>
      <c r="BD28" s="42" t="s">
        <v>170</v>
      </c>
      <c r="BE28" s="43">
        <v>11</v>
      </c>
    </row>
    <row r="29" spans="1:57" s="124" customFormat="1" ht="171">
      <c r="A29" s="65">
        <v>147</v>
      </c>
      <c r="B29" s="65" t="s">
        <v>81</v>
      </c>
      <c r="C29" s="65" t="s">
        <v>66</v>
      </c>
      <c r="D29" s="65" t="s">
        <v>92</v>
      </c>
      <c r="E29" s="65" t="s">
        <v>93</v>
      </c>
      <c r="F29" s="65" t="s">
        <v>98</v>
      </c>
      <c r="G29" s="121" t="s">
        <v>224</v>
      </c>
      <c r="H29" s="122" t="s">
        <v>137</v>
      </c>
      <c r="I29" s="65" t="s">
        <v>138</v>
      </c>
      <c r="J29" s="123">
        <v>1015461398.8200001</v>
      </c>
      <c r="K29" s="123">
        <v>159135000</v>
      </c>
      <c r="L29" s="65"/>
      <c r="M29" s="111"/>
      <c r="N29" s="42"/>
      <c r="O29" s="46" t="s">
        <v>248</v>
      </c>
      <c r="P29" s="117">
        <v>159135000</v>
      </c>
      <c r="Q29" s="54"/>
      <c r="R29" s="24"/>
      <c r="S29" s="15"/>
      <c r="T29" s="15"/>
      <c r="U29" s="27"/>
      <c r="V29" s="15"/>
      <c r="W29" s="15"/>
      <c r="X29" s="15"/>
      <c r="Y29" s="15"/>
      <c r="Z29" s="15"/>
      <c r="AA29" s="15"/>
      <c r="AB29" s="15"/>
      <c r="AC29" s="15"/>
      <c r="AD29" s="150">
        <v>150876772.23000002</v>
      </c>
      <c r="AE29" s="71">
        <f>SUM(Tabla13[[#This Row],[Recursos propios 2024]:[Recursos del Balance]])</f>
        <v>310011772.23000002</v>
      </c>
      <c r="AF29" s="57">
        <v>308314158</v>
      </c>
      <c r="AG29" s="24"/>
      <c r="AH29" s="15"/>
      <c r="AI29" s="15"/>
      <c r="AJ29" s="25"/>
      <c r="AK29" s="15"/>
      <c r="AL29" s="15"/>
      <c r="AM29" s="15"/>
      <c r="AN29" s="15"/>
      <c r="AO29" s="15"/>
      <c r="AP29" s="15"/>
      <c r="AQ29" s="15"/>
      <c r="AR29" s="15"/>
      <c r="AS29" s="15"/>
      <c r="AT29" s="15"/>
      <c r="AU29" s="113">
        <v>308314158</v>
      </c>
      <c r="AV29" s="115"/>
      <c r="AW29" s="114"/>
      <c r="AX29" s="20">
        <f>+Tabla13[[#This Row],[Total Recursos Comprometido 2024]]/Tabla13[[#This Row],[Total 2025]]</f>
        <v>0.99452403301400905</v>
      </c>
      <c r="AY29" s="115">
        <f>Tabla13[[#This Row],[Total Recursos Obligados]]</f>
        <v>0</v>
      </c>
      <c r="AZ29" s="114">
        <f>Tabla13[[#This Row],[Total Recursos Pagados]]</f>
        <v>0</v>
      </c>
      <c r="BA29" s="67"/>
      <c r="BB29" s="61" t="str">
        <f>IF(Tabla13[[#This Row],[Total Recursos Gestionados2]]=0,"_",IF(Tabla13[[#This Row],[Ejecución Recursos Comprometidos]]=0,100%,Tabla13[[#This Row],[Total Recursos Gestionados2]]/Tabla13[[#This Row],[Ejecución Recursos Comprometidos]]))</f>
        <v>_</v>
      </c>
      <c r="BC29" s="41" t="s">
        <v>145</v>
      </c>
      <c r="BD29" s="42" t="s">
        <v>170</v>
      </c>
      <c r="BE29" s="43"/>
    </row>
    <row r="30" spans="1:57" s="132" customFormat="1" ht="72">
      <c r="A30" s="66">
        <v>148</v>
      </c>
      <c r="B30" s="66" t="s">
        <v>81</v>
      </c>
      <c r="C30" s="66" t="s">
        <v>66</v>
      </c>
      <c r="D30" s="66" t="s">
        <v>67</v>
      </c>
      <c r="E30" s="66" t="s">
        <v>68</v>
      </c>
      <c r="F30" s="66" t="s">
        <v>100</v>
      </c>
      <c r="G30" s="108" t="s">
        <v>101</v>
      </c>
      <c r="H30" s="109" t="s">
        <v>139</v>
      </c>
      <c r="I30" s="66" t="s">
        <v>140</v>
      </c>
      <c r="J30" s="110">
        <v>61599145</v>
      </c>
      <c r="K30" s="110">
        <v>20000000</v>
      </c>
      <c r="L30" s="66" t="s">
        <v>133</v>
      </c>
      <c r="M30" s="30" t="s">
        <v>136</v>
      </c>
      <c r="N30" s="42">
        <v>16</v>
      </c>
      <c r="O30" s="46" t="s">
        <v>249</v>
      </c>
      <c r="P30" s="117">
        <v>20000000</v>
      </c>
      <c r="Q30" s="54"/>
      <c r="R30" s="44"/>
      <c r="S30" s="15"/>
      <c r="T30" s="15">
        <v>0</v>
      </c>
      <c r="U30" s="15"/>
      <c r="V30" s="15"/>
      <c r="W30" s="15"/>
      <c r="X30" s="15"/>
      <c r="Y30" s="15"/>
      <c r="Z30" s="15"/>
      <c r="AA30" s="15"/>
      <c r="AB30" s="15"/>
      <c r="AC30" s="15"/>
      <c r="AD30" s="15"/>
      <c r="AE30" s="15">
        <f>SUM(Tabla13[[#This Row],[Recursos propios 2024]:[Recursos del Balance]])</f>
        <v>20000000</v>
      </c>
      <c r="AF30" s="147">
        <v>20000000</v>
      </c>
      <c r="AG30" s="24"/>
      <c r="AH30" s="15"/>
      <c r="AI30" s="15"/>
      <c r="AJ30" s="15"/>
      <c r="AK30" s="15"/>
      <c r="AL30" s="15"/>
      <c r="AM30" s="15"/>
      <c r="AN30" s="15"/>
      <c r="AO30" s="15"/>
      <c r="AP30" s="15"/>
      <c r="AQ30" s="15"/>
      <c r="AR30" s="15"/>
      <c r="AS30" s="15"/>
      <c r="AT30" s="15"/>
      <c r="AU30" s="113">
        <v>20000000</v>
      </c>
      <c r="AV30" s="118">
        <v>0</v>
      </c>
      <c r="AW30" s="119"/>
      <c r="AX30" s="59">
        <f>+Tabla13[[#This Row],[Total Recursos Comprometido 2024]]/Tabla13[[#This Row],[Total 2025]]</f>
        <v>1</v>
      </c>
      <c r="AY30" s="118">
        <f>Tabla13[[#This Row],[Total Recursos Obligados]]</f>
        <v>0</v>
      </c>
      <c r="AZ30" s="119">
        <f>Tabla13[[#This Row],[Total Recursos Pagados]]</f>
        <v>0</v>
      </c>
      <c r="BA30" s="68"/>
      <c r="BB30" s="62" t="str">
        <f>IF(Tabla13[[#This Row],[Total Recursos Gestionados2]]=0,"_",IF(Tabla13[[#This Row],[Ejecución Recursos Comprometidos]]=0,100%,Tabla13[[#This Row],[Total Recursos Gestionados2]]/Tabla13[[#This Row],[Ejecución Recursos Comprometidos]]))</f>
        <v>_</v>
      </c>
      <c r="BC30" s="41" t="s">
        <v>145</v>
      </c>
      <c r="BD30" s="42" t="s">
        <v>170</v>
      </c>
      <c r="BE30" s="43" t="s">
        <v>149</v>
      </c>
    </row>
    <row r="31" spans="1:57" s="132" customFormat="1" ht="108">
      <c r="A31" s="65">
        <v>242</v>
      </c>
      <c r="B31" s="65" t="s">
        <v>102</v>
      </c>
      <c r="C31" s="65" t="s">
        <v>103</v>
      </c>
      <c r="D31" s="65" t="s">
        <v>104</v>
      </c>
      <c r="E31" s="65" t="s">
        <v>105</v>
      </c>
      <c r="F31" s="65" t="s">
        <v>106</v>
      </c>
      <c r="G31" s="121" t="s">
        <v>107</v>
      </c>
      <c r="H31" s="122" t="s">
        <v>141</v>
      </c>
      <c r="I31" s="65" t="s">
        <v>142</v>
      </c>
      <c r="J31" s="123">
        <v>0</v>
      </c>
      <c r="K31" s="123">
        <v>0</v>
      </c>
      <c r="L31" s="65"/>
      <c r="M31" s="30"/>
      <c r="N31" s="38"/>
      <c r="O31" s="46"/>
      <c r="P31" s="125"/>
      <c r="Q31" s="55"/>
      <c r="R31" s="24"/>
      <c r="S31" s="15"/>
      <c r="T31" s="15">
        <v>0</v>
      </c>
      <c r="U31" s="15"/>
      <c r="V31" s="15"/>
      <c r="W31" s="15"/>
      <c r="X31" s="15"/>
      <c r="Y31" s="15"/>
      <c r="Z31" s="15"/>
      <c r="AA31" s="15"/>
      <c r="AB31" s="15"/>
      <c r="AC31" s="15">
        <v>0</v>
      </c>
      <c r="AD31" s="15"/>
      <c r="AE31" s="27"/>
      <c r="AF31" s="57"/>
      <c r="AG31" s="24"/>
      <c r="AH31" s="15"/>
      <c r="AI31" s="15"/>
      <c r="AJ31" s="15"/>
      <c r="AK31" s="15"/>
      <c r="AL31" s="15"/>
      <c r="AM31" s="15"/>
      <c r="AN31" s="15"/>
      <c r="AO31" s="15"/>
      <c r="AP31" s="15"/>
      <c r="AQ31" s="15"/>
      <c r="AR31" s="15"/>
      <c r="AS31" s="15"/>
      <c r="AT31" s="15"/>
      <c r="AU31" s="113">
        <v>0</v>
      </c>
      <c r="AV31" s="118"/>
      <c r="AW31" s="119"/>
      <c r="AX31" s="19" t="e">
        <f>+Tabla13[[#This Row],[Total Recursos Comprometido 2024]]/Tabla13[[#This Row],[Total 2025]]</f>
        <v>#DIV/0!</v>
      </c>
      <c r="AY31" s="126">
        <f>Tabla13[[#This Row],[Total Recursos Obligados]]</f>
        <v>0</v>
      </c>
      <c r="AZ31" s="127">
        <f>Tabla13[[#This Row],[Total Recursos Pagados]]</f>
        <v>0</v>
      </c>
      <c r="BA31" s="69"/>
      <c r="BB31" s="63" t="str">
        <f>IF(Tabla13[[#This Row],[Total Recursos Gestionados2]]=0,"_",IF(Tabla13[[#This Row],[Ejecución Recursos Comprometidos]]=0,100%,Tabla13[[#This Row],[Total Recursos Gestionados2]]/Tabla13[[#This Row],[Ejecución Recursos Comprometidos]]))</f>
        <v>_</v>
      </c>
      <c r="BC31" s="41" t="s">
        <v>145</v>
      </c>
      <c r="BD31" s="42" t="s">
        <v>170</v>
      </c>
      <c r="BE31" s="43">
        <v>16</v>
      </c>
    </row>
    <row r="32" spans="1:57" s="132" customFormat="1" ht="180">
      <c r="A32" s="66">
        <v>242</v>
      </c>
      <c r="B32" s="66" t="s">
        <v>102</v>
      </c>
      <c r="C32" s="66" t="s">
        <v>103</v>
      </c>
      <c r="D32" s="66" t="s">
        <v>104</v>
      </c>
      <c r="E32" s="66" t="s">
        <v>105</v>
      </c>
      <c r="F32" s="66" t="s">
        <v>106</v>
      </c>
      <c r="G32" s="108" t="s">
        <v>107</v>
      </c>
      <c r="H32" s="149">
        <v>202500000020255</v>
      </c>
      <c r="I32" s="66" t="s">
        <v>225</v>
      </c>
      <c r="J32" s="110">
        <v>731676634</v>
      </c>
      <c r="K32" s="110">
        <v>135231430</v>
      </c>
      <c r="L32" s="66" t="s">
        <v>133</v>
      </c>
      <c r="M32" s="30" t="s">
        <v>136</v>
      </c>
      <c r="N32" s="38">
        <f>350+440</f>
        <v>790</v>
      </c>
      <c r="O32" s="46" t="s">
        <v>250</v>
      </c>
      <c r="P32" s="128">
        <v>135231430</v>
      </c>
      <c r="Q32" s="56"/>
      <c r="R32" s="29"/>
      <c r="S32" s="16"/>
      <c r="T32" s="16"/>
      <c r="U32" s="16"/>
      <c r="V32" s="16"/>
      <c r="W32" s="16"/>
      <c r="X32" s="16"/>
      <c r="Y32" s="16"/>
      <c r="Z32" s="16"/>
      <c r="AA32" s="16"/>
      <c r="AB32" s="16"/>
      <c r="AC32" s="16"/>
      <c r="AD32" s="28"/>
      <c r="AE32" s="27">
        <v>135231430</v>
      </c>
      <c r="AF32" s="142">
        <v>135231430</v>
      </c>
      <c r="AG32" s="29"/>
      <c r="AH32" s="16"/>
      <c r="AI32" s="16"/>
      <c r="AJ32" s="16"/>
      <c r="AK32" s="16"/>
      <c r="AL32" s="16"/>
      <c r="AM32" s="16"/>
      <c r="AN32" s="16"/>
      <c r="AO32" s="16"/>
      <c r="AP32" s="16"/>
      <c r="AQ32" s="16"/>
      <c r="AR32" s="16"/>
      <c r="AS32" s="28"/>
      <c r="AT32" s="16"/>
      <c r="AU32" s="113">
        <v>135231430</v>
      </c>
      <c r="AV32" s="115">
        <v>12000000</v>
      </c>
      <c r="AW32" s="114">
        <v>12000000</v>
      </c>
      <c r="AX32" s="20">
        <f>+Tabla13[[#This Row],[Total Recursos Comprometido 2024]]/Tabla13[[#This Row],[Total 2025]]</f>
        <v>1</v>
      </c>
      <c r="AY32" s="115">
        <f>Tabla13[[#This Row],[Total Recursos Obligados]]</f>
        <v>12000000</v>
      </c>
      <c r="AZ32" s="114">
        <f>Tabla13[[#This Row],[Total Recursos Pagados]]</f>
        <v>12000000</v>
      </c>
      <c r="BA32" s="67"/>
      <c r="BB32" s="61" t="str">
        <f>IF(Tabla13[[#This Row],[Total Recursos Gestionados2]]=0,"_",IF(Tabla13[[#This Row],[Ejecución Recursos Comprometidos]]=0,100%,Tabla13[[#This Row],[Total Recursos Gestionados2]]/Tabla13[[#This Row],[Ejecución Recursos Comprometidos]]))</f>
        <v>_</v>
      </c>
      <c r="BC32" s="41"/>
      <c r="BD32" s="42"/>
      <c r="BE32" s="43"/>
    </row>
    <row r="33" spans="1:57" s="124" customFormat="1" ht="180">
      <c r="A33" s="65">
        <v>269</v>
      </c>
      <c r="B33" s="65" t="s">
        <v>81</v>
      </c>
      <c r="C33" s="65" t="s">
        <v>66</v>
      </c>
      <c r="D33" s="65" t="s">
        <v>67</v>
      </c>
      <c r="E33" s="65" t="s">
        <v>68</v>
      </c>
      <c r="F33" s="65" t="s">
        <v>108</v>
      </c>
      <c r="G33" s="121" t="s">
        <v>109</v>
      </c>
      <c r="H33" s="122" t="s">
        <v>143</v>
      </c>
      <c r="I33" s="65" t="s">
        <v>144</v>
      </c>
      <c r="J33" s="123">
        <v>4672159897</v>
      </c>
      <c r="K33" s="123">
        <v>1000000000</v>
      </c>
      <c r="L33" s="65" t="s">
        <v>133</v>
      </c>
      <c r="M33" s="30" t="s">
        <v>113</v>
      </c>
      <c r="N33" s="38">
        <f>350+440</f>
        <v>790</v>
      </c>
      <c r="O33" s="46" t="s">
        <v>251</v>
      </c>
      <c r="P33" s="117">
        <v>1000000000</v>
      </c>
      <c r="Q33" s="54"/>
      <c r="R33" s="24"/>
      <c r="S33" s="15"/>
      <c r="T33" s="15">
        <v>0</v>
      </c>
      <c r="U33" s="15"/>
      <c r="V33" s="15"/>
      <c r="W33" s="15"/>
      <c r="X33" s="15"/>
      <c r="Y33" s="15"/>
      <c r="Z33" s="15"/>
      <c r="AA33" s="15"/>
      <c r="AB33" s="15"/>
      <c r="AC33" s="15"/>
      <c r="AD33" s="147">
        <v>743026180.66999996</v>
      </c>
      <c r="AE33" s="146">
        <f>SUM(Tabla13[[#This Row],[Recursos propios 2024]:[Recursos del Balance]])</f>
        <v>1743026180.6700001</v>
      </c>
      <c r="AF33" s="57">
        <v>1677100296</v>
      </c>
      <c r="AG33" s="24"/>
      <c r="AH33" s="15"/>
      <c r="AI33" s="15"/>
      <c r="AJ33" s="15"/>
      <c r="AK33" s="15"/>
      <c r="AL33" s="15"/>
      <c r="AM33" s="15"/>
      <c r="AN33" s="15"/>
      <c r="AO33" s="15"/>
      <c r="AP33" s="15"/>
      <c r="AQ33" s="15"/>
      <c r="AR33" s="15"/>
      <c r="AS33" s="15"/>
      <c r="AT33" s="15"/>
      <c r="AU33" s="113">
        <v>1677100296</v>
      </c>
      <c r="AV33" s="118">
        <v>1137043817</v>
      </c>
      <c r="AW33" s="119">
        <f>Tabla13[[#This Row],[Total Recursos Obligados]]</f>
        <v>1137043817</v>
      </c>
      <c r="AX33" s="59">
        <f>+Tabla13[[#This Row],[Total Recursos Comprometido 2024]]/Tabla13[[#This Row],[Total 2025]]</f>
        <v>0.96217734110874975</v>
      </c>
      <c r="AY33" s="118">
        <f>Tabla13[[#This Row],[Total Recursos Obligados]]</f>
        <v>1137043817</v>
      </c>
      <c r="AZ33" s="119">
        <f>Tabla13[[#This Row],[Total Recursos Pagados]]</f>
        <v>1137043817</v>
      </c>
      <c r="BA33" s="68"/>
      <c r="BB33" s="62" t="str">
        <f>IF(Tabla13[[#This Row],[Total Recursos Gestionados2]]=0,"_",IF(Tabla13[[#This Row],[Ejecución Recursos Comprometidos]]=0,100%,Tabla13[[#This Row],[Total Recursos Gestionados2]]/Tabla13[[#This Row],[Ejecución Recursos Comprometidos]]))</f>
        <v>_</v>
      </c>
      <c r="BC33" s="41" t="s">
        <v>145</v>
      </c>
      <c r="BD33" s="42" t="s">
        <v>170</v>
      </c>
      <c r="BE33" s="43">
        <v>4.0999999999999996</v>
      </c>
    </row>
    <row r="34" spans="1:57">
      <c r="A34" s="133"/>
      <c r="B34" s="133"/>
      <c r="C34" s="133"/>
      <c r="D34" s="133"/>
      <c r="E34" s="133"/>
      <c r="F34" s="133"/>
      <c r="G34" s="134"/>
      <c r="H34" s="135"/>
      <c r="I34" s="136"/>
      <c r="J34" s="151"/>
      <c r="K34" s="151"/>
      <c r="L34" s="72"/>
      <c r="M34" s="72"/>
      <c r="N34" s="72"/>
      <c r="O34" s="136"/>
      <c r="P34" s="73">
        <f>SUBTOTAL(109,Tabla13[Recursos propios 2024])</f>
        <v>11768443736</v>
      </c>
      <c r="Q34" s="72">
        <f>SUBTOTAL(109,Tabla13[SGP Educación 2024])</f>
        <v>0</v>
      </c>
      <c r="R34" s="72">
        <f>SUBTOTAL(109,Tabla13[SGP Salud 2024])</f>
        <v>0</v>
      </c>
      <c r="S34" s="72">
        <f>SUBTOTAL(109,Tabla13[SGP Deporte 2024])</f>
        <v>0</v>
      </c>
      <c r="T34" s="73">
        <f>SUBTOTAL(109,Tabla13[SGP Cultura 2024])</f>
        <v>1999086286</v>
      </c>
      <c r="U34" s="73">
        <f>SUBTOTAL(109,Tabla13[SGP Libre inversión 2024])</f>
        <v>0</v>
      </c>
      <c r="V34" s="73">
        <f>SUBTOTAL(109,Tabla13[SGP Libre destinación 2024])</f>
        <v>0</v>
      </c>
      <c r="W34" s="73">
        <f>SUBTOTAL(109,Tabla13[SGP Alimentación escolar 2024])</f>
        <v>0</v>
      </c>
      <c r="X34" s="73">
        <f>SUBTOTAL(109,Tabla13[SGP Municipios río Magdalena 2024])</f>
        <v>0</v>
      </c>
      <c r="Y34" s="73">
        <f>SUBTOTAL(109,Tabla13[SGP APSB 2024])</f>
        <v>0</v>
      </c>
      <c r="Z34" s="73">
        <f>SUBTOTAL(109,Tabla13[Crédito 2024])</f>
        <v>0</v>
      </c>
      <c r="AA34" s="73">
        <f>SUBTOTAL(109,Tabla13[Transferencias de capital - cofinanciación departamento 2024])</f>
        <v>0</v>
      </c>
      <c r="AB34" s="73">
        <f>SUBTOTAL(109,Tabla13[Transferencias de capital - cofinanciación nación 2024])</f>
        <v>0</v>
      </c>
      <c r="AC34" s="73">
        <f>SUBTOTAL(109,Tabla13[Otros 2024])</f>
        <v>0</v>
      </c>
      <c r="AD34" s="73">
        <f>SUBTOTAL(109,Tabla13[Recursos del Balance])</f>
        <v>23223114150.399994</v>
      </c>
      <c r="AE34" s="73">
        <f>SUBTOTAL(109,Tabla13[Total 2025])</f>
        <v>36990644172.400002</v>
      </c>
      <c r="AF34" s="73"/>
      <c r="AG34" s="73">
        <f>SUBTOTAL(109,Tabla13[SGP Educación 20243])</f>
        <v>0</v>
      </c>
      <c r="AH34" s="73">
        <f>SUBTOTAL(109,Tabla13[SGP Salud 20244])</f>
        <v>0</v>
      </c>
      <c r="AI34" s="73">
        <f>SUBTOTAL(109,Tabla13[SGP Deporte 20245])</f>
        <v>0</v>
      </c>
      <c r="AJ34" s="73">
        <f>SUBTOTAL(109,Tabla13[SGP Cultura 20246])</f>
        <v>4494385445.4499998</v>
      </c>
      <c r="AK34" s="73">
        <f>SUBTOTAL(109,Tabla13[SGP Libre inversión 20247])</f>
        <v>0</v>
      </c>
      <c r="AL34" s="73">
        <f>SUBTOTAL(109,Tabla13[SGP Libre destinación 20248])</f>
        <v>0</v>
      </c>
      <c r="AM34" s="73">
        <f>SUBTOTAL(109,Tabla13[SGP Alimentación escolar 20249])</f>
        <v>0</v>
      </c>
      <c r="AN34" s="73">
        <f>SUBTOTAL(109,Tabla13[SGP Municipios río Magdalena 202410])</f>
        <v>0</v>
      </c>
      <c r="AO34" s="73">
        <f>SUBTOTAL(109,Tabla13[SGP APSB 202411])</f>
        <v>0</v>
      </c>
      <c r="AP34" s="73">
        <f>SUBTOTAL(109,Tabla13[Crédito 202412])</f>
        <v>0</v>
      </c>
      <c r="AQ34" s="73">
        <f>SUBTOTAL(109,Tabla13[Transferencias de capital - cofinanciación departamento 202413])</f>
        <v>0</v>
      </c>
      <c r="AR34" s="73">
        <f>SUBTOTAL(109,Tabla13[Transferencias de capital - cofinanciación nación 202414])</f>
        <v>0</v>
      </c>
      <c r="AS34" s="73">
        <f>SUBTOTAL(109,Tabla13[Otros 202415])</f>
        <v>0</v>
      </c>
      <c r="AT34" s="73">
        <f>SUBTOTAL(109,Tabla13[Recursos del Balance2])</f>
        <v>0</v>
      </c>
      <c r="AU34" s="177">
        <f>SUBTOTAL(109,Tabla13[Total Recursos Comprometido 2024])</f>
        <v>35113073433.309998</v>
      </c>
      <c r="AV34" s="73">
        <f>SUBTOTAL(109,Tabla13[Total Recursos Obligados])</f>
        <v>24177332586.98</v>
      </c>
      <c r="AW34" s="73">
        <f>SUBTOTAL(109,Tabla13[Total Recursos Pagados])</f>
        <v>24145332586.98</v>
      </c>
      <c r="AX34" s="137"/>
      <c r="AY34" s="73">
        <f>SUBTOTAL(109,Tabla13[Ejecución Recursos Obligados])</f>
        <v>24177332586.98</v>
      </c>
      <c r="AZ34" s="73">
        <f>SUBTOTAL(109,Tabla13[Ejecución Recursos Pagados])</f>
        <v>24145332586.98</v>
      </c>
      <c r="BA34" s="138"/>
      <c r="BB34" s="73"/>
      <c r="BC34" s="133"/>
      <c r="BD34" s="139"/>
      <c r="BE34" s="133"/>
    </row>
    <row r="35" spans="1:57">
      <c r="AE35" s="140">
        <v>32899627800.720001</v>
      </c>
      <c r="AU35" s="152"/>
    </row>
    <row r="36" spans="1:57">
      <c r="AA36" s="153"/>
      <c r="AE36" s="140">
        <f>Tabla13[[#Totals],[Total 2025]]-AE35</f>
        <v>4091016371.6800003</v>
      </c>
      <c r="AU36" s="152"/>
      <c r="AW36" s="96">
        <f>Tabla13[[#Totals],[Total Recursos Pagados]]-AW35</f>
        <v>24145332586.98</v>
      </c>
    </row>
    <row r="38" spans="1:57">
      <c r="X38" s="140"/>
      <c r="AA38" s="154"/>
    </row>
    <row r="39" spans="1:57">
      <c r="X39" s="140"/>
    </row>
    <row r="40" spans="1:57">
      <c r="Z40" s="155"/>
      <c r="AB40" s="140"/>
    </row>
    <row r="42" spans="1:57">
      <c r="X42" s="140"/>
      <c r="Z42" s="155"/>
      <c r="AB42" s="140"/>
    </row>
    <row r="44" spans="1:57">
      <c r="X44" s="154"/>
    </row>
    <row r="45" spans="1:57">
      <c r="AB45" s="154"/>
    </row>
  </sheetData>
  <sheetProtection formatCells="0" formatColumns="0" formatRows="0" insertRows="0" autoFilter="0"/>
  <mergeCells count="13">
    <mergeCell ref="A1:B4"/>
    <mergeCell ref="C1:BB4"/>
    <mergeCell ref="BC1:BE1"/>
    <mergeCell ref="BC2:BE2"/>
    <mergeCell ref="BC3:BE3"/>
    <mergeCell ref="BC4:BE4"/>
    <mergeCell ref="BC9:BD9"/>
    <mergeCell ref="A9:G9"/>
    <mergeCell ref="H9:O9"/>
    <mergeCell ref="P9:AE9"/>
    <mergeCell ref="AF9:AW9"/>
    <mergeCell ref="AX9:AZ9"/>
    <mergeCell ref="BA9:BB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BE26"/>
  <sheetViews>
    <sheetView showGridLines="0" tabSelected="1" zoomScale="60" zoomScaleNormal="60" workbookViewId="0">
      <pane xSplit="1" ySplit="10" topLeftCell="B11" activePane="bottomRight" state="frozen"/>
      <selection pane="topRight" activeCell="B1" sqref="B1"/>
      <selection pane="bottomLeft" activeCell="A11" sqref="A11"/>
      <selection pane="bottomRight" sqref="A1:B4"/>
    </sheetView>
  </sheetViews>
  <sheetFormatPr baseColWidth="10" defaultColWidth="11.25" defaultRowHeight="15"/>
  <cols>
    <col min="1" max="1" width="19" style="4" customWidth="1"/>
    <col min="2" max="2" width="26.75" style="4" customWidth="1"/>
    <col min="3" max="3" width="20.25" style="4" customWidth="1"/>
    <col min="4" max="4" width="19.25" style="4" customWidth="1"/>
    <col min="5" max="5" width="40.375" style="4" customWidth="1"/>
    <col min="6" max="6" width="19.25" style="4" customWidth="1"/>
    <col min="7" max="7" width="69" style="4" customWidth="1"/>
    <col min="8" max="8" width="19.25" style="4" customWidth="1"/>
    <col min="9" max="9" width="69" style="4" customWidth="1"/>
    <col min="10" max="10" width="12.375" style="4" customWidth="1"/>
    <col min="11" max="11" width="16.25" style="4" customWidth="1"/>
    <col min="12" max="12" width="20" style="4" customWidth="1"/>
    <col min="13" max="14" width="23.25" style="4" customWidth="1"/>
    <col min="15" max="16" width="18.75" style="4" customWidth="1"/>
    <col min="17" max="17" width="19.25" style="5" hidden="1" customWidth="1"/>
    <col min="18" max="49" width="27.25" style="4" customWidth="1"/>
    <col min="50" max="52" width="22.75" style="36"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88"/>
      <c r="B1" s="189"/>
      <c r="C1" s="194" t="s">
        <v>31</v>
      </c>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6"/>
      <c r="BC1" s="203" t="s">
        <v>32</v>
      </c>
      <c r="BD1" s="204"/>
      <c r="BE1" s="205"/>
    </row>
    <row r="2" spans="1:57" ht="30" customHeight="1">
      <c r="A2" s="190"/>
      <c r="B2" s="191"/>
      <c r="C2" s="197"/>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9"/>
      <c r="BC2" s="215" t="s">
        <v>166</v>
      </c>
      <c r="BD2" s="216"/>
      <c r="BE2" s="217"/>
    </row>
    <row r="3" spans="1:57" ht="30" customHeight="1">
      <c r="A3" s="190"/>
      <c r="B3" s="191"/>
      <c r="C3" s="197"/>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9"/>
      <c r="BC3" s="206" t="s">
        <v>167</v>
      </c>
      <c r="BD3" s="207"/>
      <c r="BE3" s="208"/>
    </row>
    <row r="4" spans="1:57" ht="30" customHeight="1" thickBot="1">
      <c r="A4" s="192"/>
      <c r="B4" s="193"/>
      <c r="C4" s="200"/>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2"/>
      <c r="BC4" s="209" t="s">
        <v>169</v>
      </c>
      <c r="BD4" s="210"/>
      <c r="BE4" s="211"/>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37"/>
      <c r="AY6" s="37"/>
      <c r="AZ6" s="37"/>
      <c r="BA6" s="6"/>
      <c r="BB6" s="6"/>
      <c r="BC6" s="12"/>
      <c r="BD6" s="12"/>
      <c r="BE6" s="13"/>
    </row>
    <row r="7" spans="1:57" ht="37.1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37"/>
      <c r="AY7" s="37"/>
      <c r="AZ7" s="37"/>
      <c r="BA7" s="6"/>
      <c r="BB7" s="6"/>
      <c r="BC7" s="12"/>
      <c r="BD7" s="12"/>
      <c r="BE7" s="13"/>
    </row>
    <row r="8" spans="1:57" ht="8.6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37"/>
      <c r="AY8" s="37"/>
      <c r="AZ8" s="37"/>
      <c r="BA8" s="6"/>
      <c r="BB8" s="6"/>
      <c r="BC8" s="12"/>
      <c r="BD8" s="12"/>
      <c r="BE8" s="13"/>
    </row>
    <row r="9" spans="1:57" s="2" customFormat="1" ht="37.9" customHeight="1" thickBot="1">
      <c r="A9" s="180" t="s">
        <v>27</v>
      </c>
      <c r="B9" s="180"/>
      <c r="C9" s="180"/>
      <c r="D9" s="180"/>
      <c r="E9" s="180"/>
      <c r="F9" s="180"/>
      <c r="G9" s="180"/>
      <c r="H9" s="180"/>
      <c r="I9" s="180"/>
      <c r="J9" s="180"/>
      <c r="K9" s="180"/>
      <c r="L9" s="180"/>
      <c r="M9" s="180"/>
      <c r="N9" s="180"/>
      <c r="O9" s="181" t="s">
        <v>26</v>
      </c>
      <c r="P9" s="182"/>
      <c r="Q9" s="183"/>
      <c r="R9" s="184" t="s">
        <v>24</v>
      </c>
      <c r="S9" s="185"/>
      <c r="T9" s="185"/>
      <c r="U9" s="185"/>
      <c r="V9" s="185"/>
      <c r="W9" s="185"/>
      <c r="X9" s="185"/>
      <c r="Y9" s="185"/>
      <c r="Z9" s="185"/>
      <c r="AA9" s="185"/>
      <c r="AB9" s="185"/>
      <c r="AC9" s="185"/>
      <c r="AD9" s="185"/>
      <c r="AE9" s="186"/>
      <c r="AF9" s="187"/>
      <c r="AG9" s="181" t="s">
        <v>23</v>
      </c>
      <c r="AH9" s="182"/>
      <c r="AI9" s="182"/>
      <c r="AJ9" s="182"/>
      <c r="AK9" s="182"/>
      <c r="AL9" s="182"/>
      <c r="AM9" s="182"/>
      <c r="AN9" s="182"/>
      <c r="AO9" s="182"/>
      <c r="AP9" s="182"/>
      <c r="AQ9" s="182"/>
      <c r="AR9" s="182"/>
      <c r="AS9" s="182"/>
      <c r="AT9" s="182"/>
      <c r="AU9" s="182"/>
      <c r="AV9" s="182"/>
      <c r="AW9" s="183"/>
      <c r="AX9" s="212" t="s">
        <v>44</v>
      </c>
      <c r="AY9" s="213"/>
      <c r="AZ9" s="214"/>
      <c r="BA9" s="182" t="s">
        <v>46</v>
      </c>
      <c r="BB9" s="182"/>
      <c r="BC9" s="178" t="s">
        <v>22</v>
      </c>
      <c r="BD9" s="179"/>
      <c r="BE9" s="14"/>
    </row>
    <row r="10" spans="1:57" s="2" customFormat="1" ht="57" customHeight="1">
      <c r="A10" s="48" t="s">
        <v>20</v>
      </c>
      <c r="B10" s="48" t="s">
        <v>19</v>
      </c>
      <c r="C10" s="48" t="s">
        <v>18</v>
      </c>
      <c r="D10" s="48" t="s">
        <v>17</v>
      </c>
      <c r="E10" s="48" t="s">
        <v>16</v>
      </c>
      <c r="F10" s="48" t="s">
        <v>15</v>
      </c>
      <c r="G10" s="48" t="s">
        <v>14</v>
      </c>
      <c r="H10" s="48" t="s">
        <v>13</v>
      </c>
      <c r="I10" s="48" t="s">
        <v>12</v>
      </c>
      <c r="J10" s="48" t="s">
        <v>30</v>
      </c>
      <c r="K10" s="48" t="s">
        <v>29</v>
      </c>
      <c r="L10" s="48" t="s">
        <v>11</v>
      </c>
      <c r="M10" s="48" t="s">
        <v>33</v>
      </c>
      <c r="N10" s="48" t="s">
        <v>10</v>
      </c>
      <c r="O10" s="48" t="s">
        <v>39</v>
      </c>
      <c r="P10" s="48" t="s">
        <v>9</v>
      </c>
      <c r="Q10" s="48" t="s">
        <v>62</v>
      </c>
      <c r="R10" s="48" t="s">
        <v>47</v>
      </c>
      <c r="S10" s="48" t="s">
        <v>48</v>
      </c>
      <c r="T10" s="48" t="s">
        <v>49</v>
      </c>
      <c r="U10" s="48" t="s">
        <v>50</v>
      </c>
      <c r="V10" s="48" t="s">
        <v>51</v>
      </c>
      <c r="W10" s="48" t="s">
        <v>52</v>
      </c>
      <c r="X10" s="48" t="s">
        <v>53</v>
      </c>
      <c r="Y10" s="48" t="s">
        <v>54</v>
      </c>
      <c r="Z10" s="48" t="s">
        <v>55</v>
      </c>
      <c r="AA10" s="48" t="s">
        <v>56</v>
      </c>
      <c r="AB10" s="48" t="s">
        <v>57</v>
      </c>
      <c r="AC10" s="48" t="s">
        <v>58</v>
      </c>
      <c r="AD10" s="48" t="s">
        <v>59</v>
      </c>
      <c r="AE10" s="48" t="s">
        <v>63</v>
      </c>
      <c r="AF10" s="48" t="s">
        <v>171</v>
      </c>
      <c r="AG10" s="48" t="s">
        <v>60</v>
      </c>
      <c r="AH10" s="48" t="s">
        <v>61</v>
      </c>
      <c r="AI10" s="48" t="s">
        <v>172</v>
      </c>
      <c r="AJ10" s="48" t="s">
        <v>173</v>
      </c>
      <c r="AK10" s="48" t="s">
        <v>174</v>
      </c>
      <c r="AL10" s="48" t="s">
        <v>175</v>
      </c>
      <c r="AM10" s="48" t="s">
        <v>176</v>
      </c>
      <c r="AN10" s="48" t="s">
        <v>177</v>
      </c>
      <c r="AO10" s="48" t="s">
        <v>178</v>
      </c>
      <c r="AP10" s="48" t="s">
        <v>179</v>
      </c>
      <c r="AQ10" s="48" t="s">
        <v>180</v>
      </c>
      <c r="AR10" s="48" t="s">
        <v>181</v>
      </c>
      <c r="AS10" s="48" t="s">
        <v>182</v>
      </c>
      <c r="AT10" s="48" t="s">
        <v>64</v>
      </c>
      <c r="AU10" s="48" t="s">
        <v>183</v>
      </c>
      <c r="AV10" s="48" t="s">
        <v>35</v>
      </c>
      <c r="AW10" s="48" t="s">
        <v>36</v>
      </c>
      <c r="AX10" s="49" t="s">
        <v>43</v>
      </c>
      <c r="AY10" s="49" t="s">
        <v>41</v>
      </c>
      <c r="AZ10" s="49" t="s">
        <v>40</v>
      </c>
      <c r="BA10" s="52" t="s">
        <v>45</v>
      </c>
      <c r="BB10" s="23" t="s">
        <v>42</v>
      </c>
      <c r="BC10" s="48" t="s">
        <v>1</v>
      </c>
      <c r="BD10" s="48" t="s">
        <v>0</v>
      </c>
      <c r="BE10" s="50" t="s">
        <v>21</v>
      </c>
    </row>
    <row r="11" spans="1:57" s="9" customFormat="1" ht="90">
      <c r="A11" s="66">
        <v>25</v>
      </c>
      <c r="B11" s="66" t="s">
        <v>65</v>
      </c>
      <c r="C11" s="66" t="s">
        <v>66</v>
      </c>
      <c r="D11" s="66" t="s">
        <v>67</v>
      </c>
      <c r="E11" s="66" t="s">
        <v>68</v>
      </c>
      <c r="F11" s="66" t="s">
        <v>69</v>
      </c>
      <c r="G11" s="66" t="s">
        <v>70</v>
      </c>
      <c r="H11" s="66">
        <v>330105300</v>
      </c>
      <c r="I11" s="66" t="s">
        <v>150</v>
      </c>
      <c r="J11" s="70">
        <v>82</v>
      </c>
      <c r="K11" s="66" t="s">
        <v>151</v>
      </c>
      <c r="L11" s="66" t="str">
        <f>+'[1]Plan Indicativo'!$AC$32</f>
        <v>Acumulativa</v>
      </c>
      <c r="M11" s="87">
        <f>+'[1]Plan Indicativo'!$T$32</f>
        <v>100</v>
      </c>
      <c r="N11" s="42">
        <f>+'[1]Plan Indicativo'!$W$32</f>
        <v>30</v>
      </c>
      <c r="O11" s="46">
        <v>30</v>
      </c>
      <c r="P11" s="51">
        <f>+Tabla1[[#This Row],[Logro Vigencia]]/Tabla1[[#This Row],[Meta Programada Vigencia]]</f>
        <v>1</v>
      </c>
      <c r="Q11" s="53"/>
      <c r="R11" s="29">
        <v>250000000</v>
      </c>
      <c r="S11" s="16"/>
      <c r="T11" s="16"/>
      <c r="U11" s="16"/>
      <c r="V11" s="16">
        <v>0</v>
      </c>
      <c r="W11" s="16"/>
      <c r="X11" s="16"/>
      <c r="Y11" s="16"/>
      <c r="Z11" s="16"/>
      <c r="AA11" s="16"/>
      <c r="AB11" s="16"/>
      <c r="AC11" s="16"/>
      <c r="AD11" s="16">
        <v>0</v>
      </c>
      <c r="AE11" s="16">
        <v>500000000</v>
      </c>
      <c r="AF11" s="57">
        <f>SUM(Tabla1[[#This Row],[Recursos propios]:[Recursos del Balance]])</f>
        <v>750000000</v>
      </c>
      <c r="AG11" s="24">
        <v>749140000</v>
      </c>
      <c r="AH11" s="16"/>
      <c r="AI11" s="16"/>
      <c r="AJ11" s="16"/>
      <c r="AK11" s="16"/>
      <c r="AL11" s="16"/>
      <c r="AM11" s="16"/>
      <c r="AN11" s="16"/>
      <c r="AO11" s="16"/>
      <c r="AP11" s="16"/>
      <c r="AQ11" s="16"/>
      <c r="AR11" s="16"/>
      <c r="AS11" s="16"/>
      <c r="AT11" s="16"/>
      <c r="AU11" s="35">
        <f>SUM(Tabla1[[#This Row],[Recursos propios2]:[Recursos del Balance2]])</f>
        <v>749140000</v>
      </c>
      <c r="AV11" s="16">
        <v>749140000</v>
      </c>
      <c r="AW11" s="22">
        <v>607771916</v>
      </c>
      <c r="AX11" s="20">
        <f>+Tabla1[[#This Row],[Total Recursos Comprometido 2025]]/Tabla1[[#This Row],[Total 2025]]</f>
        <v>0.99885333333333337</v>
      </c>
      <c r="AY11" s="17">
        <f>+Tabla1[[#This Row],[Total Recursos Obligados]]/Tabla1[[#This Row],[Total 2025]]</f>
        <v>0.99885333333333337</v>
      </c>
      <c r="AZ11" s="21">
        <f>+Tabla1[[#This Row],[Total Recursos Pagados]]/Tabla1[[#This Row],[Total 2025]]</f>
        <v>0.81036255466666662</v>
      </c>
      <c r="BA11" s="67"/>
      <c r="BB11" s="61">
        <f>+Tabla1[[#This Row],[Total Recursos Gestionados2]]/Tabla1[[#This Row],[Total Recursos Comprometido 2025]]</f>
        <v>0</v>
      </c>
      <c r="BC11" s="41" t="s">
        <v>145</v>
      </c>
      <c r="BD11" s="42" t="s">
        <v>146</v>
      </c>
      <c r="BE11" s="43">
        <v>3</v>
      </c>
    </row>
    <row r="12" spans="1:57" s="10" customFormat="1" ht="54">
      <c r="A12" s="66">
        <v>74</v>
      </c>
      <c r="B12" s="66" t="s">
        <v>71</v>
      </c>
      <c r="C12" s="66" t="s">
        <v>72</v>
      </c>
      <c r="D12" s="66" t="s">
        <v>73</v>
      </c>
      <c r="E12" s="66" t="s">
        <v>74</v>
      </c>
      <c r="F12" s="66" t="s">
        <v>75</v>
      </c>
      <c r="G12" s="66" t="s">
        <v>76</v>
      </c>
      <c r="H12" s="66">
        <v>350204600</v>
      </c>
      <c r="I12" s="66" t="s">
        <v>152</v>
      </c>
      <c r="J12" s="70">
        <v>3</v>
      </c>
      <c r="K12" s="66" t="s">
        <v>151</v>
      </c>
      <c r="L12" s="66" t="str">
        <f>+'[1]Plan Indicativo'!AC82</f>
        <v>Acumulativa</v>
      </c>
      <c r="M12" s="88">
        <f>+'[1]Plan Indicativo'!T82</f>
        <v>7</v>
      </c>
      <c r="N12" s="38">
        <f>+'[1]Plan Indicativo'!W82</f>
        <v>2</v>
      </c>
      <c r="O12" s="39">
        <v>2</v>
      </c>
      <c r="P12" s="40">
        <f>+Tabla1[[#This Row],[Logro Vigencia]]/Tabla1[[#This Row],[Meta Programada Vigencia]]</f>
        <v>1</v>
      </c>
      <c r="Q12" s="54"/>
      <c r="R12" s="24">
        <v>1772800000</v>
      </c>
      <c r="S12" s="15"/>
      <c r="T12" s="15"/>
      <c r="U12" s="15"/>
      <c r="V12" s="15">
        <v>0</v>
      </c>
      <c r="W12" s="15"/>
      <c r="X12" s="15"/>
      <c r="Y12" s="15"/>
      <c r="Z12" s="15"/>
      <c r="AA12" s="15"/>
      <c r="AB12" s="15"/>
      <c r="AC12" s="15"/>
      <c r="AD12" s="15">
        <v>0</v>
      </c>
      <c r="AE12" s="15">
        <v>9409724000</v>
      </c>
      <c r="AF12" s="58">
        <f>SUM(Tabla1[[#This Row],[Recursos propios]:[Recursos del Balance]])</f>
        <v>11182524000</v>
      </c>
      <c r="AG12" s="24">
        <v>11178023999</v>
      </c>
      <c r="AH12" s="15"/>
      <c r="AI12" s="15"/>
      <c r="AJ12" s="15"/>
      <c r="AK12" s="15"/>
      <c r="AL12" s="15"/>
      <c r="AM12" s="15"/>
      <c r="AN12" s="15"/>
      <c r="AO12" s="15"/>
      <c r="AP12" s="15"/>
      <c r="AQ12" s="15"/>
      <c r="AR12" s="15"/>
      <c r="AS12" s="15"/>
      <c r="AT12" s="15"/>
      <c r="AU12" s="35">
        <f>SUM(Tabla1[[#This Row],[Recursos propios2]:[Recursos del Balance2]])</f>
        <v>11178023999</v>
      </c>
      <c r="AV12" s="15">
        <v>11178023999</v>
      </c>
      <c r="AW12" s="26">
        <v>11044703874</v>
      </c>
      <c r="AX12" s="59">
        <f>+Tabla1[[#This Row],[Total Recursos Comprometido 2025]]/Tabla1[[#This Row],[Total 2025]]</f>
        <v>0.99959758628731765</v>
      </c>
      <c r="AY12" s="18">
        <f>+Tabla1[[#This Row],[Total Recursos Obligados]]/Tabla1[[#This Row],[Total 2025]]</f>
        <v>0.99959758628731765</v>
      </c>
      <c r="AZ12" s="60">
        <f>+Tabla1[[#This Row],[Total Recursos Pagados]]/Tabla1[[#This Row],[Total 2025]]</f>
        <v>0.9876754008307963</v>
      </c>
      <c r="BA12" s="68"/>
      <c r="BB12" s="62">
        <f>+Tabla1[[#This Row],[Total Recursos Gestionados2]]/Tabla1[[#This Row],[Total Recursos Comprometido 2025]]</f>
        <v>0</v>
      </c>
      <c r="BC12" s="41" t="s">
        <v>145</v>
      </c>
      <c r="BD12" s="42" t="s">
        <v>146</v>
      </c>
      <c r="BE12" s="43">
        <v>0.5</v>
      </c>
    </row>
    <row r="13" spans="1:57" s="10" customFormat="1" ht="54">
      <c r="A13" s="65">
        <v>75</v>
      </c>
      <c r="B13" s="65" t="s">
        <v>71</v>
      </c>
      <c r="C13" s="65" t="s">
        <v>72</v>
      </c>
      <c r="D13" s="65" t="s">
        <v>73</v>
      </c>
      <c r="E13" s="65" t="s">
        <v>74</v>
      </c>
      <c r="F13" s="65" t="s">
        <v>77</v>
      </c>
      <c r="G13" s="65" t="s">
        <v>78</v>
      </c>
      <c r="H13" s="65">
        <v>350204900</v>
      </c>
      <c r="I13" s="65" t="s">
        <v>153</v>
      </c>
      <c r="J13" s="65">
        <v>2</v>
      </c>
      <c r="K13" s="65" t="s">
        <v>151</v>
      </c>
      <c r="L13" s="66" t="str">
        <f>+'[1]Plan Indicativo'!AC83</f>
        <v>Acumulativa</v>
      </c>
      <c r="M13" s="88">
        <f>+'[1]Plan Indicativo'!T83</f>
        <v>5</v>
      </c>
      <c r="N13" s="38">
        <f>+'[1]Plan Indicativo'!W83</f>
        <v>2</v>
      </c>
      <c r="O13" s="46">
        <v>2</v>
      </c>
      <c r="P13" s="40">
        <f>+Tabla1[[#This Row],[Logro Vigencia]]/Tabla1[[#This Row],[Meta Programada Vigencia]]</f>
        <v>1</v>
      </c>
      <c r="Q13" s="54"/>
      <c r="R13" s="24">
        <v>85060000</v>
      </c>
      <c r="S13" s="15"/>
      <c r="T13" s="15"/>
      <c r="U13" s="27"/>
      <c r="V13" s="15">
        <v>0</v>
      </c>
      <c r="W13" s="15"/>
      <c r="X13" s="15"/>
      <c r="Y13" s="15"/>
      <c r="Z13" s="15"/>
      <c r="AA13" s="15"/>
      <c r="AB13" s="15"/>
      <c r="AC13" s="15"/>
      <c r="AD13" s="27" t="s">
        <v>229</v>
      </c>
      <c r="AE13" s="15">
        <v>76789200</v>
      </c>
      <c r="AF13" s="58">
        <f>SUM(Tabla1[[#This Row],[Recursos propios]:[Recursos del Balance]])</f>
        <v>161849200</v>
      </c>
      <c r="AG13" s="24">
        <v>148500000</v>
      </c>
      <c r="AH13" s="15"/>
      <c r="AI13" s="15"/>
      <c r="AJ13" s="25"/>
      <c r="AK13" s="15"/>
      <c r="AL13" s="15"/>
      <c r="AM13" s="15"/>
      <c r="AN13" s="15"/>
      <c r="AO13" s="15"/>
      <c r="AP13" s="15"/>
      <c r="AQ13" s="15"/>
      <c r="AR13" s="15"/>
      <c r="AS13" s="15"/>
      <c r="AT13" s="15"/>
      <c r="AU13" s="35">
        <f>SUM(Tabla1[[#This Row],[Recursos propios2]:[Recursos del Balance2]])</f>
        <v>148500000</v>
      </c>
      <c r="AV13" s="16">
        <v>148500000</v>
      </c>
      <c r="AW13" s="22">
        <v>137960000</v>
      </c>
      <c r="AX13" s="20">
        <f>+Tabla1[[#This Row],[Total Recursos Comprometido 2025]]/Tabla1[[#This Row],[Total 2025]]</f>
        <v>0.91752075388695153</v>
      </c>
      <c r="AY13" s="17">
        <f>+Tabla1[[#This Row],[Total Recursos Obligados]]/Tabla1[[#This Row],[Total 2025]]</f>
        <v>0.91752075388695153</v>
      </c>
      <c r="AZ13" s="21">
        <f>+Tabla1[[#This Row],[Total Recursos Pagados]]/Tabla1[[#This Row],[Total 2025]]</f>
        <v>0.85239840542925138</v>
      </c>
      <c r="BA13" s="67"/>
      <c r="BB13" s="61">
        <f>+Tabla1[[#This Row],[Total Recursos Gestionados2]]/Tabla1[[#This Row],[Total Recursos Comprometido 2025]]</f>
        <v>0</v>
      </c>
      <c r="BC13" s="41" t="s">
        <v>145</v>
      </c>
      <c r="BD13" s="42" t="s">
        <v>146</v>
      </c>
      <c r="BE13" s="43">
        <v>1</v>
      </c>
    </row>
    <row r="14" spans="1:57" s="10" customFormat="1" ht="54">
      <c r="A14" s="66">
        <v>76</v>
      </c>
      <c r="B14" s="66" t="s">
        <v>71</v>
      </c>
      <c r="C14" s="66" t="s">
        <v>72</v>
      </c>
      <c r="D14" s="66" t="s">
        <v>73</v>
      </c>
      <c r="E14" s="66" t="s">
        <v>74</v>
      </c>
      <c r="F14" s="66" t="s">
        <v>79</v>
      </c>
      <c r="G14" s="66" t="s">
        <v>80</v>
      </c>
      <c r="H14" s="66">
        <v>350211400</v>
      </c>
      <c r="I14" s="66" t="s">
        <v>154</v>
      </c>
      <c r="J14" s="70">
        <v>4</v>
      </c>
      <c r="K14" s="66" t="s">
        <v>151</v>
      </c>
      <c r="L14" s="66" t="str">
        <f>+'[1]Plan Indicativo'!AC84</f>
        <v>Acumulativa</v>
      </c>
      <c r="M14" s="88">
        <f>+'[1]Plan Indicativo'!T84</f>
        <v>8</v>
      </c>
      <c r="N14" s="38">
        <f>+'[1]Plan Indicativo'!W84</f>
        <v>4</v>
      </c>
      <c r="O14" s="46">
        <v>4</v>
      </c>
      <c r="P14" s="40">
        <f>+Tabla1[[#This Row],[Logro Vigencia]]/Tabla1[[#This Row],[Meta Programada Vigencia]]</f>
        <v>1</v>
      </c>
      <c r="Q14" s="54"/>
      <c r="R14" s="44">
        <v>199140000</v>
      </c>
      <c r="S14" s="15"/>
      <c r="T14" s="15"/>
      <c r="U14" s="15"/>
      <c r="V14" s="15">
        <v>0</v>
      </c>
      <c r="W14" s="15"/>
      <c r="X14" s="15"/>
      <c r="Y14" s="15"/>
      <c r="Z14" s="15"/>
      <c r="AA14" s="15"/>
      <c r="AB14" s="15"/>
      <c r="AC14" s="15"/>
      <c r="AD14" s="15">
        <v>0</v>
      </c>
      <c r="AE14" s="15">
        <v>29560000</v>
      </c>
      <c r="AF14" s="58">
        <f>SUM(Tabla1[[#This Row],[Recursos propios]:[Recursos del Balance]])</f>
        <v>228700000</v>
      </c>
      <c r="AG14" s="24">
        <v>228400000</v>
      </c>
      <c r="AH14" s="15"/>
      <c r="AI14" s="15"/>
      <c r="AJ14" s="15"/>
      <c r="AK14" s="15"/>
      <c r="AL14" s="15"/>
      <c r="AM14" s="15"/>
      <c r="AN14" s="15"/>
      <c r="AO14" s="15"/>
      <c r="AP14" s="15"/>
      <c r="AQ14" s="15"/>
      <c r="AR14" s="15"/>
      <c r="AS14" s="15"/>
      <c r="AT14" s="15"/>
      <c r="AU14" s="35">
        <f>SUM(Tabla1[[#This Row],[Recursos propios2]:[Recursos del Balance2]])</f>
        <v>228400000</v>
      </c>
      <c r="AV14" s="15">
        <v>228400000</v>
      </c>
      <c r="AW14" s="26">
        <v>212939362</v>
      </c>
      <c r="AX14" s="59">
        <f>+Tabla1[[#This Row],[Total Recursos Comprometido 2025]]/Tabla1[[#This Row],[Total 2025]]</f>
        <v>0.99868823786620031</v>
      </c>
      <c r="AY14" s="18">
        <f>+Tabla1[[#This Row],[Total Recursos Obligados]]/Tabla1[[#This Row],[Total 2025]]</f>
        <v>0.99868823786620031</v>
      </c>
      <c r="AZ14" s="60">
        <f>+Tabla1[[#This Row],[Total Recursos Pagados]]/Tabla1[[#This Row],[Total 2025]]</f>
        <v>0.93108597289024919</v>
      </c>
      <c r="BA14" s="68"/>
      <c r="BB14" s="62">
        <f>+Tabla1[[#This Row],[Total Recursos Gestionados2]]/Tabla1[[#This Row],[Total Recursos Comprometido 2025]]</f>
        <v>0</v>
      </c>
      <c r="BC14" s="41" t="s">
        <v>145</v>
      </c>
      <c r="BD14" s="42" t="s">
        <v>146</v>
      </c>
      <c r="BE14" s="43">
        <v>1.5</v>
      </c>
    </row>
    <row r="15" spans="1:57" s="10" customFormat="1" ht="90">
      <c r="A15" s="65">
        <v>139</v>
      </c>
      <c r="B15" s="65" t="s">
        <v>81</v>
      </c>
      <c r="C15" s="65" t="s">
        <v>66</v>
      </c>
      <c r="D15" s="65" t="s">
        <v>67</v>
      </c>
      <c r="E15" s="65" t="s">
        <v>68</v>
      </c>
      <c r="F15" s="65" t="s">
        <v>82</v>
      </c>
      <c r="G15" s="65" t="s">
        <v>83</v>
      </c>
      <c r="H15" s="65">
        <v>330105400</v>
      </c>
      <c r="I15" s="65" t="s">
        <v>155</v>
      </c>
      <c r="J15" s="65">
        <v>610</v>
      </c>
      <c r="K15" s="65" t="s">
        <v>151</v>
      </c>
      <c r="L15" s="65" t="str">
        <f>+'[1]Plan Indicativo'!AC147</f>
        <v>Acumulativa</v>
      </c>
      <c r="M15" s="30">
        <f>+'[1]Plan Indicativo'!T147</f>
        <v>1000</v>
      </c>
      <c r="N15" s="38">
        <f>+'[1]Plan Indicativo'!W147</f>
        <v>350</v>
      </c>
      <c r="O15" s="39">
        <v>356</v>
      </c>
      <c r="P15" s="45">
        <f>+Tabla1[[#This Row],[Logro Vigencia]]/Tabla1[[#This Row],[Meta Programada Vigencia]]</f>
        <v>1.0171428571428571</v>
      </c>
      <c r="Q15" s="55"/>
      <c r="R15" s="24">
        <v>2314163592</v>
      </c>
      <c r="S15" s="15"/>
      <c r="T15" s="15"/>
      <c r="U15" s="15"/>
      <c r="V15" s="15">
        <v>0</v>
      </c>
      <c r="W15" s="15"/>
      <c r="X15" s="15"/>
      <c r="Y15" s="15"/>
      <c r="Z15" s="15"/>
      <c r="AA15" s="15"/>
      <c r="AB15" s="15"/>
      <c r="AC15" s="15"/>
      <c r="AD15" s="15">
        <v>0</v>
      </c>
      <c r="AE15" s="15">
        <v>6447021693.9599991</v>
      </c>
      <c r="AF15" s="58">
        <f>SUM(Tabla1[[#This Row],[Recursos propios]:[Recursos del Balance]])</f>
        <v>8761185285.9599991</v>
      </c>
      <c r="AG15" s="24">
        <v>6841560262.3100004</v>
      </c>
      <c r="AH15" s="15"/>
      <c r="AI15" s="15"/>
      <c r="AJ15" s="15"/>
      <c r="AK15" s="15">
        <v>1790974188.6900001</v>
      </c>
      <c r="AL15" s="15"/>
      <c r="AM15" s="15"/>
      <c r="AN15" s="15"/>
      <c r="AO15" s="15"/>
      <c r="AP15" s="15"/>
      <c r="AQ15" s="15"/>
      <c r="AR15" s="15"/>
      <c r="AS15" s="15"/>
      <c r="AT15" s="15"/>
      <c r="AU15" s="35">
        <f>SUM(Tabla1[[#This Row],[Recursos propios2]:[Recursos del Balance2]])</f>
        <v>8632534451</v>
      </c>
      <c r="AV15" s="15">
        <v>8632534451</v>
      </c>
      <c r="AW15" s="26">
        <v>8410029288</v>
      </c>
      <c r="AX15" s="19">
        <f>+Tabla1[[#This Row],[Total Recursos Comprometido 2025]]/Tabla1[[#This Row],[Total 2025]]</f>
        <v>0.98531581849248584</v>
      </c>
      <c r="AY15" s="33">
        <f>+Tabla1[[#This Row],[Total Recursos Obligados]]/Tabla1[[#This Row],[Total 2025]]</f>
        <v>0.98531581849248584</v>
      </c>
      <c r="AZ15" s="34">
        <f>+Tabla1[[#This Row],[Total Recursos Pagados]]/Tabla1[[#This Row],[Total 2025]]</f>
        <v>0.95991912207099028</v>
      </c>
      <c r="BA15" s="69"/>
      <c r="BB15" s="63">
        <f>+Tabla1[[#This Row],[Total Recursos Gestionados2]]/Tabla1[[#This Row],[Total Recursos Comprometido 2025]]</f>
        <v>0</v>
      </c>
      <c r="BC15" s="41" t="s">
        <v>145</v>
      </c>
      <c r="BD15" s="42" t="s">
        <v>146</v>
      </c>
      <c r="BE15" s="43">
        <v>46</v>
      </c>
    </row>
    <row r="16" spans="1:57" s="10" customFormat="1" ht="54">
      <c r="A16" s="66">
        <v>140</v>
      </c>
      <c r="B16" s="66" t="s">
        <v>81</v>
      </c>
      <c r="C16" s="66" t="s">
        <v>66</v>
      </c>
      <c r="D16" s="66" t="s">
        <v>67</v>
      </c>
      <c r="E16" s="66" t="s">
        <v>68</v>
      </c>
      <c r="F16" s="66" t="s">
        <v>84</v>
      </c>
      <c r="G16" s="66" t="s">
        <v>85</v>
      </c>
      <c r="H16" s="66">
        <v>330107300</v>
      </c>
      <c r="I16" s="66" t="s">
        <v>156</v>
      </c>
      <c r="J16" s="70">
        <v>2</v>
      </c>
      <c r="K16" s="66" t="s">
        <v>151</v>
      </c>
      <c r="L16" s="65" t="str">
        <f>+'[1]Plan Indicativo'!AC148</f>
        <v>Acumulativa</v>
      </c>
      <c r="M16" s="30">
        <f>+'[1]Plan Indicativo'!T148</f>
        <v>3</v>
      </c>
      <c r="N16" s="38">
        <f>+'[1]Plan Indicativo'!W148</f>
        <v>2</v>
      </c>
      <c r="O16" s="46">
        <v>2</v>
      </c>
      <c r="P16" s="47">
        <f>+Tabla1[[#This Row],[Logro Vigencia]]/Tabla1[[#This Row],[Meta Programada Vigencia]]</f>
        <v>1</v>
      </c>
      <c r="Q16" s="56"/>
      <c r="R16" s="29">
        <v>0</v>
      </c>
      <c r="S16" s="16"/>
      <c r="T16" s="16"/>
      <c r="U16" s="16"/>
      <c r="V16" s="16">
        <v>0</v>
      </c>
      <c r="W16" s="16"/>
      <c r="X16" s="16"/>
      <c r="Y16" s="16"/>
      <c r="Z16" s="16"/>
      <c r="AA16" s="16"/>
      <c r="AB16" s="16"/>
      <c r="AC16" s="16"/>
      <c r="AD16" s="28"/>
      <c r="AE16" s="16">
        <v>50000000</v>
      </c>
      <c r="AF16" s="58">
        <f>SUM(Tabla1[[#This Row],[Recursos propios]:[Recursos del Balance]])</f>
        <v>50000000</v>
      </c>
      <c r="AG16" s="29">
        <v>50000000</v>
      </c>
      <c r="AH16" s="16"/>
      <c r="AI16" s="16"/>
      <c r="AJ16" s="16"/>
      <c r="AK16" s="16"/>
      <c r="AL16" s="16"/>
      <c r="AM16" s="16"/>
      <c r="AN16" s="16"/>
      <c r="AO16" s="16"/>
      <c r="AP16" s="16"/>
      <c r="AQ16" s="16"/>
      <c r="AR16" s="16"/>
      <c r="AS16" s="28"/>
      <c r="AT16" s="16"/>
      <c r="AU16" s="35">
        <f>SUM(Tabla1[[#This Row],[Recursos propios2]:[Recursos del Balance2]])</f>
        <v>50000000</v>
      </c>
      <c r="AV16" s="16">
        <v>50000000</v>
      </c>
      <c r="AW16" s="22">
        <v>50000000</v>
      </c>
      <c r="AX16" s="20">
        <f>+Tabla1[[#This Row],[Total Recursos Comprometido 2025]]/Tabla1[[#This Row],[Total 2025]]</f>
        <v>1</v>
      </c>
      <c r="AY16" s="17">
        <f>+Tabla1[[#This Row],[Total Recursos Obligados]]/Tabla1[[#This Row],[Total 2025]]</f>
        <v>1</v>
      </c>
      <c r="AZ16" s="21">
        <f>+Tabla1[[#This Row],[Total Recursos Pagados]]/Tabla1[[#This Row],[Total 2025]]</f>
        <v>1</v>
      </c>
      <c r="BA16" s="67"/>
      <c r="BB16" s="61">
        <f>+Tabla1[[#This Row],[Total Recursos Gestionados2]]/Tabla1[[#This Row],[Total Recursos Comprometido 2025]]</f>
        <v>0</v>
      </c>
      <c r="BC16" s="41" t="s">
        <v>145</v>
      </c>
      <c r="BD16" s="42" t="s">
        <v>146</v>
      </c>
      <c r="BE16" s="43">
        <v>0.5</v>
      </c>
    </row>
    <row r="17" spans="1:57" s="10" customFormat="1" ht="54">
      <c r="A17" s="65">
        <v>141</v>
      </c>
      <c r="B17" s="65" t="s">
        <v>81</v>
      </c>
      <c r="C17" s="65" t="s">
        <v>66</v>
      </c>
      <c r="D17" s="65" t="s">
        <v>67</v>
      </c>
      <c r="E17" s="65" t="s">
        <v>68</v>
      </c>
      <c r="F17" s="65" t="s">
        <v>86</v>
      </c>
      <c r="G17" s="65" t="s">
        <v>87</v>
      </c>
      <c r="H17" s="65">
        <v>330112900</v>
      </c>
      <c r="I17" s="65" t="s">
        <v>157</v>
      </c>
      <c r="J17" s="65">
        <v>1</v>
      </c>
      <c r="K17" s="65" t="s">
        <v>151</v>
      </c>
      <c r="L17" s="65" t="str">
        <f>+'[1]Plan Indicativo'!AC149</f>
        <v>Acumulativa</v>
      </c>
      <c r="M17" s="30">
        <f>+'[1]Plan Indicativo'!T149</f>
        <v>5</v>
      </c>
      <c r="N17" s="38">
        <f>+'[1]Plan Indicativo'!W149</f>
        <v>2</v>
      </c>
      <c r="O17" s="39">
        <v>2</v>
      </c>
      <c r="P17" s="40">
        <f>+Tabla1[[#This Row],[Logro Vigencia]]/Tabla1[[#This Row],[Meta Programada Vigencia]]</f>
        <v>1</v>
      </c>
      <c r="Q17" s="54"/>
      <c r="R17" s="24">
        <v>32000000</v>
      </c>
      <c r="S17" s="15"/>
      <c r="T17" s="15"/>
      <c r="U17" s="15"/>
      <c r="V17" s="15">
        <v>0</v>
      </c>
      <c r="W17" s="15"/>
      <c r="X17" s="15"/>
      <c r="Y17" s="15"/>
      <c r="Z17" s="15"/>
      <c r="AA17" s="15"/>
      <c r="AB17" s="15"/>
      <c r="AC17" s="15"/>
      <c r="AD17" s="15"/>
      <c r="AE17" s="15">
        <v>21000000</v>
      </c>
      <c r="AF17" s="58">
        <f>SUM(Tabla1[[#This Row],[Recursos propios]:[Recursos del Balance]])</f>
        <v>53000000</v>
      </c>
      <c r="AG17" s="24">
        <v>52998179.200000003</v>
      </c>
      <c r="AH17" s="15"/>
      <c r="AI17" s="15"/>
      <c r="AJ17" s="15"/>
      <c r="AK17" s="15"/>
      <c r="AL17" s="15"/>
      <c r="AM17" s="15"/>
      <c r="AN17" s="15"/>
      <c r="AO17" s="15"/>
      <c r="AP17" s="15"/>
      <c r="AQ17" s="15"/>
      <c r="AR17" s="15"/>
      <c r="AS17" s="15"/>
      <c r="AT17" s="15"/>
      <c r="AU17" s="35">
        <f>SUM(Tabla1[[#This Row],[Recursos propios2]:[Recursos del Balance2]])</f>
        <v>52998179.200000003</v>
      </c>
      <c r="AV17" s="15">
        <v>52998179.200000003</v>
      </c>
      <c r="AW17" s="26">
        <v>52998179.200000003</v>
      </c>
      <c r="AX17" s="59">
        <f>+Tabla1[[#This Row],[Total Recursos Comprometido 2025]]/Tabla1[[#This Row],[Total 2025]]</f>
        <v>0.9999656452830189</v>
      </c>
      <c r="AY17" s="18">
        <f>+Tabla1[[#This Row],[Total Recursos Obligados]]/Tabla1[[#This Row],[Total 2025]]</f>
        <v>0.9999656452830189</v>
      </c>
      <c r="AZ17" s="60">
        <f>+Tabla1[[#This Row],[Total Recursos Pagados]]/Tabla1[[#This Row],[Total 2025]]</f>
        <v>0.9999656452830189</v>
      </c>
      <c r="BA17" s="68"/>
      <c r="BB17" s="62">
        <f>+Tabla1[[#This Row],[Total Recursos Gestionados2]]/Tabla1[[#This Row],[Total Recursos Comprometido 2025]]</f>
        <v>0</v>
      </c>
      <c r="BC17" s="41" t="s">
        <v>145</v>
      </c>
      <c r="BD17" s="42" t="s">
        <v>146</v>
      </c>
      <c r="BE17" s="43">
        <v>0.5</v>
      </c>
    </row>
    <row r="18" spans="1:57" s="10" customFormat="1" ht="90">
      <c r="A18" s="66">
        <v>142</v>
      </c>
      <c r="B18" s="66" t="s">
        <v>81</v>
      </c>
      <c r="C18" s="66" t="s">
        <v>66</v>
      </c>
      <c r="D18" s="66" t="s">
        <v>67</v>
      </c>
      <c r="E18" s="66" t="s">
        <v>68</v>
      </c>
      <c r="F18" s="66" t="s">
        <v>88</v>
      </c>
      <c r="G18" s="66" t="s">
        <v>89</v>
      </c>
      <c r="H18" s="66">
        <v>330108700</v>
      </c>
      <c r="I18" s="66" t="s">
        <v>158</v>
      </c>
      <c r="J18" s="70">
        <v>1</v>
      </c>
      <c r="K18" s="66" t="s">
        <v>151</v>
      </c>
      <c r="L18" s="65" t="str">
        <f>+'[1]Plan Indicativo'!AC150</f>
        <v>No Acumulativa</v>
      </c>
      <c r="M18" s="30">
        <f>+'[1]Plan Indicativo'!T150</f>
        <v>2</v>
      </c>
      <c r="N18" s="38">
        <f>+'[1]Plan Indicativo'!W150</f>
        <v>2</v>
      </c>
      <c r="O18" s="39">
        <v>2</v>
      </c>
      <c r="P18" s="40">
        <f>+Tabla1[[#This Row],[Logro Vigencia]]/Tabla1[[#This Row],[Meta Programada Vigencia]]</f>
        <v>1</v>
      </c>
      <c r="Q18" s="54"/>
      <c r="R18" s="24">
        <v>1020000000</v>
      </c>
      <c r="S18" s="15"/>
      <c r="T18" s="15"/>
      <c r="U18" s="15"/>
      <c r="V18" s="15"/>
      <c r="W18" s="15"/>
      <c r="X18" s="15"/>
      <c r="Y18" s="15"/>
      <c r="Z18" s="15"/>
      <c r="AA18" s="15"/>
      <c r="AB18" s="15"/>
      <c r="AC18" s="15"/>
      <c r="AD18" s="27"/>
      <c r="AE18" s="15">
        <v>2009116867.03</v>
      </c>
      <c r="AF18" s="58">
        <f>SUM(Tabla1[[#This Row],[Recursos propios]:[Recursos del Balance]])</f>
        <v>3029116867.0299997</v>
      </c>
      <c r="AG18" s="24">
        <v>2660001467.8399997</v>
      </c>
      <c r="AH18" s="15"/>
      <c r="AI18" s="15"/>
      <c r="AJ18" s="15"/>
      <c r="AK18" s="15">
        <v>221718432.09</v>
      </c>
      <c r="AL18" s="15"/>
      <c r="AM18" s="15"/>
      <c r="AN18" s="15"/>
      <c r="AO18" s="15"/>
      <c r="AP18" s="15"/>
      <c r="AQ18" s="15"/>
      <c r="AR18" s="15"/>
      <c r="AS18" s="27"/>
      <c r="AT18" s="15"/>
      <c r="AU18" s="35">
        <f>SUM(Tabla1[[#This Row],[Recursos propios2]:[Recursos del Balance2]])</f>
        <v>2881719899.9299998</v>
      </c>
      <c r="AV18" s="15">
        <v>2881719899.9299998</v>
      </c>
      <c r="AW18" s="26">
        <v>2591962846.3299999</v>
      </c>
      <c r="AX18" s="59">
        <f>+Tabla1[[#This Row],[Total Recursos Comprometido 2025]]/Tabla1[[#This Row],[Total 2025]]</f>
        <v>0.95133995366625779</v>
      </c>
      <c r="AY18" s="18">
        <f>+Tabla1[[#This Row],[Total Recursos Obligados]]/Tabla1[[#This Row],[Total 2025]]</f>
        <v>0.95133995366625779</v>
      </c>
      <c r="AZ18" s="60">
        <f>+Tabla1[[#This Row],[Total Recursos Pagados]]/Tabla1[[#This Row],[Total 2025]]</f>
        <v>0.85568268248143808</v>
      </c>
      <c r="BA18" s="68"/>
      <c r="BB18" s="62">
        <f>+Tabla1[[#This Row],[Total Recursos Gestionados2]]/Tabla1[[#This Row],[Total Recursos Comprometido 2025]]</f>
        <v>0</v>
      </c>
      <c r="BC18" s="41" t="s">
        <v>145</v>
      </c>
      <c r="BD18" s="42" t="s">
        <v>146</v>
      </c>
      <c r="BE18" s="43">
        <v>1</v>
      </c>
    </row>
    <row r="19" spans="1:57" s="10" customFormat="1" ht="72">
      <c r="A19" s="65">
        <v>143</v>
      </c>
      <c r="B19" s="65" t="s">
        <v>81</v>
      </c>
      <c r="C19" s="65" t="s">
        <v>66</v>
      </c>
      <c r="D19" s="65" t="s">
        <v>67</v>
      </c>
      <c r="E19" s="65" t="s">
        <v>68</v>
      </c>
      <c r="F19" s="65" t="s">
        <v>90</v>
      </c>
      <c r="G19" s="65" t="s">
        <v>91</v>
      </c>
      <c r="H19" s="65">
        <v>330112600</v>
      </c>
      <c r="I19" s="65" t="s">
        <v>159</v>
      </c>
      <c r="J19" s="65">
        <v>1</v>
      </c>
      <c r="K19" s="65" t="s">
        <v>151</v>
      </c>
      <c r="L19" s="65" t="str">
        <f>+'[1]Plan Indicativo'!AC151</f>
        <v>No Acumulativa</v>
      </c>
      <c r="M19" s="30">
        <f>+'[1]Plan Indicativo'!T151</f>
        <v>2</v>
      </c>
      <c r="N19" s="38">
        <f>+'[1]Plan Indicativo'!W151</f>
        <v>2</v>
      </c>
      <c r="O19" s="39">
        <v>2</v>
      </c>
      <c r="P19" s="40">
        <f>+Tabla1[[#This Row],[Logro Vigencia]]/Tabla1[[#This Row],[Meta Programada Vigencia]]</f>
        <v>1</v>
      </c>
      <c r="Q19" s="54"/>
      <c r="R19" s="24">
        <v>2180913714</v>
      </c>
      <c r="S19" s="15"/>
      <c r="T19" s="15"/>
      <c r="U19" s="15"/>
      <c r="V19" s="15">
        <v>1999086286</v>
      </c>
      <c r="W19" s="15"/>
      <c r="X19" s="15"/>
      <c r="Y19" s="15"/>
      <c r="Z19" s="15"/>
      <c r="AA19" s="15"/>
      <c r="AB19" s="15"/>
      <c r="AC19" s="15"/>
      <c r="AD19" s="15"/>
      <c r="AE19" s="15">
        <v>1547010000.03</v>
      </c>
      <c r="AF19" s="58">
        <f>SUM(Tabla1[[#This Row],[Recursos propios]:[Recursos del Balance]])</f>
        <v>5727010000.0299997</v>
      </c>
      <c r="AG19" s="24">
        <v>3072506727.3999996</v>
      </c>
      <c r="AH19" s="15"/>
      <c r="AI19" s="15"/>
      <c r="AJ19" s="15"/>
      <c r="AK19" s="15">
        <v>2489489494.6700001</v>
      </c>
      <c r="AL19" s="15"/>
      <c r="AM19" s="15"/>
      <c r="AN19" s="15"/>
      <c r="AO19" s="15"/>
      <c r="AP19" s="15"/>
      <c r="AQ19" s="15"/>
      <c r="AR19" s="15"/>
      <c r="AS19" s="15"/>
      <c r="AT19" s="15"/>
      <c r="AU19" s="35">
        <f>SUM(Tabla1[[#This Row],[Recursos propios2]:[Recursos del Balance2]])</f>
        <v>5561996222.0699997</v>
      </c>
      <c r="AV19" s="15">
        <v>5561996222.0699997</v>
      </c>
      <c r="AW19" s="26">
        <v>5420850063.0699997</v>
      </c>
      <c r="AX19" s="59">
        <f>+Tabla1[[#This Row],[Total Recursos Comprometido 2025]]/Tabla1[[#This Row],[Total 2025]]</f>
        <v>0.9711867487643403</v>
      </c>
      <c r="AY19" s="18">
        <f>+Tabla1[[#This Row],[Total Recursos Obligados]]/Tabla1[[#This Row],[Total 2025]]</f>
        <v>0.9711867487643403</v>
      </c>
      <c r="AZ19" s="60">
        <f>+Tabla1[[#This Row],[Total Recursos Pagados]]/Tabla1[[#This Row],[Total 2025]]</f>
        <v>0.94654105074752859</v>
      </c>
      <c r="BA19" s="68"/>
      <c r="BB19" s="62">
        <f>+Tabla1[[#This Row],[Total Recursos Gestionados2]]/Tabla1[[#This Row],[Total Recursos Comprometido 2025]]</f>
        <v>0</v>
      </c>
      <c r="BC19" s="41" t="s">
        <v>145</v>
      </c>
      <c r="BD19" s="42" t="s">
        <v>146</v>
      </c>
      <c r="BE19" s="43">
        <v>1</v>
      </c>
    </row>
    <row r="20" spans="1:57" s="10" customFormat="1" ht="90">
      <c r="A20" s="66">
        <v>144</v>
      </c>
      <c r="B20" s="66" t="s">
        <v>81</v>
      </c>
      <c r="C20" s="66" t="s">
        <v>66</v>
      </c>
      <c r="D20" s="66" t="s">
        <v>92</v>
      </c>
      <c r="E20" s="66" t="s">
        <v>93</v>
      </c>
      <c r="F20" s="66" t="s">
        <v>94</v>
      </c>
      <c r="G20" s="66" t="s">
        <v>95</v>
      </c>
      <c r="H20" s="66">
        <v>330200200</v>
      </c>
      <c r="I20" s="66" t="s">
        <v>160</v>
      </c>
      <c r="J20" s="70">
        <v>1</v>
      </c>
      <c r="K20" s="66" t="s">
        <v>151</v>
      </c>
      <c r="L20" s="65" t="str">
        <f>+'[1]Plan Indicativo'!AC152</f>
        <v>Acumulativa</v>
      </c>
      <c r="M20" s="30">
        <f>+'[1]Plan Indicativo'!T152</f>
        <v>2</v>
      </c>
      <c r="N20" s="38">
        <f>+'[1]Plan Indicativo'!W152</f>
        <v>0.75</v>
      </c>
      <c r="O20" s="39">
        <v>0.75</v>
      </c>
      <c r="P20" s="40">
        <f>+Tabla1[[#This Row],[Logro Vigencia]]/Tabla1[[#This Row],[Meta Programada Vigencia]]</f>
        <v>1</v>
      </c>
      <c r="Q20" s="54"/>
      <c r="R20" s="24">
        <v>360000000</v>
      </c>
      <c r="S20" s="15"/>
      <c r="T20" s="15"/>
      <c r="U20" s="15"/>
      <c r="V20" s="15">
        <v>0</v>
      </c>
      <c r="W20" s="15"/>
      <c r="X20" s="15"/>
      <c r="Y20" s="15"/>
      <c r="Z20" s="15"/>
      <c r="AA20" s="15"/>
      <c r="AB20" s="15"/>
      <c r="AC20" s="15"/>
      <c r="AD20" s="15">
        <v>0</v>
      </c>
      <c r="AE20" s="15">
        <v>141000000</v>
      </c>
      <c r="AF20" s="58">
        <f>SUM(Tabla1[[#This Row],[Recursos propios]:[Recursos del Balance]])</f>
        <v>501000000</v>
      </c>
      <c r="AG20" s="24">
        <v>268766667</v>
      </c>
      <c r="AH20" s="15"/>
      <c r="AI20" s="15"/>
      <c r="AJ20" s="15"/>
      <c r="AK20" s="15"/>
      <c r="AL20" s="15"/>
      <c r="AM20" s="15"/>
      <c r="AN20" s="15"/>
      <c r="AO20" s="15"/>
      <c r="AP20" s="15"/>
      <c r="AQ20" s="15"/>
      <c r="AR20" s="15"/>
      <c r="AS20" s="15"/>
      <c r="AT20" s="15"/>
      <c r="AU20" s="35">
        <f>SUM(Tabla1[[#This Row],[Recursos propios2]:[Recursos del Balance2]])</f>
        <v>268766667</v>
      </c>
      <c r="AV20" s="15">
        <v>268766667</v>
      </c>
      <c r="AW20" s="26">
        <v>268766667</v>
      </c>
      <c r="AX20" s="59">
        <f>+Tabla1[[#This Row],[Total Recursos Comprometido 2025]]/Tabla1[[#This Row],[Total 2025]]</f>
        <v>0.53646041317365267</v>
      </c>
      <c r="AY20" s="18">
        <f>+Tabla1[[#This Row],[Total Recursos Obligados]]/Tabla1[[#This Row],[Total 2025]]</f>
        <v>0.53646041317365267</v>
      </c>
      <c r="AZ20" s="60">
        <f>+Tabla1[[#This Row],[Total Recursos Pagados]]/Tabla1[[#This Row],[Total 2025]]</f>
        <v>0.53646041317365267</v>
      </c>
      <c r="BA20" s="68"/>
      <c r="BB20" s="62">
        <f>+Tabla1[[#This Row],[Total Recursos Gestionados2]]/Tabla1[[#This Row],[Total Recursos Comprometido 2025]]</f>
        <v>0</v>
      </c>
      <c r="BC20" s="41" t="s">
        <v>145</v>
      </c>
      <c r="BD20" s="42" t="s">
        <v>146</v>
      </c>
      <c r="BE20" s="43">
        <v>0.25</v>
      </c>
    </row>
    <row r="21" spans="1:57" s="10" customFormat="1" ht="108">
      <c r="A21" s="66">
        <v>146</v>
      </c>
      <c r="B21" s="66" t="s">
        <v>81</v>
      </c>
      <c r="C21" s="66" t="s">
        <v>66</v>
      </c>
      <c r="D21" s="66" t="s">
        <v>92</v>
      </c>
      <c r="E21" s="66" t="s">
        <v>93</v>
      </c>
      <c r="F21" s="66" t="s">
        <v>96</v>
      </c>
      <c r="G21" s="66" t="s">
        <v>97</v>
      </c>
      <c r="H21" s="66">
        <v>330204900</v>
      </c>
      <c r="I21" s="66" t="s">
        <v>161</v>
      </c>
      <c r="J21" s="70">
        <v>0</v>
      </c>
      <c r="K21" s="66" t="s">
        <v>151</v>
      </c>
      <c r="L21" s="66" t="str">
        <f>+'[1]Plan Indicativo'!AC154</f>
        <v>No Acumulativa</v>
      </c>
      <c r="M21" s="91">
        <f>+'[1]Plan Indicativo'!T154</f>
        <v>1</v>
      </c>
      <c r="N21" s="92">
        <f>+'[1]Plan Indicativo'!W154</f>
        <v>1</v>
      </c>
      <c r="O21" s="39">
        <v>1</v>
      </c>
      <c r="P21" s="40">
        <f>+Tabla1[[#This Row],[Logro Vigencia]]/Tabla1[[#This Row],[Meta Programada Vigencia]]</f>
        <v>1</v>
      </c>
      <c r="Q21" s="54"/>
      <c r="R21" s="24">
        <v>231900000</v>
      </c>
      <c r="S21" s="15"/>
      <c r="T21" s="15"/>
      <c r="U21" s="15"/>
      <c r="V21" s="15">
        <v>0</v>
      </c>
      <c r="W21" s="15"/>
      <c r="X21" s="15"/>
      <c r="Y21" s="15"/>
      <c r="Z21" s="15"/>
      <c r="AA21" s="15"/>
      <c r="AB21" s="15"/>
      <c r="AC21" s="15"/>
      <c r="AD21" s="15">
        <v>0</v>
      </c>
      <c r="AE21" s="15">
        <v>95000000</v>
      </c>
      <c r="AF21" s="58">
        <f>SUM(Tabla1[[#This Row],[Recursos propios]:[Recursos del Balance]])</f>
        <v>326900000</v>
      </c>
      <c r="AG21" s="24">
        <v>323931206</v>
      </c>
      <c r="AH21" s="15"/>
      <c r="AI21" s="15"/>
      <c r="AJ21" s="15"/>
      <c r="AK21" s="15"/>
      <c r="AL21" s="15"/>
      <c r="AM21" s="15"/>
      <c r="AN21" s="15"/>
      <c r="AO21" s="15"/>
      <c r="AP21" s="15"/>
      <c r="AQ21" s="15"/>
      <c r="AR21" s="15"/>
      <c r="AS21" s="15"/>
      <c r="AT21" s="15"/>
      <c r="AU21" s="35">
        <f>SUM(Tabla1[[#This Row],[Recursos propios2]:[Recursos del Balance2]])</f>
        <v>323931206</v>
      </c>
      <c r="AV21" s="15">
        <v>323931206</v>
      </c>
      <c r="AW21" s="26">
        <v>309902496</v>
      </c>
      <c r="AX21" s="59">
        <f>+Tabla1[[#This Row],[Total Recursos Comprometido 2025]]/Tabla1[[#This Row],[Total 2025]]</f>
        <v>0.9909183420006118</v>
      </c>
      <c r="AY21" s="18">
        <f>+Tabla1[[#This Row],[Total Recursos Obligados]]/Tabla1[[#This Row],[Total 2025]]</f>
        <v>0.9909183420006118</v>
      </c>
      <c r="AZ21" s="60">
        <f>+Tabla1[[#This Row],[Total Recursos Pagados]]/Tabla1[[#This Row],[Total 2025]]</f>
        <v>0.94800396451514224</v>
      </c>
      <c r="BA21" s="68"/>
      <c r="BB21" s="62">
        <f>+Tabla1[[#This Row],[Total Recursos Gestionados2]]/Tabla1[[#This Row],[Total Recursos Comprometido 2025]]</f>
        <v>0</v>
      </c>
      <c r="BC21" s="41" t="s">
        <v>145</v>
      </c>
      <c r="BD21" s="42" t="s">
        <v>146</v>
      </c>
      <c r="BE21" s="43"/>
    </row>
    <row r="22" spans="1:57" s="10" customFormat="1" ht="90">
      <c r="A22" s="65">
        <v>147</v>
      </c>
      <c r="B22" s="65" t="s">
        <v>81</v>
      </c>
      <c r="C22" s="65" t="s">
        <v>66</v>
      </c>
      <c r="D22" s="65" t="s">
        <v>92</v>
      </c>
      <c r="E22" s="65" t="s">
        <v>93</v>
      </c>
      <c r="F22" s="65" t="s">
        <v>98</v>
      </c>
      <c r="G22" s="65" t="s">
        <v>99</v>
      </c>
      <c r="H22" s="65">
        <v>330205100</v>
      </c>
      <c r="I22" s="65" t="s">
        <v>162</v>
      </c>
      <c r="J22" s="65">
        <v>24</v>
      </c>
      <c r="K22" s="65" t="s">
        <v>151</v>
      </c>
      <c r="L22" s="66" t="str">
        <f>+'[1]Plan Indicativo'!AC155</f>
        <v>Acumulativa</v>
      </c>
      <c r="M22" s="91">
        <f>+'[1]Plan Indicativo'!T155</f>
        <v>50</v>
      </c>
      <c r="N22" s="92">
        <f>+'[1]Plan Indicativo'!W155</f>
        <v>20</v>
      </c>
      <c r="O22" s="39">
        <v>22</v>
      </c>
      <c r="P22" s="40">
        <f>+Tabla1[[#This Row],[Logro Vigencia]]/Tabla1[[#This Row],[Meta Programada Vigencia]]</f>
        <v>1.1000000000000001</v>
      </c>
      <c r="Q22" s="54"/>
      <c r="R22" s="24">
        <v>2167235000</v>
      </c>
      <c r="S22" s="15"/>
      <c r="T22" s="15"/>
      <c r="U22" s="15"/>
      <c r="V22" s="15">
        <v>0</v>
      </c>
      <c r="W22" s="15"/>
      <c r="X22" s="15"/>
      <c r="Y22" s="15"/>
      <c r="Z22" s="15"/>
      <c r="AA22" s="15"/>
      <c r="AB22" s="15"/>
      <c r="AC22" s="15"/>
      <c r="AD22" s="15">
        <v>0</v>
      </c>
      <c r="AE22" s="15">
        <v>2153866208.71</v>
      </c>
      <c r="AF22" s="58">
        <f>SUM(Tabla1[[#This Row],[Recursos propios]:[Recursos del Balance]])</f>
        <v>4321101208.71</v>
      </c>
      <c r="AG22" s="24">
        <v>4263315967.5000005</v>
      </c>
      <c r="AH22" s="15"/>
      <c r="AI22" s="15"/>
      <c r="AJ22" s="15"/>
      <c r="AK22" s="15"/>
      <c r="AL22" s="15"/>
      <c r="AM22" s="15"/>
      <c r="AN22" s="15"/>
      <c r="AO22" s="15"/>
      <c r="AP22" s="15"/>
      <c r="AQ22" s="15"/>
      <c r="AR22" s="15"/>
      <c r="AS22" s="15"/>
      <c r="AT22" s="15"/>
      <c r="AU22" s="35">
        <f>SUM(Tabla1[[#This Row],[Recursos propios2]:[Recursos del Balance2]])</f>
        <v>4263315967.5000005</v>
      </c>
      <c r="AV22" s="15">
        <v>4196001628.5000005</v>
      </c>
      <c r="AW22" s="26">
        <v>2556795274</v>
      </c>
      <c r="AX22" s="59">
        <f>+Tabla1[[#This Row],[Total Recursos Comprometido 2025]]/Tabla1[[#This Row],[Total 2025]]</f>
        <v>0.98662719561080348</v>
      </c>
      <c r="AY22" s="18">
        <f>+Tabla1[[#This Row],[Total Recursos Obligados]]/Tabla1[[#This Row],[Total 2025]]</f>
        <v>0.97104914368637385</v>
      </c>
      <c r="AZ22" s="60">
        <f>+Tabla1[[#This Row],[Total Recursos Pagados]]/Tabla1[[#This Row],[Total 2025]]</f>
        <v>0.59169992798277748</v>
      </c>
      <c r="BA22" s="68"/>
      <c r="BB22" s="62">
        <f>+Tabla1[[#This Row],[Total Recursos Gestionados2]]/Tabla1[[#This Row],[Total Recursos Comprometido 2025]]</f>
        <v>0</v>
      </c>
      <c r="BC22" s="41" t="s">
        <v>145</v>
      </c>
      <c r="BD22" s="42" t="s">
        <v>146</v>
      </c>
      <c r="BE22" s="43">
        <v>0.25</v>
      </c>
    </row>
    <row r="23" spans="1:57" s="10" customFormat="1" ht="54">
      <c r="A23" s="66">
        <v>148</v>
      </c>
      <c r="B23" s="66" t="s">
        <v>81</v>
      </c>
      <c r="C23" s="66" t="s">
        <v>66</v>
      </c>
      <c r="D23" s="66" t="s">
        <v>67</v>
      </c>
      <c r="E23" s="66" t="s">
        <v>68</v>
      </c>
      <c r="F23" s="66" t="s">
        <v>100</v>
      </c>
      <c r="G23" s="66" t="s">
        <v>101</v>
      </c>
      <c r="H23" s="66">
        <v>330106100</v>
      </c>
      <c r="I23" s="66" t="s">
        <v>163</v>
      </c>
      <c r="J23" s="70">
        <v>13</v>
      </c>
      <c r="K23" s="66" t="s">
        <v>151</v>
      </c>
      <c r="L23" s="66" t="str">
        <f>+'[1]Plan Indicativo'!AC156</f>
        <v>Acumulativa</v>
      </c>
      <c r="M23" s="91">
        <f>+'[1]Plan Indicativo'!T156</f>
        <v>300</v>
      </c>
      <c r="N23" s="92">
        <f>+'[1]Plan Indicativo'!W156</f>
        <v>80</v>
      </c>
      <c r="O23" s="39">
        <v>107</v>
      </c>
      <c r="P23" s="40">
        <f>+Tabla1[[#This Row],[Logro Vigencia]]/Tabla1[[#This Row],[Meta Programada Vigencia]]</f>
        <v>1.3374999999999999</v>
      </c>
      <c r="Q23" s="54"/>
      <c r="R23" s="24">
        <v>20000000</v>
      </c>
      <c r="S23" s="15"/>
      <c r="T23" s="15"/>
      <c r="U23" s="15"/>
      <c r="V23" s="15">
        <v>0</v>
      </c>
      <c r="W23" s="15"/>
      <c r="X23" s="15"/>
      <c r="Y23" s="15"/>
      <c r="Z23" s="15"/>
      <c r="AA23" s="15"/>
      <c r="AB23" s="15"/>
      <c r="AC23" s="15"/>
      <c r="AD23" s="15"/>
      <c r="AE23" s="15"/>
      <c r="AF23" s="58">
        <f>SUM(Tabla1[[#This Row],[Recursos propios]:[Recursos del Balance]])</f>
        <v>20000000</v>
      </c>
      <c r="AG23" s="24">
        <v>19957696</v>
      </c>
      <c r="AH23" s="15"/>
      <c r="AI23" s="15"/>
      <c r="AJ23" s="15"/>
      <c r="AK23" s="15"/>
      <c r="AL23" s="15"/>
      <c r="AM23" s="15"/>
      <c r="AN23" s="15"/>
      <c r="AO23" s="15"/>
      <c r="AP23" s="15"/>
      <c r="AQ23" s="15"/>
      <c r="AR23" s="15"/>
      <c r="AS23" s="15"/>
      <c r="AT23" s="15"/>
      <c r="AU23" s="35">
        <f>SUM(Tabla1[[#This Row],[Recursos propios2]:[Recursos del Balance2]])</f>
        <v>19957696</v>
      </c>
      <c r="AV23" s="15">
        <v>19957696</v>
      </c>
      <c r="AW23" s="26">
        <v>19957696</v>
      </c>
      <c r="AX23" s="59">
        <f>+Tabla1[[#This Row],[Total Recursos Comprometido 2025]]/Tabla1[[#This Row],[Total 2025]]</f>
        <v>0.99788480000000002</v>
      </c>
      <c r="AY23" s="18">
        <f>+Tabla1[[#This Row],[Total Recursos Obligados]]/Tabla1[[#This Row],[Total 2025]]</f>
        <v>0.99788480000000002</v>
      </c>
      <c r="AZ23" s="60">
        <f>+Tabla1[[#This Row],[Total Recursos Pagados]]/Tabla1[[#This Row],[Total 2025]]</f>
        <v>0.99788480000000002</v>
      </c>
      <c r="BA23" s="68"/>
      <c r="BB23" s="62">
        <f>+Tabla1[[#This Row],[Total Recursos Gestionados2]]/Tabla1[[#This Row],[Total Recursos Comprometido 2025]]</f>
        <v>0</v>
      </c>
      <c r="BC23" s="41" t="s">
        <v>145</v>
      </c>
      <c r="BD23" s="42" t="s">
        <v>146</v>
      </c>
      <c r="BE23" s="43">
        <v>0</v>
      </c>
    </row>
    <row r="24" spans="1:57" s="10" customFormat="1" ht="54">
      <c r="A24" s="66">
        <v>242</v>
      </c>
      <c r="B24" s="66" t="s">
        <v>102</v>
      </c>
      <c r="C24" s="66" t="s">
        <v>103</v>
      </c>
      <c r="D24" s="66" t="s">
        <v>104</v>
      </c>
      <c r="E24" s="66" t="s">
        <v>105</v>
      </c>
      <c r="F24" s="66" t="s">
        <v>106</v>
      </c>
      <c r="G24" s="66" t="s">
        <v>107</v>
      </c>
      <c r="H24" s="66">
        <v>459903400</v>
      </c>
      <c r="I24" s="66" t="s">
        <v>164</v>
      </c>
      <c r="J24" s="70">
        <v>1</v>
      </c>
      <c r="K24" s="66" t="s">
        <v>151</v>
      </c>
      <c r="L24" s="66" t="str">
        <f>+'[1]Plan Indicativo'!$AC$250</f>
        <v>No Acumulativa</v>
      </c>
      <c r="M24" s="88">
        <f>+'[1]Plan Indicativo'!$T$250</f>
        <v>1</v>
      </c>
      <c r="N24" s="38">
        <f>+'[1]Plan Indicativo'!$W$250</f>
        <v>1</v>
      </c>
      <c r="O24" s="39">
        <v>1</v>
      </c>
      <c r="P24" s="40">
        <f>+Tabla1[[#This Row],[Logro Vigencia]]/Tabla1[[#This Row],[Meta Programada Vigencia]]</f>
        <v>1</v>
      </c>
      <c r="Q24" s="54"/>
      <c r="R24" s="24">
        <v>135231430</v>
      </c>
      <c r="S24" s="15"/>
      <c r="T24" s="15"/>
      <c r="U24" s="15"/>
      <c r="V24" s="15">
        <v>0</v>
      </c>
      <c r="W24" s="15"/>
      <c r="X24" s="15"/>
      <c r="Y24" s="15"/>
      <c r="Z24" s="15"/>
      <c r="AA24" s="15"/>
      <c r="AB24" s="15"/>
      <c r="AC24" s="15"/>
      <c r="AD24" s="15">
        <v>0</v>
      </c>
      <c r="AE24" s="15"/>
      <c r="AF24" s="58">
        <f>SUM(Tabla1[[#This Row],[Recursos propios]:[Recursos del Balance]])</f>
        <v>135231430</v>
      </c>
      <c r="AG24" s="24">
        <v>135231430</v>
      </c>
      <c r="AH24" s="15"/>
      <c r="AI24" s="15"/>
      <c r="AJ24" s="15"/>
      <c r="AK24" s="15"/>
      <c r="AL24" s="15"/>
      <c r="AM24" s="15"/>
      <c r="AN24" s="15"/>
      <c r="AO24" s="15"/>
      <c r="AP24" s="15"/>
      <c r="AQ24" s="15"/>
      <c r="AR24" s="15"/>
      <c r="AS24" s="15"/>
      <c r="AT24" s="15"/>
      <c r="AU24" s="35">
        <f>SUM(Tabla1[[#This Row],[Recursos propios2]:[Recursos del Balance2]])</f>
        <v>135231430</v>
      </c>
      <c r="AV24" s="15">
        <v>135231430</v>
      </c>
      <c r="AW24" s="26">
        <v>12000000</v>
      </c>
      <c r="AX24" s="59">
        <f>+Tabla1[[#This Row],[Total Recursos Comprometido 2025]]/Tabla1[[#This Row],[Total 2025]]</f>
        <v>1</v>
      </c>
      <c r="AY24" s="18">
        <f>+Tabla1[[#This Row],[Total Recursos Obligados]]/Tabla1[[#This Row],[Total 2025]]</f>
        <v>1</v>
      </c>
      <c r="AZ24" s="60">
        <f>+Tabla1[[#This Row],[Total Recursos Pagados]]/Tabla1[[#This Row],[Total 2025]]</f>
        <v>8.8736767776544254E-2</v>
      </c>
      <c r="BA24" s="68"/>
      <c r="BB24" s="62">
        <f>+Tabla1[[#This Row],[Total Recursos Gestionados2]]/Tabla1[[#This Row],[Total Recursos Comprometido 2025]]</f>
        <v>0</v>
      </c>
      <c r="BC24" s="41" t="s">
        <v>145</v>
      </c>
      <c r="BD24" s="42" t="s">
        <v>146</v>
      </c>
      <c r="BE24" s="43">
        <v>0</v>
      </c>
    </row>
    <row r="25" spans="1:57" s="10" customFormat="1" ht="54">
      <c r="A25" s="65">
        <v>269</v>
      </c>
      <c r="B25" s="65" t="s">
        <v>81</v>
      </c>
      <c r="C25" s="65" t="s">
        <v>66</v>
      </c>
      <c r="D25" s="65" t="s">
        <v>67</v>
      </c>
      <c r="E25" s="65" t="s">
        <v>68</v>
      </c>
      <c r="F25" s="65" t="s">
        <v>108</v>
      </c>
      <c r="G25" s="65" t="s">
        <v>109</v>
      </c>
      <c r="H25" s="65">
        <v>330109900</v>
      </c>
      <c r="I25" s="65" t="s">
        <v>165</v>
      </c>
      <c r="J25" s="65">
        <v>2</v>
      </c>
      <c r="K25" s="65" t="s">
        <v>151</v>
      </c>
      <c r="L25" s="65" t="str">
        <f>+'[1]Plan Indicativo'!$AC$277</f>
        <v>No Acumulativa</v>
      </c>
      <c r="M25" s="30">
        <f>+'[1]Plan Indicativo'!$T$277</f>
        <v>3</v>
      </c>
      <c r="N25" s="38">
        <f>+'[1]Plan Indicativo'!$W$277</f>
        <v>3</v>
      </c>
      <c r="O25" s="39">
        <v>3</v>
      </c>
      <c r="P25" s="40">
        <f>+Tabla1[[#This Row],[Logro Vigencia]]/Tabla1[[#This Row],[Meta Programada Vigencia]]</f>
        <v>1</v>
      </c>
      <c r="Q25" s="54"/>
      <c r="R25" s="24">
        <v>1000000000</v>
      </c>
      <c r="S25" s="15"/>
      <c r="T25" s="15"/>
      <c r="U25" s="15"/>
      <c r="V25" s="15">
        <v>0</v>
      </c>
      <c r="W25" s="15"/>
      <c r="X25" s="15"/>
      <c r="Y25" s="15"/>
      <c r="Z25" s="15"/>
      <c r="AA25" s="15"/>
      <c r="AB25" s="15"/>
      <c r="AC25" s="15">
        <v>0</v>
      </c>
      <c r="AD25" s="15"/>
      <c r="AE25" s="15">
        <v>743026180.66999996</v>
      </c>
      <c r="AF25" s="58">
        <f>SUM(Tabla1[[#This Row],[Recursos propios]:[Recursos del Balance]])</f>
        <v>1743026180.6700001</v>
      </c>
      <c r="AG25" s="24">
        <v>1694195293</v>
      </c>
      <c r="AH25" s="15"/>
      <c r="AI25" s="15"/>
      <c r="AJ25" s="15"/>
      <c r="AK25" s="15"/>
      <c r="AL25" s="15"/>
      <c r="AM25" s="15"/>
      <c r="AN25" s="15"/>
      <c r="AO25" s="15"/>
      <c r="AP25" s="15"/>
      <c r="AQ25" s="15"/>
      <c r="AR25" s="15"/>
      <c r="AS25" s="15"/>
      <c r="AT25" s="15"/>
      <c r="AU25" s="35">
        <f>SUM(Tabla1[[#This Row],[Recursos propios2]:[Recursos del Balance2]])</f>
        <v>1694195293</v>
      </c>
      <c r="AV25" s="15">
        <v>1694195293</v>
      </c>
      <c r="AW25" s="26">
        <v>1442524446</v>
      </c>
      <c r="AX25" s="59">
        <f>+Tabla1[[#This Row],[Total Recursos Comprometido 2025]]/Tabla1[[#This Row],[Total 2025]]</f>
        <v>0.97198499471119248</v>
      </c>
      <c r="AY25" s="18">
        <f>+Tabla1[[#This Row],[Total Recursos Obligados]]/Tabla1[[#This Row],[Total 2025]]</f>
        <v>0.97198499471119248</v>
      </c>
      <c r="AZ25" s="60">
        <f>+Tabla1[[#This Row],[Total Recursos Pagados]]/Tabla1[[#This Row],[Total 2025]]</f>
        <v>0.82759769302232133</v>
      </c>
      <c r="BA25" s="68"/>
      <c r="BB25" s="62">
        <f>+Tabla1[[#This Row],[Total Recursos Gestionados2]]/Tabla1[[#This Row],[Total Recursos Comprometido 2025]]</f>
        <v>0</v>
      </c>
      <c r="BC25" s="41" t="s">
        <v>145</v>
      </c>
      <c r="BD25" s="42" t="s">
        <v>146</v>
      </c>
      <c r="BE25" s="43">
        <v>1</v>
      </c>
    </row>
    <row r="26" spans="1:57">
      <c r="A26" s="74"/>
      <c r="B26" s="75"/>
      <c r="C26" s="76"/>
      <c r="D26" s="76"/>
      <c r="E26" s="76"/>
      <c r="F26" s="76"/>
      <c r="G26" s="76"/>
      <c r="H26" s="76"/>
      <c r="I26" s="76"/>
      <c r="J26" s="76"/>
      <c r="K26" s="76"/>
      <c r="L26" s="76"/>
      <c r="M26" s="76"/>
      <c r="N26" s="76"/>
      <c r="O26" s="74"/>
      <c r="P26" s="77"/>
      <c r="Q26" s="76"/>
      <c r="R26" s="78"/>
      <c r="S26" s="79"/>
      <c r="T26" s="80"/>
      <c r="U26" s="80"/>
      <c r="V26" s="80"/>
      <c r="W26" s="80"/>
      <c r="X26" s="80"/>
      <c r="Y26" s="80"/>
      <c r="Z26" s="80"/>
      <c r="AA26" s="80"/>
      <c r="AB26" s="80"/>
      <c r="AC26" s="80"/>
      <c r="AD26" s="80"/>
      <c r="AE26" s="81"/>
      <c r="AF26" s="79"/>
      <c r="AG26" s="82"/>
      <c r="AH26" s="80"/>
      <c r="AI26" s="80"/>
      <c r="AJ26" s="80"/>
      <c r="AK26" s="80"/>
      <c r="AL26" s="80"/>
      <c r="AM26" s="80"/>
      <c r="AN26" s="80"/>
      <c r="AO26" s="80"/>
      <c r="AP26" s="80"/>
      <c r="AQ26" s="80"/>
      <c r="AR26" s="80"/>
      <c r="AS26" s="80"/>
      <c r="AT26" s="81"/>
      <c r="AU26" s="83">
        <f>SUBTOTAL(109,Tabla1[Total Recursos Comprometido 2025])</f>
        <v>36188711010.699997</v>
      </c>
      <c r="AV26" s="89">
        <f>SUBTOTAL(109,Tabla1[Total Recursos Obligados])</f>
        <v>36121396671.699997</v>
      </c>
      <c r="AW26" s="89">
        <f>SUBTOTAL(109,Tabla1[Total Recursos Pagados])</f>
        <v>33139162107.599998</v>
      </c>
      <c r="AX26" s="90"/>
      <c r="AY26" s="84"/>
      <c r="AZ26" s="84"/>
      <c r="BA26" s="84"/>
      <c r="BB26" s="84"/>
      <c r="BC26" s="85"/>
      <c r="BD26" s="75"/>
      <c r="BE26" s="86"/>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2026-02-06T02:28:24Z</dcterms:modified>
</cp:coreProperties>
</file>