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19EB336E-029D-4750-998E-D6D6F11E85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6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Acción-proyectos'!$A$10:$BI$10</definedName>
    <definedName name="PA" localSheetId="0">'Plan de Acción-proyectos'!$A$9:$BI$33</definedName>
    <definedName name="PA">'Plan de Acción-metas'!$A$9:$BE$17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1" i="1" l="1"/>
  <c r="AV21" i="1"/>
  <c r="AW21" i="1"/>
  <c r="AU21" i="1"/>
  <c r="BA34" i="6"/>
  <c r="AZ34" i="6"/>
  <c r="AY34" i="6"/>
  <c r="AX34" i="6"/>
  <c r="AU34" i="6"/>
  <c r="AE34" i="6"/>
  <c r="AD34" i="6"/>
  <c r="P34" i="6"/>
  <c r="K34" i="6"/>
  <c r="BF33" i="6"/>
  <c r="AW33" i="6"/>
  <c r="BB33" i="6" s="1"/>
  <c r="AF33" i="6"/>
  <c r="BD33" i="6" s="1"/>
  <c r="BF32" i="6"/>
  <c r="AW32" i="6"/>
  <c r="BB32" i="6" s="1"/>
  <c r="AF32" i="6"/>
  <c r="BD32" i="6" s="1"/>
  <c r="BF31" i="6"/>
  <c r="BC31" i="6"/>
  <c r="AW31" i="6"/>
  <c r="BB31" i="6" s="1"/>
  <c r="AF31" i="6"/>
  <c r="BD31" i="6" s="1"/>
  <c r="BF30" i="6"/>
  <c r="BC30" i="6"/>
  <c r="AW30" i="6"/>
  <c r="BB30" i="6" s="1"/>
  <c r="AF30" i="6"/>
  <c r="BD30" i="6" s="1"/>
  <c r="BF29" i="6"/>
  <c r="BC29" i="6"/>
  <c r="AW29" i="6"/>
  <c r="BB29" i="6" s="1"/>
  <c r="AF29" i="6"/>
  <c r="BD29" i="6" s="1"/>
  <c r="BF28" i="6"/>
  <c r="BC28" i="6"/>
  <c r="AW28" i="6"/>
  <c r="BB28" i="6" s="1"/>
  <c r="AF28" i="6"/>
  <c r="BD28" i="6" s="1"/>
  <c r="BF27" i="6"/>
  <c r="BC27" i="6"/>
  <c r="AW27" i="6"/>
  <c r="BB27" i="6" s="1"/>
  <c r="AF27" i="6"/>
  <c r="BD27" i="6" s="1"/>
  <c r="BF26" i="6"/>
  <c r="BC26" i="6"/>
  <c r="AW26" i="6"/>
  <c r="BB26" i="6" s="1"/>
  <c r="AF26" i="6"/>
  <c r="BD26" i="6" s="1"/>
  <c r="BK25" i="6"/>
  <c r="BF25" i="6"/>
  <c r="AW25" i="6"/>
  <c r="BB25" i="6" s="1"/>
  <c r="AF25" i="6"/>
  <c r="BD25" i="6" s="1"/>
  <c r="BF24" i="6"/>
  <c r="AW24" i="6"/>
  <c r="BB24" i="6" s="1"/>
  <c r="AF24" i="6"/>
  <c r="BD24" i="6" s="1"/>
  <c r="BF23" i="6"/>
  <c r="AW23" i="6"/>
  <c r="AF23" i="6"/>
  <c r="BD23" i="6" s="1"/>
  <c r="BF22" i="6"/>
  <c r="AW22" i="6"/>
  <c r="BB22" i="6" s="1"/>
  <c r="AF22" i="6"/>
  <c r="BD22" i="6" s="1"/>
  <c r="BF21" i="6"/>
  <c r="AW21" i="6"/>
  <c r="AF21" i="6"/>
  <c r="BD21" i="6" s="1"/>
  <c r="BF20" i="6"/>
  <c r="AW20" i="6"/>
  <c r="BB20" i="6" s="1"/>
  <c r="AF20" i="6"/>
  <c r="BD20" i="6" s="1"/>
  <c r="BF19" i="6"/>
  <c r="AW19" i="6"/>
  <c r="AF19" i="6"/>
  <c r="BD19" i="6" s="1"/>
  <c r="BF18" i="6"/>
  <c r="AW18" i="6"/>
  <c r="BB18" i="6" s="1"/>
  <c r="AF18" i="6"/>
  <c r="BD18" i="6" s="1"/>
  <c r="BF17" i="6"/>
  <c r="AW17" i="6"/>
  <c r="AF17" i="6"/>
  <c r="BD17" i="6" s="1"/>
  <c r="BF16" i="6"/>
  <c r="AW16" i="6"/>
  <c r="BB16" i="6" s="1"/>
  <c r="AF16" i="6"/>
  <c r="BD16" i="6" s="1"/>
  <c r="BF15" i="6"/>
  <c r="AW15" i="6"/>
  <c r="AF15" i="6"/>
  <c r="BD15" i="6" s="1"/>
  <c r="BF14" i="6"/>
  <c r="AW14" i="6"/>
  <c r="BB14" i="6" s="1"/>
  <c r="AF14" i="6"/>
  <c r="BD14" i="6" s="1"/>
  <c r="BF13" i="6"/>
  <c r="AW13" i="6"/>
  <c r="AF13" i="6"/>
  <c r="BD13" i="6" s="1"/>
  <c r="BF12" i="6"/>
  <c r="AW12" i="6"/>
  <c r="BB12" i="6" s="1"/>
  <c r="AF12" i="6"/>
  <c r="BD12" i="6" s="1"/>
  <c r="BF11" i="6"/>
  <c r="AW11" i="6"/>
  <c r="AF11" i="6"/>
  <c r="BD11" i="6" s="1"/>
  <c r="BB11" i="6" l="1"/>
  <c r="BB13" i="6"/>
  <c r="BB15" i="6"/>
  <c r="BB17" i="6"/>
  <c r="BB19" i="6"/>
  <c r="BB21" i="6"/>
  <c r="BB23" i="6"/>
  <c r="BC11" i="6"/>
  <c r="BC13" i="6"/>
  <c r="BC15" i="6"/>
  <c r="BC17" i="6"/>
  <c r="BC19" i="6"/>
  <c r="BC21" i="6"/>
  <c r="BC23" i="6"/>
  <c r="BC25" i="6"/>
  <c r="BC32" i="6"/>
  <c r="AW34" i="6"/>
  <c r="BC33" i="6"/>
  <c r="AF34" i="6"/>
  <c r="AF39" i="6" s="1"/>
  <c r="BC12" i="6"/>
  <c r="BC14" i="6"/>
  <c r="BC16" i="6"/>
  <c r="BC18" i="6"/>
  <c r="BC20" i="6"/>
  <c r="BC22" i="6"/>
  <c r="BC24" i="6"/>
  <c r="AU20" i="1" l="1"/>
  <c r="AU18" i="1"/>
  <c r="AU19" i="1"/>
  <c r="AF20" i="1"/>
  <c r="AF18" i="1"/>
  <c r="AF19" i="1"/>
  <c r="AF11" i="1"/>
  <c r="AF12" i="1"/>
  <c r="AF13" i="1"/>
  <c r="AF14" i="1"/>
  <c r="AF15" i="1"/>
  <c r="AF16" i="1"/>
  <c r="AX18" i="1" l="1"/>
  <c r="AX20" i="1"/>
  <c r="AY19" i="1"/>
  <c r="AZ19" i="1"/>
  <c r="AY18" i="1"/>
  <c r="AZ18" i="1"/>
  <c r="AY20" i="1"/>
  <c r="AZ20" i="1"/>
  <c r="AX19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l="1"/>
  <c r="AU12" i="1"/>
  <c r="AU13" i="1"/>
  <c r="AU14" i="1"/>
  <c r="AU15" i="1"/>
  <c r="AU16" i="1"/>
  <c r="AU17" i="1"/>
  <c r="AY12" i="1"/>
  <c r="AY14" i="1"/>
  <c r="AY16" i="1"/>
  <c r="AF17" i="1"/>
  <c r="P11" i="1"/>
  <c r="P12" i="1"/>
  <c r="P13" i="1"/>
  <c r="P14" i="1"/>
  <c r="P15" i="1"/>
  <c r="P16" i="1"/>
  <c r="P17" i="1"/>
  <c r="AX11" i="1" l="1"/>
  <c r="BB15" i="1"/>
  <c r="AX15" i="1"/>
  <c r="BB14" i="1"/>
  <c r="AX14" i="1"/>
  <c r="BB17" i="1"/>
  <c r="AX17" i="1"/>
  <c r="BB13" i="1"/>
  <c r="AX13" i="1"/>
  <c r="BB16" i="1"/>
  <c r="AX16" i="1"/>
  <c r="BB12" i="1"/>
  <c r="AX12" i="1"/>
  <c r="AZ14" i="1"/>
  <c r="AZ17" i="1"/>
  <c r="AZ13" i="1"/>
  <c r="AZ16" i="1"/>
  <c r="AZ12" i="1"/>
  <c r="AZ15" i="1"/>
  <c r="AZ11" i="1"/>
  <c r="AY17" i="1"/>
  <c r="AY13" i="1"/>
  <c r="AY15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946725AB-716D-4545-BDAC-75529CF95215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1BB01470-49FF-4B31-96C4-97988414DF35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C985293B-EFB7-4E02-A3C1-28A83B1307C8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12F5DEB8-B34F-480C-8786-46342385E848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6A0CAF61-9AF2-422A-BE62-4F823813A0EF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AB23E640-45F2-4965-81A4-E4FB787CB3F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<sst xmlns="http://schemas.openxmlformats.org/spreadsheetml/2006/main" count="390" uniqueCount="199">
  <si>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</si>
  <si>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</si>
  <si>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</si>
  <si>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</si>
  <si>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</si>
  <si>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</si>
  <si>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</si>
  <si>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</si>
  <si>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</si>
  <si>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</si>
  <si>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</si>
  <si>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</si>
  <si>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</si>
  <si>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</si>
  <si>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</si>
  <si>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</si>
  <si>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</si>
  <si>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</si>
  <si>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</si>
  <si>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</si>
  <si>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</si>
  <si>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</si>
  <si>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</si>
  <si>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</si>
  <si>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</si>
  <si>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</si>
  <si>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</si>
  <si>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</si>
  <si>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</si>
  <si>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</si>
  <si>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</si>
  <si>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</si>
  <si>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</si>
  <si>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</si>
  <si>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</si>
  <si>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</si>
  <si>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</si>
  <si>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SGP Educación 2024</t>
  </si>
  <si>
    <t>SGP Salud 2024</t>
  </si>
  <si>
    <t>SGP Deporte 2024</t>
  </si>
  <si>
    <t>SGP Cultura 2024</t>
  </si>
  <si>
    <t>SGP Libre inversión 2024</t>
  </si>
  <si>
    <t>SGP Libre destinación 2024</t>
  </si>
  <si>
    <t>SGP Alimentación escolar 2024</t>
  </si>
  <si>
    <t>SGP Municipios río Magdalena 2024</t>
  </si>
  <si>
    <t>SGP APSB 2024</t>
  </si>
  <si>
    <t>Crédito 2024</t>
  </si>
  <si>
    <t>Transferencias de capital - cofinanciación departamento 2024</t>
  </si>
  <si>
    <t>Transferencias de capital - cofinanciación nación 2024</t>
  </si>
  <si>
    <t>Otros 2024</t>
  </si>
  <si>
    <r>
      <t>Recursos propios 2024</t>
    </r>
    <r>
      <rPr>
        <b/>
        <sz val="12"/>
        <color rgb="FF002060"/>
        <rFont val="Arial"/>
        <family val="2"/>
      </rPr>
      <t>2</t>
    </r>
  </si>
  <si>
    <r>
      <t>SGP Educación 2024</t>
    </r>
    <r>
      <rPr>
        <b/>
        <sz val="12"/>
        <color rgb="FF002060"/>
        <rFont val="Arial"/>
        <family val="2"/>
      </rPr>
      <t>3</t>
    </r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</si>
  <si>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</si>
  <si>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</si>
  <si>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</si>
  <si>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</si>
  <si>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</si>
  <si>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</si>
  <si>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Municipios río Magdalena 2024</t>
    </r>
    <r>
      <rPr>
        <b/>
        <sz val="12"/>
        <color rgb="FF002060"/>
        <rFont val="Arial"/>
        <family val="2"/>
      </rPr>
      <t>10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</si>
  <si>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</si>
  <si>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</si>
  <si>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</si>
  <si>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</si>
  <si>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</si>
  <si>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</si>
  <si>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</si>
  <si>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</si>
  <si>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</si>
  <si>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</si>
  <si>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</si>
  <si>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</si>
  <si>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</si>
  <si>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</si>
  <si>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</si>
  <si>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</si>
  <si>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</si>
  <si>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</si>
  <si>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</si>
  <si>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</si>
  <si>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</si>
  <si>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</si>
  <si>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</si>
  <si>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</si>
  <si>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</si>
  <si>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</si>
  <si>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</si>
  <si>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</si>
  <si>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</si>
  <si>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</si>
  <si>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</si>
  <si>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</si>
  <si>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</si>
  <si>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</si>
  <si>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</si>
  <si>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4503016</t>
  </si>
  <si>
    <t>Fortalecer 3 organismos de atención de emergencias en el municipio</t>
  </si>
  <si>
    <t>Elaborar 30 documentos de planeación para el fortalecmiento de las capacidades de la gestión del riesgo de desastres y emergencias</t>
  </si>
  <si>
    <t>4503022</t>
  </si>
  <si>
    <t>Realizar 4 obras de infraestructura para mitigación y atención de desastres incorporando soluciones basadas en la naturaleza</t>
  </si>
  <si>
    <t>Apoyar el 23,000 de las personas afectadas por situaciones de emergencia, desastres o declaratorias de calamidad pública</t>
  </si>
  <si>
    <t>4503018</t>
  </si>
  <si>
    <t>Implementar y mantener 35 Sistemas de Alertas Tempranas para eventos de inundaciones y remoción en masa, para la gestión del riesgo.</t>
  </si>
  <si>
    <t>4503017</t>
  </si>
  <si>
    <t>Elaborar 8 estudios sobre riesgo de desastres en asentamientos humanos</t>
  </si>
  <si>
    <t>Territorio seguro que progresa</t>
  </si>
  <si>
    <t>Adquirir y dotar un vehículo para la atención a emergencias y desastres</t>
  </si>
  <si>
    <t xml:space="preserve"> FORTALECIMIENTO A ORGANISMOS DE ATENCIÓN DE EMERGENCIAS EN EL MUNICIPIO DE  BUCARAMANGA</t>
  </si>
  <si>
    <t>POBLACIÒN VULNERABLE de afectaciòn frente a los fenómenos 
naturales 20% poblacion total</t>
  </si>
  <si>
    <t xml:space="preserve"> FORTALECIMIENTO DE LAS ACCIONES MISIONALES DE LA OFICINA DE RIESGO DEL MUNICIPIO DE  BUCARAMANGA</t>
  </si>
  <si>
    <t>1.1. Elaborar conceptos técnicos de diagnóstico a partir del análisis de la situación actual
1. 2. Elaboración de los planes barriales de gestión del riesgo</t>
  </si>
  <si>
    <t>202500000004329
(INFRAESTRUCTURA)</t>
  </si>
  <si>
    <t>CONSTRUCCIÓN DE OBRAS DE MITIGACIÓN EN EL SECTOR CLUB GALLINERAL PRODUCTO DE LA DECLARATORIA DE CALAMIDAD PÚBLICA DEL MUNICIPIO DE BUCARAMANGA</t>
  </si>
  <si>
    <t>CONSTRUCCIÓN DE OBRAS DE MITIGACIÓN EN EL SECTOR DE JOSE ANTONIO GALÁN, CARLOS PIZARRO Y 5 DE ENERO ETAPA 1 DEL MUNICIPIO DE BUCARAMANGA, SANTANDER</t>
  </si>
  <si>
    <t>Cristal Bajo</t>
  </si>
  <si>
    <t>2021680010201
(INFRAESTRUCTURA)</t>
  </si>
  <si>
    <t>CONSTRUCCIÓN DE OBRAS DE MITIGACION Y ESTABILIZACION EN LOS SECTORES LA GLORIA, NAZARETH Y PABLO VI DEL MUNICIPIO DE BUCARAMANGA, DEPARTAMENTO DE SANTANDER</t>
  </si>
  <si>
    <t>2021680010202
(INFRAESTRUCTURA)</t>
  </si>
  <si>
    <t>CONSTRUCCIÓN DE OBRAS DE MITIGACION Y ESTABILIZACION EN EL BARRIO GAITAN, ESCARPA NORTE, SECCIONES 1-2-3 DEL MUNICIPIO DE BUCARAMANGA, DEPARTAMENTO DE SANTANDER</t>
  </si>
  <si>
    <t>2023680010005 (INFRAESTRUCTURA)</t>
  </si>
  <si>
    <t xml:space="preserve">CONSTRUCCIÓN CANALIZACIÓN DE CAUSES: QUEBRADA LA FLORA Y LA IGLESIA PARTE ALTA, E INTERCEPTORES: LA FLORA II Y LA IGLESIA PARTE ALTA DEL MUNICIPIO DE BUCARAMANGA.	</t>
  </si>
  <si>
    <t>2024680010080
(INFRAESTRUCTURA)</t>
  </si>
  <si>
    <t>CONSTRUCCIÓN DE OBRAS DE MITIGACIÓN DEL BARRIO LA FERIA ASENTAMIENTO CAMILO TORRES Y CUYANITA ETAPA 1 UBICADOS EN LA COMUNA 4 DEL MUNICIPIO DE BUCARAMANGA SANTANDER</t>
  </si>
  <si>
    <t xml:space="preserve">ASISTENCIA HUMANITARIA A TRAVÉS DE SUBSIDIOS DE ARRENDAMIENTO TEMPORAL PARA LA ATENCION DE DAMNIFICADOS POR EMERGENCIAS O DESASTRES NATURALES EN EL MUNICIPIO DE BUCARAMANGA </t>
  </si>
  <si>
    <t>ASISTENCIA HUMANITARIA A TRAVÉS DE SUMINISTROS DE PRIMERA NECESIDAD PARA LA ATENCIÓN DE DAMNIFICADOS POR EMERGENCIAS O DESASTRES NATURALES EN EL MUNICIPIO BUCARAMANGA</t>
  </si>
  <si>
    <t>FORTALECIMIENTO DE SISTEMAS DE ALERTAS TEMPRANAS PARA LA PREVENCIÓN DE DESASTRES POR EVENTOS NATURALES EN EL MUNICIPIO DE BUCARAMANGA</t>
  </si>
  <si>
    <t>Secretaría del Interior - GR</t>
  </si>
  <si>
    <t>Jairo Portilla</t>
  </si>
  <si>
    <t>Número de organismos de atención de emergencias fortalecidos
 (4503001600)</t>
  </si>
  <si>
    <t>Número</t>
  </si>
  <si>
    <t>4503023</t>
  </si>
  <si>
    <t>Número de documentos de planeación elaborados (450302300)</t>
  </si>
  <si>
    <t>Número de obras de infraestructura para mitigación y atención de desastres realizadas (450302200)</t>
  </si>
  <si>
    <t>4503028</t>
  </si>
  <si>
    <t>Número de personas afectadas por situaciones de emergencia, desastres o declaratorias de calamidad pública apoyadas (450302800)</t>
  </si>
  <si>
    <t>Sistemas de Alerta Temprana implementados (450301800)</t>
  </si>
  <si>
    <t>Estudios de riesgo de desastres elaborados  (450301700).</t>
  </si>
  <si>
    <t>Organismos de atención de emergencias fortalecidos (450301600)</t>
  </si>
  <si>
    <t>Versión:3.0</t>
  </si>
  <si>
    <t>Fecha aprobación: Abril 10 de 2025</t>
  </si>
  <si>
    <t>Página: 1 de 2</t>
  </si>
  <si>
    <t>Página: 2 de 2</t>
  </si>
  <si>
    <t>Recursos propios 2025</t>
  </si>
  <si>
    <t>Reservas 2025</t>
  </si>
  <si>
    <t>RESERVAS COMPROMETIDO</t>
  </si>
  <si>
    <t>RESERVAS OBLIGADO</t>
  </si>
  <si>
    <t>RESERVAS PAGADO</t>
  </si>
  <si>
    <t>Didier Rodriguez</t>
  </si>
  <si>
    <t>Puente Nariño / Villa Alicia / La Loma / El Tunel / Divino Niño I / Camino de paz I / Luz de esperanza / Cervunión</t>
  </si>
  <si>
    <t>La Gloria, Nazareth y Pablo VI</t>
  </si>
  <si>
    <t>Gaitan</t>
  </si>
  <si>
    <t>Qda La Flora y La Iglesia</t>
  </si>
  <si>
    <t>La Feria, Camilo Torres y Cuyanita</t>
  </si>
  <si>
    <t>202500000023678
(INFRAESTRUCTURA)</t>
  </si>
  <si>
    <t>FORTALECIMIENTO DE LA GESTIÓN INSTITUCIONAL PARA EL SANEAMIENTO FISCAL Y FINANCIERO DEL FONDO DE GESTIÓN DEL RIESGO DE DESASTRES MEDIANTE EL PAGO DE PASIVOS EXIGIBLES DE VIGENCIAS EXPIRADAS EN EL MUNICIPIO DE BUCARAMANGA, SANTANDER</t>
  </si>
  <si>
    <t>202500000007089 
(INFRAESTRUCTURA)</t>
  </si>
  <si>
    <t xml:space="preserve">CONSTRUCCIÓN DE OBRAS DE MITIGACIÓN EN EL SECTOR CRISTAL BAJO PRODUCTO DE LA DECLARATORIA DE CALAMIDAD PÚBLICA EN EL MUNICIPIO DE BUCARAMANGA, SANTANDER </t>
  </si>
  <si>
    <t>202500000019488
(INFRAESTRUCTURA)</t>
  </si>
  <si>
    <t xml:space="preserve">CONSTRUCCIÓN CANALIZACIÓN DE OBRAS ADICIONALES EN LOS CAUCES: QUEBRADA LA FLORA Y LA IGLESIA PARTE ALTA, E INTERCEPTORES: LA FLORA II Y LA IGLESIA PARTE ALTA MUNICIPIO DE BUCARAMANGA. </t>
  </si>
  <si>
    <t>202500000026540
(INFRAESTRUCTURA)</t>
  </si>
  <si>
    <t>ESTUDIOS Y DISEÑOS PARA LA ATENCIÓN DE  PUNTOS CRÍTICOS EN EL MARCO DE LAS CALAMIDADES PÚBLICAS  EN DIFERENTES SECTORES DEL MUNICIPIO DE BUCARAMANGA SANTANDER</t>
  </si>
  <si>
    <t>Total 2025</t>
  </si>
  <si>
    <t>Total Recursos Comprometido 2025</t>
  </si>
  <si>
    <t>202500000004438
(INFRAESTRUCTURA)</t>
  </si>
  <si>
    <t>Vía urbana con mantenimiento periódico o rutinario (240211500)</t>
  </si>
  <si>
    <t>Kilometros</t>
  </si>
  <si>
    <t>Acumulativa</t>
  </si>
  <si>
    <t>Vía terciaria con mantenimiento periódico o rutinario (240211200)</t>
  </si>
  <si>
    <t>No Acumulativa</t>
  </si>
  <si>
    <t>Transporte.</t>
  </si>
  <si>
    <t>2402</t>
  </si>
  <si>
    <t>Infraestructura red vial regional (2402)</t>
  </si>
  <si>
    <t>Realizar mantenimiento periódico o rutinario a 80 Km de vías urbanas</t>
  </si>
  <si>
    <t>2402112</t>
  </si>
  <si>
    <t xml:space="preserve">Realizar el mantenimiento periódico o rutinario a 110 Km de Vías terciarias de la malla vial rural de la ciudad por año. </t>
  </si>
  <si>
    <r>
      <rPr>
        <sz val="12"/>
        <color rgb="FFFF0000"/>
        <rFont val="Arial"/>
        <family val="2"/>
      </rPr>
      <t>NUEVO</t>
    </r>
    <r>
      <rPr>
        <sz val="12"/>
        <rFont val="Arial"/>
        <family val="2"/>
      </rPr>
      <t xml:space="preserve"> 202500000032959      (INFRAESTRUCTURA)</t>
    </r>
  </si>
  <si>
    <t>CONSTRUCCIÓN DE OBRAS DE CONTENSION VIAL EN SITIOS CRITICOS AFECTADOS POR FENOMENOS NATURALES EN EL MUNICIPIO DE BUCARAMANGA SANTANDER</t>
  </si>
  <si>
    <r>
      <rPr>
        <sz val="12"/>
        <color rgb="FFFF0000"/>
        <rFont val="Arial"/>
        <family val="2"/>
      </rPr>
      <t xml:space="preserve">NUEVO </t>
    </r>
    <r>
      <rPr>
        <sz val="12"/>
        <rFont val="Arial"/>
        <family val="2"/>
      </rPr>
      <t>202500000033052       (INFRAESTRUCTURA)</t>
    </r>
  </si>
  <si>
    <t>CONSTRUCCION DE OBRAS DE MITIGACION DEL BARRIO GAITAN UBICADO EN LA COMUNA CUATRO DEL MUNICIO DE BUCARAMANGA SANTANDER</t>
  </si>
  <si>
    <t>FORTALECIMIENTO DE LA CAPACIDAD OPERATIVA DEL ÁREA MUNICIPAL DE GESTIÓN DEL RIESGO DEL DESASTRE PARA LA ATENCIÓN DE EMERGENCIAS EN EL MUNICIPIO DE BUCARAMANGA</t>
  </si>
  <si>
    <r>
      <rPr>
        <sz val="12"/>
        <color rgb="FFFF0000"/>
        <rFont val="Arial"/>
        <family val="2"/>
      </rPr>
      <t xml:space="preserve">NUEVO  </t>
    </r>
    <r>
      <rPr>
        <sz val="12"/>
        <rFont val="Arial"/>
        <family val="2"/>
      </rPr>
      <t>202500000031432</t>
    </r>
  </si>
  <si>
    <t>FORTALECIMIENTO DE LAS COMUNIDADES AFECTADAS POR EL FENOMENO DEL NIÑO EN EL MUNICIPIO DE BUCARAMANGA</t>
  </si>
  <si>
    <t>775 Familias de conformidad el censo realizado por la Secretaria de Desarrollo Social a través del área de Desarrollo del campo</t>
  </si>
  <si>
    <t>FORTALECIMIENTO A LOS PROCESOS DE GESTION DEL RIESGO POR MEDIO DE LA PLANIFICACION Y ANALISIS DE  RIESGOS  EN ASENTAMIENTOS HUMANOS EN LA CIUDAD DE BUCARAMANGA</t>
  </si>
  <si>
    <t>Programa de sanemiento fiscal y financiero ejecutado (459900200).</t>
  </si>
  <si>
    <t>Porcentaje</t>
  </si>
  <si>
    <t>Territorio seguro que genera valor</t>
  </si>
  <si>
    <t>Fortalecimiento a la gestión y dirección de la administración pública territorial (4599)</t>
  </si>
  <si>
    <t xml:space="preserve"> Ejecutar el 100% del programa de saneamiento fiscal y financiero para el fortalecimiento de las finanzas del municipio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</si>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</sst>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\ * #,##0.00_-;\-&quot;$&quot;\ * #,##0.00_-;_-&quot;$&quot;\ * &quot;-&quot;??_-;_-@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44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8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44" fontId="15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44" fontId="15" fillId="0" borderId="21" xfId="0" applyNumberFormat="1" applyFont="1" applyBorder="1" applyAlignment="1" applyProtection="1">
      <alignment horizontal="center" vertical="center" wrapText="1"/>
      <protection locked="0"/>
    </xf>
    <xf numFmtId="44" fontId="15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0" applyNumberFormat="1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44" fontId="13" fillId="0" borderId="8" xfId="0" applyNumberFormat="1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 applyProtection="1">
      <alignment horizontal="center" vertical="center"/>
      <protection locked="0"/>
    </xf>
    <xf numFmtId="44" fontId="13" fillId="0" borderId="20" xfId="0" applyNumberFormat="1" applyFont="1" applyBorder="1" applyAlignment="1" applyProtection="1">
      <alignment horizontal="center" vertical="center" wrapText="1"/>
      <protection locked="0"/>
    </xf>
    <xf numFmtId="8" fontId="13" fillId="0" borderId="8" xfId="0" applyNumberFormat="1" applyFont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Fill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 vertical="center" wrapText="1"/>
    </xf>
    <xf numFmtId="44" fontId="13" fillId="0" borderId="20" xfId="2" applyFont="1" applyBorder="1" applyAlignment="1" applyProtection="1">
      <alignment horizontal="center" vertical="center"/>
      <protection locked="0"/>
    </xf>
    <xf numFmtId="164" fontId="13" fillId="0" borderId="10" xfId="3" applyFont="1" applyBorder="1" applyAlignment="1" applyProtection="1">
      <alignment horizontal="center" vertical="center" wrapText="1"/>
      <protection locked="0"/>
    </xf>
    <xf numFmtId="164" fontId="13" fillId="0" borderId="10" xfId="3" applyFont="1" applyBorder="1" applyAlignment="1" applyProtection="1">
      <alignment horizontal="center" vertical="center"/>
      <protection locked="0"/>
    </xf>
    <xf numFmtId="164" fontId="13" fillId="0" borderId="10" xfId="3" applyFont="1" applyFill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" fontId="17" fillId="0" borderId="50" xfId="0" applyNumberFormat="1" applyFont="1" applyBorder="1" applyAlignment="1">
      <alignment horizontal="center" vertical="center" wrapText="1"/>
    </xf>
    <xf numFmtId="8" fontId="17" fillId="0" borderId="51" xfId="0" applyNumberFormat="1" applyFont="1" applyBorder="1" applyAlignment="1">
      <alignment horizontal="center" vertical="center" wrapText="1"/>
    </xf>
    <xf numFmtId="44" fontId="17" fillId="0" borderId="51" xfId="0" applyNumberFormat="1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4" fontId="17" fillId="0" borderId="51" xfId="0" applyNumberFormat="1" applyFont="1" applyBorder="1" applyAlignment="1">
      <alignment horizontal="center" vertical="center" wrapText="1"/>
    </xf>
    <xf numFmtId="44" fontId="13" fillId="0" borderId="53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Fill="1" applyBorder="1" applyAlignment="1" applyProtection="1">
      <alignment horizontal="center" vertical="center" wrapText="1"/>
      <protection locked="0"/>
    </xf>
    <xf numFmtId="9" fontId="13" fillId="0" borderId="21" xfId="1" applyFont="1" applyFill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>
      <alignment horizontal="center" vertical="center" wrapText="1"/>
    </xf>
    <xf numFmtId="6" fontId="13" fillId="0" borderId="8" xfId="0" applyNumberFormat="1" applyFont="1" applyBorder="1" applyAlignment="1" applyProtection="1">
      <alignment horizontal="center" vertical="center"/>
      <protection locked="0"/>
    </xf>
    <xf numFmtId="44" fontId="13" fillId="0" borderId="53" xfId="0" applyNumberFormat="1" applyFont="1" applyBorder="1" applyAlignment="1" applyProtection="1">
      <alignment horizontal="center" vertical="center"/>
      <protection locked="0"/>
    </xf>
    <xf numFmtId="165" fontId="17" fillId="0" borderId="10" xfId="0" applyNumberFormat="1" applyFont="1" applyBorder="1" applyAlignment="1">
      <alignment horizontal="center" vertical="center" wrapText="1"/>
    </xf>
    <xf numFmtId="8" fontId="13" fillId="0" borderId="53" xfId="0" applyNumberFormat="1" applyFont="1" applyBorder="1" applyAlignment="1" applyProtection="1">
      <alignment horizontal="center" vertical="center" wrapText="1"/>
      <protection locked="0"/>
    </xf>
    <xf numFmtId="6" fontId="13" fillId="4" borderId="1" xfId="0" applyNumberFormat="1" applyFont="1" applyFill="1" applyBorder="1" applyAlignment="1" applyProtection="1">
      <alignment horizontal="center" vertical="center"/>
      <protection locked="0"/>
    </xf>
    <xf numFmtId="44" fontId="13" fillId="4" borderId="1" xfId="0" applyNumberFormat="1" applyFont="1" applyFill="1" applyBorder="1" applyAlignment="1" applyProtection="1">
      <alignment horizontal="center" vertical="center"/>
      <protection locked="0"/>
    </xf>
    <xf numFmtId="44" fontId="13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44" fontId="3" fillId="0" borderId="60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44" fontId="13" fillId="0" borderId="61" xfId="0" applyNumberFormat="1" applyFont="1" applyBorder="1" applyAlignment="1" applyProtection="1">
      <alignment horizontal="center" vertical="center"/>
      <protection locked="0"/>
    </xf>
    <xf numFmtId="44" fontId="3" fillId="0" borderId="56" xfId="0" applyNumberFormat="1" applyFont="1" applyBorder="1" applyAlignment="1" applyProtection="1">
      <alignment horizontal="center" vertical="center"/>
      <protection locked="0"/>
    </xf>
    <xf numFmtId="44" fontId="13" fillId="0" borderId="62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/>
    </xf>
    <xf numFmtId="164" fontId="2" fillId="0" borderId="0" xfId="3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1" fontId="17" fillId="4" borderId="20" xfId="0" applyNumberFormat="1" applyFont="1" applyFill="1" applyBorder="1" applyAlignment="1">
      <alignment horizontal="center" vertical="center" wrapText="1"/>
    </xf>
    <xf numFmtId="8" fontId="13" fillId="4" borderId="1" xfId="0" applyNumberFormat="1" applyFont="1" applyFill="1" applyBorder="1" applyAlignment="1" applyProtection="1">
      <alignment horizontal="center" vertical="center"/>
      <protection locked="0"/>
    </xf>
    <xf numFmtId="8" fontId="13" fillId="4" borderId="20" xfId="0" applyNumberFormat="1" applyFont="1" applyFill="1" applyBorder="1" applyAlignment="1" applyProtection="1">
      <alignment horizontal="center" vertical="center"/>
      <protection locked="0"/>
    </xf>
    <xf numFmtId="8" fontId="13" fillId="4" borderId="53" xfId="0" applyNumberFormat="1" applyFont="1" applyFill="1" applyBorder="1" applyAlignment="1" applyProtection="1">
      <alignment horizontal="center" vertical="center"/>
      <protection locked="0"/>
    </xf>
    <xf numFmtId="8" fontId="13" fillId="0" borderId="8" xfId="0" applyNumberFormat="1" applyFont="1" applyBorder="1" applyAlignment="1" applyProtection="1">
      <alignment horizontal="center" vertical="center"/>
      <protection locked="0"/>
    </xf>
    <xf numFmtId="8" fontId="3" fillId="4" borderId="56" xfId="0" applyNumberFormat="1" applyFont="1" applyFill="1" applyBorder="1" applyAlignment="1" applyProtection="1">
      <alignment horizontal="center" vertical="center"/>
      <protection locked="0"/>
    </xf>
    <xf numFmtId="44" fontId="13" fillId="4" borderId="55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8" fontId="13" fillId="0" borderId="20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/>
    </xf>
    <xf numFmtId="1" fontId="17" fillId="0" borderId="20" xfId="0" applyNumberFormat="1" applyFont="1" applyBorder="1" applyAlignment="1" applyProtection="1">
      <alignment horizontal="center" vertical="center" wrapText="1"/>
      <protection locked="0"/>
    </xf>
    <xf numFmtId="8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165" fontId="13" fillId="0" borderId="10" xfId="0" applyNumberFormat="1" applyFont="1" applyBorder="1" applyAlignment="1" applyProtection="1">
      <alignment horizontal="center" vertical="center"/>
      <protection locked="0"/>
    </xf>
    <xf numFmtId="8" fontId="13" fillId="3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44" fontId="17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0" xfId="1" applyNumberFormat="1" applyFont="1" applyFill="1" applyBorder="1" applyAlignment="1" applyProtection="1">
      <alignment horizontal="center" vertical="center"/>
      <protection locked="0"/>
    </xf>
    <xf numFmtId="44" fontId="13" fillId="0" borderId="1" xfId="1" applyNumberFormat="1" applyFont="1" applyFill="1" applyBorder="1" applyAlignment="1" applyProtection="1">
      <alignment horizontal="center" vertical="center"/>
      <protection locked="0"/>
    </xf>
    <xf numFmtId="44" fontId="13" fillId="0" borderId="21" xfId="1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 applyProtection="1">
      <alignment horizontal="center" vertical="center"/>
      <protection locked="0"/>
    </xf>
    <xf numFmtId="44" fontId="17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64" xfId="1" applyNumberFormat="1" applyFont="1" applyFill="1" applyBorder="1" applyAlignment="1" applyProtection="1">
      <alignment horizontal="center" vertical="center"/>
      <protection locked="0"/>
    </xf>
    <xf numFmtId="44" fontId="13" fillId="0" borderId="59" xfId="0" applyNumberFormat="1" applyFont="1" applyBorder="1" applyAlignment="1" applyProtection="1">
      <alignment horizontal="center" vertical="center"/>
      <protection locked="0"/>
    </xf>
    <xf numFmtId="8" fontId="2" fillId="0" borderId="56" xfId="0" applyNumberFormat="1" applyFont="1" applyBorder="1" applyAlignment="1" applyProtection="1">
      <alignment horizontal="center" vertical="center"/>
      <protection locked="0"/>
    </xf>
    <xf numFmtId="44" fontId="3" fillId="0" borderId="11" xfId="0" applyNumberFormat="1" applyFont="1" applyBorder="1" applyAlignment="1" applyProtection="1">
      <alignment horizontal="center" vertical="center"/>
      <protection locked="0"/>
    </xf>
    <xf numFmtId="44" fontId="3" fillId="0" borderId="65" xfId="0" applyNumberFormat="1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8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44" fontId="13" fillId="0" borderId="20" xfId="0" applyNumberFormat="1" applyFont="1" applyFill="1" applyBorder="1" applyAlignment="1" applyProtection="1">
      <alignment horizontal="center" vertical="center"/>
      <protection locked="0"/>
    </xf>
    <xf numFmtId="44" fontId="13" fillId="0" borderId="1" xfId="0" applyNumberFormat="1" applyFont="1" applyFill="1" applyBorder="1" applyAlignment="1" applyProtection="1">
      <alignment horizontal="center" vertical="center"/>
      <protection locked="0"/>
    </xf>
    <xf numFmtId="44" fontId="15" fillId="0" borderId="21" xfId="0" applyNumberFormat="1" applyFont="1" applyFill="1" applyBorder="1" applyAlignment="1" applyProtection="1">
      <alignment horizontal="center" vertical="center"/>
      <protection locked="0"/>
    </xf>
    <xf numFmtId="44" fontId="15" fillId="0" borderId="1" xfId="0" applyNumberFormat="1" applyFont="1" applyFill="1" applyBorder="1" applyAlignment="1" applyProtection="1">
      <alignment horizontal="center" vertical="center"/>
      <protection locked="0"/>
    </xf>
    <xf numFmtId="44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3" fontId="16" fillId="0" borderId="27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0" fontId="13" fillId="0" borderId="1" xfId="1" applyNumberFormat="1" applyFont="1" applyFill="1" applyBorder="1" applyAlignment="1">
      <alignment horizontal="center" vertical="center" wrapText="1"/>
    </xf>
    <xf numFmtId="9" fontId="13" fillId="0" borderId="21" xfId="1" applyFont="1" applyFill="1" applyBorder="1" applyAlignment="1">
      <alignment horizontal="center" vertical="center" wrapText="1"/>
    </xf>
    <xf numFmtId="44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4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" applyFont="1" applyFill="1" applyBorder="1" applyAlignment="1" applyProtection="1">
      <alignment horizontal="center" vertical="center"/>
      <protection locked="0"/>
    </xf>
    <xf numFmtId="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4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8" fontId="13" fillId="0" borderId="1" xfId="0" applyNumberFormat="1" applyFont="1" applyFill="1" applyBorder="1" applyAlignment="1" applyProtection="1">
      <alignment horizontal="center" vertical="center"/>
      <protection locked="0"/>
    </xf>
    <xf numFmtId="9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  <xf numFmtId="8" fontId="17" fillId="0" borderId="14" xfId="0" applyNumberFormat="1" applyFont="1" applyBorder="1" applyAlignment="1">
      <alignment horizontal="center" vertical="center" wrapText="1"/>
    </xf>
    <xf numFmtId="44" fontId="17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4" fontId="17" fillId="0" borderId="66" xfId="0" applyNumberFormat="1" applyFont="1" applyBorder="1" applyAlignment="1">
      <alignment horizontal="center" vertical="center" wrapText="1"/>
    </xf>
    <xf numFmtId="44" fontId="13" fillId="0" borderId="14" xfId="0" applyNumberFormat="1" applyFont="1" applyBorder="1" applyAlignment="1" applyProtection="1">
      <alignment horizontal="center" vertical="center" wrapText="1"/>
      <protection locked="0"/>
    </xf>
    <xf numFmtId="6" fontId="13" fillId="0" borderId="19" xfId="0" applyNumberFormat="1" applyFont="1" applyBorder="1" applyAlignment="1" applyProtection="1">
      <alignment horizontal="center" vertical="center" wrapText="1"/>
      <protection locked="0"/>
    </xf>
    <xf numFmtId="44" fontId="13" fillId="0" borderId="13" xfId="0" applyNumberFormat="1" applyFont="1" applyBorder="1" applyAlignment="1" applyProtection="1">
      <alignment horizontal="center" vertical="center"/>
      <protection locked="0"/>
    </xf>
    <xf numFmtId="44" fontId="13" fillId="0" borderId="19" xfId="0" applyNumberFormat="1" applyFont="1" applyBorder="1" applyAlignment="1" applyProtection="1">
      <alignment horizontal="center" vertical="center" wrapText="1"/>
      <protection locked="0"/>
    </xf>
    <xf numFmtId="44" fontId="13" fillId="0" borderId="13" xfId="0" applyNumberFormat="1" applyFont="1" applyBorder="1" applyAlignment="1" applyProtection="1">
      <alignment horizontal="center" vertical="center" wrapText="1"/>
      <protection locked="0"/>
    </xf>
    <xf numFmtId="44" fontId="13" fillId="0" borderId="4" xfId="0" applyNumberFormat="1" applyFont="1" applyBorder="1" applyAlignment="1" applyProtection="1">
      <alignment horizontal="center" vertical="center" wrapText="1"/>
      <protection locked="0"/>
    </xf>
    <xf numFmtId="9" fontId="13" fillId="0" borderId="13" xfId="1" applyFont="1" applyFill="1" applyBorder="1" applyAlignment="1" applyProtection="1">
      <alignment horizontal="center" vertical="center" wrapText="1"/>
      <protection locked="0"/>
    </xf>
    <xf numFmtId="9" fontId="13" fillId="0" borderId="14" xfId="1" applyFont="1" applyFill="1" applyBorder="1" applyAlignment="1" applyProtection="1">
      <alignment horizontal="center" vertical="center" wrapText="1"/>
      <protection locked="0"/>
    </xf>
    <xf numFmtId="9" fontId="13" fillId="0" borderId="15" xfId="1" applyFont="1" applyFill="1" applyBorder="1" applyAlignment="1" applyProtection="1">
      <alignment horizontal="center" vertical="center" wrapText="1"/>
      <protection locked="0"/>
    </xf>
    <xf numFmtId="44" fontId="13" fillId="0" borderId="66" xfId="1" applyNumberFormat="1" applyFont="1" applyFill="1" applyBorder="1" applyAlignment="1" applyProtection="1">
      <alignment horizontal="center" vertical="center" wrapText="1"/>
      <protection locked="0"/>
    </xf>
    <xf numFmtId="44" fontId="13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44" fontId="13" fillId="0" borderId="14" xfId="0" applyNumberFormat="1" applyFont="1" applyBorder="1" applyAlignment="1" applyProtection="1">
      <alignment horizontal="center" vertical="center"/>
      <protection locked="0"/>
    </xf>
    <xf numFmtId="8" fontId="13" fillId="0" borderId="14" xfId="0" applyNumberFormat="1" applyFont="1" applyBorder="1" applyAlignment="1" applyProtection="1">
      <alignment horizontal="center" vertical="center"/>
      <protection locked="0"/>
    </xf>
    <xf numFmtId="6" fontId="13" fillId="0" borderId="19" xfId="0" applyNumberFormat="1" applyFont="1" applyBorder="1" applyAlignment="1" applyProtection="1">
      <alignment horizontal="center" vertical="center"/>
      <protection locked="0"/>
    </xf>
    <xf numFmtId="8" fontId="13" fillId="0" borderId="13" xfId="0" applyNumberFormat="1" applyFont="1" applyBorder="1" applyAlignment="1" applyProtection="1">
      <alignment horizontal="center" vertical="center"/>
      <protection locked="0"/>
    </xf>
    <xf numFmtId="44" fontId="13" fillId="0" borderId="19" xfId="0" applyNumberFormat="1" applyFont="1" applyBorder="1" applyAlignment="1" applyProtection="1">
      <alignment horizontal="center" vertical="center"/>
      <protection locked="0"/>
    </xf>
    <xf numFmtId="8" fontId="13" fillId="0" borderId="19" xfId="0" applyNumberFormat="1" applyFont="1" applyBorder="1" applyAlignment="1" applyProtection="1">
      <alignment horizontal="center" vertical="center"/>
      <protection locked="0"/>
    </xf>
    <xf numFmtId="44" fontId="13" fillId="0" borderId="4" xfId="0" applyNumberFormat="1" applyFont="1" applyBorder="1" applyAlignment="1" applyProtection="1">
      <alignment horizontal="center" vertical="center"/>
      <protection locked="0"/>
    </xf>
    <xf numFmtId="9" fontId="13" fillId="0" borderId="13" xfId="1" applyFont="1" applyFill="1" applyBorder="1" applyAlignment="1" applyProtection="1">
      <alignment horizontal="center" vertical="center"/>
      <protection locked="0"/>
    </xf>
    <xf numFmtId="9" fontId="13" fillId="0" borderId="14" xfId="1" applyFont="1" applyFill="1" applyBorder="1" applyAlignment="1" applyProtection="1">
      <alignment horizontal="center" vertical="center"/>
      <protection locked="0"/>
    </xf>
    <xf numFmtId="9" fontId="13" fillId="0" borderId="15" xfId="1" applyFont="1" applyFill="1" applyBorder="1" applyAlignment="1" applyProtection="1">
      <alignment horizontal="center" vertical="center"/>
      <protection locked="0"/>
    </xf>
    <xf numFmtId="44" fontId="13" fillId="0" borderId="66" xfId="1" applyNumberFormat="1" applyFont="1" applyFill="1" applyBorder="1" applyAlignment="1" applyProtection="1">
      <alignment horizontal="center" vertical="center"/>
      <protection locked="0"/>
    </xf>
    <xf numFmtId="44" fontId="1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 wrapText="1"/>
    </xf>
    <xf numFmtId="1" fontId="17" fillId="0" borderId="67" xfId="0" applyNumberFormat="1" applyFont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8" fontId="17" fillId="0" borderId="27" xfId="0" applyNumberFormat="1" applyFont="1" applyBorder="1" applyAlignment="1">
      <alignment horizontal="center" vertical="center" wrapText="1"/>
    </xf>
    <xf numFmtId="44" fontId="17" fillId="0" borderId="27" xfId="0" applyNumberFormat="1" applyFont="1" applyBorder="1" applyAlignment="1">
      <alignment horizontal="center" vertical="center" wrapText="1"/>
    </xf>
    <xf numFmtId="4" fontId="17" fillId="0" borderId="27" xfId="0" applyNumberFormat="1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165" fontId="17" fillId="0" borderId="69" xfId="0" applyNumberFormat="1" applyFont="1" applyBorder="1" applyAlignment="1">
      <alignment horizontal="center" vertical="center" wrapText="1"/>
    </xf>
    <xf numFmtId="44" fontId="13" fillId="0" borderId="27" xfId="0" applyNumberFormat="1" applyFont="1" applyBorder="1" applyAlignment="1" applyProtection="1">
      <alignment horizontal="center" vertical="center"/>
      <protection locked="0"/>
    </xf>
    <xf numFmtId="8" fontId="13" fillId="0" borderId="27" xfId="0" applyNumberFormat="1" applyFont="1" applyBorder="1" applyAlignment="1" applyProtection="1">
      <alignment horizontal="center" vertical="center"/>
      <protection locked="0"/>
    </xf>
    <xf numFmtId="6" fontId="13" fillId="0" borderId="54" xfId="0" applyNumberFormat="1" applyFont="1" applyBorder="1" applyAlignment="1" applyProtection="1">
      <alignment horizontal="center" vertical="center"/>
      <protection locked="0"/>
    </xf>
    <xf numFmtId="44" fontId="13" fillId="0" borderId="67" xfId="0" applyNumberFormat="1" applyFont="1" applyBorder="1" applyAlignment="1" applyProtection="1">
      <alignment horizontal="center" vertical="center"/>
      <protection locked="0"/>
    </xf>
    <xf numFmtId="44" fontId="13" fillId="0" borderId="54" xfId="0" applyNumberFormat="1" applyFont="1" applyBorder="1" applyAlignment="1" applyProtection="1">
      <alignment horizontal="center" vertical="center"/>
      <protection locked="0"/>
    </xf>
    <xf numFmtId="44" fontId="13" fillId="0" borderId="70" xfId="0" applyNumberFormat="1" applyFont="1" applyBorder="1" applyAlignment="1" applyProtection="1">
      <alignment horizontal="center" vertical="center"/>
      <protection locked="0"/>
    </xf>
    <xf numFmtId="9" fontId="13" fillId="0" borderId="67" xfId="1" applyFont="1" applyFill="1" applyBorder="1" applyAlignment="1" applyProtection="1">
      <alignment horizontal="center" vertical="center"/>
      <protection locked="0"/>
    </xf>
    <xf numFmtId="9" fontId="13" fillId="0" borderId="27" xfId="1" applyFont="1" applyFill="1" applyBorder="1" applyAlignment="1" applyProtection="1">
      <alignment horizontal="center" vertical="center"/>
      <protection locked="0"/>
    </xf>
    <xf numFmtId="9" fontId="13" fillId="0" borderId="68" xfId="1" applyFont="1" applyFill="1" applyBorder="1" applyAlignment="1" applyProtection="1">
      <alignment horizontal="center" vertical="center"/>
      <protection locked="0"/>
    </xf>
    <xf numFmtId="44" fontId="13" fillId="0" borderId="69" xfId="1" applyNumberFormat="1" applyFont="1" applyFill="1" applyBorder="1" applyAlignment="1" applyProtection="1">
      <alignment horizontal="center" vertical="center"/>
      <protection locked="0"/>
    </xf>
    <xf numFmtId="44" fontId="13" fillId="0" borderId="68" xfId="0" applyNumberFormat="1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164" fontId="13" fillId="0" borderId="1" xfId="3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 wrapText="1"/>
    </xf>
    <xf numFmtId="1" fontId="17" fillId="0" borderId="61" xfId="0" applyNumberFormat="1" applyFont="1" applyBorder="1" applyAlignment="1" applyProtection="1">
      <alignment horizontal="center" vertical="center" wrapText="1"/>
      <protection locked="0"/>
    </xf>
    <xf numFmtId="0" fontId="17" fillId="5" borderId="55" xfId="0" applyFont="1" applyFill="1" applyBorder="1" applyAlignment="1" applyProtection="1">
      <alignment horizontal="center" vertical="center" wrapText="1"/>
      <protection locked="0"/>
    </xf>
    <xf numFmtId="8" fontId="13" fillId="0" borderId="55" xfId="0" applyNumberFormat="1" applyFont="1" applyBorder="1" applyAlignment="1" applyProtection="1">
      <alignment horizontal="center" vertical="center"/>
      <protection locked="0"/>
    </xf>
    <xf numFmtId="44" fontId="17" fillId="0" borderId="55" xfId="0" applyNumberFormat="1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165" fontId="13" fillId="0" borderId="55" xfId="0" applyNumberFormat="1" applyFont="1" applyBorder="1" applyAlignment="1" applyProtection="1">
      <alignment horizontal="center" vertical="center"/>
      <protection locked="0"/>
    </xf>
    <xf numFmtId="44" fontId="13" fillId="0" borderId="55" xfId="0" applyNumberFormat="1" applyFont="1" applyBorder="1" applyAlignment="1" applyProtection="1">
      <alignment horizontal="center" vertical="center"/>
      <protection locked="0"/>
    </xf>
    <xf numFmtId="44" fontId="13" fillId="0" borderId="56" xfId="0" applyNumberFormat="1" applyFont="1" applyBorder="1" applyAlignment="1" applyProtection="1">
      <alignment horizontal="center" vertical="center"/>
      <protection locked="0"/>
    </xf>
    <xf numFmtId="44" fontId="13" fillId="0" borderId="72" xfId="0" applyNumberFormat="1" applyFont="1" applyBorder="1" applyAlignment="1" applyProtection="1">
      <alignment horizontal="center" vertical="center"/>
      <protection locked="0"/>
    </xf>
    <xf numFmtId="44" fontId="13" fillId="0" borderId="61" xfId="1" applyNumberFormat="1" applyFont="1" applyFill="1" applyBorder="1" applyAlignment="1" applyProtection="1">
      <alignment horizontal="center" vertical="center"/>
      <protection locked="0"/>
    </xf>
    <xf numFmtId="44" fontId="13" fillId="0" borderId="55" xfId="1" applyNumberFormat="1" applyFont="1" applyFill="1" applyBorder="1" applyAlignment="1" applyProtection="1">
      <alignment horizontal="center" vertical="center"/>
      <protection locked="0"/>
    </xf>
    <xf numFmtId="44" fontId="13" fillId="0" borderId="62" xfId="1" applyNumberFormat="1" applyFont="1" applyFill="1" applyBorder="1" applyAlignment="1" applyProtection="1">
      <alignment horizontal="center" vertical="center"/>
      <protection locked="0"/>
    </xf>
    <xf numFmtId="44" fontId="13" fillId="0" borderId="60" xfId="1" applyNumberFormat="1" applyFont="1" applyFill="1" applyBorder="1" applyAlignment="1" applyProtection="1">
      <alignment horizontal="center" vertical="center"/>
      <protection locked="0"/>
    </xf>
    <xf numFmtId="0" fontId="13" fillId="0" borderId="6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1" fontId="17" fillId="0" borderId="50" xfId="0" applyNumberFormat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8" fontId="13" fillId="0" borderId="51" xfId="0" applyNumberFormat="1" applyFont="1" applyBorder="1" applyAlignment="1" applyProtection="1">
      <alignment horizontal="center" vertical="center"/>
      <protection locked="0"/>
    </xf>
    <xf numFmtId="8" fontId="17" fillId="0" borderId="51" xfId="0" applyNumberFormat="1" applyFont="1" applyBorder="1" applyAlignment="1" applyProtection="1">
      <alignment horizontal="right" vertical="center" wrapText="1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3" fontId="17" fillId="0" borderId="51" xfId="0" applyNumberFormat="1" applyFont="1" applyBorder="1" applyAlignment="1">
      <alignment horizontal="center" vertical="center" wrapText="1"/>
    </xf>
    <xf numFmtId="165" fontId="13" fillId="0" borderId="51" xfId="0" applyNumberFormat="1" applyFont="1" applyBorder="1" applyAlignment="1" applyProtection="1">
      <alignment horizontal="center" vertical="center"/>
      <protection locked="0"/>
    </xf>
    <xf numFmtId="44" fontId="13" fillId="0" borderId="51" xfId="0" applyNumberFormat="1" applyFont="1" applyBorder="1" applyAlignment="1" applyProtection="1">
      <alignment horizontal="center" vertical="center"/>
      <protection locked="0"/>
    </xf>
    <xf numFmtId="44" fontId="13" fillId="0" borderId="50" xfId="0" applyNumberFormat="1" applyFont="1" applyBorder="1" applyAlignment="1" applyProtection="1">
      <alignment horizontal="center" vertical="center"/>
      <protection locked="0"/>
    </xf>
    <xf numFmtId="44" fontId="13" fillId="0" borderId="73" xfId="0" applyNumberFormat="1" applyFont="1" applyBorder="1" applyAlignment="1" applyProtection="1">
      <alignment horizontal="center" vertical="center"/>
      <protection locked="0"/>
    </xf>
    <xf numFmtId="44" fontId="13" fillId="0" borderId="74" xfId="0" applyNumberFormat="1" applyFont="1" applyBorder="1" applyAlignment="1" applyProtection="1">
      <alignment horizontal="center" vertical="center"/>
      <protection locked="0"/>
    </xf>
    <xf numFmtId="44" fontId="13" fillId="0" borderId="50" xfId="1" applyNumberFormat="1" applyFont="1" applyFill="1" applyBorder="1" applyAlignment="1" applyProtection="1">
      <alignment horizontal="center" vertical="center"/>
      <protection locked="0"/>
    </xf>
    <xf numFmtId="44" fontId="13" fillId="0" borderId="51" xfId="1" applyNumberFormat="1" applyFont="1" applyFill="1" applyBorder="1" applyAlignment="1" applyProtection="1">
      <alignment horizontal="center" vertical="center"/>
      <protection locked="0"/>
    </xf>
    <xf numFmtId="44" fontId="13" fillId="0" borderId="52" xfId="1" applyNumberFormat="1" applyFont="1" applyFill="1" applyBorder="1" applyAlignment="1" applyProtection="1">
      <alignment horizontal="center" vertical="center"/>
      <protection locked="0"/>
    </xf>
    <xf numFmtId="44" fontId="13" fillId="0" borderId="63" xfId="1" applyNumberFormat="1" applyFont="1" applyFill="1" applyBorder="1" applyAlignment="1" applyProtection="1">
      <alignment horizontal="center" vertical="center"/>
      <protection locked="0"/>
    </xf>
    <xf numFmtId="44" fontId="13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6" fillId="0" borderId="76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1" fontId="17" fillId="0" borderId="57" xfId="0" applyNumberFormat="1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8" fontId="13" fillId="0" borderId="58" xfId="0" applyNumberFormat="1" applyFont="1" applyBorder="1" applyAlignment="1" applyProtection="1">
      <alignment horizontal="center" vertical="center"/>
      <protection locked="0"/>
    </xf>
    <xf numFmtId="8" fontId="17" fillId="0" borderId="58" xfId="0" applyNumberFormat="1" applyFont="1" applyBorder="1" applyAlignment="1" applyProtection="1">
      <alignment horizontal="right" vertical="center" wrapText="1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3" fontId="17" fillId="0" borderId="58" xfId="0" applyNumberFormat="1" applyFont="1" applyBorder="1" applyAlignment="1">
      <alignment horizontal="center" vertical="center" wrapText="1"/>
    </xf>
    <xf numFmtId="165" fontId="13" fillId="0" borderId="58" xfId="0" applyNumberFormat="1" applyFont="1" applyBorder="1" applyAlignment="1" applyProtection="1">
      <alignment horizontal="center" vertical="center"/>
      <protection locked="0"/>
    </xf>
    <xf numFmtId="44" fontId="13" fillId="0" borderId="58" xfId="0" applyNumberFormat="1" applyFont="1" applyBorder="1" applyAlignment="1" applyProtection="1">
      <alignment horizontal="center" vertical="center"/>
      <protection locked="0"/>
    </xf>
    <xf numFmtId="44" fontId="13" fillId="0" borderId="57" xfId="0" applyNumberFormat="1" applyFont="1" applyBorder="1" applyAlignment="1" applyProtection="1">
      <alignment horizontal="center" vertical="center"/>
      <protection locked="0"/>
    </xf>
    <xf numFmtId="44" fontId="13" fillId="0" borderId="78" xfId="0" applyNumberFormat="1" applyFont="1" applyBorder="1" applyAlignment="1" applyProtection="1">
      <alignment horizontal="center" vertical="center"/>
      <protection locked="0"/>
    </xf>
    <xf numFmtId="44" fontId="13" fillId="0" borderId="79" xfId="0" applyNumberFormat="1" applyFont="1" applyBorder="1" applyAlignment="1" applyProtection="1">
      <alignment horizontal="center" vertical="center"/>
      <protection locked="0"/>
    </xf>
    <xf numFmtId="44" fontId="13" fillId="0" borderId="57" xfId="1" applyNumberFormat="1" applyFont="1" applyFill="1" applyBorder="1" applyAlignment="1" applyProtection="1">
      <alignment horizontal="center" vertical="center"/>
      <protection locked="0"/>
    </xf>
    <xf numFmtId="44" fontId="13" fillId="0" borderId="58" xfId="1" applyNumberFormat="1" applyFont="1" applyFill="1" applyBorder="1" applyAlignment="1" applyProtection="1">
      <alignment horizontal="center" vertical="center"/>
      <protection locked="0"/>
    </xf>
    <xf numFmtId="44" fontId="13" fillId="0" borderId="59" xfId="1" applyNumberFormat="1" applyFont="1" applyFill="1" applyBorder="1" applyAlignment="1" applyProtection="1">
      <alignment horizontal="center" vertical="center"/>
      <protection locked="0"/>
    </xf>
    <xf numFmtId="0" fontId="13" fillId="0" borderId="64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165" fontId="17" fillId="0" borderId="50" xfId="0" applyNumberFormat="1" applyFont="1" applyBorder="1" applyAlignment="1">
      <alignment horizontal="center" vertical="center" wrapText="1"/>
    </xf>
    <xf numFmtId="44" fontId="13" fillId="0" borderId="63" xfId="0" applyNumberFormat="1" applyFont="1" applyBorder="1" applyAlignment="1" applyProtection="1">
      <alignment horizontal="center" vertical="center"/>
      <protection locked="0"/>
    </xf>
    <xf numFmtId="8" fontId="13" fillId="0" borderId="73" xfId="0" applyNumberFormat="1" applyFont="1" applyBorder="1" applyAlignment="1" applyProtection="1">
      <alignment horizontal="center" vertical="center"/>
      <protection locked="0"/>
    </xf>
    <xf numFmtId="8" fontId="13" fillId="0" borderId="50" xfId="0" applyNumberFormat="1" applyFont="1" applyBorder="1" applyAlignment="1" applyProtection="1">
      <alignment horizontal="center" vertical="center"/>
      <protection locked="0"/>
    </xf>
    <xf numFmtId="8" fontId="13" fillId="3" borderId="73" xfId="0" applyNumberFormat="1" applyFont="1" applyFill="1" applyBorder="1" applyAlignment="1" applyProtection="1">
      <alignment horizontal="center" vertical="center"/>
      <protection locked="0"/>
    </xf>
    <xf numFmtId="9" fontId="13" fillId="0" borderId="50" xfId="1" applyFont="1" applyFill="1" applyBorder="1" applyAlignment="1" applyProtection="1">
      <alignment horizontal="center" vertical="center"/>
      <protection locked="0"/>
    </xf>
    <xf numFmtId="9" fontId="13" fillId="0" borderId="51" xfId="1" applyFont="1" applyFill="1" applyBorder="1" applyAlignment="1" applyProtection="1">
      <alignment horizontal="center" vertical="center"/>
      <protection locked="0"/>
    </xf>
    <xf numFmtId="9" fontId="13" fillId="0" borderId="52" xfId="1" applyFont="1" applyFill="1" applyBorder="1" applyAlignment="1" applyProtection="1">
      <alignment horizontal="center" vertical="center"/>
      <protection locked="0"/>
    </xf>
    <xf numFmtId="0" fontId="13" fillId="0" borderId="81" xfId="0" applyFont="1" applyBorder="1" applyAlignment="1">
      <alignment horizontal="center" vertical="center" wrapText="1"/>
    </xf>
    <xf numFmtId="44" fontId="0" fillId="0" borderId="75" xfId="0" applyNumberForma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 wrapText="1"/>
    </xf>
    <xf numFmtId="44" fontId="13" fillId="0" borderId="10" xfId="0" applyNumberFormat="1" applyFont="1" applyBorder="1" applyAlignment="1" applyProtection="1">
      <alignment horizontal="center" vertical="center"/>
      <protection locked="0"/>
    </xf>
    <xf numFmtId="0" fontId="17" fillId="3" borderId="20" xfId="0" applyFont="1" applyFill="1" applyBorder="1" applyAlignment="1">
      <alignment horizontal="center" vertical="center" wrapText="1"/>
    </xf>
    <xf numFmtId="44" fontId="13" fillId="0" borderId="10" xfId="0" applyNumberFormat="1" applyFont="1" applyBorder="1" applyAlignment="1" applyProtection="1">
      <alignment horizontal="center" vertical="center" wrapText="1"/>
      <protection locked="0"/>
    </xf>
    <xf numFmtId="8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>
      <alignment horizontal="center" vertical="center"/>
    </xf>
    <xf numFmtId="1" fontId="17" fillId="0" borderId="57" xfId="0" applyNumberFormat="1" applyFont="1" applyBorder="1" applyAlignment="1" applyProtection="1">
      <alignment horizontal="center" vertical="center" wrapText="1"/>
      <protection locked="0"/>
    </xf>
    <xf numFmtId="44" fontId="17" fillId="0" borderId="58" xfId="0" applyNumberFormat="1" applyFont="1" applyBorder="1" applyAlignment="1">
      <alignment horizontal="center" vertical="center" wrapText="1"/>
    </xf>
    <xf numFmtId="1" fontId="13" fillId="0" borderId="58" xfId="0" applyNumberFormat="1" applyFont="1" applyBorder="1" applyAlignment="1" applyProtection="1">
      <alignment horizontal="center" vertical="center" wrapText="1"/>
      <protection locked="0"/>
    </xf>
    <xf numFmtId="4" fontId="13" fillId="0" borderId="58" xfId="0" applyNumberFormat="1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165" fontId="13" fillId="0" borderId="57" xfId="0" applyNumberFormat="1" applyFont="1" applyBorder="1" applyAlignment="1" applyProtection="1">
      <alignment horizontal="center" vertical="center"/>
      <protection locked="0"/>
    </xf>
    <xf numFmtId="44" fontId="13" fillId="0" borderId="64" xfId="0" applyNumberFormat="1" applyFont="1" applyBorder="1" applyAlignment="1" applyProtection="1">
      <alignment horizontal="center" vertical="center"/>
      <protection locked="0"/>
    </xf>
    <xf numFmtId="6" fontId="13" fillId="0" borderId="58" xfId="0" applyNumberFormat="1" applyFont="1" applyBorder="1" applyAlignment="1" applyProtection="1">
      <alignment horizontal="center" vertical="center"/>
      <protection locked="0"/>
    </xf>
    <xf numFmtId="9" fontId="13" fillId="0" borderId="57" xfId="1" applyFont="1" applyFill="1" applyBorder="1" applyAlignment="1" applyProtection="1">
      <alignment horizontal="center" vertical="center" wrapText="1"/>
      <protection locked="0"/>
    </xf>
    <xf numFmtId="9" fontId="13" fillId="0" borderId="58" xfId="1" applyFont="1" applyFill="1" applyBorder="1" applyAlignment="1" applyProtection="1">
      <alignment horizontal="center" vertical="center" wrapText="1"/>
      <protection locked="0"/>
    </xf>
    <xf numFmtId="9" fontId="13" fillId="0" borderId="59" xfId="1" applyFont="1" applyFill="1" applyBorder="1" applyAlignment="1" applyProtection="1">
      <alignment horizontal="center" vertical="center" wrapText="1"/>
      <protection locked="0"/>
    </xf>
    <xf numFmtId="1" fontId="17" fillId="0" borderId="27" xfId="0" applyNumberFormat="1" applyFont="1" applyBorder="1" applyAlignment="1">
      <alignment horizontal="center" vertical="center" wrapText="1"/>
    </xf>
    <xf numFmtId="8" fontId="13" fillId="0" borderId="54" xfId="0" applyNumberFormat="1" applyFont="1" applyBorder="1" applyAlignment="1" applyProtection="1">
      <alignment horizontal="center" vertical="center"/>
      <protection locked="0"/>
    </xf>
    <xf numFmtId="44" fontId="13" fillId="0" borderId="54" xfId="0" applyNumberFormat="1" applyFont="1" applyBorder="1" applyAlignment="1" applyProtection="1">
      <alignment horizontal="center" vertical="center" wrapText="1"/>
      <protection locked="0"/>
    </xf>
    <xf numFmtId="9" fontId="13" fillId="0" borderId="70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164" fontId="2" fillId="0" borderId="0" xfId="3" applyFont="1" applyAlignment="1">
      <alignment horizontal="center" vertical="center"/>
    </xf>
    <xf numFmtId="164" fontId="2" fillId="0" borderId="7" xfId="3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9" fontId="3" fillId="0" borderId="1" xfId="1" applyFont="1" applyFill="1" applyBorder="1" applyAlignment="1">
      <alignment horizontal="center" vertical="center"/>
    </xf>
    <xf numFmtId="9" fontId="3" fillId="0" borderId="21" xfId="1" applyFont="1" applyFill="1" applyBorder="1" applyAlignment="1">
      <alignment horizontal="center" vertical="center"/>
    </xf>
    <xf numFmtId="44" fontId="3" fillId="0" borderId="20" xfId="0" applyNumberFormat="1" applyFont="1" applyFill="1" applyBorder="1" applyAlignment="1" applyProtection="1">
      <alignment horizontal="center" vertical="center"/>
      <protection locked="0"/>
    </xf>
    <xf numFmtId="44" fontId="3" fillId="0" borderId="1" xfId="0" applyNumberFormat="1" applyFont="1" applyFill="1" applyBorder="1" applyAlignment="1" applyProtection="1">
      <alignment horizontal="center" vertical="center"/>
      <protection locked="0"/>
    </xf>
    <xf numFmtId="44" fontId="2" fillId="0" borderId="21" xfId="0" applyNumberFormat="1" applyFont="1" applyFill="1" applyBorder="1" applyAlignment="1" applyProtection="1">
      <alignment horizontal="center" vertical="center"/>
      <protection locked="0"/>
    </xf>
    <xf numFmtId="44" fontId="2" fillId="0" borderId="1" xfId="0" applyNumberFormat="1" applyFont="1" applyFill="1" applyBorder="1" applyAlignment="1" applyProtection="1">
      <alignment horizontal="center" vertical="center"/>
      <protection locked="0"/>
    </xf>
    <xf numFmtId="44" fontId="3" fillId="0" borderId="21" xfId="0" applyNumberFormat="1" applyFont="1" applyFill="1" applyBorder="1" applyAlignment="1" applyProtection="1">
      <alignment horizontal="center" vertical="center"/>
      <protection locked="0"/>
    </xf>
    <xf numFmtId="9" fontId="3" fillId="0" borderId="20" xfId="1" applyFont="1" applyFill="1" applyBorder="1" applyAlignment="1" applyProtection="1">
      <alignment horizontal="center" vertical="center"/>
      <protection locked="0"/>
    </xf>
    <xf numFmtId="9" fontId="3" fillId="0" borderId="1" xfId="1" applyFont="1" applyFill="1" applyBorder="1" applyAlignment="1" applyProtection="1">
      <alignment horizontal="center" vertical="center"/>
      <protection locked="0"/>
    </xf>
    <xf numFmtId="9" fontId="3" fillId="0" borderId="21" xfId="1" applyFont="1" applyFill="1" applyBorder="1" applyAlignment="1" applyProtection="1">
      <alignment horizontal="center" vertical="center"/>
      <protection locked="0"/>
    </xf>
    <xf numFmtId="164" fontId="3" fillId="0" borderId="10" xfId="3" applyFont="1" applyFill="1" applyBorder="1" applyAlignment="1" applyProtection="1">
      <alignment horizontal="center" vertical="center"/>
      <protection locked="0"/>
    </xf>
    <xf numFmtId="9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2" formatCode="&quot;$&quot;\ #,##0.00;[Red]\-&quot;$&quot;\ #,##0.0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88"/>
    </tableStyle>
    <tableStyle name="Estilo de tabla 4" pivot="0" count="1" xr9:uid="{00000000-0011-0000-FFFF-FFFF03000000}">
      <tableStyleElement type="firstRowStripe" dxfId="18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9</xdr:row>
      <xdr:rowOff>367777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B50F-2680-4524-8437-694A6B229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0"/>
          <a:ext cx="1130300" cy="1072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FA6069-D61A-4F22-B875-617B0F0B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33">
          <cell r="T33">
            <v>3</v>
          </cell>
          <cell r="W33">
            <v>0</v>
          </cell>
          <cell r="AC33" t="str">
            <v>No Acumulativa</v>
          </cell>
        </row>
        <row r="34">
          <cell r="T34">
            <v>30</v>
          </cell>
          <cell r="W34">
            <v>8</v>
          </cell>
          <cell r="AC34" t="str">
            <v>Acumulativa</v>
          </cell>
        </row>
        <row r="35">
          <cell r="T35">
            <v>4</v>
          </cell>
          <cell r="W35">
            <v>0.3</v>
          </cell>
          <cell r="AC35" t="str">
            <v>Acumulativa</v>
          </cell>
        </row>
        <row r="36">
          <cell r="T36">
            <v>23000</v>
          </cell>
          <cell r="W36">
            <v>5500</v>
          </cell>
          <cell r="AC36" t="str">
            <v>Acumulativa</v>
          </cell>
        </row>
        <row r="37">
          <cell r="T37">
            <v>35</v>
          </cell>
          <cell r="W37">
            <v>1</v>
          </cell>
          <cell r="AC37" t="str">
            <v>Acumulativa</v>
          </cell>
        </row>
        <row r="38">
          <cell r="T38">
            <v>8</v>
          </cell>
          <cell r="W38">
            <v>0.5</v>
          </cell>
          <cell r="AC38" t="str">
            <v>Acumulativa</v>
          </cell>
        </row>
        <row r="285">
          <cell r="T285">
            <v>1</v>
          </cell>
          <cell r="W285">
            <v>0</v>
          </cell>
          <cell r="AC285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87D626-93CF-4002-BD3D-73B7E50FC6C4}" name="Tabla13" displayName="Tabla13" ref="A10:BI34" totalsRowCount="1" headerRowDxfId="186" dataDxfId="184" headerRowBorderDxfId="185" tableBorderDxfId="183">
  <tableColumns count="61">
    <tableColumn id="1" xr3:uid="{CF5C2768-F344-411E-BA91-97DF928FF7EF}" name=" Consecutivo PDM" dataDxfId="182" totalsRowDxfId="181"/>
    <tableColumn id="2" xr3:uid="{382B581C-3222-4E15-B98A-B2799AEC66EE}" name="Linea Estratégica" dataDxfId="180" totalsRowDxfId="179"/>
    <tableColumn id="5" xr3:uid="{EAB05E22-DB51-45A3-B70B-A3B94B7810EC}" name="Sector" dataDxfId="178" totalsRowDxfId="177"/>
    <tableColumn id="14" xr3:uid="{702D030D-7FF2-4EE3-9815-287257E27036}" name="Cod. Programa" dataDxfId="176" totalsRowDxfId="175"/>
    <tableColumn id="15" xr3:uid="{22FCE937-1AAD-4444-8B9E-197F09F12A4B}" name="Programa" dataDxfId="174" totalsRowDxfId="173"/>
    <tableColumn id="16" xr3:uid="{72E87F43-3912-4D95-B5E0-879170203BCE}" name="Cod. de Producto" dataDxfId="172" totalsRowDxfId="171"/>
    <tableColumn id="17" xr3:uid="{DDEB0BD2-C5AD-4C6E-B9AD-A73CD378F900}" name="Meta de Producto" dataDxfId="170" totalsRowDxfId="169"/>
    <tableColumn id="28" xr3:uid="{6E58752D-CFB9-4BAA-B41B-5D8565CEBCC9}" name="Código BPIN" dataDxfId="168" totalsRowDxfId="167"/>
    <tableColumn id="29" xr3:uid="{98E4A960-9380-4257-951B-67E6663F4ACA}" name="Nombre del Proyecto" dataDxfId="166" totalsRowDxfId="165"/>
    <tableColumn id="30" xr3:uid="{38C638AB-21DE-45C9-9001-3C9CBDB0D914}" name="Valor del Proyecto" dataDxfId="164" totalsRowDxfId="163"/>
    <tableColumn id="31" xr3:uid="{CDA45F7D-AE85-40EC-894F-6782AE34887F}" name="Valor Vigencia Proyecto" totalsRowFunction="custom" dataDxfId="162" totalsRowDxfId="161">
      <totalsRowFormula>SUM(K11:K33)</totalsRowFormula>
    </tableColumn>
    <tableColumn id="32" xr3:uid="{4DC95B21-FD96-42C9-B26F-2B6488B2C430}" name="Comuna o Barrio Beneficiado" dataDxfId="160" totalsRowDxfId="159"/>
    <tableColumn id="33" xr3:uid="{35585822-1CC8-4A78-9C6A-14C5E2A3BD0E}" name="Población Beneficiada" dataDxfId="158" totalsRowDxfId="157"/>
    <tableColumn id="34" xr3:uid="{7D6FA5EC-2EEC-4B62-9FD8-974054B87C79}" name="Número de Beneficiarios" dataDxfId="156" totalsRowDxfId="155"/>
    <tableColumn id="44" xr3:uid="{53C41AA8-5BE3-417B-B6A5-79C99495A381}" name="Actividades Realizadas" dataDxfId="154" totalsRowDxfId="153"/>
    <tableColumn id="46" xr3:uid="{92B923E1-AF12-44D0-BE6F-61EE8255F40B}" name="Recursos propios 2025" totalsRowFunction="sum" dataDxfId="152" totalsRowDxfId="151"/>
    <tableColumn id="47" xr3:uid="{51AB6A5C-C534-43D7-A4E2-AC775013BCBE}" name="SGP Educación 2024" dataDxfId="150" totalsRowDxfId="149"/>
    <tableColumn id="48" xr3:uid="{A137CC04-9A50-4DF0-98CC-C25128909A93}" name="SGP Salud 2024" dataDxfId="148" totalsRowDxfId="147"/>
    <tableColumn id="36" xr3:uid="{3996C4B2-A701-4B08-9C8C-798270E7FD69}" name="SGP Deporte 2024" dataDxfId="146" totalsRowDxfId="145"/>
    <tableColumn id="35" xr3:uid="{2B90ECC0-7D25-4355-9E19-6C60F134848D}" name="SGP Cultura 2024" dataDxfId="144" totalsRowDxfId="143"/>
    <tableColumn id="13" xr3:uid="{15AD7A1D-55E3-42B6-AF80-74DE811F38EE}" name="SGP Libre inversión 2024" dataDxfId="142" totalsRowDxfId="141"/>
    <tableColumn id="12" xr3:uid="{14125538-E812-4792-BDB3-668DB9B77667}" name="SGP Libre destinación 2024" dataDxfId="140" totalsRowDxfId="139"/>
    <tableColumn id="11" xr3:uid="{153644F9-F4C1-4B85-8D62-87D796BEC47C}" name="SGP Alimentación escolar 2024" dataDxfId="138" totalsRowDxfId="137"/>
    <tableColumn id="10" xr3:uid="{AADA28F6-9E7F-44F7-9DBE-78E182A98B2A}" name="SGP Municipios río Magdalena 2024" dataDxfId="136" totalsRowDxfId="135"/>
    <tableColumn id="9" xr3:uid="{FB272192-BFA0-4F66-AFA5-FDA5DDB64DE9}" name="SGP APSB 2024" dataDxfId="134" totalsRowDxfId="133"/>
    <tableColumn id="8" xr3:uid="{FBAAF11B-C692-4CCF-BFD6-B15418BD15B8}" name="Crédito 2024" dataDxfId="132" totalsRowDxfId="131"/>
    <tableColumn id="7" xr3:uid="{E2BE98EB-69DE-466E-AB9B-AB9C050D1845}" name="Transferencias de capital - cofinanciación departamento 2024" dataDxfId="130" totalsRowDxfId="129"/>
    <tableColumn id="6" xr3:uid="{70209CF2-E836-4495-8CD6-6470C08FC368}" name="Transferencias de capital - cofinanciación nación 2024" dataDxfId="128" totalsRowDxfId="127"/>
    <tableColumn id="49" xr3:uid="{9F391123-80A8-41A6-A69C-BA1322F11DF6}" name="Otros 2024" dataDxfId="126" totalsRowDxfId="125"/>
    <tableColumn id="19" xr3:uid="{272FBFA2-BE8C-484F-90B1-EF9C2AB67238}" name="Reservas 2025" totalsRowFunction="sum" dataDxfId="124" totalsRowDxfId="123"/>
    <tableColumn id="3" xr3:uid="{B9A5FC1F-5925-48D7-BBF5-D850C0FC9C9C}" name="Recursos del Balance" totalsRowFunction="sum" dataDxfId="122" totalsRowDxfId="121"/>
    <tableColumn id="50" xr3:uid="{D05C4BB9-3519-4CC7-A8E2-3A76F95E752F}" name="Total 2025" totalsRowFunction="sum" dataDxfId="120" totalsRowDxfId="119">
      <calculatedColumnFormula>SUM(Tabla13[[#This Row],[Recursos propios 2025]:[Recursos del Balance]])-Tabla13[[#This Row],[Reservas 2025]]</calculatedColumnFormula>
    </tableColumn>
    <tableColumn id="51" xr3:uid="{EC277BA9-4EAE-4B98-A606-30C86AB76803}" name="Recursos propios 20242" dataDxfId="118" totalsRowDxfId="117"/>
    <tableColumn id="52" xr3:uid="{77CEB75D-56AA-45A0-A45B-0580060441F5}" name="SGP Educación 20243" dataDxfId="116" totalsRowDxfId="115"/>
    <tableColumn id="53" xr3:uid="{46C7EBC6-352D-4CB5-9279-FCA11B9BC111}" name="SGP Salud 20244" dataDxfId="114" totalsRowDxfId="113"/>
    <tableColumn id="62" xr3:uid="{A4B7F8C7-CA41-4858-B1E3-B95363AAC7FB}" name="SGP Deporte 20245" dataDxfId="112" totalsRowDxfId="111"/>
    <tableColumn id="61" xr3:uid="{4160573C-212B-444A-8E0B-FA7A2F1BDFAD}" name="SGP Cultura 20246" dataDxfId="110" totalsRowDxfId="109"/>
    <tableColumn id="45" xr3:uid="{5C0B1564-7B5D-49B8-B9B9-4FAEB86D1C6F}" name="SGP Libre inversión 20247" dataDxfId="108" totalsRowDxfId="107"/>
    <tableColumn id="43" xr3:uid="{E54B418E-8395-4B5A-BE1C-2C0521B5EED8}" name="SGP Libre destinación 20248" dataDxfId="106" totalsRowDxfId="105"/>
    <tableColumn id="42" xr3:uid="{7553382B-1B66-426C-B38D-53FE9659287B}" name="SGP Alimentación escolar 20249" dataDxfId="104" totalsRowDxfId="103"/>
    <tableColumn id="41" xr3:uid="{6000B257-EEA3-4543-AAB4-F8C5AFBA5B45}" name="SGP Municipios río Magdalena 202410" dataDxfId="102" totalsRowDxfId="101"/>
    <tableColumn id="40" xr3:uid="{BD337B83-61FD-4DCF-B1D2-52CF20C0B1DC}" name="SGP APSB 202411" dataDxfId="100" totalsRowDxfId="99"/>
    <tableColumn id="39" xr3:uid="{1B1EC448-6235-4601-B19C-523E343F0EDB}" name="Crédito 202412" dataDxfId="98" totalsRowDxfId="97"/>
    <tableColumn id="38" xr3:uid="{758AEA81-D5C2-412F-AD17-03A081286029}" name="Transferencias de capital - cofinanciación departamento 202413" dataDxfId="96" totalsRowDxfId="95"/>
    <tableColumn id="37" xr3:uid="{CED8AEAC-BCB3-4EE4-93C8-0307B222FF96}" name="Transferencias de capital - cofinanciación nación 202414" dataDxfId="94" totalsRowDxfId="93"/>
    <tableColumn id="54" xr3:uid="{694528DF-43BD-455A-B95D-E111F032E921}" name="Otros 202415" dataDxfId="92" totalsRowDxfId="91"/>
    <tableColumn id="22" xr3:uid="{6C3FFCE9-6B01-4898-931D-6967850C4F81}" name="RESERVAS COMPROMETIDO" totalsRowFunction="sum" dataDxfId="90" totalsRowDxfId="89"/>
    <tableColumn id="4" xr3:uid="{61DE7480-1192-49F2-B519-5B1DC6EC9335}" name="Recursos del Balance2" dataDxfId="88" totalsRowDxfId="87"/>
    <tableColumn id="55" xr3:uid="{E61A0C7E-1686-43D8-A914-FD8A5B146637}" name="Total Recursos Comprometido 2025" totalsRowFunction="sum" dataDxfId="86" totalsRowDxfId="85">
      <calculatedColumnFormula>SUM(Tabla13[[#This Row],[Recursos propios 20242]:[Recursos del Balance2]])-Tabla13[[#This Row],[RESERVAS COMPROMETIDO]]</calculatedColumnFormula>
    </tableColumn>
    <tableColumn id="25" xr3:uid="{FE85F03D-2FC3-4CA6-A0B3-28ABB5282624}" name="RESERVAS OBLIGADO" totalsRowFunction="sum" dataDxfId="84" totalsRowDxfId="83"/>
    <tableColumn id="20" xr3:uid="{AAF013DE-9EFC-470E-8A89-4470EE93071D}" name="Total Recursos Obligados" totalsRowFunction="sum" dataDxfId="82" totalsRowDxfId="81"/>
    <tableColumn id="26" xr3:uid="{160B2656-83C6-4E6D-9A6C-6BB87833813E}" name="RESERVAS PAGADO" totalsRowFunction="sum" dataDxfId="80" totalsRowDxfId="79"/>
    <tableColumn id="21" xr3:uid="{4DA5E0A1-7BD7-4E3A-A487-13FC48DE33E3}" name="Total Recursos Pagados" totalsRowFunction="sum" dataDxfId="78" totalsRowDxfId="77"/>
    <tableColumn id="56" xr3:uid="{5F6BEC09-E5D4-4F6D-94AE-18D4B05014B9}" name="Ejecución Recursos Comprometidos" dataDxfId="76" totalsRowDxfId="75">
      <calculatedColumnFormula>+Tabla13[[#This Row],[Total Recursos Comprometido 2025]]/Tabla13[[#This Row],[Total 2025]]</calculatedColumnFormula>
    </tableColumn>
    <tableColumn id="24" xr3:uid="{F69156B5-8FE9-4741-AD4F-E2DEC3F9266D}" name="Ejecución Recursos Obligados" dataDxfId="74" totalsRowDxfId="73">
      <calculatedColumnFormula>+Tabla13[[#This Row],[Total Recursos Obligados]]/Tabla13[[#This Row],[Total 2025]]</calculatedColumnFormula>
    </tableColumn>
    <tableColumn id="23" xr3:uid="{11707DB1-2F62-4001-8642-77EDC6B0BB79}" name="Ejecución Recursos Pagados" dataDxfId="72" totalsRowDxfId="71">
      <calculatedColumnFormula>+Tabla13[[#This Row],[Total Recursos Pagados]]/Tabla13[[#This Row],[Total 2025]]</calculatedColumnFormula>
    </tableColumn>
    <tableColumn id="18" xr3:uid="{7C1A376A-C8D3-48DA-B74B-7BF93944FBA4}" name="Total Recursos Gestionados2" dataDxfId="70" totalsRowDxfId="69"/>
    <tableColumn id="57" xr3:uid="{023CB536-FD33-4C4D-8239-2E92ACA08C68}" name="Nivel de Gestión" dataDxfId="68" totalsRowDxfId="67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F2A6130E-EEE4-4C28-93C8-6E1D0FBEF347}" name="Dependencia" dataDxfId="66" totalsRowDxfId="65"/>
    <tableColumn id="59" xr3:uid="{355C0061-E622-494A-BCFB-5A010E8246C4}" name="Responsable" dataDxfId="64" totalsRowDxfId="63"/>
    <tableColumn id="60" xr3:uid="{981EE7F1-F8C2-4542-90CB-A9A73F8F4730}" name="ODS" dataDxfId="62" totalsRowDxfId="61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7" totalsRowShown="0" headerRowDxfId="60" dataDxfId="58" headerRowBorderDxfId="59" tableBorderDxfId="57">
  <autoFilter ref="A10:BE17" xr:uid="{5AB9006B-8075-4463-ABA1-2AE1A422FFF2}"/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54" dataDxfId="22"/>
    <tableColumn id="62" xr3:uid="{7C7CEB6E-F374-4CFE-9734-C5F0F9CACDEF}" name="SGP Deporte 20255" dataDxfId="21"/>
    <tableColumn id="61" xr3:uid="{3FADCE38-626D-4D04-8E80-59C4EF4A26E2}" name="SGP Cultura 20256" dataDxfId="20"/>
    <tableColumn id="45" xr3:uid="{6E60DE39-5E5F-42D9-8EA9-092D48DC1C96}" name="SGP Libre inversión 20257" dataDxfId="19"/>
    <tableColumn id="43" xr3:uid="{2BAC0D89-AF4D-42C7-B398-E355E1723AC0}" name="SGP Libre destinación 20258" dataDxfId="18"/>
    <tableColumn id="42" xr3:uid="{26B92485-4124-4A13-AFC5-F2B525B9055F}" name="SGP Alimentación escolar 20259" dataDxfId="17"/>
    <tableColumn id="40" xr3:uid="{1BEDA122-5557-4D48-AF95-BCC1CDE51394}" name="SGP APSB 202511" dataDxfId="16"/>
    <tableColumn id="39" xr3:uid="{08579477-3F83-4D37-83BA-A19DF09AE01D}" name="Crédito 202512" dataDxfId="15"/>
    <tableColumn id="38" xr3:uid="{A6A070B1-2233-4449-B2F2-3342ACF65D94}" name="Transferencias de capital - cofinanciación departamento 202513" dataDxfId="14"/>
    <tableColumn id="37" xr3:uid="{81D561A4-3CB9-4C97-9B09-8163BD53EE55}" name="Transferencias de capital - cofinanciación nación 202514" dataDxfId="13"/>
    <tableColumn id="54" xr3:uid="{00000000-0010-0000-0000-000036000000}" name="Otros 202515" dataDxfId="12"/>
    <tableColumn id="10" xr3:uid="{6E2474FE-BE7F-4145-9A73-37EE37601765}" name="Recursos del Balance2" dataDxfId="11"/>
    <tableColumn id="55" xr3:uid="{00000000-0010-0000-0000-000037000000}" name="Total Recursos Comprometido 2025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69D5-C23A-4456-81A2-F7E5DBF4E7D7}">
  <sheetPr>
    <tabColor theme="8" tint="-0.249977111117893"/>
  </sheetPr>
  <dimension ref="A1:BK40"/>
  <sheetViews>
    <sheetView topLeftCell="G8" zoomScale="55" zoomScaleNormal="55" workbookViewId="0">
      <selection activeCell="AF10" sqref="AF10"/>
    </sheetView>
  </sheetViews>
  <sheetFormatPr baseColWidth="10" defaultColWidth="11.125" defaultRowHeight="15"/>
  <cols>
    <col min="1" max="1" width="24" style="4" customWidth="1"/>
    <col min="2" max="2" width="36.125" style="4" customWidth="1"/>
    <col min="3" max="3" width="20.125" style="4" customWidth="1"/>
    <col min="4" max="4" width="19.125" style="4" customWidth="1"/>
    <col min="5" max="5" width="25.875" style="4" customWidth="1"/>
    <col min="6" max="6" width="21.875" style="4" customWidth="1"/>
    <col min="7" max="7" width="33.875" style="4" customWidth="1"/>
    <col min="8" max="8" width="20.625" style="4" bestFit="1" customWidth="1"/>
    <col min="9" max="9" width="38" style="4" customWidth="1"/>
    <col min="10" max="10" width="26.125" style="4" customWidth="1"/>
    <col min="11" max="11" width="31.375" style="4" customWidth="1"/>
    <col min="12" max="12" width="34.125" style="4" hidden="1" customWidth="1"/>
    <col min="13" max="13" width="26.875" style="4" hidden="1" customWidth="1"/>
    <col min="14" max="14" width="28.875" style="4" hidden="1" customWidth="1"/>
    <col min="15" max="15" width="27.125" style="4" hidden="1" customWidth="1"/>
    <col min="16" max="16" width="25.625" style="4" customWidth="1"/>
    <col min="17" max="17" width="17.875" style="4" hidden="1" customWidth="1"/>
    <col min="18" max="20" width="18.125" style="4" hidden="1" customWidth="1"/>
    <col min="21" max="21" width="22.125" style="4" customWidth="1"/>
    <col min="22" max="22" width="20.375" style="4" hidden="1" customWidth="1"/>
    <col min="23" max="28" width="18.125" style="4" hidden="1" customWidth="1"/>
    <col min="29" max="29" width="0.125" style="4" customWidth="1"/>
    <col min="30" max="30" width="24.875" style="4" customWidth="1"/>
    <col min="31" max="31" width="23.875" style="4" customWidth="1"/>
    <col min="32" max="32" width="24.125" style="4" customWidth="1"/>
    <col min="33" max="33" width="24.125" style="84" customWidth="1"/>
    <col min="34" max="38" width="19" style="4" hidden="1" customWidth="1"/>
    <col min="39" max="39" width="21.875" style="4" customWidth="1"/>
    <col min="40" max="43" width="19" style="4" hidden="1" customWidth="1"/>
    <col min="44" max="44" width="26.875" style="4" hidden="1" customWidth="1"/>
    <col min="45" max="45" width="25.375" style="4" hidden="1" customWidth="1"/>
    <col min="46" max="46" width="19" style="4" hidden="1" customWidth="1"/>
    <col min="47" max="47" width="23.875" style="4" customWidth="1"/>
    <col min="48" max="48" width="23.5" style="4" customWidth="1"/>
    <col min="49" max="49" width="25.125" style="4" customWidth="1"/>
    <col min="50" max="50" width="22.875" style="84" customWidth="1"/>
    <col min="51" max="51" width="24.5" style="4" customWidth="1"/>
    <col min="52" max="52" width="24.125" style="84" customWidth="1"/>
    <col min="53" max="53" width="24.375" style="11" bestFit="1" customWidth="1"/>
    <col min="54" max="57" width="27.125" style="4" customWidth="1"/>
    <col min="58" max="58" width="25.875" style="4" customWidth="1"/>
    <col min="59" max="59" width="17.875" style="4" customWidth="1"/>
    <col min="60" max="60" width="19.875" style="31" customWidth="1"/>
    <col min="61" max="61" width="21.125" style="4" customWidth="1"/>
    <col min="62" max="62" width="22.875" style="1" bestFit="1" customWidth="1"/>
    <col min="63" max="63" width="33" style="1" bestFit="1" customWidth="1"/>
    <col min="64" max="64" width="28.875" style="1" bestFit="1" customWidth="1"/>
    <col min="65" max="65" width="58.125" style="1" bestFit="1" customWidth="1"/>
    <col min="66" max="66" width="26" style="1" bestFit="1" customWidth="1"/>
    <col min="67" max="67" width="24.125" style="1" bestFit="1" customWidth="1"/>
    <col min="68" max="68" width="35.125" style="1" bestFit="1" customWidth="1"/>
    <col min="69" max="69" width="30.125" style="1" bestFit="1" customWidth="1"/>
    <col min="70" max="70" width="31.125" style="1" bestFit="1" customWidth="1"/>
    <col min="71" max="71" width="38" style="1" bestFit="1" customWidth="1"/>
    <col min="72" max="72" width="40.125" style="1" bestFit="1" customWidth="1"/>
    <col min="73" max="73" width="43.125" style="1" bestFit="1" customWidth="1"/>
    <col min="74" max="74" width="48.875" style="1" bestFit="1" customWidth="1"/>
    <col min="75" max="75" width="39.125" style="1" bestFit="1" customWidth="1"/>
    <col min="76" max="76" width="26.875" style="1" bestFit="1" customWidth="1"/>
    <col min="77" max="77" width="47" style="1" bestFit="1" customWidth="1"/>
    <col min="78" max="78" width="40" style="1" bestFit="1" customWidth="1"/>
    <col min="79" max="79" width="83.875" style="1" bestFit="1" customWidth="1"/>
    <col min="80" max="80" width="21.125" style="1" bestFit="1" customWidth="1"/>
    <col min="81" max="81" width="31.125" style="1" bestFit="1" customWidth="1"/>
    <col min="82" max="82" width="27.125" style="1" bestFit="1" customWidth="1"/>
    <col min="83" max="83" width="56.875" style="1" bestFit="1" customWidth="1"/>
    <col min="84" max="84" width="24.125" style="1" bestFit="1" customWidth="1"/>
    <col min="85" max="85" width="22.875" style="1" bestFit="1" customWidth="1"/>
    <col min="86" max="86" width="33.875" style="1" bestFit="1" customWidth="1"/>
    <col min="87" max="87" width="29" style="1" bestFit="1" customWidth="1"/>
    <col min="88" max="88" width="29.875" style="1" bestFit="1" customWidth="1"/>
    <col min="89" max="89" width="36.125" style="1" bestFit="1" customWidth="1"/>
    <col min="90" max="90" width="38.875" style="1" bestFit="1" customWidth="1"/>
    <col min="91" max="91" width="42" style="1" bestFit="1" customWidth="1"/>
    <col min="92" max="92" width="47.125" style="1" bestFit="1" customWidth="1"/>
    <col min="93" max="93" width="37.875" style="1" bestFit="1" customWidth="1"/>
    <col min="94" max="94" width="25.125" style="1" bestFit="1" customWidth="1"/>
    <col min="95" max="95" width="45.125" style="1" bestFit="1" customWidth="1"/>
    <col min="96" max="96" width="38.125" style="1" bestFit="1" customWidth="1"/>
    <col min="97" max="97" width="82.125" style="1" bestFit="1" customWidth="1"/>
    <col min="98" max="98" width="22" style="1" bestFit="1" customWidth="1"/>
    <col min="99" max="99" width="32.125" style="1" bestFit="1" customWidth="1"/>
    <col min="100" max="100" width="28" style="1" bestFit="1" customWidth="1"/>
    <col min="101" max="101" width="57.125" style="1" bestFit="1" customWidth="1"/>
    <col min="102" max="102" width="25.125" style="1" bestFit="1" customWidth="1"/>
    <col min="103" max="103" width="23.125" style="1" bestFit="1" customWidth="1"/>
    <col min="104" max="104" width="34.125" style="1" bestFit="1" customWidth="1"/>
    <col min="105" max="105" width="29.125" style="1" bestFit="1" customWidth="1"/>
    <col min="106" max="106" width="30.125" style="1" bestFit="1" customWidth="1"/>
    <col min="107" max="107" width="37.125" style="1" bestFit="1" customWidth="1"/>
    <col min="108" max="108" width="39.125" style="1" bestFit="1" customWidth="1"/>
    <col min="109" max="109" width="42.125" style="1" bestFit="1" customWidth="1"/>
    <col min="110" max="110" width="48" style="1" bestFit="1" customWidth="1"/>
    <col min="111" max="111" width="38.125" style="1" bestFit="1" customWidth="1"/>
    <col min="112" max="112" width="25.875" style="1" bestFit="1" customWidth="1"/>
    <col min="113" max="113" width="46" style="1" bestFit="1" customWidth="1"/>
    <col min="114" max="114" width="39.125" style="1" bestFit="1" customWidth="1"/>
    <col min="115" max="115" width="82.875" style="1" bestFit="1" customWidth="1"/>
    <col min="116" max="116" width="20" style="1" bestFit="1" customWidth="1"/>
    <col min="117" max="117" width="30.125" style="1" bestFit="1" customWidth="1"/>
    <col min="118" max="118" width="26" style="1" bestFit="1" customWidth="1"/>
    <col min="119" max="119" width="55.125" style="1" bestFit="1" customWidth="1"/>
    <col min="120" max="120" width="23.125" style="1" bestFit="1" customWidth="1"/>
    <col min="121" max="121" width="21.125" style="1" bestFit="1" customWidth="1"/>
    <col min="122" max="122" width="32.125" style="1" bestFit="1" customWidth="1"/>
    <col min="123" max="123" width="27.875" style="1" bestFit="1" customWidth="1"/>
    <col min="124" max="124" width="28.125" style="1" bestFit="1" customWidth="1"/>
    <col min="125" max="125" width="35.125" style="1" bestFit="1" customWidth="1"/>
    <col min="126" max="126" width="37.125" style="1" bestFit="1" customWidth="1"/>
    <col min="127" max="127" width="40.125" style="1" bestFit="1" customWidth="1"/>
    <col min="128" max="128" width="46" style="1" bestFit="1" customWidth="1"/>
    <col min="129" max="129" width="36.125" style="1" bestFit="1" customWidth="1"/>
    <col min="130" max="130" width="24" style="1" bestFit="1" customWidth="1"/>
    <col min="131" max="131" width="44.125" style="1" bestFit="1" customWidth="1"/>
    <col min="132" max="132" width="37.125" style="1" bestFit="1" customWidth="1"/>
    <col min="133" max="133" width="80.875" style="1" bestFit="1" customWidth="1"/>
    <col min="134" max="134" width="37.125" style="1" bestFit="1" customWidth="1"/>
    <col min="135" max="135" width="22.875" style="1" bestFit="1" customWidth="1"/>
    <col min="136" max="136" width="33" style="1" bestFit="1" customWidth="1"/>
    <col min="137" max="137" width="28.875" style="1" bestFit="1" customWidth="1"/>
    <col min="138" max="138" width="58.125" style="1" bestFit="1" customWidth="1"/>
    <col min="139" max="139" width="26" style="1" bestFit="1" customWidth="1"/>
    <col min="140" max="140" width="24.125" style="1" bestFit="1" customWidth="1"/>
    <col min="141" max="141" width="35.125" style="1" bestFit="1" customWidth="1"/>
    <col min="142" max="142" width="30.125" style="1" bestFit="1" customWidth="1"/>
    <col min="143" max="143" width="31.125" style="1" bestFit="1" customWidth="1"/>
    <col min="144" max="144" width="38" style="1" bestFit="1" customWidth="1"/>
    <col min="145" max="145" width="40.125" style="1" bestFit="1" customWidth="1"/>
    <col min="146" max="146" width="43.125" style="1" bestFit="1" customWidth="1"/>
    <col min="147" max="147" width="48.875" style="1" bestFit="1" customWidth="1"/>
    <col min="148" max="148" width="39.125" style="1" bestFit="1" customWidth="1"/>
    <col min="149" max="149" width="26.875" style="1" bestFit="1" customWidth="1"/>
    <col min="150" max="150" width="47" style="1" bestFit="1" customWidth="1"/>
    <col min="151" max="151" width="40" style="1" bestFit="1" customWidth="1"/>
    <col min="152" max="152" width="83.875" style="1" bestFit="1" customWidth="1"/>
    <col min="153" max="153" width="21.125" style="1" bestFit="1" customWidth="1"/>
    <col min="154" max="154" width="31.125" style="1" bestFit="1" customWidth="1"/>
    <col min="155" max="155" width="27.125" style="1" bestFit="1" customWidth="1"/>
    <col min="156" max="156" width="56.875" style="1" bestFit="1" customWidth="1"/>
    <col min="157" max="157" width="24.125" style="1" bestFit="1" customWidth="1"/>
    <col min="158" max="158" width="22.875" style="1" bestFit="1" customWidth="1"/>
    <col min="159" max="159" width="33.875" style="1" bestFit="1" customWidth="1"/>
    <col min="160" max="160" width="29" style="1" bestFit="1" customWidth="1"/>
    <col min="161" max="161" width="29.875" style="1" bestFit="1" customWidth="1"/>
    <col min="162" max="162" width="36.125" style="1" bestFit="1" customWidth="1"/>
    <col min="163" max="163" width="38.875" style="1" bestFit="1" customWidth="1"/>
    <col min="164" max="164" width="42" style="1" bestFit="1" customWidth="1"/>
    <col min="165" max="165" width="47.125" style="1" bestFit="1" customWidth="1"/>
    <col min="166" max="166" width="37.875" style="1" bestFit="1" customWidth="1"/>
    <col min="167" max="167" width="25.125" style="1" bestFit="1" customWidth="1"/>
    <col min="168" max="168" width="45.125" style="1" bestFit="1" customWidth="1"/>
    <col min="169" max="169" width="38.125" style="1" bestFit="1" customWidth="1"/>
    <col min="170" max="170" width="82.125" style="1" bestFit="1" customWidth="1"/>
    <col min="171" max="171" width="22" style="1" bestFit="1" customWidth="1"/>
    <col min="172" max="172" width="32.125" style="1" bestFit="1" customWidth="1"/>
    <col min="173" max="173" width="28" style="1" bestFit="1" customWidth="1"/>
    <col min="174" max="174" width="57.125" style="1" bestFit="1" customWidth="1"/>
    <col min="175" max="175" width="25.125" style="1" bestFit="1" customWidth="1"/>
    <col min="176" max="176" width="23.125" style="1" bestFit="1" customWidth="1"/>
    <col min="177" max="177" width="34.125" style="1" bestFit="1" customWidth="1"/>
    <col min="178" max="178" width="29.125" style="1" bestFit="1" customWidth="1"/>
    <col min="179" max="179" width="30.125" style="1" bestFit="1" customWidth="1"/>
    <col min="180" max="180" width="37.125" style="1" bestFit="1" customWidth="1"/>
    <col min="181" max="181" width="39.125" style="1" bestFit="1" customWidth="1"/>
    <col min="182" max="182" width="42.125" style="1" bestFit="1" customWidth="1"/>
    <col min="183" max="183" width="48" style="1" bestFit="1" customWidth="1"/>
    <col min="184" max="184" width="38.125" style="1" bestFit="1" customWidth="1"/>
    <col min="185" max="185" width="25.875" style="1" bestFit="1" customWidth="1"/>
    <col min="186" max="186" width="46" style="1" bestFit="1" customWidth="1"/>
    <col min="187" max="187" width="39.125" style="1" bestFit="1" customWidth="1"/>
    <col min="188" max="188" width="82.875" style="1" bestFit="1" customWidth="1"/>
    <col min="189" max="189" width="20" style="1" bestFit="1" customWidth="1"/>
    <col min="190" max="190" width="30.125" style="1" bestFit="1" customWidth="1"/>
    <col min="191" max="191" width="26" style="1" bestFit="1" customWidth="1"/>
    <col min="192" max="192" width="55.125" style="1" bestFit="1" customWidth="1"/>
    <col min="193" max="193" width="23.125" style="1" bestFit="1" customWidth="1"/>
    <col min="194" max="194" width="21.125" style="1" bestFit="1" customWidth="1"/>
    <col min="195" max="195" width="32.125" style="1" bestFit="1" customWidth="1"/>
    <col min="196" max="196" width="27.875" style="1" bestFit="1" customWidth="1"/>
    <col min="197" max="197" width="28.125" style="1" bestFit="1" customWidth="1"/>
    <col min="198" max="198" width="35.125" style="1" bestFit="1" customWidth="1"/>
    <col min="199" max="199" width="37.125" style="1" bestFit="1" customWidth="1"/>
    <col min="200" max="200" width="40.125" style="1" bestFit="1" customWidth="1"/>
    <col min="201" max="201" width="46" style="1" bestFit="1" customWidth="1"/>
    <col min="202" max="202" width="36.125" style="1" bestFit="1" customWidth="1"/>
    <col min="203" max="203" width="24" style="1" bestFit="1" customWidth="1"/>
    <col min="204" max="204" width="44.125" style="1" bestFit="1" customWidth="1"/>
    <col min="205" max="205" width="37.125" style="1" bestFit="1" customWidth="1"/>
    <col min="206" max="206" width="80.875" style="1" bestFit="1" customWidth="1"/>
    <col min="207" max="207" width="37.125" style="1" bestFit="1" customWidth="1"/>
    <col min="208" max="208" width="22.875" style="1" bestFit="1" customWidth="1"/>
    <col min="209" max="209" width="33" style="1" bestFit="1" customWidth="1"/>
    <col min="210" max="210" width="28.875" style="1" bestFit="1" customWidth="1"/>
    <col min="211" max="211" width="58.125" style="1" bestFit="1" customWidth="1"/>
    <col min="212" max="212" width="26" style="1" bestFit="1" customWidth="1"/>
    <col min="213" max="213" width="24.125" style="1" bestFit="1" customWidth="1"/>
    <col min="214" max="214" width="35.125" style="1" bestFit="1" customWidth="1"/>
    <col min="215" max="215" width="30.125" style="1" bestFit="1" customWidth="1"/>
    <col min="216" max="216" width="31.125" style="1" bestFit="1" customWidth="1"/>
    <col min="217" max="217" width="38" style="1" bestFit="1" customWidth="1"/>
    <col min="218" max="218" width="40.125" style="1" bestFit="1" customWidth="1"/>
    <col min="219" max="219" width="43.125" style="1" bestFit="1" customWidth="1"/>
    <col min="220" max="220" width="48.875" style="1" bestFit="1" customWidth="1"/>
    <col min="221" max="221" width="39.125" style="1" bestFit="1" customWidth="1"/>
    <col min="222" max="222" width="26.875" style="1" bestFit="1" customWidth="1"/>
    <col min="223" max="223" width="47" style="1" bestFit="1" customWidth="1"/>
    <col min="224" max="224" width="40" style="1" bestFit="1" customWidth="1"/>
    <col min="225" max="225" width="83.875" style="1" bestFit="1" customWidth="1"/>
    <col min="226" max="226" width="21.125" style="1" bestFit="1" customWidth="1"/>
    <col min="227" max="227" width="31.125" style="1" bestFit="1" customWidth="1"/>
    <col min="228" max="228" width="27.125" style="1" bestFit="1" customWidth="1"/>
    <col min="229" max="229" width="56.875" style="1" bestFit="1" customWidth="1"/>
    <col min="230" max="230" width="24.125" style="1" bestFit="1" customWidth="1"/>
    <col min="231" max="231" width="22.875" style="1" bestFit="1" customWidth="1"/>
    <col min="232" max="232" width="33.875" style="1" bestFit="1" customWidth="1"/>
    <col min="233" max="233" width="29" style="1" bestFit="1" customWidth="1"/>
    <col min="234" max="234" width="29.875" style="1" bestFit="1" customWidth="1"/>
    <col min="235" max="235" width="36.125" style="1" bestFit="1" customWidth="1"/>
    <col min="236" max="236" width="38.875" style="1" bestFit="1" customWidth="1"/>
    <col min="237" max="237" width="42" style="1" bestFit="1" customWidth="1"/>
    <col min="238" max="238" width="47.125" style="1" bestFit="1" customWidth="1"/>
    <col min="239" max="239" width="37.875" style="1" bestFit="1" customWidth="1"/>
    <col min="240" max="240" width="25.125" style="1" bestFit="1" customWidth="1"/>
    <col min="241" max="241" width="45.125" style="1" bestFit="1" customWidth="1"/>
    <col min="242" max="242" width="38.125" style="1" bestFit="1" customWidth="1"/>
    <col min="243" max="243" width="82.125" style="1" bestFit="1" customWidth="1"/>
    <col min="244" max="244" width="22" style="1" bestFit="1" customWidth="1"/>
    <col min="245" max="245" width="32.125" style="1" bestFit="1" customWidth="1"/>
    <col min="246" max="246" width="28" style="1" bestFit="1" customWidth="1"/>
    <col min="247" max="247" width="57.125" style="1" bestFit="1" customWidth="1"/>
    <col min="248" max="248" width="25.125" style="1" bestFit="1" customWidth="1"/>
    <col min="249" max="249" width="23.125" style="1" bestFit="1" customWidth="1"/>
    <col min="250" max="250" width="34.125" style="1" bestFit="1" customWidth="1"/>
    <col min="251" max="251" width="29.125" style="1" bestFit="1" customWidth="1"/>
    <col min="252" max="252" width="30.125" style="1" bestFit="1" customWidth="1"/>
    <col min="253" max="253" width="37.125" style="1" bestFit="1" customWidth="1"/>
    <col min="254" max="254" width="39.125" style="1" bestFit="1" customWidth="1"/>
    <col min="255" max="255" width="42.125" style="1" bestFit="1" customWidth="1"/>
    <col min="256" max="256" width="48" style="1" bestFit="1" customWidth="1"/>
    <col min="257" max="257" width="38.125" style="1" bestFit="1" customWidth="1"/>
    <col min="258" max="258" width="25.875" style="1" bestFit="1" customWidth="1"/>
    <col min="259" max="259" width="46" style="1" bestFit="1" customWidth="1"/>
    <col min="260" max="260" width="39.125" style="1" bestFit="1" customWidth="1"/>
    <col min="261" max="261" width="82.875" style="1" bestFit="1" customWidth="1"/>
    <col min="262" max="262" width="20" style="1" bestFit="1" customWidth="1"/>
    <col min="263" max="263" width="30.125" style="1" bestFit="1" customWidth="1"/>
    <col min="264" max="264" width="26" style="1" bestFit="1" customWidth="1"/>
    <col min="265" max="265" width="55.125" style="1" bestFit="1" customWidth="1"/>
    <col min="266" max="266" width="23.125" style="1" bestFit="1" customWidth="1"/>
    <col min="267" max="267" width="21.125" style="1" bestFit="1" customWidth="1"/>
    <col min="268" max="268" width="32.125" style="1" bestFit="1" customWidth="1"/>
    <col min="269" max="269" width="27.875" style="1" bestFit="1" customWidth="1"/>
    <col min="270" max="270" width="28.125" style="1" bestFit="1" customWidth="1"/>
    <col min="271" max="271" width="35.125" style="1" bestFit="1" customWidth="1"/>
    <col min="272" max="272" width="37.125" style="1" bestFit="1" customWidth="1"/>
    <col min="273" max="273" width="40.125" style="1" bestFit="1" customWidth="1"/>
    <col min="274" max="274" width="46" style="1" bestFit="1" customWidth="1"/>
    <col min="275" max="275" width="36.125" style="1" bestFit="1" customWidth="1"/>
    <col min="276" max="276" width="24" style="1" bestFit="1" customWidth="1"/>
    <col min="277" max="277" width="44.125" style="1" bestFit="1" customWidth="1"/>
    <col min="278" max="278" width="37.125" style="1" bestFit="1" customWidth="1"/>
    <col min="279" max="279" width="80.875" style="1" bestFit="1" customWidth="1"/>
    <col min="280" max="280" width="37.125" style="1" bestFit="1" customWidth="1"/>
    <col min="281" max="281" width="22.875" style="1" bestFit="1" customWidth="1"/>
    <col min="282" max="282" width="33" style="1" bestFit="1" customWidth="1"/>
    <col min="283" max="283" width="28.875" style="1" bestFit="1" customWidth="1"/>
    <col min="284" max="284" width="58.125" style="1" bestFit="1" customWidth="1"/>
    <col min="285" max="285" width="26" style="1" bestFit="1" customWidth="1"/>
    <col min="286" max="286" width="24.125" style="1" bestFit="1" customWidth="1"/>
    <col min="287" max="287" width="35.125" style="1" bestFit="1" customWidth="1"/>
    <col min="288" max="288" width="30.125" style="1" bestFit="1" customWidth="1"/>
    <col min="289" max="289" width="31.125" style="1" bestFit="1" customWidth="1"/>
    <col min="290" max="290" width="38" style="1" bestFit="1" customWidth="1"/>
    <col min="291" max="291" width="40.125" style="1" bestFit="1" customWidth="1"/>
    <col min="292" max="292" width="43.125" style="1" bestFit="1" customWidth="1"/>
    <col min="293" max="293" width="48.875" style="1" bestFit="1" customWidth="1"/>
    <col min="294" max="294" width="39.125" style="1" bestFit="1" customWidth="1"/>
    <col min="295" max="295" width="26.875" style="1" bestFit="1" customWidth="1"/>
    <col min="296" max="296" width="47" style="1" bestFit="1" customWidth="1"/>
    <col min="297" max="297" width="40" style="1" bestFit="1" customWidth="1"/>
    <col min="298" max="298" width="83.875" style="1" bestFit="1" customWidth="1"/>
    <col min="299" max="299" width="21.125" style="1" bestFit="1" customWidth="1"/>
    <col min="300" max="300" width="31.125" style="1" bestFit="1" customWidth="1"/>
    <col min="301" max="301" width="27.125" style="1" bestFit="1" customWidth="1"/>
    <col min="302" max="302" width="56.875" style="1" bestFit="1" customWidth="1"/>
    <col min="303" max="303" width="24.125" style="1" bestFit="1" customWidth="1"/>
    <col min="304" max="304" width="22.875" style="1" bestFit="1" customWidth="1"/>
    <col min="305" max="305" width="33.875" style="1" bestFit="1" customWidth="1"/>
    <col min="306" max="306" width="29" style="1" bestFit="1" customWidth="1"/>
    <col min="307" max="307" width="29.875" style="1" bestFit="1" customWidth="1"/>
    <col min="308" max="308" width="36.125" style="1" bestFit="1" customWidth="1"/>
    <col min="309" max="309" width="38.875" style="1" bestFit="1" customWidth="1"/>
    <col min="310" max="310" width="42" style="1" bestFit="1" customWidth="1"/>
    <col min="311" max="311" width="47.125" style="1" bestFit="1" customWidth="1"/>
    <col min="312" max="312" width="37.875" style="1" bestFit="1" customWidth="1"/>
    <col min="313" max="313" width="25.125" style="1" bestFit="1" customWidth="1"/>
    <col min="314" max="314" width="45.125" style="1" bestFit="1" customWidth="1"/>
    <col min="315" max="315" width="38.125" style="1" bestFit="1" customWidth="1"/>
    <col min="316" max="316" width="82.125" style="1" bestFit="1" customWidth="1"/>
    <col min="317" max="317" width="22" style="1" bestFit="1" customWidth="1"/>
    <col min="318" max="318" width="32.125" style="1" bestFit="1" customWidth="1"/>
    <col min="319" max="319" width="28" style="1" bestFit="1" customWidth="1"/>
    <col min="320" max="320" width="57.125" style="1" bestFit="1" customWidth="1"/>
    <col min="321" max="321" width="25.125" style="1" bestFit="1" customWidth="1"/>
    <col min="322" max="322" width="23.125" style="1" bestFit="1" customWidth="1"/>
    <col min="323" max="323" width="34.125" style="1" bestFit="1" customWidth="1"/>
    <col min="324" max="324" width="29.125" style="1" bestFit="1" customWidth="1"/>
    <col min="325" max="325" width="30.125" style="1" bestFit="1" customWidth="1"/>
    <col min="326" max="326" width="37.125" style="1" bestFit="1" customWidth="1"/>
    <col min="327" max="327" width="39.125" style="1" bestFit="1" customWidth="1"/>
    <col min="328" max="328" width="42.125" style="1" bestFit="1" customWidth="1"/>
    <col min="329" max="329" width="48" style="1" bestFit="1" customWidth="1"/>
    <col min="330" max="330" width="38.125" style="1" bestFit="1" customWidth="1"/>
    <col min="331" max="331" width="25.875" style="1" bestFit="1" customWidth="1"/>
    <col min="332" max="332" width="46" style="1" bestFit="1" customWidth="1"/>
    <col min="333" max="333" width="39.125" style="1" bestFit="1" customWidth="1"/>
    <col min="334" max="334" width="82.875" style="1" bestFit="1" customWidth="1"/>
    <col min="335" max="335" width="20" style="1" bestFit="1" customWidth="1"/>
    <col min="336" max="336" width="30.125" style="1" bestFit="1" customWidth="1"/>
    <col min="337" max="337" width="26" style="1" bestFit="1" customWidth="1"/>
    <col min="338" max="338" width="55.125" style="1" bestFit="1" customWidth="1"/>
    <col min="339" max="339" width="23.125" style="1" bestFit="1" customWidth="1"/>
    <col min="340" max="340" width="21.125" style="1" bestFit="1" customWidth="1"/>
    <col min="341" max="341" width="32.125" style="1" bestFit="1" customWidth="1"/>
    <col min="342" max="342" width="27.875" style="1" bestFit="1" customWidth="1"/>
    <col min="343" max="343" width="28.125" style="1" bestFit="1" customWidth="1"/>
    <col min="344" max="344" width="35.125" style="1" bestFit="1" customWidth="1"/>
    <col min="345" max="345" width="37.125" style="1" bestFit="1" customWidth="1"/>
    <col min="346" max="346" width="40.125" style="1" bestFit="1" customWidth="1"/>
    <col min="347" max="347" width="46" style="1" bestFit="1" customWidth="1"/>
    <col min="348" max="348" width="36.125" style="1" bestFit="1" customWidth="1"/>
    <col min="349" max="349" width="24" style="1" bestFit="1" customWidth="1"/>
    <col min="350" max="350" width="44.125" style="1" bestFit="1" customWidth="1"/>
    <col min="351" max="351" width="37.125" style="1" bestFit="1" customWidth="1"/>
    <col min="352" max="352" width="80.875" style="1" bestFit="1" customWidth="1"/>
    <col min="353" max="353" width="37.125" style="1" bestFit="1" customWidth="1"/>
    <col min="354" max="16384" width="11.125" style="1"/>
  </cols>
  <sheetData>
    <row r="1" spans="1:63" ht="30" hidden="1" customHeight="1" thickTop="1">
      <c r="A1" s="358"/>
      <c r="B1" s="359"/>
      <c r="C1" s="364" t="s">
        <v>31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6"/>
      <c r="BG1" s="373" t="s">
        <v>32</v>
      </c>
      <c r="BH1" s="374"/>
      <c r="BI1" s="375"/>
    </row>
    <row r="2" spans="1:63" ht="30" hidden="1" customHeight="1">
      <c r="A2" s="360"/>
      <c r="B2" s="361"/>
      <c r="C2" s="367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9"/>
      <c r="BG2" s="376" t="s">
        <v>137</v>
      </c>
      <c r="BH2" s="377"/>
      <c r="BI2" s="378"/>
    </row>
    <row r="3" spans="1:63" ht="30" hidden="1" customHeight="1">
      <c r="A3" s="360"/>
      <c r="B3" s="361"/>
      <c r="C3" s="367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9"/>
      <c r="BG3" s="376" t="s">
        <v>138</v>
      </c>
      <c r="BH3" s="377"/>
      <c r="BI3" s="378"/>
    </row>
    <row r="4" spans="1:63" ht="30" hidden="1" customHeight="1" thickBot="1">
      <c r="A4" s="362"/>
      <c r="B4" s="363"/>
      <c r="C4" s="370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2"/>
      <c r="BG4" s="379" t="s">
        <v>139</v>
      </c>
      <c r="BH4" s="380"/>
      <c r="BI4" s="381"/>
    </row>
    <row r="5" spans="1:63" ht="23.25" hidden="1" customHeight="1" thickTop="1">
      <c r="BI5" s="11"/>
    </row>
    <row r="6" spans="1:63" ht="28.5" hidden="1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85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85"/>
      <c r="AY6" s="6"/>
      <c r="AZ6" s="85"/>
      <c r="BA6" s="86"/>
      <c r="BB6" s="6"/>
      <c r="BC6" s="6"/>
      <c r="BD6" s="6"/>
      <c r="BE6" s="6"/>
      <c r="BF6" s="6"/>
      <c r="BG6" s="12"/>
      <c r="BH6" s="32"/>
      <c r="BI6" s="13"/>
    </row>
    <row r="7" spans="1:63" ht="37.15" hidden="1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85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85"/>
      <c r="AY7" s="6"/>
      <c r="AZ7" s="85"/>
      <c r="BA7" s="86"/>
      <c r="BB7" s="6"/>
      <c r="BC7" s="6"/>
      <c r="BD7" s="6"/>
      <c r="BE7" s="6"/>
      <c r="BF7" s="6"/>
      <c r="BG7" s="12"/>
      <c r="BH7" s="32"/>
      <c r="BI7" s="13"/>
    </row>
    <row r="8" spans="1:63" ht="18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85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85"/>
      <c r="AY8" s="6"/>
      <c r="AZ8" s="85"/>
      <c r="BA8" s="86"/>
      <c r="BB8" s="6"/>
      <c r="BC8" s="6"/>
      <c r="BD8" s="6"/>
      <c r="BE8" s="6"/>
      <c r="BF8" s="6"/>
      <c r="BG8" s="12"/>
      <c r="BH8" s="32"/>
      <c r="BI8" s="13"/>
    </row>
    <row r="9" spans="1:63" s="2" customFormat="1" ht="37.9" customHeight="1" thickBot="1">
      <c r="A9" s="350" t="s">
        <v>27</v>
      </c>
      <c r="B9" s="350"/>
      <c r="C9" s="350"/>
      <c r="D9" s="350"/>
      <c r="E9" s="350"/>
      <c r="F9" s="350"/>
      <c r="G9" s="350"/>
      <c r="H9" s="351" t="s">
        <v>25</v>
      </c>
      <c r="I9" s="352"/>
      <c r="J9" s="352"/>
      <c r="K9" s="352"/>
      <c r="L9" s="352"/>
      <c r="M9" s="352"/>
      <c r="N9" s="352"/>
      <c r="O9" s="353"/>
      <c r="P9" s="354" t="s">
        <v>24</v>
      </c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6"/>
      <c r="AE9" s="356"/>
      <c r="AF9" s="357"/>
      <c r="AG9" s="351" t="s">
        <v>23</v>
      </c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1" t="s">
        <v>69</v>
      </c>
      <c r="BC9" s="352"/>
      <c r="BD9" s="353"/>
      <c r="BE9" s="352" t="s">
        <v>71</v>
      </c>
      <c r="BF9" s="352"/>
      <c r="BG9" s="348" t="s">
        <v>22</v>
      </c>
      <c r="BH9" s="349"/>
      <c r="BI9" s="14"/>
    </row>
    <row r="10" spans="1:63" s="2" customFormat="1" ht="57" customHeight="1" thickBot="1">
      <c r="A10" s="46" t="s">
        <v>20</v>
      </c>
      <c r="B10" s="46" t="s">
        <v>19</v>
      </c>
      <c r="C10" s="46" t="s">
        <v>18</v>
      </c>
      <c r="D10" s="46" t="s">
        <v>17</v>
      </c>
      <c r="E10" s="46" t="s">
        <v>16</v>
      </c>
      <c r="F10" s="46" t="s">
        <v>15</v>
      </c>
      <c r="G10" s="46" t="s">
        <v>14</v>
      </c>
      <c r="H10" s="46" t="s">
        <v>34</v>
      </c>
      <c r="I10" s="46" t="s">
        <v>8</v>
      </c>
      <c r="J10" s="46" t="s">
        <v>7</v>
      </c>
      <c r="K10" s="46" t="s">
        <v>6</v>
      </c>
      <c r="L10" s="46" t="s">
        <v>5</v>
      </c>
      <c r="M10" s="46" t="s">
        <v>4</v>
      </c>
      <c r="N10" s="46" t="s">
        <v>3</v>
      </c>
      <c r="O10" s="61" t="s">
        <v>2</v>
      </c>
      <c r="P10" s="46" t="s">
        <v>141</v>
      </c>
      <c r="Q10" s="46" t="s">
        <v>37</v>
      </c>
      <c r="R10" s="46" t="s">
        <v>38</v>
      </c>
      <c r="S10" s="46" t="s">
        <v>39</v>
      </c>
      <c r="T10" s="46" t="s">
        <v>40</v>
      </c>
      <c r="U10" s="46" t="s">
        <v>41</v>
      </c>
      <c r="V10" s="46" t="s">
        <v>42</v>
      </c>
      <c r="W10" s="46" t="s">
        <v>43</v>
      </c>
      <c r="X10" s="46" t="s">
        <v>44</v>
      </c>
      <c r="Y10" s="46" t="s">
        <v>45</v>
      </c>
      <c r="Z10" s="46" t="s">
        <v>46</v>
      </c>
      <c r="AA10" s="46" t="s">
        <v>47</v>
      </c>
      <c r="AB10" s="46" t="s">
        <v>48</v>
      </c>
      <c r="AC10" s="46" t="s">
        <v>49</v>
      </c>
      <c r="AD10" s="87" t="s">
        <v>142</v>
      </c>
      <c r="AE10" s="46" t="s">
        <v>88</v>
      </c>
      <c r="AF10" s="62" t="s">
        <v>160</v>
      </c>
      <c r="AG10" s="46" t="s">
        <v>50</v>
      </c>
      <c r="AH10" s="46" t="s">
        <v>51</v>
      </c>
      <c r="AI10" s="46" t="s">
        <v>52</v>
      </c>
      <c r="AJ10" s="46" t="s">
        <v>53</v>
      </c>
      <c r="AK10" s="46" t="s">
        <v>54</v>
      </c>
      <c r="AL10" s="46" t="s">
        <v>55</v>
      </c>
      <c r="AM10" s="46" t="s">
        <v>56</v>
      </c>
      <c r="AN10" s="46" t="s">
        <v>57</v>
      </c>
      <c r="AO10" s="46" t="s">
        <v>58</v>
      </c>
      <c r="AP10" s="46" t="s">
        <v>59</v>
      </c>
      <c r="AQ10" s="46" t="s">
        <v>60</v>
      </c>
      <c r="AR10" s="46" t="s">
        <v>61</v>
      </c>
      <c r="AS10" s="46" t="s">
        <v>62</v>
      </c>
      <c r="AT10" s="46" t="s">
        <v>63</v>
      </c>
      <c r="AU10" s="87" t="s">
        <v>143</v>
      </c>
      <c r="AV10" s="46" t="s">
        <v>89</v>
      </c>
      <c r="AW10" s="62" t="s">
        <v>161</v>
      </c>
      <c r="AX10" s="87" t="s">
        <v>144</v>
      </c>
      <c r="AY10" s="62" t="s">
        <v>35</v>
      </c>
      <c r="AZ10" s="88" t="s">
        <v>145</v>
      </c>
      <c r="BA10" s="46" t="s">
        <v>36</v>
      </c>
      <c r="BB10" s="50" t="s">
        <v>68</v>
      </c>
      <c r="BC10" s="46" t="s">
        <v>66</v>
      </c>
      <c r="BD10" s="46" t="s">
        <v>65</v>
      </c>
      <c r="BE10" s="50" t="s">
        <v>70</v>
      </c>
      <c r="BF10" s="62" t="s">
        <v>67</v>
      </c>
      <c r="BG10" s="46" t="s">
        <v>1</v>
      </c>
      <c r="BH10" s="46" t="s">
        <v>0</v>
      </c>
      <c r="BI10" s="48" t="s">
        <v>21</v>
      </c>
    </row>
    <row r="11" spans="1:63" s="210" customFormat="1" ht="122.45" customHeight="1" thickBot="1">
      <c r="A11" s="186">
        <v>26</v>
      </c>
      <c r="B11" s="187" t="s">
        <v>90</v>
      </c>
      <c r="C11" s="187" t="s">
        <v>91</v>
      </c>
      <c r="D11" s="187" t="s">
        <v>92</v>
      </c>
      <c r="E11" s="187" t="s">
        <v>93</v>
      </c>
      <c r="F11" s="187" t="s">
        <v>94</v>
      </c>
      <c r="G11" s="188" t="s">
        <v>95</v>
      </c>
      <c r="H11" s="189">
        <v>2024680010231</v>
      </c>
      <c r="I11" s="190" t="s">
        <v>106</v>
      </c>
      <c r="J11" s="191">
        <v>3794105753.2800002</v>
      </c>
      <c r="K11" s="192">
        <v>1240974079</v>
      </c>
      <c r="L11" s="187"/>
      <c r="M11" s="190" t="s">
        <v>107</v>
      </c>
      <c r="N11" s="193"/>
      <c r="O11" s="194"/>
      <c r="P11" s="195">
        <v>400000000</v>
      </c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>
        <v>840974079</v>
      </c>
      <c r="AF11" s="197">
        <f>SUM(Tabla13[[#This Row],[Recursos propios 2025]:[Recursos del Balance]])-Tabla13[[#This Row],[Reservas 2025]]</f>
        <v>1240974079</v>
      </c>
      <c r="AG11" s="198">
        <v>0</v>
      </c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9">
        <f>SUM(Tabla13[[#This Row],[Recursos propios 20242]:[Recursos del Balance2]])-Tabla13[[#This Row],[RESERVAS COMPROMETIDO]]</f>
        <v>0</v>
      </c>
      <c r="AX11" s="200"/>
      <c r="AY11" s="199">
        <v>0</v>
      </c>
      <c r="AZ11" s="201"/>
      <c r="BA11" s="199">
        <v>0</v>
      </c>
      <c r="BB11" s="202">
        <f>+Tabla13[[#This Row],[Total Recursos Comprometido 2025]]/Tabla13[[#This Row],[Total 2025]]</f>
        <v>0</v>
      </c>
      <c r="BC11" s="203">
        <f>+Tabla13[[#This Row],[Total Recursos Obligados]]/Tabla13[[#This Row],[Total 2025]]</f>
        <v>0</v>
      </c>
      <c r="BD11" s="204">
        <f>+Tabla13[[#This Row],[Total Recursos Pagados]]/Tabla13[[#This Row],[Total 2025]]</f>
        <v>0</v>
      </c>
      <c r="BE11" s="205"/>
      <c r="BF11" s="20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1" s="207" t="s">
        <v>125</v>
      </c>
      <c r="BH11" s="208" t="s">
        <v>146</v>
      </c>
      <c r="BI11" s="209">
        <v>11</v>
      </c>
    </row>
    <row r="12" spans="1:63" s="225" customFormat="1" ht="105.75" thickBot="1">
      <c r="A12" s="211">
        <v>27</v>
      </c>
      <c r="B12" s="187" t="s">
        <v>90</v>
      </c>
      <c r="C12" s="187" t="s">
        <v>91</v>
      </c>
      <c r="D12" s="187" t="s">
        <v>92</v>
      </c>
      <c r="E12" s="187" t="s">
        <v>93</v>
      </c>
      <c r="F12" s="187">
        <v>4503023</v>
      </c>
      <c r="G12" s="188" t="s">
        <v>96</v>
      </c>
      <c r="H12" s="189">
        <v>2024680010195</v>
      </c>
      <c r="I12" s="187" t="s">
        <v>108</v>
      </c>
      <c r="J12" s="191">
        <v>1501788785</v>
      </c>
      <c r="K12" s="192">
        <v>661750000</v>
      </c>
      <c r="L12" s="187" t="s">
        <v>147</v>
      </c>
      <c r="M12" s="212" t="s">
        <v>107</v>
      </c>
      <c r="N12" s="193"/>
      <c r="O12" s="194" t="s">
        <v>109</v>
      </c>
      <c r="P12" s="195">
        <v>500000000</v>
      </c>
      <c r="Q12" s="213"/>
      <c r="R12" s="213"/>
      <c r="S12" s="214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>
        <v>161750000</v>
      </c>
      <c r="AF12" s="215">
        <f>SUM(Tabla13[[#This Row],[Recursos propios 2025]:[Recursos del Balance]])-Tabla13[[#This Row],[Reservas 2025]]</f>
        <v>661750000</v>
      </c>
      <c r="AG12" s="216">
        <v>457106666.67000002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>
        <v>149643333.33000001</v>
      </c>
      <c r="AW12" s="217">
        <f>SUM(Tabla13[[#This Row],[Recursos propios 20242]:[Recursos del Balance2]])-Tabla13[[#This Row],[RESERVAS COMPROMETIDO]]</f>
        <v>606750000</v>
      </c>
      <c r="AX12" s="198"/>
      <c r="AY12" s="218">
        <v>492844000</v>
      </c>
      <c r="AZ12" s="219"/>
      <c r="BA12" s="218">
        <v>476994000</v>
      </c>
      <c r="BB12" s="220">
        <f>+Tabla13[[#This Row],[Total Recursos Comprometido 2025]]/Tabla13[[#This Row],[Total 2025]]</f>
        <v>0.91688704193426518</v>
      </c>
      <c r="BC12" s="221">
        <f>+Tabla13[[#This Row],[Total Recursos Obligados]]/Tabla13[[#This Row],[Total 2025]]</f>
        <v>0.74475859463543637</v>
      </c>
      <c r="BD12" s="222">
        <f>+Tabla13[[#This Row],[Total Recursos Pagados]]/Tabla13[[#This Row],[Total 2025]]</f>
        <v>0.7208069512655837</v>
      </c>
      <c r="BE12" s="223"/>
      <c r="BF12" s="22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2" s="207" t="s">
        <v>125</v>
      </c>
      <c r="BH12" s="208" t="s">
        <v>146</v>
      </c>
      <c r="BI12" s="209">
        <v>11</v>
      </c>
      <c r="BK12" s="226"/>
    </row>
    <row r="13" spans="1:63" s="10" customFormat="1" ht="156" customHeight="1">
      <c r="A13" s="227">
        <v>28</v>
      </c>
      <c r="B13" s="68" t="s">
        <v>90</v>
      </c>
      <c r="C13" s="68" t="s">
        <v>91</v>
      </c>
      <c r="D13" s="68" t="s">
        <v>92</v>
      </c>
      <c r="E13" s="68" t="s">
        <v>93</v>
      </c>
      <c r="F13" s="68">
        <v>4503022</v>
      </c>
      <c r="G13" s="99" t="s">
        <v>98</v>
      </c>
      <c r="H13" s="228" t="s">
        <v>110</v>
      </c>
      <c r="I13" s="229" t="s">
        <v>111</v>
      </c>
      <c r="J13" s="230">
        <v>1789079800</v>
      </c>
      <c r="K13" s="231">
        <v>1789079800</v>
      </c>
      <c r="L13" s="68"/>
      <c r="M13" s="68"/>
      <c r="N13" s="232"/>
      <c r="O13" s="233"/>
      <c r="P13" s="234">
        <v>1789079800</v>
      </c>
      <c r="Q13" s="235"/>
      <c r="R13" s="235"/>
      <c r="S13" s="236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7">
        <f>SUM(Tabla13[[#This Row],[Recursos propios 2025]:[Recursos del Balance]])-Tabla13[[#This Row],[Reservas 2025]]</f>
        <v>1789079800</v>
      </c>
      <c r="AG13" s="238">
        <v>1787813139</v>
      </c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9">
        <f>SUM(Tabla13[[#This Row],[Recursos propios 20242]:[Recursos del Balance2]])-Tabla13[[#This Row],[RESERVAS COMPROMETIDO]]</f>
        <v>1787813139</v>
      </c>
      <c r="AX13" s="238"/>
      <c r="AY13" s="239"/>
      <c r="AZ13" s="240"/>
      <c r="BA13" s="239"/>
      <c r="BB13" s="241">
        <f>+Tabla13[[#This Row],[Total Recursos Comprometido 2025]]/Tabla13[[#This Row],[Total 2025]]</f>
        <v>0.9992920041912049</v>
      </c>
      <c r="BC13" s="242">
        <f>+Tabla13[[#This Row],[Total Recursos Obligados]]/Tabla13[[#This Row],[Total 2025]]</f>
        <v>0</v>
      </c>
      <c r="BD13" s="243">
        <f>+Tabla13[[#This Row],[Total Recursos Pagados]]/Tabla13[[#This Row],[Total 2025]]</f>
        <v>0</v>
      </c>
      <c r="BE13" s="244"/>
      <c r="BF13" s="24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3" s="246" t="s">
        <v>125</v>
      </c>
      <c r="BH13" s="247" t="s">
        <v>146</v>
      </c>
      <c r="BI13" s="248">
        <v>11</v>
      </c>
    </row>
    <row r="14" spans="1:63" s="10" customFormat="1" ht="168.6" customHeight="1">
      <c r="A14" s="64">
        <v>28</v>
      </c>
      <c r="B14" s="64"/>
      <c r="C14" s="64"/>
      <c r="D14" s="64"/>
      <c r="E14" s="64"/>
      <c r="F14" s="64"/>
      <c r="G14" s="89"/>
      <c r="H14" s="65" t="s">
        <v>162</v>
      </c>
      <c r="I14" s="249" t="s">
        <v>112</v>
      </c>
      <c r="J14" s="70">
        <v>9435889561.6000004</v>
      </c>
      <c r="K14" s="71">
        <v>9435889561.6000004</v>
      </c>
      <c r="L14" s="64"/>
      <c r="M14" s="64"/>
      <c r="N14" s="64"/>
      <c r="O14" s="66"/>
      <c r="P14" s="102">
        <v>9435889561.6000004</v>
      </c>
      <c r="Q14" s="15"/>
      <c r="R14" s="15"/>
      <c r="S14" s="27"/>
      <c r="T14" s="15"/>
      <c r="U14" s="15"/>
      <c r="V14" s="15"/>
      <c r="W14" s="15"/>
      <c r="X14" s="15"/>
      <c r="Y14" s="15"/>
      <c r="Z14" s="15"/>
      <c r="AA14" s="15"/>
      <c r="AB14" s="15"/>
      <c r="AC14" s="27"/>
      <c r="AD14" s="27"/>
      <c r="AE14" s="27"/>
      <c r="AF14" s="127">
        <f>SUM(Tabla13[[#This Row],[Recursos propios 2025]:[Recursos del Balance]])-Tabla13[[#This Row],[Reservas 2025]]</f>
        <v>9435889561.6000004</v>
      </c>
      <c r="AG14" s="74">
        <v>9405434513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67">
        <f>SUM(Tabla13[[#This Row],[Recursos propios 20242]:[Recursos del Balance2]])-Tabla13[[#This Row],[RESERVAS COMPROMETIDO]]</f>
        <v>9405434513</v>
      </c>
      <c r="AX14" s="74"/>
      <c r="AY14" s="76">
        <v>2612507273</v>
      </c>
      <c r="AZ14" s="103"/>
      <c r="BA14" s="76">
        <v>2612507273</v>
      </c>
      <c r="BB14" s="132">
        <f>+Tabla13[[#This Row],[Total Recursos Comprometido 2025]]/Tabla13[[#This Row],[Total 2025]]</f>
        <v>0.9967724242212479</v>
      </c>
      <c r="BC14" s="96">
        <f>+Tabla13[[#This Row],[Total Recursos Obligados]]/Tabla13[[#This Row],[Total 2025]]</f>
        <v>0.27686920835018858</v>
      </c>
      <c r="BD14" s="97">
        <f>+Tabla13[[#This Row],[Total Recursos Pagados]]/Tabla13[[#This Row],[Total 2025]]</f>
        <v>0.27686920835018858</v>
      </c>
      <c r="BE14" s="98"/>
      <c r="BF14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4" s="130" t="s">
        <v>125</v>
      </c>
      <c r="BH14" s="41" t="s">
        <v>146</v>
      </c>
      <c r="BI14" s="42">
        <v>11</v>
      </c>
    </row>
    <row r="15" spans="1:63" s="10" customFormat="1" ht="144.75" customHeight="1">
      <c r="A15" s="147">
        <v>28</v>
      </c>
      <c r="B15" s="64"/>
      <c r="C15" s="64"/>
      <c r="D15" s="64"/>
      <c r="E15" s="64"/>
      <c r="F15" s="64"/>
      <c r="G15" s="89"/>
      <c r="H15" s="123" t="s">
        <v>114</v>
      </c>
      <c r="I15" s="249" t="s">
        <v>115</v>
      </c>
      <c r="J15" s="70">
        <v>102596151728.52</v>
      </c>
      <c r="K15" s="71">
        <v>0</v>
      </c>
      <c r="L15" s="64" t="s">
        <v>148</v>
      </c>
      <c r="M15" s="64"/>
      <c r="N15" s="64"/>
      <c r="O15" s="66"/>
      <c r="P15" s="102"/>
      <c r="Q15" s="15"/>
      <c r="R15" s="15"/>
      <c r="S15" s="27"/>
      <c r="T15" s="15"/>
      <c r="U15" s="15"/>
      <c r="V15" s="15"/>
      <c r="W15" s="15"/>
      <c r="X15" s="15"/>
      <c r="Y15" s="15"/>
      <c r="Z15" s="15"/>
      <c r="AA15" s="15"/>
      <c r="AB15" s="15"/>
      <c r="AC15" s="27"/>
      <c r="AD15" s="124">
        <v>3873935768.9499998</v>
      </c>
      <c r="AE15" s="27"/>
      <c r="AF15" s="100">
        <f>SUM(Tabla13[[#This Row],[Recursos propios 2025]:[Recursos del Balance]])-Tabla13[[#This Row],[Reservas 2025]]</f>
        <v>0</v>
      </c>
      <c r="AG15" s="38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04">
        <v>3873935768.9500003</v>
      </c>
      <c r="AV15" s="15"/>
      <c r="AW15" s="67">
        <f>SUM(Tabla13[[#This Row],[Recursos propios 20242]:[Recursos del Balance2]])-Tabla13[[#This Row],[RESERVAS COMPROMETIDO]]</f>
        <v>0</v>
      </c>
      <c r="AX15" s="125">
        <v>3873935768.9500003</v>
      </c>
      <c r="AY15" s="60"/>
      <c r="AZ15" s="126">
        <v>3873935768.9499998</v>
      </c>
      <c r="BA15" s="60"/>
      <c r="BB15" s="132" t="e">
        <f>+Tabla13[[#This Row],[Total Recursos Comprometido 2025]]/Tabla13[[#This Row],[Total 2025]]</f>
        <v>#DIV/0!</v>
      </c>
      <c r="BC15" s="96" t="e">
        <f>+Tabla13[[#This Row],[Total Recursos Obligados]]/Tabla13[[#This Row],[Total 2025]]</f>
        <v>#DIV/0!</v>
      </c>
      <c r="BD15" s="97" t="e">
        <f>+Tabla13[[#This Row],[Total Recursos Pagados]]/Tabla13[[#This Row],[Total 2025]]</f>
        <v>#DIV/0!</v>
      </c>
      <c r="BE15" s="77"/>
      <c r="BF15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5" s="130" t="s">
        <v>125</v>
      </c>
      <c r="BH15" s="41" t="s">
        <v>146</v>
      </c>
      <c r="BI15" s="42">
        <v>11</v>
      </c>
    </row>
    <row r="16" spans="1:63" s="10" customFormat="1" ht="90">
      <c r="A16" s="64">
        <v>28</v>
      </c>
      <c r="B16" s="64"/>
      <c r="C16" s="64"/>
      <c r="D16" s="64"/>
      <c r="E16" s="64"/>
      <c r="F16" s="64"/>
      <c r="G16" s="89"/>
      <c r="H16" s="123" t="s">
        <v>116</v>
      </c>
      <c r="I16" s="249" t="s">
        <v>117</v>
      </c>
      <c r="J16" s="70">
        <v>26406782493.540001</v>
      </c>
      <c r="K16" s="71">
        <v>0</v>
      </c>
      <c r="L16" s="64" t="s">
        <v>149</v>
      </c>
      <c r="M16" s="64"/>
      <c r="N16" s="64"/>
      <c r="O16" s="66"/>
      <c r="P16" s="102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24">
        <v>1029746145.46</v>
      </c>
      <c r="AE16" s="15"/>
      <c r="AF16" s="100">
        <f>SUM(Tabla13[[#This Row],[Recursos propios 2025]:[Recursos del Balance]])-Tabla13[[#This Row],[Reservas 2025]]</f>
        <v>0</v>
      </c>
      <c r="AG16" s="38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05">
        <v>1029746145.46</v>
      </c>
      <c r="AV16" s="15"/>
      <c r="AW16" s="67">
        <f>SUM(Tabla13[[#This Row],[Recursos propios 20242]:[Recursos del Balance2]])-Tabla13[[#This Row],[RESERVAS COMPROMETIDO]]</f>
        <v>0</v>
      </c>
      <c r="AX16" s="106">
        <v>1029746145.46</v>
      </c>
      <c r="AY16" s="60"/>
      <c r="AZ16" s="126">
        <v>1029746145.46</v>
      </c>
      <c r="BA16" s="60"/>
      <c r="BB16" s="132" t="e">
        <f>+Tabla13[[#This Row],[Total Recursos Comprometido 2025]]/Tabla13[[#This Row],[Total 2025]]</f>
        <v>#DIV/0!</v>
      </c>
      <c r="BC16" s="96" t="e">
        <f>+Tabla13[[#This Row],[Total Recursos Obligados]]/Tabla13[[#This Row],[Total 2025]]</f>
        <v>#DIV/0!</v>
      </c>
      <c r="BD16" s="97" t="e">
        <f>+Tabla13[[#This Row],[Total Recursos Pagados]]/Tabla13[[#This Row],[Total 2025]]</f>
        <v>#DIV/0!</v>
      </c>
      <c r="BE16" s="77"/>
      <c r="BF16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6" s="130" t="s">
        <v>125</v>
      </c>
      <c r="BH16" s="41" t="s">
        <v>146</v>
      </c>
      <c r="BI16" s="42">
        <v>11</v>
      </c>
    </row>
    <row r="17" spans="1:63" s="10" customFormat="1" ht="162" customHeight="1">
      <c r="A17" s="64">
        <v>28</v>
      </c>
      <c r="B17" s="64"/>
      <c r="C17" s="64"/>
      <c r="D17" s="64"/>
      <c r="E17" s="64"/>
      <c r="F17" s="64"/>
      <c r="G17" s="89"/>
      <c r="H17" s="123" t="s">
        <v>118</v>
      </c>
      <c r="I17" s="249" t="s">
        <v>119</v>
      </c>
      <c r="J17" s="70">
        <v>1596901048.97</v>
      </c>
      <c r="K17" s="71">
        <v>0</v>
      </c>
      <c r="L17" s="64" t="s">
        <v>150</v>
      </c>
      <c r="M17" s="64"/>
      <c r="N17" s="64"/>
      <c r="O17" s="66"/>
      <c r="P17" s="102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24">
        <v>690539968</v>
      </c>
      <c r="AE17" s="15"/>
      <c r="AF17" s="100">
        <f>SUM(Tabla13[[#This Row],[Recursos propios 2025]:[Recursos del Balance]])-Tabla13[[#This Row],[Reservas 2025]]</f>
        <v>0</v>
      </c>
      <c r="AG17" s="38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05">
        <v>690539968</v>
      </c>
      <c r="AV17" s="15"/>
      <c r="AW17" s="67">
        <f>SUM(Tabla13[[#This Row],[Recursos propios 20242]:[Recursos del Balance2]])-Tabla13[[#This Row],[RESERVAS COMPROMETIDO]]</f>
        <v>0</v>
      </c>
      <c r="AX17" s="125">
        <v>690539968</v>
      </c>
      <c r="AY17" s="60"/>
      <c r="AZ17" s="126">
        <v>690539968</v>
      </c>
      <c r="BA17" s="60"/>
      <c r="BB17" s="132" t="e">
        <f>+Tabla13[[#This Row],[Total Recursos Comprometido 2025]]/Tabla13[[#This Row],[Total 2025]]</f>
        <v>#DIV/0!</v>
      </c>
      <c r="BC17" s="96" t="e">
        <f>+Tabla13[[#This Row],[Total Recursos Obligados]]/Tabla13[[#This Row],[Total 2025]]</f>
        <v>#DIV/0!</v>
      </c>
      <c r="BD17" s="97" t="e">
        <f>+Tabla13[[#This Row],[Total Recursos Pagados]]/Tabla13[[#This Row],[Total 2025]]</f>
        <v>#DIV/0!</v>
      </c>
      <c r="BE17" s="77"/>
      <c r="BF17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7" s="130" t="s">
        <v>125</v>
      </c>
      <c r="BH17" s="41" t="s">
        <v>146</v>
      </c>
      <c r="BI17" s="42">
        <v>11</v>
      </c>
    </row>
    <row r="18" spans="1:63" s="10" customFormat="1" ht="150.75" customHeight="1">
      <c r="A18" s="64">
        <v>28</v>
      </c>
      <c r="B18" s="64"/>
      <c r="C18" s="64"/>
      <c r="D18" s="64"/>
      <c r="E18" s="64"/>
      <c r="F18" s="64"/>
      <c r="G18" s="89"/>
      <c r="H18" s="123" t="s">
        <v>120</v>
      </c>
      <c r="I18" s="249" t="s">
        <v>121</v>
      </c>
      <c r="J18" s="70">
        <v>43840721399.25</v>
      </c>
      <c r="K18" s="71">
        <v>14403282320</v>
      </c>
      <c r="L18" s="64" t="s">
        <v>151</v>
      </c>
      <c r="M18" s="64"/>
      <c r="N18" s="64"/>
      <c r="O18" s="66"/>
      <c r="P18" s="102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24">
        <v>28939608181</v>
      </c>
      <c r="AE18" s="15">
        <v>14403282320</v>
      </c>
      <c r="AF18" s="100">
        <f>SUM(Tabla13[[#This Row],[Recursos propios 2025]:[Recursos del Balance]])-Tabla13[[#This Row],[Reservas 2025]]</f>
        <v>14403282320</v>
      </c>
      <c r="AG18" s="38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05">
        <v>28939608181</v>
      </c>
      <c r="AV18" s="15">
        <v>14403282320</v>
      </c>
      <c r="AW18" s="67">
        <f>SUM(Tabla13[[#This Row],[Recursos propios 20242]:[Recursos del Balance2]])-Tabla13[[#This Row],[RESERVAS COMPROMETIDO]]</f>
        <v>14403282320</v>
      </c>
      <c r="AX18" s="125">
        <v>23594900888.279999</v>
      </c>
      <c r="AY18" s="67"/>
      <c r="AZ18" s="126">
        <v>23594900888.279999</v>
      </c>
      <c r="BA18" s="60"/>
      <c r="BB18" s="132">
        <f>+Tabla13[[#This Row],[Total Recursos Comprometido 2025]]/Tabla13[[#This Row],[Total 2025]]</f>
        <v>1</v>
      </c>
      <c r="BC18" s="96">
        <f>+Tabla13[[#This Row],[Total Recursos Obligados]]/Tabla13[[#This Row],[Total 2025]]</f>
        <v>0</v>
      </c>
      <c r="BD18" s="97">
        <f>+Tabla13[[#This Row],[Total Recursos Pagados]]/Tabla13[[#This Row],[Total 2025]]</f>
        <v>0</v>
      </c>
      <c r="BE18" s="77"/>
      <c r="BF18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8" s="130" t="s">
        <v>125</v>
      </c>
      <c r="BH18" s="41" t="s">
        <v>146</v>
      </c>
      <c r="BI18" s="42">
        <v>11</v>
      </c>
    </row>
    <row r="19" spans="1:63" s="10" customFormat="1" ht="153" customHeight="1">
      <c r="A19" s="141">
        <v>28</v>
      </c>
      <c r="B19" s="30"/>
      <c r="C19" s="30"/>
      <c r="D19" s="30"/>
      <c r="E19" s="30"/>
      <c r="F19" s="30"/>
      <c r="G19" s="133"/>
      <c r="H19" s="134" t="s">
        <v>154</v>
      </c>
      <c r="I19" s="250" t="s">
        <v>155</v>
      </c>
      <c r="J19" s="25">
        <v>5774128850</v>
      </c>
      <c r="K19" s="71">
        <v>5774128850</v>
      </c>
      <c r="L19" s="136" t="s">
        <v>113</v>
      </c>
      <c r="M19" s="136"/>
      <c r="N19" s="136"/>
      <c r="O19" s="137"/>
      <c r="P19" s="138">
        <v>1047367487.33</v>
      </c>
      <c r="Q19" s="15"/>
      <c r="R19" s="15"/>
      <c r="S19" s="15"/>
      <c r="T19" s="15"/>
      <c r="U19" s="15">
        <v>4726761362.6700001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00">
        <f>SUM(Tabla13[[#This Row],[Recursos propios 2025]:[Recursos del Balance]])-Tabla13[[#This Row],[Reservas 2025]]</f>
        <v>5774128850</v>
      </c>
      <c r="AG19" s="74">
        <v>1040557387.33</v>
      </c>
      <c r="AH19" s="15"/>
      <c r="AI19" s="15"/>
      <c r="AJ19" s="15"/>
      <c r="AK19" s="15"/>
      <c r="AL19" s="15"/>
      <c r="AM19" s="15">
        <v>4722065610.6700001</v>
      </c>
      <c r="AN19" s="15"/>
      <c r="AO19" s="15"/>
      <c r="AP19" s="15"/>
      <c r="AQ19" s="15"/>
      <c r="AR19" s="15"/>
      <c r="AS19" s="15"/>
      <c r="AT19" s="15"/>
      <c r="AU19" s="15"/>
      <c r="AV19" s="15"/>
      <c r="AW19" s="67">
        <f>SUM(Tabla13[[#This Row],[Recursos propios 20242]:[Recursos del Balance2]])-Tabla13[[#This Row],[RESERVAS COMPROMETIDO]]</f>
        <v>5762622998</v>
      </c>
      <c r="AX19" s="74"/>
      <c r="AY19" s="127">
        <v>3481421084.25</v>
      </c>
      <c r="AZ19" s="101"/>
      <c r="BA19" s="139">
        <v>3481421084.25</v>
      </c>
      <c r="BB19" s="20">
        <f>+Tabla13[[#This Row],[Total Recursos Comprometido 2025]]/Tabla13[[#This Row],[Total 2025]]</f>
        <v>0.99800734408619929</v>
      </c>
      <c r="BC19" s="33">
        <f>+Tabla13[[#This Row],[Total Recursos Obligados]]/Tabla13[[#This Row],[Total 2025]]</f>
        <v>0.60293442953736653</v>
      </c>
      <c r="BD19" s="34">
        <f>+Tabla13[[#This Row],[Total Recursos Pagados]]/Tabla13[[#This Row],[Total 2025]]</f>
        <v>0.60293442953736653</v>
      </c>
      <c r="BE19" s="77"/>
      <c r="BF19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19" s="130" t="s">
        <v>125</v>
      </c>
      <c r="BH19" s="41" t="s">
        <v>146</v>
      </c>
      <c r="BI19" s="30"/>
    </row>
    <row r="20" spans="1:63" s="10" customFormat="1" ht="172.5" customHeight="1">
      <c r="A20" s="30">
        <v>28</v>
      </c>
      <c r="B20" s="30"/>
      <c r="C20" s="30"/>
      <c r="D20" s="30"/>
      <c r="E20" s="30"/>
      <c r="F20" s="30"/>
      <c r="G20" s="133"/>
      <c r="H20" s="134" t="s">
        <v>156</v>
      </c>
      <c r="I20" s="250" t="s">
        <v>157</v>
      </c>
      <c r="J20" s="25">
        <v>21135251009</v>
      </c>
      <c r="K20" s="71">
        <v>21135251009</v>
      </c>
      <c r="L20" s="136"/>
      <c r="M20" s="136"/>
      <c r="N20" s="136"/>
      <c r="O20" s="137"/>
      <c r="P20" s="138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25">
        <v>21135251009</v>
      </c>
      <c r="AF20" s="100">
        <f>SUM(Tabla13[[#This Row],[Recursos propios 2025]:[Recursos del Balance]])-Tabla13[[#This Row],[Reservas 2025]]</f>
        <v>21135251009</v>
      </c>
      <c r="AG20" s="74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25">
        <v>21135251009</v>
      </c>
      <c r="AW20" s="67">
        <f>SUM(Tabla13[[#This Row],[Recursos propios 20242]:[Recursos del Balance2]])-Tabla13[[#This Row],[RESERVAS COMPROMETIDO]]</f>
        <v>21135251009</v>
      </c>
      <c r="AX20" s="74"/>
      <c r="AY20" s="127">
        <v>663435909.08000004</v>
      </c>
      <c r="AZ20" s="101"/>
      <c r="BA20" s="127">
        <v>663435909.08000004</v>
      </c>
      <c r="BB20" s="20">
        <f>+Tabla13[[#This Row],[Total Recursos Comprometido 2025]]/Tabla13[[#This Row],[Total 2025]]</f>
        <v>1</v>
      </c>
      <c r="BC20" s="33">
        <f>+Tabla13[[#This Row],[Total Recursos Obligados]]/Tabla13[[#This Row],[Total 2025]]</f>
        <v>3.1390017975064022E-2</v>
      </c>
      <c r="BD20" s="34">
        <f>+Tabla13[[#This Row],[Total Recursos Pagados]]/Tabla13[[#This Row],[Total 2025]]</f>
        <v>3.1390017975064022E-2</v>
      </c>
      <c r="BE20" s="77"/>
      <c r="BF20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0" s="130" t="s">
        <v>125</v>
      </c>
      <c r="BH20" s="41" t="s">
        <v>146</v>
      </c>
      <c r="BI20" s="30"/>
    </row>
    <row r="21" spans="1:63" s="10" customFormat="1" ht="131.25" customHeight="1">
      <c r="A21" s="141">
        <v>28</v>
      </c>
      <c r="B21" s="30"/>
      <c r="C21" s="68"/>
      <c r="D21" s="30"/>
      <c r="E21" s="30"/>
      <c r="F21" s="30"/>
      <c r="G21" s="30"/>
      <c r="H21" s="134" t="s">
        <v>174</v>
      </c>
      <c r="I21" s="250" t="s">
        <v>175</v>
      </c>
      <c r="J21" s="142">
        <v>2585294696</v>
      </c>
      <c r="K21" s="142">
        <v>2585294696</v>
      </c>
      <c r="L21" s="251"/>
      <c r="M21" s="136"/>
      <c r="N21" s="136"/>
      <c r="O21" s="136"/>
      <c r="P21" s="143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25">
        <v>2585294696</v>
      </c>
      <c r="AF21" s="27">
        <f>SUM(Tabla13[[#This Row],[Recursos propios 2025]:[Recursos del Balance]])-Tabla13[[#This Row],[Reservas 2025]]</f>
        <v>2585294696</v>
      </c>
      <c r="AG21" s="74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25">
        <v>0</v>
      </c>
      <c r="AW21" s="67">
        <f>SUM(Tabla13[[#This Row],[Recursos propios 20242]:[Recursos del Balance2]])-Tabla13[[#This Row],[RESERVAS COMPROMETIDO]]</f>
        <v>0</v>
      </c>
      <c r="AX21" s="74"/>
      <c r="AY21" s="15"/>
      <c r="AZ21" s="101"/>
      <c r="BA21" s="67"/>
      <c r="BB21" s="144">
        <f>+Tabla13[[#This Row],[Total Recursos Comprometido 2025]]/Tabla13[[#This Row],[Total 2025]]</f>
        <v>0</v>
      </c>
      <c r="BC21" s="145">
        <f>+Tabla13[[#This Row],[Total Recursos Obligados]]/Tabla13[[#This Row],[Total 2025]]</f>
        <v>0</v>
      </c>
      <c r="BD21" s="146">
        <f>+Tabla13[[#This Row],[Total Recursos Pagados]]/Tabla13[[#This Row],[Total 2025]]</f>
        <v>0</v>
      </c>
      <c r="BE21" s="77"/>
      <c r="BF21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1" s="130" t="s">
        <v>125</v>
      </c>
      <c r="BH21" s="41" t="s">
        <v>146</v>
      </c>
      <c r="BI21" s="30"/>
    </row>
    <row r="22" spans="1:63" s="10" customFormat="1" ht="133.5" customHeight="1" thickBot="1">
      <c r="A22" s="252">
        <v>28</v>
      </c>
      <c r="B22" s="252"/>
      <c r="C22" s="253"/>
      <c r="D22" s="252"/>
      <c r="E22" s="252"/>
      <c r="F22" s="252"/>
      <c r="G22" s="252"/>
      <c r="H22" s="254" t="s">
        <v>176</v>
      </c>
      <c r="I22" s="255" t="s">
        <v>177</v>
      </c>
      <c r="J22" s="256">
        <v>25676093290</v>
      </c>
      <c r="K22" s="257">
        <v>14693293611</v>
      </c>
      <c r="L22" s="258"/>
      <c r="M22" s="258"/>
      <c r="N22" s="258"/>
      <c r="O22" s="258"/>
      <c r="P22" s="259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56">
        <v>14693293611</v>
      </c>
      <c r="AF22" s="256">
        <f>SUM(Tabla13[[#This Row],[Recursos propios 2025]:[Recursos del Balance]])-Tabla13[[#This Row],[Reservas 2025]]</f>
        <v>14693293611</v>
      </c>
      <c r="AG22" s="114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56">
        <v>0</v>
      </c>
      <c r="AW22" s="261">
        <f>SUM(Tabla13[[#This Row],[Recursos propios 20242]:[Recursos del Balance2]])-Tabla13[[#This Row],[RESERVAS COMPROMETIDO]]</f>
        <v>0</v>
      </c>
      <c r="AX22" s="114"/>
      <c r="AY22" s="260"/>
      <c r="AZ22" s="262"/>
      <c r="BA22" s="261"/>
      <c r="BB22" s="263">
        <f>+Tabla13[[#This Row],[Total Recursos Comprometido 2025]]/Tabla13[[#This Row],[Total 2025]]</f>
        <v>0</v>
      </c>
      <c r="BC22" s="264">
        <f>+Tabla13[[#This Row],[Total Recursos Obligados]]/Tabla13[[#This Row],[Total 2025]]</f>
        <v>0</v>
      </c>
      <c r="BD22" s="265">
        <f>+Tabla13[[#This Row],[Total Recursos Pagados]]/Tabla13[[#This Row],[Total 2025]]</f>
        <v>0</v>
      </c>
      <c r="BE22" s="266"/>
      <c r="BF22" s="11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2" s="267" t="s">
        <v>125</v>
      </c>
      <c r="BH22" s="268" t="s">
        <v>146</v>
      </c>
      <c r="BI22" s="252"/>
    </row>
    <row r="23" spans="1:63" s="290" customFormat="1" ht="96.6" customHeight="1">
      <c r="A23" s="269">
        <v>104</v>
      </c>
      <c r="B23" s="270" t="s">
        <v>104</v>
      </c>
      <c r="C23" s="270" t="s">
        <v>168</v>
      </c>
      <c r="D23" s="270" t="s">
        <v>169</v>
      </c>
      <c r="E23" s="270" t="s">
        <v>170</v>
      </c>
      <c r="F23" s="270">
        <v>2402115</v>
      </c>
      <c r="G23" s="270" t="s">
        <v>171</v>
      </c>
      <c r="H23" s="271">
        <v>202500000033474</v>
      </c>
      <c r="I23" s="272" t="s">
        <v>178</v>
      </c>
      <c r="J23" s="273">
        <v>2835856575.6700001</v>
      </c>
      <c r="K23" s="274">
        <v>295094336.69999999</v>
      </c>
      <c r="L23" s="275"/>
      <c r="M23" s="276" t="s">
        <v>107</v>
      </c>
      <c r="N23" s="275"/>
      <c r="O23" s="275"/>
      <c r="P23" s="277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3">
        <v>295094336.69999999</v>
      </c>
      <c r="AF23" s="273">
        <f>SUM(Tabla13[[#This Row],[Recursos propios 2025]:[Recursos del Balance]])-Tabla13[[#This Row],[Reservas 2025]]</f>
        <v>295094336.69999999</v>
      </c>
      <c r="AG23" s="279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3"/>
      <c r="AW23" s="280">
        <f>SUM(Tabla13[[#This Row],[Recursos propios 20242]:[Recursos del Balance2]])-Tabla13[[#This Row],[RESERVAS COMPROMETIDO]]</f>
        <v>0</v>
      </c>
      <c r="AX23" s="279"/>
      <c r="AY23" s="278"/>
      <c r="AZ23" s="281"/>
      <c r="BA23" s="280"/>
      <c r="BB23" s="282">
        <f>+Tabla13[[#This Row],[Total Recursos Comprometido 2025]]/Tabla13[[#This Row],[Total 2025]]</f>
        <v>0</v>
      </c>
      <c r="BC23" s="283">
        <f>+Tabla13[[#This Row],[Total Recursos Obligados]]/Tabla13[[#This Row],[Total 2025]]</f>
        <v>0</v>
      </c>
      <c r="BD23" s="284">
        <f>+Tabla13[[#This Row],[Total Recursos Pagados]]/Tabla13[[#This Row],[Total 2025]]</f>
        <v>0</v>
      </c>
      <c r="BE23" s="285"/>
      <c r="BF23" s="28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3" s="287" t="s">
        <v>125</v>
      </c>
      <c r="BH23" s="288" t="s">
        <v>146</v>
      </c>
      <c r="BI23" s="289"/>
    </row>
    <row r="24" spans="1:63" s="310" customFormat="1" ht="90.75" thickBot="1">
      <c r="A24" s="291">
        <v>106</v>
      </c>
      <c r="B24" s="292" t="s">
        <v>104</v>
      </c>
      <c r="C24" s="292" t="s">
        <v>168</v>
      </c>
      <c r="D24" s="292" t="s">
        <v>169</v>
      </c>
      <c r="E24" s="292" t="s">
        <v>170</v>
      </c>
      <c r="F24" s="292" t="s">
        <v>172</v>
      </c>
      <c r="G24" s="292" t="s">
        <v>173</v>
      </c>
      <c r="H24" s="293">
        <v>202500000033474</v>
      </c>
      <c r="I24" s="294" t="s">
        <v>178</v>
      </c>
      <c r="J24" s="295">
        <v>1215367103.8599999</v>
      </c>
      <c r="K24" s="296">
        <v>126469001.44</v>
      </c>
      <c r="L24" s="297"/>
      <c r="M24" s="298" t="s">
        <v>107</v>
      </c>
      <c r="N24" s="297"/>
      <c r="O24" s="297"/>
      <c r="P24" s="299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295">
        <v>126469001.44</v>
      </c>
      <c r="AF24" s="295">
        <f>SUM(Tabla13[[#This Row],[Recursos propios 2025]:[Recursos del Balance]])-Tabla13[[#This Row],[Reservas 2025]]</f>
        <v>126469001.44</v>
      </c>
      <c r="AG24" s="301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295"/>
      <c r="AW24" s="302">
        <f>SUM(Tabla13[[#This Row],[Recursos propios 20242]:[Recursos del Balance2]])-Tabla13[[#This Row],[RESERVAS COMPROMETIDO]]</f>
        <v>0</v>
      </c>
      <c r="AX24" s="301"/>
      <c r="AY24" s="300"/>
      <c r="AZ24" s="303"/>
      <c r="BA24" s="302"/>
      <c r="BB24" s="304">
        <f>+Tabla13[[#This Row],[Total Recursos Comprometido 2025]]/Tabla13[[#This Row],[Total 2025]]</f>
        <v>0</v>
      </c>
      <c r="BC24" s="305">
        <f>+Tabla13[[#This Row],[Total Recursos Obligados]]/Tabla13[[#This Row],[Total 2025]]</f>
        <v>0</v>
      </c>
      <c r="BD24" s="306">
        <f>+Tabla13[[#This Row],[Total Recursos Pagados]]/Tabla13[[#This Row],[Total 2025]]</f>
        <v>0</v>
      </c>
      <c r="BE24" s="150"/>
      <c r="BF24" s="15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4" s="307" t="s">
        <v>125</v>
      </c>
      <c r="BH24" s="308" t="s">
        <v>146</v>
      </c>
      <c r="BI24" s="309"/>
    </row>
    <row r="25" spans="1:63" s="290" customFormat="1" ht="90">
      <c r="A25" s="311">
        <v>29</v>
      </c>
      <c r="B25" s="93" t="s">
        <v>90</v>
      </c>
      <c r="C25" s="93" t="s">
        <v>91</v>
      </c>
      <c r="D25" s="93" t="s">
        <v>92</v>
      </c>
      <c r="E25" s="93" t="s">
        <v>93</v>
      </c>
      <c r="F25" s="93">
        <v>4503028</v>
      </c>
      <c r="G25" s="312" t="s">
        <v>99</v>
      </c>
      <c r="H25" s="90">
        <v>2024680010195</v>
      </c>
      <c r="I25" s="93" t="s">
        <v>108</v>
      </c>
      <c r="J25" s="91">
        <v>4905306589</v>
      </c>
      <c r="K25" s="92">
        <v>1618250000</v>
      </c>
      <c r="L25" s="93"/>
      <c r="M25" s="276" t="s">
        <v>107</v>
      </c>
      <c r="N25" s="94"/>
      <c r="O25" s="312"/>
      <c r="P25" s="313">
        <v>1000000000</v>
      </c>
      <c r="Q25" s="278"/>
      <c r="R25" s="278"/>
      <c r="S25" s="278"/>
      <c r="T25" s="278"/>
      <c r="U25" s="286"/>
      <c r="V25" s="314"/>
      <c r="W25" s="278"/>
      <c r="X25" s="278"/>
      <c r="Y25" s="278"/>
      <c r="Z25" s="278"/>
      <c r="AA25" s="278"/>
      <c r="AB25" s="278"/>
      <c r="AC25" s="278"/>
      <c r="AD25" s="278"/>
      <c r="AE25" s="278">
        <v>618250000</v>
      </c>
      <c r="AF25" s="315">
        <f>SUM(Tabla13[[#This Row],[Recursos propios 2025]:[Recursos del Balance]])-Tabla13[[#This Row],[Reservas 2025]]</f>
        <v>1618250000</v>
      </c>
      <c r="AG25" s="316">
        <v>965099999.98000002</v>
      </c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3">
        <v>576849999.99000001</v>
      </c>
      <c r="AW25" s="280">
        <f>SUM(Tabla13[[#This Row],[Recursos propios 20242]:[Recursos del Balance2]])-Tabla13[[#This Row],[RESERVAS COMPROMETIDO]]</f>
        <v>1541949999.97</v>
      </c>
      <c r="AX25" s="279"/>
      <c r="AY25" s="315">
        <v>1170068333.3199999</v>
      </c>
      <c r="AZ25" s="281"/>
      <c r="BA25" s="317">
        <v>1157018333.3099999</v>
      </c>
      <c r="BB25" s="318">
        <f>+Tabla13[[#This Row],[Total Recursos Comprometido 2025]]/Tabla13[[#This Row],[Total 2025]]</f>
        <v>0.95285030123281322</v>
      </c>
      <c r="BC25" s="319">
        <f>+Tabla13[[#This Row],[Total Recursos Obligados]]/Tabla13[[#This Row],[Total 2025]]</f>
        <v>0.72304547092229254</v>
      </c>
      <c r="BD25" s="320">
        <f>+Tabla13[[#This Row],[Total Recursos Pagados]]/Tabla13[[#This Row],[Total 2025]]</f>
        <v>0.71498120396106901</v>
      </c>
      <c r="BE25" s="285"/>
      <c r="BF25" s="28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5" s="287" t="s">
        <v>125</v>
      </c>
      <c r="BH25" s="288" t="s">
        <v>146</v>
      </c>
      <c r="BI25" s="321">
        <v>11</v>
      </c>
      <c r="BK25" s="322">
        <f>Tabla13[[#This Row],[Total Recursos Obligados]]-Tabla13[[#This Row],[Total Recursos Pagados]]</f>
        <v>13050000.00999999</v>
      </c>
    </row>
    <row r="26" spans="1:63" s="16" customFormat="1" ht="181.5" customHeight="1">
      <c r="A26" s="72">
        <v>29</v>
      </c>
      <c r="B26" s="64"/>
      <c r="C26" s="64"/>
      <c r="D26" s="64"/>
      <c r="E26" s="64"/>
      <c r="F26" s="64"/>
      <c r="G26" s="89"/>
      <c r="H26" s="65">
        <v>2024680010228</v>
      </c>
      <c r="I26" s="64" t="s">
        <v>122</v>
      </c>
      <c r="J26" s="70">
        <v>833373065</v>
      </c>
      <c r="K26" s="71">
        <v>100000000</v>
      </c>
      <c r="L26" s="64"/>
      <c r="M26" s="69" t="s">
        <v>107</v>
      </c>
      <c r="N26" s="73">
        <v>6</v>
      </c>
      <c r="O26" s="89"/>
      <c r="P26" s="323">
        <v>100000000</v>
      </c>
      <c r="Q26" s="15"/>
      <c r="R26" s="15"/>
      <c r="S26" s="15"/>
      <c r="T26" s="15"/>
      <c r="U26" s="26"/>
      <c r="V26" s="324"/>
      <c r="W26" s="15"/>
      <c r="X26" s="15"/>
      <c r="Y26" s="15"/>
      <c r="Z26" s="15"/>
      <c r="AA26" s="15"/>
      <c r="AB26" s="15"/>
      <c r="AC26" s="15"/>
      <c r="AD26" s="15"/>
      <c r="AE26" s="15"/>
      <c r="AF26" s="127">
        <f>SUM(Tabla13[[#This Row],[Recursos propios 2025]:[Recursos del Balance]])-Tabla13[[#This Row],[Reservas 2025]]</f>
        <v>100000000</v>
      </c>
      <c r="AG26" s="74">
        <v>8400000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>
        <v>0</v>
      </c>
      <c r="AU26" s="15"/>
      <c r="AV26" s="15"/>
      <c r="AW26" s="67">
        <f>SUM(Tabla13[[#This Row],[Recursos propios 20242]:[Recursos del Balance2]])-Tabla13[[#This Row],[RESERVAS COMPROMETIDO]]</f>
        <v>8400000</v>
      </c>
      <c r="AX26" s="74"/>
      <c r="AY26" s="67">
        <v>8400000</v>
      </c>
      <c r="AZ26" s="101"/>
      <c r="BA26" s="67">
        <v>8400000</v>
      </c>
      <c r="BB26" s="20">
        <f>+Tabla13[[#This Row],[Total Recursos Comprometido 2025]]/Tabla13[[#This Row],[Total 2025]]</f>
        <v>8.4000000000000005E-2</v>
      </c>
      <c r="BC26" s="33">
        <f>+Tabla13[[#This Row],[Total Recursos Obligados]]/Tabla13[[#This Row],[Total 2025]]</f>
        <v>8.4000000000000005E-2</v>
      </c>
      <c r="BD26" s="34">
        <f>+Tabla13[[#This Row],[Total Recursos Pagados]]/Tabla13[[#This Row],[Total 2025]]</f>
        <v>8.4000000000000005E-2</v>
      </c>
      <c r="BE26" s="77"/>
      <c r="BF26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6" s="130" t="s">
        <v>125</v>
      </c>
      <c r="BH26" s="41" t="s">
        <v>146</v>
      </c>
      <c r="BI26" s="42">
        <v>11</v>
      </c>
    </row>
    <row r="27" spans="1:63" s="10" customFormat="1" ht="171.75" customHeight="1">
      <c r="A27" s="325">
        <v>29</v>
      </c>
      <c r="B27" s="64"/>
      <c r="C27" s="64"/>
      <c r="D27" s="64"/>
      <c r="E27" s="64"/>
      <c r="F27" s="64"/>
      <c r="G27" s="89"/>
      <c r="H27" s="65">
        <v>2024680010227</v>
      </c>
      <c r="I27" s="64" t="s">
        <v>123</v>
      </c>
      <c r="J27" s="70">
        <v>12524483933.15</v>
      </c>
      <c r="K27" s="71">
        <v>2514483876.8600001</v>
      </c>
      <c r="L27" s="64"/>
      <c r="M27" s="69" t="s">
        <v>107</v>
      </c>
      <c r="N27" s="73"/>
      <c r="O27" s="89"/>
      <c r="P27" s="323">
        <v>379468403</v>
      </c>
      <c r="Q27" s="17"/>
      <c r="R27" s="17"/>
      <c r="S27" s="17"/>
      <c r="T27" s="17"/>
      <c r="U27" s="23"/>
      <c r="V27" s="326"/>
      <c r="W27" s="17"/>
      <c r="X27" s="17"/>
      <c r="Y27" s="17"/>
      <c r="Z27" s="17"/>
      <c r="AA27" s="17"/>
      <c r="AB27" s="17"/>
      <c r="AC27" s="28"/>
      <c r="AD27" s="28"/>
      <c r="AE27" s="28">
        <v>2135015473.8600001</v>
      </c>
      <c r="AF27" s="127">
        <f>SUM(Tabla13[[#This Row],[Recursos propios 2025]:[Recursos del Balance]])-Tabla13[[#This Row],[Reservas 2025]]</f>
        <v>2514483876.8600001</v>
      </c>
      <c r="AG27" s="75">
        <v>299176710</v>
      </c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28">
        <v>1250000000</v>
      </c>
      <c r="AW27" s="17">
        <f>SUM(Tabla13[[#This Row],[Recursos propios 20242]:[Recursos del Balance2]])-Tabla13[[#This Row],[RESERVAS COMPROMETIDO]]</f>
        <v>1549176710</v>
      </c>
      <c r="AX27" s="74"/>
      <c r="AY27" s="76">
        <v>1372866443.2</v>
      </c>
      <c r="AZ27" s="95"/>
      <c r="BA27" s="327">
        <v>1372866443.2</v>
      </c>
      <c r="BB27" s="132">
        <f>+Tabla13[[#This Row],[Total Recursos Comprometido 2025]]/Tabla13[[#This Row],[Total 2025]]</f>
        <v>0.61610127002864612</v>
      </c>
      <c r="BC27" s="96">
        <f>+Tabla13[[#This Row],[Total Recursos Obligados]]/Tabla13[[#This Row],[Total 2025]]</f>
        <v>0.54598339477697821</v>
      </c>
      <c r="BD27" s="97">
        <f>+Tabla13[[#This Row],[Total Recursos Pagados]]/Tabla13[[#This Row],[Total 2025]]</f>
        <v>0.54598339477697821</v>
      </c>
      <c r="BE27" s="98"/>
      <c r="BF27" s="2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7" s="130" t="s">
        <v>125</v>
      </c>
      <c r="BH27" s="41" t="s">
        <v>146</v>
      </c>
      <c r="BI27" s="42">
        <v>11</v>
      </c>
    </row>
    <row r="28" spans="1:63" s="310" customFormat="1" ht="126" customHeight="1" thickBot="1">
      <c r="A28" s="328">
        <v>29</v>
      </c>
      <c r="B28" s="309"/>
      <c r="C28" s="309"/>
      <c r="D28" s="309"/>
      <c r="E28" s="309"/>
      <c r="F28" s="309"/>
      <c r="G28" s="309"/>
      <c r="H28" s="329" t="s">
        <v>179</v>
      </c>
      <c r="I28" s="294" t="s">
        <v>180</v>
      </c>
      <c r="J28" s="295">
        <v>3771871745.98</v>
      </c>
      <c r="K28" s="330">
        <v>1868188086.1700001</v>
      </c>
      <c r="L28" s="297"/>
      <c r="M28" s="331" t="s">
        <v>181</v>
      </c>
      <c r="N28" s="332">
        <v>3100</v>
      </c>
      <c r="O28" s="333"/>
      <c r="P28" s="334"/>
      <c r="Q28" s="300"/>
      <c r="R28" s="300"/>
      <c r="S28" s="300"/>
      <c r="T28" s="300"/>
      <c r="U28" s="151">
        <v>1868188086.1700001</v>
      </c>
      <c r="V28" s="335"/>
      <c r="W28" s="300"/>
      <c r="X28" s="300"/>
      <c r="Y28" s="300"/>
      <c r="Z28" s="300"/>
      <c r="AA28" s="300"/>
      <c r="AB28" s="300"/>
      <c r="AC28" s="336"/>
      <c r="AD28" s="300"/>
      <c r="AE28" s="336"/>
      <c r="AF28" s="302">
        <f>SUM(Tabla13[[#This Row],[Recursos propios 2025]:[Recursos del Balance]])-Tabla13[[#This Row],[Reservas 2025]]</f>
        <v>1868188086.1700001</v>
      </c>
      <c r="AG28" s="301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36"/>
      <c r="AW28" s="300">
        <f>SUM(Tabla13[[#This Row],[Recursos propios 20242]:[Recursos del Balance2]])-Tabla13[[#This Row],[RESERVAS COMPROMETIDO]]</f>
        <v>0</v>
      </c>
      <c r="AX28" s="301"/>
      <c r="AY28" s="300"/>
      <c r="AZ28" s="303"/>
      <c r="BA28" s="302"/>
      <c r="BB28" s="337">
        <f>+Tabla13[[#This Row],[Total Recursos Comprometido 2025]]/Tabla13[[#This Row],[Total 2025]]</f>
        <v>0</v>
      </c>
      <c r="BC28" s="338">
        <f>+Tabla13[[#This Row],[Total Recursos Obligados]]/Tabla13[[#This Row],[Total 2025]]</f>
        <v>0</v>
      </c>
      <c r="BD28" s="339">
        <f>+Tabla13[[#This Row],[Total Recursos Pagados]]/Tabla13[[#This Row],[Total 2025]]</f>
        <v>0</v>
      </c>
      <c r="BE28" s="150"/>
      <c r="BF28" s="15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8" s="307" t="s">
        <v>125</v>
      </c>
      <c r="BH28" s="308" t="s">
        <v>146</v>
      </c>
      <c r="BI28" s="309"/>
    </row>
    <row r="29" spans="1:63" s="16" customFormat="1" ht="159" customHeight="1">
      <c r="A29" s="227">
        <v>30</v>
      </c>
      <c r="B29" s="68" t="s">
        <v>90</v>
      </c>
      <c r="C29" s="68" t="s">
        <v>91</v>
      </c>
      <c r="D29" s="68" t="s">
        <v>92</v>
      </c>
      <c r="E29" s="68" t="s">
        <v>93</v>
      </c>
      <c r="F29" s="68">
        <v>4503018</v>
      </c>
      <c r="G29" s="99" t="s">
        <v>101</v>
      </c>
      <c r="H29" s="228">
        <v>2024680010230</v>
      </c>
      <c r="I29" s="68" t="s">
        <v>124</v>
      </c>
      <c r="J29" s="230">
        <v>2814015764.2399998</v>
      </c>
      <c r="K29" s="231">
        <v>1239758855.74</v>
      </c>
      <c r="L29" s="68"/>
      <c r="M29" s="340" t="s">
        <v>107</v>
      </c>
      <c r="N29" s="232"/>
      <c r="O29" s="233"/>
      <c r="P29" s="234">
        <v>150000000</v>
      </c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>
        <v>1089758855.74</v>
      </c>
      <c r="AF29" s="341">
        <f>SUM(Tabla13[[#This Row],[Recursos propios 2025]:[Recursos del Balance]])-Tabla13[[#This Row],[Reservas 2025]]</f>
        <v>1239758855.74</v>
      </c>
      <c r="AG29" s="238">
        <v>63664297</v>
      </c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9">
        <f>SUM(Tabla13[[#This Row],[Recursos propios 20242]:[Recursos del Balance2]])-Tabla13[[#This Row],[RESERVAS COMPROMETIDO]]</f>
        <v>63664297</v>
      </c>
      <c r="AX29" s="238"/>
      <c r="AY29" s="342">
        <v>0</v>
      </c>
      <c r="AZ29" s="343"/>
      <c r="BA29" s="342">
        <v>0</v>
      </c>
      <c r="BB29" s="241">
        <f>+Tabla13[[#This Row],[Total Recursos Comprometido 2025]]/Tabla13[[#This Row],[Total 2025]]</f>
        <v>5.1352161515312911E-2</v>
      </c>
      <c r="BC29" s="242">
        <f>+Tabla13[[#This Row],[Total Recursos Obligados]]/Tabla13[[#This Row],[Total 2025]]</f>
        <v>0</v>
      </c>
      <c r="BD29" s="243">
        <f>+Tabla13[[#This Row],[Total Recursos Pagados]]/Tabla13[[#This Row],[Total 2025]]</f>
        <v>0</v>
      </c>
      <c r="BE29" s="244"/>
      <c r="BF29" s="245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29" s="246" t="s">
        <v>125</v>
      </c>
      <c r="BH29" s="247" t="s">
        <v>146</v>
      </c>
      <c r="BI29" s="248">
        <v>11</v>
      </c>
    </row>
    <row r="30" spans="1:63" s="10" customFormat="1" ht="126.6" customHeight="1">
      <c r="A30" s="68">
        <v>31</v>
      </c>
      <c r="B30" s="68"/>
      <c r="C30" s="68" t="s">
        <v>91</v>
      </c>
      <c r="D30" s="68" t="s">
        <v>92</v>
      </c>
      <c r="E30" s="68" t="s">
        <v>93</v>
      </c>
      <c r="F30" s="68">
        <v>4503017</v>
      </c>
      <c r="G30" s="99" t="s">
        <v>103</v>
      </c>
      <c r="H30" s="65">
        <v>2024680010256</v>
      </c>
      <c r="I30" s="64" t="s">
        <v>182</v>
      </c>
      <c r="J30" s="70">
        <v>0</v>
      </c>
      <c r="K30" s="71">
        <v>0</v>
      </c>
      <c r="L30" s="64"/>
      <c r="M30" s="69" t="s">
        <v>107</v>
      </c>
      <c r="N30" s="64"/>
      <c r="O30" s="66"/>
      <c r="P30" s="102"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27">
        <f>SUM(Tabla13[[#This Row],[Recursos propios 2025]:[Recursos del Balance]])-Tabla13[[#This Row],[Reservas 2025]]</f>
        <v>0</v>
      </c>
      <c r="AG30" s="74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67">
        <f>SUM(Tabla13[[#This Row],[Recursos propios 20242]:[Recursos del Balance2]])-Tabla13[[#This Row],[RESERVAS COMPROMETIDO]]</f>
        <v>0</v>
      </c>
      <c r="AX30" s="74"/>
      <c r="AY30" s="67"/>
      <c r="AZ30" s="101"/>
      <c r="BA30" s="67"/>
      <c r="BB30" s="20" t="e">
        <f>+Tabla13[[#This Row],[Total Recursos Comprometido 2025]]/Tabla13[[#This Row],[Total 2025]]</f>
        <v>#DIV/0!</v>
      </c>
      <c r="BC30" s="33" t="e">
        <f>+Tabla13[[#This Row],[Total Recursos Obligados]]/Tabla13[[#This Row],[Total 2025]]</f>
        <v>#DIV/0!</v>
      </c>
      <c r="BD30" s="34" t="e">
        <f>+Tabla13[[#This Row],[Total Recursos Pagados]]/Tabla13[[#This Row],[Total 2025]]</f>
        <v>#DIV/0!</v>
      </c>
      <c r="BE30" s="77"/>
      <c r="BF30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30" s="130" t="s">
        <v>125</v>
      </c>
      <c r="BH30" s="41" t="s">
        <v>146</v>
      </c>
      <c r="BI30" s="42">
        <v>11</v>
      </c>
    </row>
    <row r="31" spans="1:63" s="10" customFormat="1" ht="168.6" customHeight="1">
      <c r="A31" s="141">
        <v>31</v>
      </c>
      <c r="B31" s="30"/>
      <c r="C31" s="30"/>
      <c r="D31" s="30"/>
      <c r="E31" s="30"/>
      <c r="F31" s="30"/>
      <c r="G31" s="133"/>
      <c r="H31" s="134" t="s">
        <v>158</v>
      </c>
      <c r="I31" s="140" t="s">
        <v>159</v>
      </c>
      <c r="J31" s="148">
        <v>1312304900.2</v>
      </c>
      <c r="K31" s="149">
        <v>1312304900.2</v>
      </c>
      <c r="L31" s="136"/>
      <c r="M31" s="136"/>
      <c r="N31" s="136"/>
      <c r="O31" s="137"/>
      <c r="P31" s="138">
        <v>1312304900.2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25"/>
      <c r="AF31" s="15">
        <f>SUM(Tabla13[[#This Row],[Recursos propios 2025]:[Recursos del Balance]])-Tabla13[[#This Row],[Reservas 2025]]</f>
        <v>1312304900.2</v>
      </c>
      <c r="AG31" s="74">
        <v>1027447416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25"/>
      <c r="AW31" s="15">
        <f>SUM(Tabla13[[#This Row],[Recursos propios 20242]:[Recursos del Balance2]])-Tabla13[[#This Row],[RESERVAS COMPROMETIDO]]</f>
        <v>1027447416</v>
      </c>
      <c r="AX31" s="74"/>
      <c r="AY31" s="15">
        <v>0</v>
      </c>
      <c r="AZ31" s="101"/>
      <c r="BA31" s="67">
        <v>0</v>
      </c>
      <c r="BB31" s="20">
        <f>+Tabla13[[#This Row],[Total Recursos Comprometido 2025]]/Tabla13[[#This Row],[Total 2025]]</f>
        <v>0.78293345993253038</v>
      </c>
      <c r="BC31" s="33">
        <f>+Tabla13[[#This Row],[Total Recursos Obligados]]/Tabla13[[#This Row],[Total 2025]]</f>
        <v>0</v>
      </c>
      <c r="BD31" s="34">
        <f>+Tabla13[[#This Row],[Total Recursos Pagados]]/Tabla13[[#This Row],[Total 2025]]</f>
        <v>0</v>
      </c>
      <c r="BE31" s="77"/>
      <c r="BF31" s="2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31" s="130" t="s">
        <v>125</v>
      </c>
      <c r="BH31" s="41" t="s">
        <v>146</v>
      </c>
      <c r="BI31" s="30"/>
    </row>
    <row r="32" spans="1:63" s="10" customFormat="1" ht="168.6" customHeight="1">
      <c r="A32" s="30">
        <v>245</v>
      </c>
      <c r="B32" s="30" t="s">
        <v>185</v>
      </c>
      <c r="C32" s="30" t="s">
        <v>91</v>
      </c>
      <c r="D32" s="30">
        <v>4599</v>
      </c>
      <c r="E32" s="68" t="s">
        <v>186</v>
      </c>
      <c r="F32" s="30">
        <v>4599002</v>
      </c>
      <c r="G32" s="99" t="s">
        <v>187</v>
      </c>
      <c r="H32" s="134" t="s">
        <v>152</v>
      </c>
      <c r="I32" s="64" t="s">
        <v>153</v>
      </c>
      <c r="J32" s="135">
        <v>17741808053.400002</v>
      </c>
      <c r="K32" s="71">
        <v>17741808053.400002</v>
      </c>
      <c r="L32" s="136"/>
      <c r="M32" s="136"/>
      <c r="N32" s="136"/>
      <c r="O32" s="137"/>
      <c r="P32" s="138">
        <v>8161967352.8000002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>
        <v>9579840700.6000004</v>
      </c>
      <c r="AF32" s="67">
        <f>SUM(Tabla13[[#This Row],[Recursos propios 2025]:[Recursos del Balance]])-Tabla13[[#This Row],[Reservas 2025]]</f>
        <v>17741808053.400002</v>
      </c>
      <c r="AG32" s="74">
        <v>8161967352.8000002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>
        <v>9579840700.6000004</v>
      </c>
      <c r="AW32" s="67">
        <f>SUM(Tabla13[[#This Row],[Recursos propios 20242]:[Recursos del Balance2]])-Tabla13[[#This Row],[RESERVAS COMPROMETIDO]]</f>
        <v>17741808053.400002</v>
      </c>
      <c r="AX32" s="74"/>
      <c r="AY32" s="127">
        <v>17741808053.400002</v>
      </c>
      <c r="AZ32" s="101"/>
      <c r="BA32" s="127">
        <v>17741808053.400002</v>
      </c>
      <c r="BB32" s="20">
        <f>+Tabla13[[#This Row],[Total Recursos Comprometido 2025]]/Tabla13[[#This Row],[Total 2025]]</f>
        <v>1</v>
      </c>
      <c r="BC32" s="33">
        <f>+Tabla13[[#This Row],[Total Recursos Obligados]]/Tabla13[[#This Row],[Total 2025]]</f>
        <v>1</v>
      </c>
      <c r="BD32" s="34">
        <f>+Tabla13[[#This Row],[Total Recursos Pagados]]/Tabla13[[#This Row],[Total 2025]]</f>
        <v>1</v>
      </c>
      <c r="BE32" s="266"/>
      <c r="BF32" s="116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32" s="130"/>
      <c r="BH32" s="41"/>
      <c r="BI32" s="344"/>
    </row>
    <row r="33" spans="1:61" s="10" customFormat="1" ht="45.75" thickBot="1">
      <c r="A33" s="64">
        <v>277</v>
      </c>
      <c r="B33" s="64" t="s">
        <v>104</v>
      </c>
      <c r="C33" s="64" t="s">
        <v>91</v>
      </c>
      <c r="D33" s="64" t="s">
        <v>92</v>
      </c>
      <c r="E33" s="68" t="s">
        <v>93</v>
      </c>
      <c r="F33" s="64">
        <v>4503016</v>
      </c>
      <c r="G33" s="89" t="s">
        <v>105</v>
      </c>
      <c r="H33" s="72"/>
      <c r="I33" s="64"/>
      <c r="J33" s="64"/>
      <c r="K33" s="64"/>
      <c r="L33" s="64"/>
      <c r="M33" s="64"/>
      <c r="N33" s="64"/>
      <c r="O33" s="66"/>
      <c r="P33" s="102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27">
        <f>SUM(Tabla13[[#This Row],[Recursos propios 2025]:[Recursos del Balance]])-Tabla13[[#This Row],[Reservas 2025]]</f>
        <v>0</v>
      </c>
      <c r="AG33" s="74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67">
        <f>SUM(Tabla13[[#This Row],[Recursos propios 20242]:[Recursos del Balance2]])-Tabla13[[#This Row],[RESERVAS COMPROMETIDO]]</f>
        <v>0</v>
      </c>
      <c r="AX33" s="74"/>
      <c r="AY33" s="67"/>
      <c r="AZ33" s="101"/>
      <c r="BA33" s="67"/>
      <c r="BB33" s="20" t="e">
        <f>+Tabla13[[#This Row],[Total Recursos Comprometido 2025]]/Tabla13[[#This Row],[Total 2025]]</f>
        <v>#DIV/0!</v>
      </c>
      <c r="BC33" s="33" t="e">
        <f>+Tabla13[[#This Row],[Total Recursos Obligados]]/Tabla13[[#This Row],[Total 2025]]</f>
        <v>#DIV/0!</v>
      </c>
      <c r="BD33" s="34" t="e">
        <f>+Tabla13[[#This Row],[Total Recursos Pagados]]/Tabla13[[#This Row],[Total 2025]]</f>
        <v>#DIV/0!</v>
      </c>
      <c r="BE33" s="150"/>
      <c r="BF33" s="15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G33" s="130" t="s">
        <v>125</v>
      </c>
      <c r="BH33" s="41" t="s">
        <v>146</v>
      </c>
      <c r="BI33" s="42">
        <v>13</v>
      </c>
    </row>
    <row r="34" spans="1:61" ht="15.75" thickBot="1">
      <c r="A34" s="107"/>
      <c r="B34" s="107"/>
      <c r="C34" s="107"/>
      <c r="D34" s="107"/>
      <c r="E34" s="107"/>
      <c r="F34" s="107"/>
      <c r="G34" s="108"/>
      <c r="H34" s="109"/>
      <c r="I34" s="110"/>
      <c r="J34" s="110"/>
      <c r="K34" s="121">
        <f>SUM(K11:K33)</f>
        <v>98535301037.110016</v>
      </c>
      <c r="L34" s="110"/>
      <c r="M34" s="110"/>
      <c r="N34" s="110"/>
      <c r="O34" s="111"/>
      <c r="P34" s="112">
        <f>SUBTOTAL(109,Tabla13[Recursos propios 2025])</f>
        <v>24276077504.93</v>
      </c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28">
        <f>SUBTOTAL(109,Tabla13[Reservas 2025])</f>
        <v>34533830063.410004</v>
      </c>
      <c r="AE34" s="112">
        <f>SUBTOTAL(109,Tabla13[Recursos del Balance])</f>
        <v>67664274083.339996</v>
      </c>
      <c r="AF34" s="152">
        <f>SUBTOTAL(109,Tabla13[Total 2025])</f>
        <v>98535301037.110016</v>
      </c>
      <c r="AG34" s="114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29">
        <f>SUBTOTAL(109,Tabla13[RESERVAS COMPROMETIDO])</f>
        <v>34533830063.410004</v>
      </c>
      <c r="AV34" s="113"/>
      <c r="AW34" s="115">
        <f>SUBTOTAL(109,Tabla13[Total Recursos Comprometido 2025])</f>
        <v>75033600455.369995</v>
      </c>
      <c r="AX34" s="129">
        <f>SUBTOTAL(109,Tabla13[RESERVAS OBLIGADO])</f>
        <v>29189122770.689999</v>
      </c>
      <c r="AY34" s="115">
        <f>SUBTOTAL(109,Tabla13[Total Recursos Obligados])</f>
        <v>27543351096.25</v>
      </c>
      <c r="AZ34" s="129">
        <f>SUBTOTAL(109,Tabla13[RESERVAS PAGADO])</f>
        <v>29189122770.689999</v>
      </c>
      <c r="BA34" s="116">
        <f>SUBTOTAL(109,Tabla13[Total Recursos Pagados])</f>
        <v>27514451096.240002</v>
      </c>
      <c r="BB34" s="153"/>
      <c r="BC34" s="154"/>
      <c r="BD34" s="154"/>
      <c r="BE34" s="155"/>
      <c r="BF34" s="154"/>
      <c r="BG34" s="107"/>
      <c r="BH34" s="117"/>
      <c r="BI34" s="107"/>
    </row>
    <row r="36" spans="1:61">
      <c r="AF36" s="118"/>
    </row>
    <row r="37" spans="1:61">
      <c r="AF37" s="345">
        <v>98535301037.110001</v>
      </c>
      <c r="AW37" s="345"/>
      <c r="AY37" s="345">
        <v>27514451096.169998</v>
      </c>
      <c r="BA37" s="346">
        <v>23267143811.830002</v>
      </c>
    </row>
    <row r="38" spans="1:61">
      <c r="AW38" s="119"/>
    </row>
    <row r="39" spans="1:61">
      <c r="AF39" s="120">
        <f>AF37-Tabla13[[#Totals],[Total 2025]]</f>
        <v>0</v>
      </c>
      <c r="AW39" s="120"/>
      <c r="AY39" s="120"/>
      <c r="BA39" s="347"/>
    </row>
    <row r="40" spans="1:61">
      <c r="AW40" s="120"/>
      <c r="AY40" s="121"/>
    </row>
  </sheetData>
  <sheetProtection formatCells="0" formatColumns="0" formatRows="0" insertRows="0" autoFilter="0"/>
  <mergeCells count="13">
    <mergeCell ref="A1:B4"/>
    <mergeCell ref="C1:BF4"/>
    <mergeCell ref="BG1:BI1"/>
    <mergeCell ref="BG2:BI2"/>
    <mergeCell ref="BG3:BI3"/>
    <mergeCell ref="BG4:BI4"/>
    <mergeCell ref="BG9:BH9"/>
    <mergeCell ref="A9:G9"/>
    <mergeCell ref="H9:O9"/>
    <mergeCell ref="P9:AF9"/>
    <mergeCell ref="AG9:BA9"/>
    <mergeCell ref="BB9:BD9"/>
    <mergeCell ref="BE9:BF9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zoomScale="60" zoomScaleNormal="60" workbookViewId="0">
      <pane xSplit="1" ySplit="10" topLeftCell="B14" activePane="bottomRight" state="frozen"/>
      <selection pane="topRight" activeCell="B1" sqref="B1"/>
      <selection pane="bottomLeft" activeCell="A11" sqref="A11"/>
      <selection pane="bottomRight"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6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382"/>
      <c r="B1" s="383"/>
      <c r="C1" s="364" t="s">
        <v>31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6"/>
      <c r="BC1" s="373" t="s">
        <v>32</v>
      </c>
      <c r="BD1" s="374"/>
      <c r="BE1" s="375"/>
    </row>
    <row r="2" spans="1:57" ht="30" customHeight="1">
      <c r="A2" s="384"/>
      <c r="B2" s="385"/>
      <c r="C2" s="367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9"/>
      <c r="BC2" s="391" t="s">
        <v>137</v>
      </c>
      <c r="BD2" s="392"/>
      <c r="BE2" s="393"/>
    </row>
    <row r="3" spans="1:57" ht="30" customHeight="1">
      <c r="A3" s="384"/>
      <c r="B3" s="385"/>
      <c r="C3" s="367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9"/>
      <c r="BC3" s="376" t="s">
        <v>138</v>
      </c>
      <c r="BD3" s="377"/>
      <c r="BE3" s="378"/>
    </row>
    <row r="4" spans="1:57" ht="30" customHeight="1" thickBot="1">
      <c r="A4" s="386"/>
      <c r="B4" s="387"/>
      <c r="C4" s="370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9" t="s">
        <v>140</v>
      </c>
      <c r="BD4" s="380"/>
      <c r="BE4" s="381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7"/>
      <c r="AY6" s="37"/>
      <c r="AZ6" s="37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7"/>
      <c r="AY7" s="37"/>
      <c r="AZ7" s="37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7"/>
      <c r="AY8" s="37"/>
      <c r="AZ8" s="37"/>
      <c r="BA8" s="6"/>
      <c r="BB8" s="6"/>
      <c r="BC8" s="12"/>
      <c r="BD8" s="12"/>
      <c r="BE8" s="13"/>
    </row>
    <row r="9" spans="1:57" s="2" customFormat="1" ht="37.9" customHeight="1" thickBot="1">
      <c r="A9" s="350" t="s">
        <v>27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1" t="s">
        <v>26</v>
      </c>
      <c r="P9" s="352"/>
      <c r="Q9" s="353"/>
      <c r="R9" s="354" t="s">
        <v>24</v>
      </c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6"/>
      <c r="AF9" s="357"/>
      <c r="AG9" s="351" t="s">
        <v>23</v>
      </c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3"/>
      <c r="AX9" s="388" t="s">
        <v>69</v>
      </c>
      <c r="AY9" s="389"/>
      <c r="AZ9" s="390"/>
      <c r="BA9" s="352" t="s">
        <v>71</v>
      </c>
      <c r="BB9" s="352"/>
      <c r="BC9" s="348" t="s">
        <v>22</v>
      </c>
      <c r="BD9" s="349"/>
      <c r="BE9" s="14"/>
    </row>
    <row r="10" spans="1:57" s="2" customFormat="1" ht="57" customHeight="1">
      <c r="A10" s="46" t="s">
        <v>20</v>
      </c>
      <c r="B10" s="46" t="s">
        <v>19</v>
      </c>
      <c r="C10" s="46" t="s">
        <v>18</v>
      </c>
      <c r="D10" s="46" t="s">
        <v>17</v>
      </c>
      <c r="E10" s="46" t="s">
        <v>16</v>
      </c>
      <c r="F10" s="46" t="s">
        <v>15</v>
      </c>
      <c r="G10" s="46" t="s">
        <v>14</v>
      </c>
      <c r="H10" s="46" t="s">
        <v>13</v>
      </c>
      <c r="I10" s="46" t="s">
        <v>12</v>
      </c>
      <c r="J10" s="46" t="s">
        <v>30</v>
      </c>
      <c r="K10" s="46" t="s">
        <v>29</v>
      </c>
      <c r="L10" s="46" t="s">
        <v>11</v>
      </c>
      <c r="M10" s="46" t="s">
        <v>33</v>
      </c>
      <c r="N10" s="46" t="s">
        <v>10</v>
      </c>
      <c r="O10" s="46" t="s">
        <v>64</v>
      </c>
      <c r="P10" s="46" t="s">
        <v>9</v>
      </c>
      <c r="Q10" s="46" t="s">
        <v>87</v>
      </c>
      <c r="R10" s="46" t="s">
        <v>72</v>
      </c>
      <c r="S10" s="46" t="s">
        <v>73</v>
      </c>
      <c r="T10" s="46" t="s">
        <v>74</v>
      </c>
      <c r="U10" s="46" t="s">
        <v>75</v>
      </c>
      <c r="V10" s="46" t="s">
        <v>76</v>
      </c>
      <c r="W10" s="46" t="s">
        <v>77</v>
      </c>
      <c r="X10" s="46" t="s">
        <v>78</v>
      </c>
      <c r="Y10" s="46" t="s">
        <v>79</v>
      </c>
      <c r="Z10" s="46" t="s">
        <v>80</v>
      </c>
      <c r="AA10" s="46" t="s">
        <v>81</v>
      </c>
      <c r="AB10" s="46" t="s">
        <v>82</v>
      </c>
      <c r="AC10" s="46" t="s">
        <v>83</v>
      </c>
      <c r="AD10" s="46" t="s">
        <v>84</v>
      </c>
      <c r="AE10" s="46" t="s">
        <v>88</v>
      </c>
      <c r="AF10" s="46" t="s">
        <v>160</v>
      </c>
      <c r="AG10" s="46" t="s">
        <v>85</v>
      </c>
      <c r="AH10" s="46" t="s">
        <v>86</v>
      </c>
      <c r="AI10" s="46" t="s">
        <v>188</v>
      </c>
      <c r="AJ10" s="46" t="s">
        <v>189</v>
      </c>
      <c r="AK10" s="46" t="s">
        <v>190</v>
      </c>
      <c r="AL10" s="46" t="s">
        <v>191</v>
      </c>
      <c r="AM10" s="46" t="s">
        <v>192</v>
      </c>
      <c r="AN10" s="46" t="s">
        <v>193</v>
      </c>
      <c r="AO10" s="46" t="s">
        <v>194</v>
      </c>
      <c r="AP10" s="46" t="s">
        <v>195</v>
      </c>
      <c r="AQ10" s="46" t="s">
        <v>196</v>
      </c>
      <c r="AR10" s="46" t="s">
        <v>197</v>
      </c>
      <c r="AS10" s="46" t="s">
        <v>198</v>
      </c>
      <c r="AT10" s="46" t="s">
        <v>89</v>
      </c>
      <c r="AU10" s="46" t="s">
        <v>161</v>
      </c>
      <c r="AV10" s="46" t="s">
        <v>35</v>
      </c>
      <c r="AW10" s="46" t="s">
        <v>36</v>
      </c>
      <c r="AX10" s="47" t="s">
        <v>68</v>
      </c>
      <c r="AY10" s="47" t="s">
        <v>66</v>
      </c>
      <c r="AZ10" s="47" t="s">
        <v>65</v>
      </c>
      <c r="BA10" s="50" t="s">
        <v>70</v>
      </c>
      <c r="BB10" s="24" t="s">
        <v>67</v>
      </c>
      <c r="BC10" s="46" t="s">
        <v>1</v>
      </c>
      <c r="BD10" s="46" t="s">
        <v>0</v>
      </c>
      <c r="BE10" s="48" t="s">
        <v>21</v>
      </c>
    </row>
    <row r="11" spans="1:57" s="9" customFormat="1" ht="54">
      <c r="A11" s="63">
        <v>26</v>
      </c>
      <c r="B11" s="63" t="s">
        <v>90</v>
      </c>
      <c r="C11" s="63" t="s">
        <v>91</v>
      </c>
      <c r="D11" s="63" t="s">
        <v>92</v>
      </c>
      <c r="E11" s="63" t="s">
        <v>93</v>
      </c>
      <c r="F11" s="63" t="s">
        <v>94</v>
      </c>
      <c r="G11" s="63" t="s">
        <v>95</v>
      </c>
      <c r="H11" s="63">
        <v>450301600</v>
      </c>
      <c r="I11" s="63" t="s">
        <v>127</v>
      </c>
      <c r="J11" s="63">
        <v>4</v>
      </c>
      <c r="K11" s="63" t="s">
        <v>128</v>
      </c>
      <c r="L11" s="63" t="str">
        <f>+'[1]Plan Indicativo'!AC33</f>
        <v>No Acumulativa</v>
      </c>
      <c r="M11" s="29">
        <f>+'[1]Plan Indicativo'!T33</f>
        <v>3</v>
      </c>
      <c r="N11" s="41">
        <f>+'[1]Plan Indicativo'!W33</f>
        <v>0</v>
      </c>
      <c r="O11" s="44">
        <v>0</v>
      </c>
      <c r="P11" s="49" t="e">
        <f>+Tabla1[[#This Row],[Logro Vigencia]]/Tabla1[[#This Row],[Meta Programada Vigencia]]</f>
        <v>#DIV/0!</v>
      </c>
      <c r="Q11" s="51"/>
      <c r="R11" s="75">
        <v>400000000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840974079</v>
      </c>
      <c r="AF11" s="55">
        <f>SUM(Tabla1[[#This Row],[Recursos propios]:[Recursos del Balance]])</f>
        <v>1240974079</v>
      </c>
      <c r="AG11" s="74">
        <v>0</v>
      </c>
      <c r="AH11" s="17"/>
      <c r="AI11" s="17"/>
      <c r="AJ11" s="17"/>
      <c r="AK11" s="17"/>
      <c r="AL11" s="17">
        <v>0</v>
      </c>
      <c r="AM11" s="17"/>
      <c r="AN11" s="17"/>
      <c r="AO11" s="17"/>
      <c r="AP11" s="17"/>
      <c r="AQ11" s="17"/>
      <c r="AR11" s="17"/>
      <c r="AS11" s="17"/>
      <c r="AT11" s="17"/>
      <c r="AU11" s="35">
        <f>SUM(Tabla1[[#This Row],[Recursos propios2]:[Recursos del Balance2]])</f>
        <v>0</v>
      </c>
      <c r="AV11" s="17">
        <v>0</v>
      </c>
      <c r="AW11" s="23">
        <v>0</v>
      </c>
      <c r="AX11" s="21">
        <f>+Tabla1[[#This Row],[Total Recursos Comprometido 2025]]/Tabla1[[#This Row],[Total 2025]]</f>
        <v>0</v>
      </c>
      <c r="AY11" s="18">
        <f>+Tabla1[[#This Row],[Total Recursos Obligados]]/Tabla1[[#This Row],[Total 2025]]</f>
        <v>0</v>
      </c>
      <c r="AZ11" s="22">
        <f>+Tabla1[[#This Row],[Total Recursos Pagados]]/Tabla1[[#This Row],[Total 2025]]</f>
        <v>0</v>
      </c>
      <c r="BA11" s="81">
        <v>0</v>
      </c>
      <c r="BB11" s="59" t="e">
        <f>+Tabla1[[#This Row],[Total Recursos Gestionados2]]/Tabla1[[#This Row],[Total Recursos Comprometido 2025]]</f>
        <v>#DIV/0!</v>
      </c>
      <c r="BC11" s="40" t="s">
        <v>125</v>
      </c>
      <c r="BD11" s="41" t="s">
        <v>126</v>
      </c>
      <c r="BE11" s="42">
        <v>11</v>
      </c>
    </row>
    <row r="12" spans="1:57" s="10" customFormat="1" ht="54">
      <c r="A12" s="78">
        <v>27</v>
      </c>
      <c r="B12" s="78" t="s">
        <v>90</v>
      </c>
      <c r="C12" s="78" t="s">
        <v>91</v>
      </c>
      <c r="D12" s="78" t="s">
        <v>92</v>
      </c>
      <c r="E12" s="78" t="s">
        <v>93</v>
      </c>
      <c r="F12" s="78" t="s">
        <v>129</v>
      </c>
      <c r="G12" s="78" t="s">
        <v>96</v>
      </c>
      <c r="H12" s="78">
        <v>450302300</v>
      </c>
      <c r="I12" s="78" t="s">
        <v>130</v>
      </c>
      <c r="J12" s="79">
        <v>30</v>
      </c>
      <c r="K12" s="78" t="s">
        <v>128</v>
      </c>
      <c r="L12" s="63" t="str">
        <f>+'[1]Plan Indicativo'!AC34</f>
        <v>Acumulativa</v>
      </c>
      <c r="M12" s="29">
        <f>+'[1]Plan Indicativo'!T34</f>
        <v>30</v>
      </c>
      <c r="N12" s="41">
        <f>+'[1]Plan Indicativo'!W34</f>
        <v>8</v>
      </c>
      <c r="O12" s="38">
        <v>8</v>
      </c>
      <c r="P12" s="39">
        <f>+Tabla1[[#This Row],[Logro Vigencia]]/Tabla1[[#This Row],[Meta Programada Vigencia]]</f>
        <v>1</v>
      </c>
      <c r="Q12" s="52"/>
      <c r="R12" s="74">
        <v>500000000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161750000</v>
      </c>
      <c r="AF12" s="56">
        <f>SUM(Tabla1[[#This Row],[Recursos propios]:[Recursos del Balance]])</f>
        <v>661750000</v>
      </c>
      <c r="AG12" s="74">
        <v>460856666.67000002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>
        <v>149043333.33000001</v>
      </c>
      <c r="AU12" s="35">
        <f>SUM(Tabla1[[#This Row],[Recursos propios2]:[Recursos del Balance2]])</f>
        <v>609900000</v>
      </c>
      <c r="AV12" s="15">
        <v>609900000</v>
      </c>
      <c r="AW12" s="26">
        <v>609900000</v>
      </c>
      <c r="AX12" s="57">
        <f>+Tabla1[[#This Row],[Total Recursos Comprometido 2025]]/Tabla1[[#This Row],[Total 2025]]</f>
        <v>0.9216471477143936</v>
      </c>
      <c r="AY12" s="19">
        <f>+Tabla1[[#This Row],[Total Recursos Obligados]]/Tabla1[[#This Row],[Total 2025]]</f>
        <v>0.9216471477143936</v>
      </c>
      <c r="AZ12" s="58">
        <f>+Tabla1[[#This Row],[Total Recursos Pagados]]/Tabla1[[#This Row],[Total 2025]]</f>
        <v>0.9216471477143936</v>
      </c>
      <c r="BA12" s="82">
        <v>0</v>
      </c>
      <c r="BB12" s="59">
        <f>+Tabla1[[#This Row],[Total Recursos Gestionados2]]/Tabla1[[#This Row],[Total Recursos Comprometido 2025]]</f>
        <v>0</v>
      </c>
      <c r="BC12" s="40" t="s">
        <v>125</v>
      </c>
      <c r="BD12" s="41" t="s">
        <v>126</v>
      </c>
      <c r="BE12" s="42">
        <v>11</v>
      </c>
    </row>
    <row r="13" spans="1:57" s="10" customFormat="1" ht="54">
      <c r="A13" s="63">
        <v>28</v>
      </c>
      <c r="B13" s="63" t="s">
        <v>90</v>
      </c>
      <c r="C13" s="63" t="s">
        <v>91</v>
      </c>
      <c r="D13" s="63" t="s">
        <v>92</v>
      </c>
      <c r="E13" s="78" t="s">
        <v>93</v>
      </c>
      <c r="F13" s="63" t="s">
        <v>97</v>
      </c>
      <c r="G13" s="63" t="s">
        <v>98</v>
      </c>
      <c r="H13" s="63">
        <v>450302200</v>
      </c>
      <c r="I13" s="63" t="s">
        <v>131</v>
      </c>
      <c r="J13" s="63">
        <v>17</v>
      </c>
      <c r="K13" s="63" t="s">
        <v>128</v>
      </c>
      <c r="L13" s="63" t="str">
        <f>+'[1]Plan Indicativo'!AC35</f>
        <v>Acumulativa</v>
      </c>
      <c r="M13" s="29">
        <f>+'[1]Plan Indicativo'!T35</f>
        <v>4</v>
      </c>
      <c r="N13" s="41">
        <f>+'[1]Plan Indicativo'!W35</f>
        <v>0.3</v>
      </c>
      <c r="O13" s="44">
        <v>2.9847000000000001</v>
      </c>
      <c r="P13" s="39">
        <f>+Tabla1[[#This Row],[Logro Vigencia]]/Tabla1[[#This Row],[Meta Programada Vigencia]]</f>
        <v>9.9490000000000016</v>
      </c>
      <c r="Q13" s="52"/>
      <c r="R13" s="74">
        <v>12272336848.93</v>
      </c>
      <c r="S13" s="15"/>
      <c r="T13" s="15"/>
      <c r="U13" s="15"/>
      <c r="V13" s="15"/>
      <c r="W13" s="15">
        <v>4726761362.6700001</v>
      </c>
      <c r="X13" s="15"/>
      <c r="Y13" s="15"/>
      <c r="Z13" s="15"/>
      <c r="AA13" s="15"/>
      <c r="AB13" s="15"/>
      <c r="AC13" s="15"/>
      <c r="AD13" s="15"/>
      <c r="AE13" s="15">
        <v>52817121636</v>
      </c>
      <c r="AF13" s="56">
        <f>SUM(Tabla1[[#This Row],[Recursos propios]:[Recursos del Balance]])</f>
        <v>69816219847.600006</v>
      </c>
      <c r="AG13" s="74">
        <v>12233805039.33</v>
      </c>
      <c r="AH13" s="15"/>
      <c r="AI13" s="15"/>
      <c r="AJ13" s="15"/>
      <c r="AK13" s="15"/>
      <c r="AL13" s="15">
        <v>4722065610.6700001</v>
      </c>
      <c r="AM13" s="15"/>
      <c r="AN13" s="15"/>
      <c r="AO13" s="15"/>
      <c r="AP13" s="15"/>
      <c r="AQ13" s="15"/>
      <c r="AR13" s="15"/>
      <c r="AS13" s="15"/>
      <c r="AT13" s="15">
        <v>35538533329</v>
      </c>
      <c r="AU13" s="35">
        <f>SUM(Tabla1[[#This Row],[Recursos propios2]:[Recursos del Balance2]])</f>
        <v>52494403979</v>
      </c>
      <c r="AV13" s="156">
        <v>14360542880.92</v>
      </c>
      <c r="AW13" s="157">
        <v>14360542880.92</v>
      </c>
      <c r="AX13" s="21">
        <f>+Tabla1[[#This Row],[Total Recursos Comprometido 2025]]/Tabla1[[#This Row],[Total 2025]]</f>
        <v>0.75189410273985979</v>
      </c>
      <c r="AY13" s="18">
        <f>+Tabla1[[#This Row],[Total Recursos Obligados]]/Tabla1[[#This Row],[Total 2025]]</f>
        <v>0.20569063911319249</v>
      </c>
      <c r="AZ13" s="22">
        <f>+Tabla1[[#This Row],[Total Recursos Pagados]]/Tabla1[[#This Row],[Total 2025]]</f>
        <v>0.20569063911319249</v>
      </c>
      <c r="BA13" s="81">
        <v>0</v>
      </c>
      <c r="BB13" s="59">
        <f>+Tabla1[[#This Row],[Total Recursos Gestionados2]]/Tabla1[[#This Row],[Total Recursos Comprometido 2025]]</f>
        <v>0</v>
      </c>
      <c r="BC13" s="40" t="s">
        <v>125</v>
      </c>
      <c r="BD13" s="41" t="s">
        <v>126</v>
      </c>
      <c r="BE13" s="42">
        <v>11</v>
      </c>
    </row>
    <row r="14" spans="1:57" s="10" customFormat="1" ht="54">
      <c r="A14" s="78">
        <v>29</v>
      </c>
      <c r="B14" s="78" t="s">
        <v>90</v>
      </c>
      <c r="C14" s="78" t="s">
        <v>91</v>
      </c>
      <c r="D14" s="78" t="s">
        <v>92</v>
      </c>
      <c r="E14" s="78" t="s">
        <v>93</v>
      </c>
      <c r="F14" s="78" t="s">
        <v>132</v>
      </c>
      <c r="G14" s="78" t="s">
        <v>99</v>
      </c>
      <c r="H14" s="78">
        <v>450302800</v>
      </c>
      <c r="I14" s="78" t="s">
        <v>133</v>
      </c>
      <c r="J14" s="79">
        <v>0</v>
      </c>
      <c r="K14" s="78" t="s">
        <v>128</v>
      </c>
      <c r="L14" s="63" t="str">
        <f>+'[1]Plan Indicativo'!AC36</f>
        <v>Acumulativa</v>
      </c>
      <c r="M14" s="29">
        <f>+'[1]Plan Indicativo'!T36</f>
        <v>23000</v>
      </c>
      <c r="N14" s="41">
        <f>+'[1]Plan Indicativo'!W36</f>
        <v>5500</v>
      </c>
      <c r="O14" s="122">
        <v>21227</v>
      </c>
      <c r="P14" s="39">
        <f>+Tabla1[[#This Row],[Logro Vigencia]]/Tabla1[[#This Row],[Meta Programada Vigencia]]</f>
        <v>3.8594545454545455</v>
      </c>
      <c r="Q14" s="52"/>
      <c r="R14" s="80">
        <v>1479468403</v>
      </c>
      <c r="S14" s="15"/>
      <c r="T14" s="15"/>
      <c r="U14" s="15"/>
      <c r="V14" s="15"/>
      <c r="W14" s="15">
        <v>1868188086.1700001</v>
      </c>
      <c r="X14" s="15"/>
      <c r="Y14" s="15"/>
      <c r="Z14" s="15"/>
      <c r="AA14" s="15"/>
      <c r="AB14" s="15"/>
      <c r="AC14" s="15"/>
      <c r="AD14" s="15"/>
      <c r="AE14" s="15">
        <v>2753265473.8600001</v>
      </c>
      <c r="AF14" s="56">
        <f>SUM(Tabla1[[#This Row],[Recursos propios]:[Recursos del Balance]])</f>
        <v>6100921963.0300007</v>
      </c>
      <c r="AG14" s="131">
        <v>1285276709.98</v>
      </c>
      <c r="AH14" s="15"/>
      <c r="AI14" s="15"/>
      <c r="AJ14" s="15"/>
      <c r="AK14" s="15"/>
      <c r="AL14" s="15">
        <v>0</v>
      </c>
      <c r="AM14" s="15"/>
      <c r="AN14" s="15"/>
      <c r="AO14" s="15"/>
      <c r="AP14" s="15"/>
      <c r="AQ14" s="15"/>
      <c r="AR14" s="15"/>
      <c r="AS14" s="15"/>
      <c r="AT14" s="25">
        <v>1823475324.6799998</v>
      </c>
      <c r="AU14" s="35">
        <f>SUM(Tabla1[[#This Row],[Recursos propios2]:[Recursos del Balance2]])</f>
        <v>3108752034.6599998</v>
      </c>
      <c r="AV14" s="15">
        <v>2932441767.8600001</v>
      </c>
      <c r="AW14" s="26">
        <v>2927441767.8600001</v>
      </c>
      <c r="AX14" s="57">
        <f>+Tabla1[[#This Row],[Total Recursos Comprometido 2025]]/Tabla1[[#This Row],[Total 2025]]</f>
        <v>0.50955446627546264</v>
      </c>
      <c r="AY14" s="19">
        <f>+Tabla1[[#This Row],[Total Recursos Obligados]]/Tabla1[[#This Row],[Total 2025]]</f>
        <v>0.48065551168001069</v>
      </c>
      <c r="AZ14" s="58">
        <f>+Tabla1[[#This Row],[Total Recursos Pagados]]/Tabla1[[#This Row],[Total 2025]]</f>
        <v>0.47983596341660084</v>
      </c>
      <c r="BA14" s="82">
        <v>0</v>
      </c>
      <c r="BB14" s="59">
        <f>+Tabla1[[#This Row],[Total Recursos Gestionados2]]/Tabla1[[#This Row],[Total Recursos Comprometido 2025]]</f>
        <v>0</v>
      </c>
      <c r="BC14" s="40" t="s">
        <v>125</v>
      </c>
      <c r="BD14" s="41" t="s">
        <v>126</v>
      </c>
      <c r="BE14" s="42">
        <v>11</v>
      </c>
    </row>
    <row r="15" spans="1:57" s="10" customFormat="1" ht="54">
      <c r="A15" s="63">
        <v>30</v>
      </c>
      <c r="B15" s="63" t="s">
        <v>90</v>
      </c>
      <c r="C15" s="63" t="s">
        <v>91</v>
      </c>
      <c r="D15" s="63" t="s">
        <v>92</v>
      </c>
      <c r="E15" s="78" t="s">
        <v>93</v>
      </c>
      <c r="F15" s="63" t="s">
        <v>100</v>
      </c>
      <c r="G15" s="63" t="s">
        <v>101</v>
      </c>
      <c r="H15" s="63">
        <v>450301800</v>
      </c>
      <c r="I15" s="63" t="s">
        <v>134</v>
      </c>
      <c r="J15" s="63">
        <v>30</v>
      </c>
      <c r="K15" s="63" t="s">
        <v>128</v>
      </c>
      <c r="L15" s="63" t="str">
        <f>+'[1]Plan Indicativo'!AC37</f>
        <v>Acumulativa</v>
      </c>
      <c r="M15" s="29">
        <f>+'[1]Plan Indicativo'!T37</f>
        <v>35</v>
      </c>
      <c r="N15" s="41">
        <f>+'[1]Plan Indicativo'!W37</f>
        <v>1</v>
      </c>
      <c r="O15" s="38">
        <v>1</v>
      </c>
      <c r="P15" s="43">
        <f>+Tabla1[[#This Row],[Logro Vigencia]]/Tabla1[[#This Row],[Meta Programada Vigencia]]</f>
        <v>1</v>
      </c>
      <c r="Q15" s="53"/>
      <c r="R15" s="74">
        <v>150000000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1089758855.74</v>
      </c>
      <c r="AF15" s="56">
        <f>SUM(Tabla1[[#This Row],[Recursos propios]:[Recursos del Balance]])</f>
        <v>1239758855.74</v>
      </c>
      <c r="AG15" s="74">
        <v>63664297</v>
      </c>
      <c r="AH15" s="15"/>
      <c r="AI15" s="15"/>
      <c r="AJ15" s="15"/>
      <c r="AK15" s="15"/>
      <c r="AL15" s="15">
        <v>0</v>
      </c>
      <c r="AM15" s="15"/>
      <c r="AN15" s="15"/>
      <c r="AO15" s="15"/>
      <c r="AP15" s="15"/>
      <c r="AQ15" s="15"/>
      <c r="AR15" s="15"/>
      <c r="AS15" s="15"/>
      <c r="AT15" s="15">
        <v>0</v>
      </c>
      <c r="AU15" s="35">
        <f>SUM(Tabla1[[#This Row],[Recursos propios2]:[Recursos del Balance2]])</f>
        <v>63664297</v>
      </c>
      <c r="AV15" s="15">
        <v>0</v>
      </c>
      <c r="AW15" s="26">
        <v>0</v>
      </c>
      <c r="AX15" s="20">
        <f>+Tabla1[[#This Row],[Total Recursos Comprometido 2025]]/Tabla1[[#This Row],[Total 2025]]</f>
        <v>5.1352161515312911E-2</v>
      </c>
      <c r="AY15" s="33">
        <f>+Tabla1[[#This Row],[Total Recursos Obligados]]/Tabla1[[#This Row],[Total 2025]]</f>
        <v>0</v>
      </c>
      <c r="AZ15" s="34">
        <f>+Tabla1[[#This Row],[Total Recursos Pagados]]/Tabla1[[#This Row],[Total 2025]]</f>
        <v>0</v>
      </c>
      <c r="BA15" s="83">
        <v>0</v>
      </c>
      <c r="BB15" s="59">
        <f>+Tabla1[[#This Row],[Total Recursos Gestionados2]]/Tabla1[[#This Row],[Total Recursos Comprometido 2025]]</f>
        <v>0</v>
      </c>
      <c r="BC15" s="40" t="s">
        <v>125</v>
      </c>
      <c r="BD15" s="41" t="s">
        <v>126</v>
      </c>
      <c r="BE15" s="42">
        <v>11</v>
      </c>
    </row>
    <row r="16" spans="1:57" s="10" customFormat="1" ht="36">
      <c r="A16" s="78">
        <v>31</v>
      </c>
      <c r="B16" s="78" t="s">
        <v>90</v>
      </c>
      <c r="C16" s="78" t="s">
        <v>91</v>
      </c>
      <c r="D16" s="78" t="s">
        <v>92</v>
      </c>
      <c r="E16" s="78" t="s">
        <v>93</v>
      </c>
      <c r="F16" s="78" t="s">
        <v>102</v>
      </c>
      <c r="G16" s="78" t="s">
        <v>103</v>
      </c>
      <c r="H16" s="78">
        <v>450301700</v>
      </c>
      <c r="I16" s="78" t="s">
        <v>135</v>
      </c>
      <c r="J16" s="79">
        <v>8</v>
      </c>
      <c r="K16" s="78" t="s">
        <v>128</v>
      </c>
      <c r="L16" s="63" t="str">
        <f>+'[1]Plan Indicativo'!AC38</f>
        <v>Acumulativa</v>
      </c>
      <c r="M16" s="29">
        <f>+'[1]Plan Indicativo'!T38</f>
        <v>8</v>
      </c>
      <c r="N16" s="41">
        <f>+'[1]Plan Indicativo'!W38</f>
        <v>0.5</v>
      </c>
      <c r="O16" s="44">
        <v>0.51929999999999998</v>
      </c>
      <c r="P16" s="45">
        <f>+Tabla1[[#This Row],[Logro Vigencia]]/Tabla1[[#This Row],[Meta Programada Vigencia]]</f>
        <v>1.0386</v>
      </c>
      <c r="Q16" s="54"/>
      <c r="R16" s="75">
        <v>1312304900.2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>
        <v>0</v>
      </c>
      <c r="AF16" s="56">
        <f>SUM(Tabla1[[#This Row],[Recursos propios]:[Recursos del Balance]])</f>
        <v>1312304900.2</v>
      </c>
      <c r="AG16" s="75">
        <v>1027447416</v>
      </c>
      <c r="AH16" s="17"/>
      <c r="AI16" s="17"/>
      <c r="AJ16" s="17"/>
      <c r="AK16" s="17"/>
      <c r="AL16" s="17">
        <v>0</v>
      </c>
      <c r="AM16" s="17"/>
      <c r="AN16" s="17"/>
      <c r="AO16" s="17"/>
      <c r="AP16" s="17"/>
      <c r="AQ16" s="17"/>
      <c r="AR16" s="17"/>
      <c r="AS16" s="17"/>
      <c r="AT16" s="17">
        <v>0</v>
      </c>
      <c r="AU16" s="35">
        <f>SUM(Tabla1[[#This Row],[Recursos propios2]:[Recursos del Balance2]])</f>
        <v>1027447416</v>
      </c>
      <c r="AV16" s="17">
        <v>0</v>
      </c>
      <c r="AW16" s="23">
        <v>0</v>
      </c>
      <c r="AX16" s="21">
        <f>+Tabla1[[#This Row],[Total Recursos Comprometido 2025]]/Tabla1[[#This Row],[Total 2025]]</f>
        <v>0.78293345993253038</v>
      </c>
      <c r="AY16" s="18">
        <f>+Tabla1[[#This Row],[Total Recursos Obligados]]/Tabla1[[#This Row],[Total 2025]]</f>
        <v>0</v>
      </c>
      <c r="AZ16" s="22">
        <f>+Tabla1[[#This Row],[Total Recursos Pagados]]/Tabla1[[#This Row],[Total 2025]]</f>
        <v>0</v>
      </c>
      <c r="BA16" s="81">
        <v>0</v>
      </c>
      <c r="BB16" s="59">
        <f>+Tabla1[[#This Row],[Total Recursos Gestionados2]]/Tabla1[[#This Row],[Total Recursos Comprometido 2025]]</f>
        <v>0</v>
      </c>
      <c r="BC16" s="40" t="s">
        <v>125</v>
      </c>
      <c r="BD16" s="41" t="s">
        <v>126</v>
      </c>
      <c r="BE16" s="42">
        <v>11</v>
      </c>
    </row>
    <row r="17" spans="1:57" s="414" customFormat="1" ht="36">
      <c r="A17" s="394">
        <v>277</v>
      </c>
      <c r="B17" s="394" t="s">
        <v>104</v>
      </c>
      <c r="C17" s="394" t="s">
        <v>91</v>
      </c>
      <c r="D17" s="394" t="s">
        <v>92</v>
      </c>
      <c r="E17" s="395" t="s">
        <v>93</v>
      </c>
      <c r="F17" s="394" t="s">
        <v>94</v>
      </c>
      <c r="G17" s="394" t="s">
        <v>105</v>
      </c>
      <c r="H17" s="394">
        <v>450301600</v>
      </c>
      <c r="I17" s="394" t="s">
        <v>136</v>
      </c>
      <c r="J17" s="394">
        <v>0</v>
      </c>
      <c r="K17" s="394" t="s">
        <v>128</v>
      </c>
      <c r="L17" s="394" t="str">
        <f>+'[1]Plan Indicativo'!$AC$285</f>
        <v>Acumulativa</v>
      </c>
      <c r="M17" s="396">
        <f>+'[1]Plan Indicativo'!$T$285</f>
        <v>1</v>
      </c>
      <c r="N17" s="397">
        <f>+'[1]Plan Indicativo'!$W$285</f>
        <v>0</v>
      </c>
      <c r="O17" s="398">
        <v>0</v>
      </c>
      <c r="P17" s="399" t="e">
        <f>+Tabla1[[#This Row],[Logro Vigencia]]/Tabla1[[#This Row],[Meta Programada Vigencia]]</f>
        <v>#DIV/0!</v>
      </c>
      <c r="Q17" s="400"/>
      <c r="R17" s="401">
        <v>0</v>
      </c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>
        <v>0</v>
      </c>
      <c r="AF17" s="403">
        <f>SUM(Tabla1[[#This Row],[Recursos propios]:[Recursos del Balance]])</f>
        <v>0</v>
      </c>
      <c r="AG17" s="401">
        <v>0</v>
      </c>
      <c r="AH17" s="402"/>
      <c r="AI17" s="402"/>
      <c r="AJ17" s="402"/>
      <c r="AK17" s="402"/>
      <c r="AL17" s="402">
        <v>0</v>
      </c>
      <c r="AM17" s="402"/>
      <c r="AN17" s="402"/>
      <c r="AO17" s="402"/>
      <c r="AP17" s="402"/>
      <c r="AQ17" s="402"/>
      <c r="AR17" s="402"/>
      <c r="AS17" s="402"/>
      <c r="AT17" s="402"/>
      <c r="AU17" s="404">
        <f>SUM(Tabla1[[#This Row],[Recursos propios2]:[Recursos del Balance2]])</f>
        <v>0</v>
      </c>
      <c r="AV17" s="402"/>
      <c r="AW17" s="405"/>
      <c r="AX17" s="406" t="e">
        <f>+Tabla1[[#This Row],[Total Recursos Comprometido 2025]]/Tabla1[[#This Row],[Total 2025]]</f>
        <v>#DIV/0!</v>
      </c>
      <c r="AY17" s="407" t="e">
        <f>+Tabla1[[#This Row],[Total Recursos Obligados]]/Tabla1[[#This Row],[Total 2025]]</f>
        <v>#DIV/0!</v>
      </c>
      <c r="AZ17" s="408" t="e">
        <f>+Tabla1[[#This Row],[Total Recursos Pagados]]/Tabla1[[#This Row],[Total 2025]]</f>
        <v>#DIV/0!</v>
      </c>
      <c r="BA17" s="409">
        <v>0</v>
      </c>
      <c r="BB17" s="410" t="e">
        <f>+Tabla1[[#This Row],[Total Recursos Gestionados2]]/Tabla1[[#This Row],[Total Recursos Comprometido 2025]]</f>
        <v>#DIV/0!</v>
      </c>
      <c r="BC17" s="411" t="s">
        <v>125</v>
      </c>
      <c r="BD17" s="412" t="s">
        <v>126</v>
      </c>
      <c r="BE17" s="413">
        <v>13</v>
      </c>
    </row>
    <row r="18" spans="1:57" s="182" customFormat="1" ht="36">
      <c r="A18" s="159">
        <v>104</v>
      </c>
      <c r="B18" s="159" t="s">
        <v>104</v>
      </c>
      <c r="C18" s="159" t="s">
        <v>168</v>
      </c>
      <c r="D18" s="159" t="s">
        <v>169</v>
      </c>
      <c r="E18" s="159" t="s">
        <v>170</v>
      </c>
      <c r="F18" s="159">
        <v>2402115</v>
      </c>
      <c r="G18" s="159" t="s">
        <v>171</v>
      </c>
      <c r="H18" s="159">
        <v>240211500</v>
      </c>
      <c r="I18" s="159" t="s">
        <v>163</v>
      </c>
      <c r="J18" s="171">
        <v>0</v>
      </c>
      <c r="K18" s="159" t="s">
        <v>164</v>
      </c>
      <c r="L18" s="159" t="s">
        <v>165</v>
      </c>
      <c r="M18" s="172">
        <v>80</v>
      </c>
      <c r="N18" s="169">
        <v>25</v>
      </c>
      <c r="O18" s="122">
        <v>0</v>
      </c>
      <c r="P18" s="173">
        <v>0</v>
      </c>
      <c r="Q18" s="174"/>
      <c r="R18" s="175"/>
      <c r="S18" s="176"/>
      <c r="T18" s="176"/>
      <c r="U18" s="176"/>
      <c r="V18" s="176"/>
      <c r="W18" s="177"/>
      <c r="X18" s="176"/>
      <c r="Y18" s="176"/>
      <c r="Z18" s="176"/>
      <c r="AA18" s="176"/>
      <c r="AB18" s="176"/>
      <c r="AC18" s="176"/>
      <c r="AD18" s="176"/>
      <c r="AE18" s="176">
        <v>295094336.69999999</v>
      </c>
      <c r="AF18" s="178">
        <f>SUM(R18:AE18)</f>
        <v>295094336.69999999</v>
      </c>
      <c r="AG18" s="165"/>
      <c r="AH18" s="175"/>
      <c r="AI18" s="176"/>
      <c r="AJ18" s="176"/>
      <c r="AK18" s="176"/>
      <c r="AL18" s="176">
        <v>0</v>
      </c>
      <c r="AM18" s="176"/>
      <c r="AN18" s="176"/>
      <c r="AO18" s="176"/>
      <c r="AP18" s="176"/>
      <c r="AQ18" s="176"/>
      <c r="AR18" s="176"/>
      <c r="AS18" s="176"/>
      <c r="AT18" s="176"/>
      <c r="AU18" s="166">
        <f>SUM(AG18:AT18)</f>
        <v>0</v>
      </c>
      <c r="AV18" s="176"/>
      <c r="AW18" s="166"/>
      <c r="AX18" s="179">
        <f t="shared" ref="AX18:AX19" si="0">+AU18/AF18</f>
        <v>0</v>
      </c>
      <c r="AY18" s="96">
        <f t="shared" ref="AY18:AY19" si="1">+AV18/AF18</f>
        <v>0</v>
      </c>
      <c r="AZ18" s="180">
        <f t="shared" ref="AZ18:AZ19" si="2">+AW18/AF18</f>
        <v>0</v>
      </c>
      <c r="BA18" s="181"/>
      <c r="BB18" s="132">
        <v>0</v>
      </c>
      <c r="BC18" s="168" t="s">
        <v>125</v>
      </c>
      <c r="BD18" s="169" t="s">
        <v>126</v>
      </c>
      <c r="BE18" s="170">
        <v>13</v>
      </c>
    </row>
    <row r="19" spans="1:57" s="182" customFormat="1" ht="36">
      <c r="A19" s="159">
        <v>106</v>
      </c>
      <c r="B19" s="159" t="s">
        <v>104</v>
      </c>
      <c r="C19" s="159" t="s">
        <v>168</v>
      </c>
      <c r="D19" s="159" t="s">
        <v>169</v>
      </c>
      <c r="E19" s="159" t="s">
        <v>170</v>
      </c>
      <c r="F19" s="159" t="s">
        <v>172</v>
      </c>
      <c r="G19" s="159" t="s">
        <v>173</v>
      </c>
      <c r="H19" s="158">
        <v>240211200</v>
      </c>
      <c r="I19" s="158" t="s">
        <v>166</v>
      </c>
      <c r="J19" s="158">
        <v>110</v>
      </c>
      <c r="K19" s="159" t="s">
        <v>164</v>
      </c>
      <c r="L19" s="158" t="s">
        <v>167</v>
      </c>
      <c r="M19" s="160">
        <v>110</v>
      </c>
      <c r="N19" s="161">
        <v>110</v>
      </c>
      <c r="O19" s="162">
        <v>0</v>
      </c>
      <c r="P19" s="173">
        <v>0</v>
      </c>
      <c r="Q19" s="53"/>
      <c r="R19" s="163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>
        <v>126469001.44</v>
      </c>
      <c r="AF19" s="178">
        <f>SUM(R19:AE19)</f>
        <v>126469001.44</v>
      </c>
      <c r="AG19" s="165"/>
      <c r="AH19" s="163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6">
        <f>SUM(AG19:AT19)</f>
        <v>0</v>
      </c>
      <c r="AV19" s="164"/>
      <c r="AW19" s="166"/>
      <c r="AX19" s="179">
        <f t="shared" si="0"/>
        <v>0</v>
      </c>
      <c r="AY19" s="96">
        <f t="shared" si="1"/>
        <v>0</v>
      </c>
      <c r="AZ19" s="180">
        <f t="shared" si="2"/>
        <v>0</v>
      </c>
      <c r="BA19" s="167"/>
      <c r="BB19" s="132">
        <v>0</v>
      </c>
      <c r="BC19" s="168" t="s">
        <v>125</v>
      </c>
      <c r="BD19" s="169" t="s">
        <v>126</v>
      </c>
      <c r="BE19" s="170">
        <v>13</v>
      </c>
    </row>
    <row r="20" spans="1:57" s="182" customFormat="1" ht="54">
      <c r="A20" s="159">
        <v>245</v>
      </c>
      <c r="B20" s="159" t="s">
        <v>185</v>
      </c>
      <c r="C20" s="159" t="s">
        <v>91</v>
      </c>
      <c r="D20" s="159">
        <v>4599</v>
      </c>
      <c r="E20" s="159" t="s">
        <v>186</v>
      </c>
      <c r="F20" s="159">
        <v>4599002</v>
      </c>
      <c r="G20" s="159" t="s">
        <v>187</v>
      </c>
      <c r="H20" s="159">
        <v>459900200</v>
      </c>
      <c r="I20" s="159" t="s">
        <v>183</v>
      </c>
      <c r="J20" s="171">
        <v>1</v>
      </c>
      <c r="K20" s="159" t="s">
        <v>184</v>
      </c>
      <c r="L20" s="159" t="s">
        <v>165</v>
      </c>
      <c r="M20" s="172">
        <v>1</v>
      </c>
      <c r="N20" s="169">
        <v>0.3</v>
      </c>
      <c r="O20" s="122">
        <v>0.3</v>
      </c>
      <c r="P20" s="173">
        <v>0</v>
      </c>
      <c r="Q20" s="174"/>
      <c r="R20" s="175">
        <v>8161967352.8000002</v>
      </c>
      <c r="S20" s="176"/>
      <c r="T20" s="176"/>
      <c r="U20" s="176"/>
      <c r="V20" s="176"/>
      <c r="W20" s="177"/>
      <c r="X20" s="176"/>
      <c r="Y20" s="176"/>
      <c r="Z20" s="176"/>
      <c r="AA20" s="176"/>
      <c r="AB20" s="176"/>
      <c r="AC20" s="176"/>
      <c r="AD20" s="176"/>
      <c r="AE20" s="176">
        <v>9579840700.6000004</v>
      </c>
      <c r="AF20" s="178">
        <f>SUM(R20:AE20)</f>
        <v>17741808053.400002</v>
      </c>
      <c r="AG20" s="165">
        <v>8161967352.8000002</v>
      </c>
      <c r="AH20" s="175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>
        <v>9579840700.6000004</v>
      </c>
      <c r="AU20" s="166">
        <f>SUM(AG20:AT20)</f>
        <v>17741808053.400002</v>
      </c>
      <c r="AV20" s="183">
        <v>17741808053.400002</v>
      </c>
      <c r="AW20" s="184">
        <v>17741808053.400002</v>
      </c>
      <c r="AX20" s="179">
        <f>+AU20/AF20</f>
        <v>1</v>
      </c>
      <c r="AY20" s="96">
        <f>+AV20/AF20</f>
        <v>1</v>
      </c>
      <c r="AZ20" s="180">
        <f>+AW20/AF20</f>
        <v>1</v>
      </c>
      <c r="BA20" s="185"/>
      <c r="BB20" s="132">
        <v>0</v>
      </c>
      <c r="BC20" s="168" t="s">
        <v>125</v>
      </c>
      <c r="BD20" s="169" t="s">
        <v>126</v>
      </c>
      <c r="BE20" s="170">
        <v>13</v>
      </c>
    </row>
    <row r="21" spans="1:57">
      <c r="AF21" s="121">
        <f>SUM(AF11:AF20)</f>
        <v>98535301037.110016</v>
      </c>
      <c r="AU21" s="121">
        <f>SUM(AU11:AU20)</f>
        <v>75045975780.059998</v>
      </c>
      <c r="AV21" s="121">
        <f t="shared" ref="AV21:AW21" si="3">SUM(AV11:AV20)</f>
        <v>35644692702.18</v>
      </c>
      <c r="AW21" s="121">
        <f t="shared" si="3"/>
        <v>35639692702.18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2026-02-06T02:22:43Z</dcterms:modified>
</cp:coreProperties>
</file>