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d:\Desktop\Alcaldía Bga 2025\Seguimiento PDM 2024-2027\Planes de Acción\"/>
    </mc:Choice>
  </mc:AlternateContent>
  <xr:revisionPtr revIDLastSave="0" documentId="13_ncr:1_{BE9FCB0D-C2EC-4607-9232-B952C335B2D7}" xr6:coauthVersionLast="47" xr6:coauthVersionMax="47" xr10:uidLastSave="{00000000-0000-0000-0000-000000000000}"/>
  <bookViews>
    <workbookView xWindow="-120" yWindow="-120" windowWidth="20730" windowHeight="11160" activeTab="1" xr2:uid="{00000000-000D-0000-FFFF-FFFF00000000}"/>
  </bookViews>
  <sheets>
    <sheet name="Plan de Acción-proyectos" sheetId="8" r:id="rId1"/>
    <sheet name="Plan de Acción-metas" sheetId="1" r:id="rId2"/>
  </sheets>
  <externalReferences>
    <externalReference r:id="rId3"/>
  </externalReferences>
  <definedNames>
    <definedName name="_xlnm._FilterDatabase" localSheetId="1" hidden="1">'Plan de Acción-metas'!$A$10:$BE$10</definedName>
    <definedName name="_xlnm._FilterDatabase" localSheetId="0" hidden="1">'Plan de Acción-proyectos'!$A$10:$BE$10</definedName>
    <definedName name="PA" localSheetId="0">'Plan de Acción-proyectos'!$A$9:$BE$29</definedName>
    <definedName name="PA">'Plan de Acción-metas'!$A$9:$BE$27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11" i="1" l="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W59" i="8"/>
  <c r="AW61" i="8" s="1"/>
  <c r="AV59" i="8"/>
  <c r="AV61" i="8" s="1"/>
  <c r="AT59" i="8"/>
  <c r="AT61" i="8" s="1"/>
  <c r="AS59" i="8"/>
  <c r="AS61" i="8" s="1"/>
  <c r="AR59" i="8"/>
  <c r="AR61" i="8" s="1"/>
  <c r="AQ59" i="8"/>
  <c r="AQ61" i="8" s="1"/>
  <c r="AP59" i="8"/>
  <c r="AP61" i="8" s="1"/>
  <c r="AO59" i="8"/>
  <c r="AO61" i="8" s="1"/>
  <c r="AN59" i="8"/>
  <c r="AN61" i="8" s="1"/>
  <c r="AM59" i="8"/>
  <c r="AM61" i="8" s="1"/>
  <c r="AL59" i="8"/>
  <c r="AL61" i="8" s="1"/>
  <c r="AK59" i="8"/>
  <c r="AK61" i="8" s="1"/>
  <c r="AJ59" i="8"/>
  <c r="AJ61" i="8" s="1"/>
  <c r="AI59" i="8"/>
  <c r="AI61" i="8" s="1"/>
  <c r="AH59" i="8"/>
  <c r="AH61" i="8" s="1"/>
  <c r="AG59" i="8"/>
  <c r="AG61" i="8" s="1"/>
  <c r="AF59" i="8"/>
  <c r="AF61" i="8" s="1"/>
  <c r="AB59" i="8"/>
  <c r="AA59" i="8"/>
  <c r="Z59" i="8"/>
  <c r="Y59" i="8"/>
  <c r="X59" i="8"/>
  <c r="W59" i="8"/>
  <c r="V59" i="8"/>
  <c r="U59" i="8"/>
  <c r="T59" i="8"/>
  <c r="S59" i="8"/>
  <c r="R59" i="8"/>
  <c r="Q59" i="8"/>
  <c r="BB56" i="8"/>
  <c r="AU56" i="8"/>
  <c r="AX56" i="8" s="1"/>
  <c r="AE56" i="8"/>
  <c r="AZ56" i="8" s="1"/>
  <c r="K56" i="8"/>
  <c r="J56" i="8"/>
  <c r="BB55" i="8"/>
  <c r="AU55" i="8"/>
  <c r="P55" i="8"/>
  <c r="AE55" i="8" s="1"/>
  <c r="AZ55" i="8" s="1"/>
  <c r="K55" i="8"/>
  <c r="J55" i="8"/>
  <c r="BB54" i="8"/>
  <c r="AY54" i="8"/>
  <c r="AU54" i="8"/>
  <c r="AX54" i="8" s="1"/>
  <c r="AE54" i="8"/>
  <c r="AZ54" i="8" s="1"/>
  <c r="BB53" i="8"/>
  <c r="AU53" i="8"/>
  <c r="AD53" i="8"/>
  <c r="P53" i="8"/>
  <c r="AE53" i="8" s="1"/>
  <c r="AZ53" i="8" s="1"/>
  <c r="BB52" i="8"/>
  <c r="AU52" i="8"/>
  <c r="AD52" i="8"/>
  <c r="AD59" i="8" s="1"/>
  <c r="AD61" i="8" s="1"/>
  <c r="BB51" i="8"/>
  <c r="AY51" i="8"/>
  <c r="AU51" i="8"/>
  <c r="AX51" i="8" s="1"/>
  <c r="AE51" i="8"/>
  <c r="AZ51" i="8" s="1"/>
  <c r="BB50" i="8"/>
  <c r="AU50" i="8"/>
  <c r="AE50" i="8"/>
  <c r="AZ50" i="8" s="1"/>
  <c r="BB49" i="8"/>
  <c r="AY49" i="8"/>
  <c r="AU49" i="8"/>
  <c r="AX49" i="8" s="1"/>
  <c r="AE49" i="8"/>
  <c r="AZ49" i="8" s="1"/>
  <c r="BB48" i="8"/>
  <c r="AU48" i="8"/>
  <c r="AE48" i="8"/>
  <c r="AZ48" i="8" s="1"/>
  <c r="BB47" i="8"/>
  <c r="AY47" i="8"/>
  <c r="AU47" i="8"/>
  <c r="AX47" i="8" s="1"/>
  <c r="AE47" i="8"/>
  <c r="AZ47" i="8" s="1"/>
  <c r="BB46" i="8"/>
  <c r="AU46" i="8"/>
  <c r="AE46" i="8"/>
  <c r="AZ46" i="8" s="1"/>
  <c r="BB45" i="8"/>
  <c r="AY45" i="8"/>
  <c r="AU45" i="8"/>
  <c r="AX45" i="8" s="1"/>
  <c r="AE45" i="8"/>
  <c r="AZ45" i="8" s="1"/>
  <c r="BB44" i="8"/>
  <c r="AU44" i="8"/>
  <c r="AE44" i="8"/>
  <c r="AZ44" i="8" s="1"/>
  <c r="P44" i="8"/>
  <c r="K44" i="8"/>
  <c r="J44" i="8"/>
  <c r="BB43" i="8"/>
  <c r="AU43" i="8"/>
  <c r="AX43" i="8" s="1"/>
  <c r="AE43" i="8"/>
  <c r="AZ43" i="8" s="1"/>
  <c r="K43" i="8"/>
  <c r="J43" i="8"/>
  <c r="BB42" i="8"/>
  <c r="AU42" i="8"/>
  <c r="AX42" i="8" s="1"/>
  <c r="AE42" i="8"/>
  <c r="AZ42" i="8" s="1"/>
  <c r="BB41" i="8"/>
  <c r="AU41" i="8"/>
  <c r="AE41" i="8"/>
  <c r="AZ41" i="8" s="1"/>
  <c r="BB40" i="8"/>
  <c r="AU40" i="8"/>
  <c r="AX40" i="8" s="1"/>
  <c r="AE40" i="8"/>
  <c r="AZ40" i="8" s="1"/>
  <c r="BB39" i="8"/>
  <c r="AU39" i="8"/>
  <c r="AE39" i="8"/>
  <c r="AZ39" i="8" s="1"/>
  <c r="BB38" i="8"/>
  <c r="AU38" i="8"/>
  <c r="AE38" i="8"/>
  <c r="AZ38" i="8" s="1"/>
  <c r="K38" i="8"/>
  <c r="J38" i="8"/>
  <c r="BB37" i="8"/>
  <c r="AU37" i="8"/>
  <c r="AE37" i="8"/>
  <c r="AZ37" i="8" s="1"/>
  <c r="BB36" i="8"/>
  <c r="AU36" i="8"/>
  <c r="P36" i="8"/>
  <c r="AE36" i="8" s="1"/>
  <c r="BB35" i="8"/>
  <c r="AU35" i="8"/>
  <c r="P35" i="8"/>
  <c r="AE35" i="8" s="1"/>
  <c r="BB34" i="8"/>
  <c r="AU34" i="8"/>
  <c r="P34" i="8"/>
  <c r="AE34" i="8" s="1"/>
  <c r="K34" i="8"/>
  <c r="J34" i="8"/>
  <c r="BB33" i="8"/>
  <c r="AU33" i="8"/>
  <c r="AX33" i="8" s="1"/>
  <c r="AE33" i="8"/>
  <c r="AZ33" i="8" s="1"/>
  <c r="K33" i="8"/>
  <c r="J33" i="8"/>
  <c r="AU32" i="8"/>
  <c r="P32" i="8"/>
  <c r="AE32" i="8" s="1"/>
  <c r="K32" i="8"/>
  <c r="J32" i="8"/>
  <c r="AU31" i="8"/>
  <c r="AE31" i="8"/>
  <c r="AZ31" i="8" s="1"/>
  <c r="AU30" i="8"/>
  <c r="AC30" i="8"/>
  <c r="AE30" i="8" s="1"/>
  <c r="AZ30" i="8" s="1"/>
  <c r="BB29" i="8"/>
  <c r="AU29" i="8"/>
  <c r="AC29" i="8"/>
  <c r="AC59" i="8" s="1"/>
  <c r="AC61" i="8" s="1"/>
  <c r="K29" i="8"/>
  <c r="J29" i="8"/>
  <c r="BB28" i="8"/>
  <c r="AU28" i="8"/>
  <c r="AE28" i="8"/>
  <c r="AZ28" i="8" s="1"/>
  <c r="K28" i="8"/>
  <c r="J28" i="8"/>
  <c r="BB27" i="8"/>
  <c r="AU27" i="8"/>
  <c r="AX27" i="8" s="1"/>
  <c r="AE27" i="8"/>
  <c r="AZ27" i="8" s="1"/>
  <c r="K27" i="8"/>
  <c r="J27" i="8"/>
  <c r="BB26" i="8"/>
  <c r="AU26" i="8"/>
  <c r="P26" i="8"/>
  <c r="AE26" i="8" s="1"/>
  <c r="AZ26" i="8" s="1"/>
  <c r="K26" i="8"/>
  <c r="J26" i="8"/>
  <c r="BB25" i="8"/>
  <c r="AY25" i="8"/>
  <c r="AX25" i="8"/>
  <c r="AU25" i="8"/>
  <c r="AE25" i="8"/>
  <c r="AZ25" i="8" s="1"/>
  <c r="K25" i="8"/>
  <c r="J25" i="8"/>
  <c r="BB24" i="8"/>
  <c r="AY24" i="8"/>
  <c r="AU24" i="8"/>
  <c r="AX24" i="8" s="1"/>
  <c r="AE24" i="8"/>
  <c r="AZ24" i="8" s="1"/>
  <c r="K24" i="8"/>
  <c r="J24" i="8"/>
  <c r="AY23" i="8"/>
  <c r="AU23" i="8"/>
  <c r="AE23" i="8"/>
  <c r="AZ23" i="8" s="1"/>
  <c r="BB22" i="8"/>
  <c r="AU22" i="8"/>
  <c r="AX22" i="8" s="1"/>
  <c r="AE22" i="8"/>
  <c r="AZ22" i="8" s="1"/>
  <c r="K22" i="8"/>
  <c r="J22" i="8"/>
  <c r="BB21" i="8"/>
  <c r="AU21" i="8"/>
  <c r="AX21" i="8" s="1"/>
  <c r="AE21" i="8"/>
  <c r="AZ21" i="8" s="1"/>
  <c r="BB20" i="8"/>
  <c r="AU20" i="8"/>
  <c r="P20" i="8"/>
  <c r="AE20" i="8" s="1"/>
  <c r="K20" i="8"/>
  <c r="J20" i="8"/>
  <c r="BB19" i="8"/>
  <c r="AU19" i="8"/>
  <c r="AE19" i="8"/>
  <c r="AZ19" i="8" s="1"/>
  <c r="K19" i="8"/>
  <c r="J19" i="8"/>
  <c r="BB18" i="8"/>
  <c r="AU18" i="8"/>
  <c r="AE18" i="8"/>
  <c r="AZ18" i="8" s="1"/>
  <c r="BB17" i="8"/>
  <c r="AU17" i="8"/>
  <c r="P17" i="8"/>
  <c r="AE17" i="8" s="1"/>
  <c r="AZ17" i="8" s="1"/>
  <c r="K17" i="8"/>
  <c r="J17" i="8"/>
  <c r="BB16" i="8"/>
  <c r="AY16" i="8"/>
  <c r="AU16" i="8"/>
  <c r="AX16" i="8" s="1"/>
  <c r="AE16" i="8"/>
  <c r="AZ16" i="8" s="1"/>
  <c r="BB15" i="8"/>
  <c r="AU15" i="8"/>
  <c r="P15" i="8"/>
  <c r="AE15" i="8" s="1"/>
  <c r="BB14" i="8"/>
  <c r="AU14" i="8"/>
  <c r="AE14" i="8"/>
  <c r="AZ14" i="8" s="1"/>
  <c r="BB13" i="8"/>
  <c r="AU13" i="8"/>
  <c r="P13" i="8"/>
  <c r="AE13" i="8" s="1"/>
  <c r="AZ13" i="8" s="1"/>
  <c r="BB12" i="8"/>
  <c r="AU12" i="8"/>
  <c r="P12" i="8"/>
  <c r="AE12" i="8" s="1"/>
  <c r="AZ12" i="8" s="1"/>
  <c r="K12" i="8"/>
  <c r="J12" i="8"/>
  <c r="BB11" i="8"/>
  <c r="AU11" i="8"/>
  <c r="AE11" i="8"/>
  <c r="K11" i="8"/>
  <c r="J11" i="8"/>
  <c r="AX11" i="8" l="1"/>
  <c r="AX28" i="8"/>
  <c r="AX31" i="8"/>
  <c r="BB31" i="8" s="1"/>
  <c r="AX44" i="8"/>
  <c r="AX50" i="8"/>
  <c r="AE52" i="8"/>
  <c r="AZ52" i="8" s="1"/>
  <c r="J59" i="8"/>
  <c r="J61" i="8" s="1"/>
  <c r="AE29" i="8"/>
  <c r="AZ29" i="8" s="1"/>
  <c r="AX36" i="8"/>
  <c r="AX38" i="8"/>
  <c r="AX39" i="8"/>
  <c r="AX52" i="8"/>
  <c r="AX55" i="8"/>
  <c r="P59" i="8"/>
  <c r="P61" i="8" s="1"/>
  <c r="AX37" i="8"/>
  <c r="AX41" i="8"/>
  <c r="AX46" i="8"/>
  <c r="AX48" i="8"/>
  <c r="K59" i="8"/>
  <c r="K61" i="8" s="1"/>
  <c r="AX12" i="8"/>
  <c r="AX13" i="8"/>
  <c r="AX17" i="8"/>
  <c r="AX23" i="8"/>
  <c r="BB23" i="8" s="1"/>
  <c r="AX26" i="8"/>
  <c r="AX29" i="8"/>
  <c r="AX30" i="8"/>
  <c r="BB30" i="8" s="1"/>
  <c r="AY33" i="8"/>
  <c r="AY38" i="8"/>
  <c r="AX53" i="8"/>
  <c r="AY20" i="8"/>
  <c r="AZ20" i="8"/>
  <c r="AZ34" i="8"/>
  <c r="AY34" i="8"/>
  <c r="AZ15" i="8"/>
  <c r="AY15" i="8"/>
  <c r="AX20" i="8"/>
  <c r="AY32" i="8"/>
  <c r="AX32" i="8"/>
  <c r="BB32" i="8" s="1"/>
  <c r="AZ32" i="8"/>
  <c r="AX34" i="8"/>
  <c r="AY35" i="8"/>
  <c r="AX35" i="8"/>
  <c r="AZ35" i="8"/>
  <c r="AX15" i="8"/>
  <c r="AZ36" i="8"/>
  <c r="AY36" i="8"/>
  <c r="AY11" i="8"/>
  <c r="AY13" i="8"/>
  <c r="AY17" i="8"/>
  <c r="AY26" i="8"/>
  <c r="AY27" i="8"/>
  <c r="AY28" i="8"/>
  <c r="AY30" i="8"/>
  <c r="AY37" i="8"/>
  <c r="AY40" i="8"/>
  <c r="AY42" i="8"/>
  <c r="AY43" i="8"/>
  <c r="AZ11" i="8"/>
  <c r="AY12" i="8"/>
  <c r="AX14" i="8"/>
  <c r="AX18" i="8"/>
  <c r="AX19" i="8"/>
  <c r="AY21" i="8"/>
  <c r="AY22" i="8"/>
  <c r="AY44" i="8"/>
  <c r="AY46" i="8"/>
  <c r="AY48" i="8"/>
  <c r="AY50" i="8"/>
  <c r="AY55" i="8"/>
  <c r="AY56" i="8"/>
  <c r="AU59" i="8"/>
  <c r="AU61" i="8" s="1"/>
  <c r="AY14" i="8"/>
  <c r="AY18" i="8"/>
  <c r="AY19" i="8"/>
  <c r="AY31" i="8"/>
  <c r="AY39" i="8"/>
  <c r="AY41" i="8"/>
  <c r="AY52" i="8"/>
  <c r="AY53" i="8"/>
  <c r="AY29" i="8" l="1"/>
  <c r="AE59" i="8"/>
  <c r="AE61" i="8" s="1"/>
  <c r="N54" i="1" l="1"/>
  <c r="M54" i="1"/>
  <c r="L54" i="1"/>
  <c r="N53" i="1"/>
  <c r="M53" i="1"/>
  <c r="L53" i="1"/>
  <c r="N52" i="1"/>
  <c r="M52" i="1"/>
  <c r="L52" i="1"/>
  <c r="N51" i="1"/>
  <c r="M51" i="1"/>
  <c r="L51" i="1"/>
  <c r="N50" i="1"/>
  <c r="M50" i="1"/>
  <c r="L50" i="1"/>
  <c r="N49" i="1"/>
  <c r="M49" i="1"/>
  <c r="L49" i="1"/>
  <c r="N48" i="1"/>
  <c r="M48" i="1"/>
  <c r="L48" i="1"/>
  <c r="N47" i="1"/>
  <c r="M47" i="1"/>
  <c r="L47" i="1"/>
  <c r="N46" i="1"/>
  <c r="M46" i="1"/>
  <c r="L46" i="1"/>
  <c r="N45" i="1"/>
  <c r="M45" i="1"/>
  <c r="L45" i="1"/>
  <c r="N44" i="1"/>
  <c r="M44" i="1"/>
  <c r="L44" i="1"/>
  <c r="N43" i="1"/>
  <c r="M43" i="1"/>
  <c r="L43" i="1"/>
  <c r="N42" i="1"/>
  <c r="M42" i="1"/>
  <c r="L42" i="1"/>
  <c r="N41" i="1"/>
  <c r="M41" i="1"/>
  <c r="L41" i="1"/>
  <c r="N40" i="1"/>
  <c r="M40" i="1"/>
  <c r="L40" i="1"/>
  <c r="N39" i="1"/>
  <c r="M39" i="1"/>
  <c r="L39" i="1"/>
  <c r="N38" i="1"/>
  <c r="M38" i="1"/>
  <c r="L38" i="1"/>
  <c r="N37" i="1"/>
  <c r="M37" i="1"/>
  <c r="L37" i="1"/>
  <c r="N36" i="1"/>
  <c r="M36" i="1"/>
  <c r="L36" i="1"/>
  <c r="N35" i="1"/>
  <c r="M35" i="1"/>
  <c r="L35" i="1"/>
  <c r="N34" i="1"/>
  <c r="M34" i="1"/>
  <c r="L34" i="1"/>
  <c r="N33" i="1"/>
  <c r="M33" i="1"/>
  <c r="L33" i="1"/>
  <c r="N32" i="1"/>
  <c r="M32" i="1"/>
  <c r="L32" i="1"/>
  <c r="N31" i="1"/>
  <c r="M31" i="1"/>
  <c r="L31" i="1"/>
  <c r="N30" i="1"/>
  <c r="M30" i="1"/>
  <c r="L30" i="1"/>
  <c r="N29" i="1"/>
  <c r="M29" i="1"/>
  <c r="L29" i="1"/>
  <c r="N28" i="1"/>
  <c r="M28" i="1"/>
  <c r="L28" i="1"/>
  <c r="N27" i="1"/>
  <c r="M27" i="1"/>
  <c r="L27" i="1"/>
  <c r="N26" i="1"/>
  <c r="M26" i="1"/>
  <c r="L26" i="1"/>
  <c r="N25" i="1"/>
  <c r="M25" i="1"/>
  <c r="L25" i="1"/>
  <c r="N24" i="1"/>
  <c r="M24" i="1"/>
  <c r="L24" i="1"/>
  <c r="N23" i="1"/>
  <c r="M23" i="1"/>
  <c r="L23" i="1"/>
  <c r="N22" i="1"/>
  <c r="M22" i="1"/>
  <c r="L22" i="1"/>
  <c r="N21" i="1"/>
  <c r="M21" i="1"/>
  <c r="L21" i="1"/>
  <c r="N20" i="1"/>
  <c r="M20" i="1"/>
  <c r="L20" i="1"/>
  <c r="N19" i="1"/>
  <c r="M19" i="1"/>
  <c r="L19" i="1"/>
  <c r="N18" i="1"/>
  <c r="M18" i="1"/>
  <c r="L18" i="1"/>
  <c r="N17" i="1"/>
  <c r="M17" i="1"/>
  <c r="L17" i="1"/>
  <c r="N16" i="1"/>
  <c r="M16" i="1"/>
  <c r="L16" i="1"/>
  <c r="N15" i="1"/>
  <c r="M15" i="1"/>
  <c r="L15" i="1"/>
  <c r="N14" i="1"/>
  <c r="M14" i="1"/>
  <c r="L14" i="1"/>
  <c r="N13" i="1"/>
  <c r="M13" i="1"/>
  <c r="L13" i="1"/>
  <c r="N12" i="1"/>
  <c r="M12" i="1"/>
  <c r="L12" i="1"/>
  <c r="N11" i="1"/>
  <c r="M11" i="1"/>
  <c r="L11" i="1"/>
  <c r="P54" i="1" l="1"/>
  <c r="AU54" i="1"/>
  <c r="BB54" i="1" s="1"/>
  <c r="P53" i="1"/>
  <c r="AU53" i="1"/>
  <c r="BB53" i="1" s="1"/>
  <c r="P52" i="1"/>
  <c r="AU52" i="1"/>
  <c r="BB52" i="1" s="1"/>
  <c r="P50" i="1"/>
  <c r="P51" i="1"/>
  <c r="AU50" i="1"/>
  <c r="BB50" i="1" s="1"/>
  <c r="AU51" i="1"/>
  <c r="BB51" i="1" s="1"/>
  <c r="P44" i="1"/>
  <c r="P45" i="1"/>
  <c r="P46" i="1"/>
  <c r="P47" i="1"/>
  <c r="P48" i="1"/>
  <c r="P49" i="1"/>
  <c r="AU44" i="1"/>
  <c r="BB44" i="1" s="1"/>
  <c r="AU45" i="1"/>
  <c r="BB45" i="1" s="1"/>
  <c r="AU46" i="1"/>
  <c r="BB46" i="1" s="1"/>
  <c r="AU47" i="1"/>
  <c r="BB47" i="1" s="1"/>
  <c r="AU48" i="1"/>
  <c r="BB48" i="1" s="1"/>
  <c r="AU49" i="1"/>
  <c r="BB49" i="1" s="1"/>
  <c r="P43" i="1"/>
  <c r="AU43" i="1"/>
  <c r="BB43" i="1" s="1"/>
  <c r="P30" i="1"/>
  <c r="P31" i="1"/>
  <c r="P32" i="1"/>
  <c r="P33" i="1"/>
  <c r="P34" i="1"/>
  <c r="P35" i="1"/>
  <c r="P36" i="1"/>
  <c r="P37" i="1"/>
  <c r="P38" i="1"/>
  <c r="P39" i="1"/>
  <c r="P40" i="1"/>
  <c r="P41" i="1"/>
  <c r="P42" i="1"/>
  <c r="AU30" i="1"/>
  <c r="BB30" i="1" s="1"/>
  <c r="AU31" i="1"/>
  <c r="BB31" i="1" s="1"/>
  <c r="AU32" i="1"/>
  <c r="BB32" i="1" s="1"/>
  <c r="AU33" i="1"/>
  <c r="BB33" i="1" s="1"/>
  <c r="AU34" i="1"/>
  <c r="BB34" i="1" s="1"/>
  <c r="AU35" i="1"/>
  <c r="BB35" i="1" s="1"/>
  <c r="AU36" i="1"/>
  <c r="BB36" i="1" s="1"/>
  <c r="AU37" i="1"/>
  <c r="BB37" i="1" s="1"/>
  <c r="AU38" i="1"/>
  <c r="BB38" i="1" s="1"/>
  <c r="AU39" i="1"/>
  <c r="BB39" i="1" s="1"/>
  <c r="AU40" i="1"/>
  <c r="BB40" i="1" s="1"/>
  <c r="AU41" i="1"/>
  <c r="BB41" i="1" s="1"/>
  <c r="AU42" i="1"/>
  <c r="BB42" i="1" s="1"/>
  <c r="AY42" i="1" l="1"/>
  <c r="AY34" i="1"/>
  <c r="AY52" i="1"/>
  <c r="AY54" i="1"/>
  <c r="AY45" i="1"/>
  <c r="AY35" i="1"/>
  <c r="AY33" i="1"/>
  <c r="AY44" i="1"/>
  <c r="AY49" i="1"/>
  <c r="AY51" i="1"/>
  <c r="AY39" i="1"/>
  <c r="AY31" i="1"/>
  <c r="AY48" i="1"/>
  <c r="AZ50" i="1"/>
  <c r="AY38" i="1"/>
  <c r="AY30" i="1"/>
  <c r="AY43" i="1"/>
  <c r="AZ47" i="1"/>
  <c r="AY53" i="1"/>
  <c r="AZ46" i="1"/>
  <c r="AX53" i="1"/>
  <c r="AY47" i="1"/>
  <c r="AX54" i="1"/>
  <c r="AZ35" i="1"/>
  <c r="AZ31" i="1"/>
  <c r="AZ39" i="1"/>
  <c r="AX39" i="1"/>
  <c r="AX35" i="1"/>
  <c r="AX31" i="1"/>
  <c r="AY50" i="1"/>
  <c r="AX44" i="1"/>
  <c r="AY46" i="1"/>
  <c r="AX46" i="1"/>
  <c r="AX52" i="1"/>
  <c r="AZ54" i="1"/>
  <c r="AZ33" i="1"/>
  <c r="AZ44" i="1"/>
  <c r="AX33" i="1"/>
  <c r="AZ48" i="1"/>
  <c r="AX50" i="1"/>
  <c r="AZ53" i="1"/>
  <c r="AZ52" i="1"/>
  <c r="AZ30" i="1"/>
  <c r="AX38" i="1"/>
  <c r="AX45" i="1"/>
  <c r="AX51" i="1"/>
  <c r="AZ51" i="1"/>
  <c r="AZ42" i="1"/>
  <c r="AZ34" i="1"/>
  <c r="AX41" i="1"/>
  <c r="AX37" i="1"/>
  <c r="AX30" i="1"/>
  <c r="AX47" i="1"/>
  <c r="AZ38" i="1"/>
  <c r="AX34" i="1"/>
  <c r="AZ49" i="1"/>
  <c r="AZ45" i="1"/>
  <c r="AX49" i="1"/>
  <c r="AX48" i="1"/>
  <c r="AX42" i="1"/>
  <c r="AZ43" i="1"/>
  <c r="AY41" i="1"/>
  <c r="AX43" i="1"/>
  <c r="AX40" i="1"/>
  <c r="AX36" i="1"/>
  <c r="AX32" i="1"/>
  <c r="AZ41" i="1"/>
  <c r="AZ37" i="1"/>
  <c r="AY37" i="1"/>
  <c r="AZ40" i="1"/>
  <c r="AZ36" i="1"/>
  <c r="AZ32" i="1"/>
  <c r="AY40" i="1"/>
  <c r="AY36" i="1"/>
  <c r="AY32" i="1"/>
  <c r="AU11" i="1" l="1"/>
  <c r="BB11" i="1" s="1"/>
  <c r="AU27" i="1"/>
  <c r="BB27" i="1" s="1"/>
  <c r="AU12" i="1" l="1"/>
  <c r="BB12" i="1" s="1"/>
  <c r="AU13" i="1"/>
  <c r="BB13" i="1" s="1"/>
  <c r="AU14" i="1"/>
  <c r="BB14" i="1" s="1"/>
  <c r="AU15" i="1"/>
  <c r="BB15" i="1" s="1"/>
  <c r="AU16" i="1"/>
  <c r="BB16" i="1" s="1"/>
  <c r="AU17" i="1"/>
  <c r="BB17" i="1" s="1"/>
  <c r="AU18" i="1"/>
  <c r="BB18" i="1" s="1"/>
  <c r="AU19" i="1"/>
  <c r="BB19" i="1" s="1"/>
  <c r="AU20" i="1"/>
  <c r="BB20" i="1" s="1"/>
  <c r="AU21" i="1"/>
  <c r="BB21" i="1" s="1"/>
  <c r="AU22" i="1"/>
  <c r="BB22" i="1" s="1"/>
  <c r="AU23" i="1"/>
  <c r="BB23" i="1" s="1"/>
  <c r="AU24" i="1"/>
  <c r="BB24" i="1" s="1"/>
  <c r="AU25" i="1"/>
  <c r="BB25" i="1" s="1"/>
  <c r="AU26" i="1"/>
  <c r="BB26" i="1" s="1"/>
  <c r="AU28" i="1"/>
  <c r="BB28" i="1" s="1"/>
  <c r="AU29" i="1"/>
  <c r="BB29" i="1" s="1"/>
  <c r="AY28" i="1"/>
  <c r="P11" i="1"/>
  <c r="P12" i="1"/>
  <c r="P13" i="1"/>
  <c r="P14" i="1"/>
  <c r="P15" i="1"/>
  <c r="P16" i="1"/>
  <c r="P17" i="1"/>
  <c r="P18" i="1"/>
  <c r="P19" i="1"/>
  <c r="P20" i="1"/>
  <c r="P21" i="1"/>
  <c r="P22" i="1"/>
  <c r="P23" i="1"/>
  <c r="P24" i="1"/>
  <c r="P25" i="1"/>
  <c r="P26" i="1"/>
  <c r="P27" i="1"/>
  <c r="P28" i="1"/>
  <c r="P29" i="1"/>
  <c r="AY14" i="1" l="1"/>
  <c r="AY12" i="1"/>
  <c r="AY22" i="1"/>
  <c r="AY20" i="1"/>
  <c r="AY26" i="1"/>
  <c r="AY18" i="1"/>
  <c r="AY24" i="1"/>
  <c r="AY16" i="1"/>
  <c r="AX27" i="1"/>
  <c r="AX19" i="1"/>
  <c r="AX11" i="1"/>
  <c r="AX23" i="1"/>
  <c r="AX15" i="1"/>
  <c r="AX29" i="1"/>
  <c r="AX25" i="1"/>
  <c r="AX21" i="1"/>
  <c r="AX17" i="1"/>
  <c r="AX13" i="1"/>
  <c r="AZ26" i="1"/>
  <c r="AZ22" i="1"/>
  <c r="AZ18" i="1"/>
  <c r="AZ14" i="1"/>
  <c r="AX26" i="1"/>
  <c r="AX22" i="1"/>
  <c r="AZ29" i="1"/>
  <c r="AZ25" i="1"/>
  <c r="AZ21" i="1"/>
  <c r="AZ17" i="1"/>
  <c r="AZ13" i="1"/>
  <c r="AZ28" i="1"/>
  <c r="AZ24" i="1"/>
  <c r="AZ20" i="1"/>
  <c r="AZ16" i="1"/>
  <c r="AZ12" i="1"/>
  <c r="AX28" i="1"/>
  <c r="AX24" i="1"/>
  <c r="AZ27" i="1"/>
  <c r="AZ23" i="1"/>
  <c r="AZ19" i="1"/>
  <c r="AZ15" i="1"/>
  <c r="AZ11" i="1"/>
  <c r="AX18" i="1"/>
  <c r="AX14" i="1"/>
  <c r="AY29" i="1"/>
  <c r="AY25" i="1"/>
  <c r="AY21" i="1"/>
  <c r="AY17" i="1"/>
  <c r="AY13" i="1"/>
  <c r="AX20" i="1"/>
  <c r="AX16" i="1"/>
  <c r="AX12" i="1"/>
  <c r="AY27" i="1"/>
  <c r="AY23" i="1"/>
  <c r="AY19" i="1"/>
  <c r="AY15" i="1"/>
  <c r="AY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MONICA</author>
    <author>John Miguel Sandoval Acevedo</author>
  </authors>
  <commentList>
    <comment ref="J10" authorId="0" shapeId="0" xr:uid="{257A8FB4-43E6-46ED-9015-30ADF0BA697F}">
      <text>
        <r>
          <rPr>
            <b/>
            <sz val="9"/>
            <color indexed="81"/>
            <rFont val="Tahoma"/>
            <family val="2"/>
          </rPr>
          <t>MONICA:</t>
        </r>
        <r>
          <rPr>
            <sz val="9"/>
            <color indexed="81"/>
            <rFont val="Tahoma"/>
            <family val="2"/>
          </rPr>
          <t xml:space="preserve">
Valor total del proyecto</t>
        </r>
      </text>
    </comment>
    <comment ref="K10" authorId="0" shapeId="0" xr:uid="{D3B05208-1043-4794-992D-E130C3C5BA91}">
      <text>
        <r>
          <rPr>
            <b/>
            <sz val="9"/>
            <color indexed="81"/>
            <rFont val="Tahoma"/>
            <family val="2"/>
          </rPr>
          <t>MONICA:</t>
        </r>
        <r>
          <rPr>
            <sz val="9"/>
            <color indexed="81"/>
            <rFont val="Tahoma"/>
            <family val="2"/>
          </rPr>
          <t xml:space="preserve">
Valor vigencia 2024 del proyecto</t>
        </r>
      </text>
    </comment>
    <comment ref="L10" authorId="0" shapeId="0" xr:uid="{28A965C1-3D99-4219-A807-AE0B560EB27C}">
      <text>
        <r>
          <rPr>
            <b/>
            <sz val="9"/>
            <color indexed="81"/>
            <rFont val="Tahoma"/>
            <family val="2"/>
          </rPr>
          <t>MONICA:</t>
        </r>
        <r>
          <rPr>
            <sz val="9"/>
            <color indexed="81"/>
            <rFont val="Tahoma"/>
            <family val="2"/>
          </rPr>
          <t xml:space="preserve">
Si es todo el municipio diligenciar "Municipio de Bucaramanga".
De lo contratio relacionar la comuna o barrio específico.</t>
        </r>
      </text>
    </comment>
    <comment ref="M10" authorId="0" shapeId="0" xr:uid="{F85BA22A-B42A-4701-9CCF-AC7C0458518D}">
      <text>
        <r>
          <rPr>
            <b/>
            <sz val="9"/>
            <color indexed="81"/>
            <rFont val="Tahoma"/>
            <family val="2"/>
          </rPr>
          <t>MONICA:</t>
        </r>
        <r>
          <rPr>
            <sz val="9"/>
            <color indexed="81"/>
            <rFont val="Tahoma"/>
            <family val="2"/>
          </rPr>
          <t xml:space="preserve">
Enfoque diferencial que apunte directamente el producto.</t>
        </r>
      </text>
    </comment>
    <comment ref="N10" authorId="0" shapeId="0" xr:uid="{56953B73-1909-4165-9E32-1358C8754F8E}">
      <text>
        <r>
          <rPr>
            <b/>
            <sz val="9"/>
            <color indexed="81"/>
            <rFont val="Tahoma"/>
            <family val="2"/>
          </rPr>
          <t>MONICA:</t>
        </r>
        <r>
          <rPr>
            <sz val="9"/>
            <color indexed="81"/>
            <rFont val="Tahoma"/>
            <family val="2"/>
          </rPr>
          <t xml:space="preserve">
Cuantitativa</t>
        </r>
      </text>
    </comment>
    <comment ref="O10" authorId="0" shapeId="0" xr:uid="{98A91B66-C4D9-4AF6-A525-83CEB10C9BDF}">
      <text>
        <r>
          <rPr>
            <b/>
            <sz val="9"/>
            <color indexed="81"/>
            <rFont val="Tahoma"/>
            <family val="2"/>
          </rPr>
          <t>MONICA:</t>
        </r>
        <r>
          <rPr>
            <sz val="9"/>
            <color indexed="81"/>
            <rFont val="Tahoma"/>
            <family val="2"/>
          </rPr>
          <t xml:space="preserve">
De forma general</t>
        </r>
      </text>
    </comment>
    <comment ref="AC30" authorId="1" shapeId="0" xr:uid="{20E3E740-F139-4A37-B6B8-BAFD906334D6}">
      <text>
        <r>
          <rPr>
            <b/>
            <sz val="9"/>
            <color indexed="81"/>
            <rFont val="Tahoma"/>
            <family val="2"/>
          </rPr>
          <t>John Miguel Sandoval Acevedo:</t>
        </r>
        <r>
          <rPr>
            <sz val="9"/>
            <color indexed="81"/>
            <rFont val="Tahoma"/>
            <family val="2"/>
          </rPr>
          <t xml:space="preserve">
400mm a 211 mismo proyecto, traslado nterno
</t>
        </r>
      </text>
    </comment>
  </commentList>
</comments>
</file>

<file path=xl/sharedStrings.xml><?xml version="1.0" encoding="utf-8"?>
<sst xmlns="http://schemas.openxmlformats.org/spreadsheetml/2006/main" count="1134" uniqueCount="344">
  <si>
    <t>Responsable</t>
  </si>
  <si>
    <t>Dependencia</t>
  </si>
  <si>
    <t>Actividades Realizadas</t>
  </si>
  <si>
    <t>Número de Beneficiarios</t>
  </si>
  <si>
    <t>Población Beneficiada</t>
  </si>
  <si>
    <t>Comuna o Barrio Beneficiado</t>
  </si>
  <si>
    <t>Valor Vigencia Proyecto</t>
  </si>
  <si>
    <t>Valor del Proyecto</t>
  </si>
  <si>
    <t>Nombre del Proyecto</t>
  </si>
  <si>
    <t>Porcentaje Avance Vigencia</t>
  </si>
  <si>
    <t>Meta Programada Vigencia</t>
  </si>
  <si>
    <t>Tipo de Meta</t>
  </si>
  <si>
    <t>Indicador de Producto</t>
  </si>
  <si>
    <t>Cod. Indicador de Producto</t>
  </si>
  <si>
    <t>Meta de Producto</t>
  </si>
  <si>
    <t>Cod. de Producto</t>
  </si>
  <si>
    <t>Programa</t>
  </si>
  <si>
    <t>Cod. Programa</t>
  </si>
  <si>
    <t>Sector</t>
  </si>
  <si>
    <t>Linea Estratégica</t>
  </si>
  <si>
    <t xml:space="preserve"> Consecutivo PDM</t>
  </si>
  <si>
    <t>ODS</t>
  </si>
  <si>
    <t>RESPONSABLES</t>
  </si>
  <si>
    <t>RECURSOS EJECUTADOS</t>
  </si>
  <si>
    <t>RECURSOS PROGRAMADOS</t>
  </si>
  <si>
    <t>PROYECTOS DE INVERSION</t>
  </si>
  <si>
    <t>CUMPLIMIENTO DE LA META</t>
  </si>
  <si>
    <t>PDM 2024-2027</t>
  </si>
  <si>
    <t>VIGENCIA</t>
  </si>
  <si>
    <r>
      <t>Unidad de Medida</t>
    </r>
    <r>
      <rPr>
        <b/>
        <sz val="12"/>
        <color rgb="FF002060"/>
        <rFont val="Arial"/>
        <family val="2"/>
      </rPr>
      <t>2</t>
    </r>
  </si>
  <si>
    <t>LÍnea Base</t>
  </si>
  <si>
    <t>PLAN DE ACCION</t>
  </si>
  <si>
    <t>Código:  F-DPM-10100-238,37-060</t>
  </si>
  <si>
    <r>
      <t>Meta Programada Cuatrienio</t>
    </r>
    <r>
      <rPr>
        <b/>
        <sz val="12"/>
        <color rgb="FF002060"/>
        <rFont val="Arial"/>
        <family val="2"/>
      </rPr>
      <t>3</t>
    </r>
  </si>
  <si>
    <t>Código BPIN</t>
  </si>
  <si>
    <t>Total Recursos Obligados</t>
  </si>
  <si>
    <t>Total Recursos Pagados</t>
  </si>
  <si>
    <t>Logro Vigencia</t>
  </si>
  <si>
    <t>Ejecución Recursos Pagados</t>
  </si>
  <si>
    <t>Ejecución Recursos Obligados</t>
  </si>
  <si>
    <t>Nivel de Gestión</t>
  </si>
  <si>
    <t>Ejecución Recursos Comprometidos</t>
  </si>
  <si>
    <t>EJECUCIÓN PRESUPUESTAL</t>
  </si>
  <si>
    <t>Total Recursos Gestionados2</t>
  </si>
  <si>
    <t>GESTIÓN DE RECURSOS</t>
  </si>
  <si>
    <t>Recursos propios</t>
  </si>
  <si>
    <t>SGP Educación</t>
  </si>
  <si>
    <t>SGP Salud</t>
  </si>
  <si>
    <t>SGP Deporte</t>
  </si>
  <si>
    <t>SGP Cultura</t>
  </si>
  <si>
    <t>SGP Libre inversión</t>
  </si>
  <si>
    <t>SGP Libre destinación</t>
  </si>
  <si>
    <t>SGP Alimentación escolar</t>
  </si>
  <si>
    <t>SGP APSB</t>
  </si>
  <si>
    <t>Crédito</t>
  </si>
  <si>
    <t>Transferencias de capital - cofinanciación departamento</t>
  </si>
  <si>
    <t>Transferencias de capital - cofinanciación nación</t>
  </si>
  <si>
    <t>Otros</t>
  </si>
  <si>
    <t>Recursos propios2</t>
  </si>
  <si>
    <t>SGP Educación2</t>
  </si>
  <si>
    <t>Porcentaje Avance VigenciaR</t>
  </si>
  <si>
    <t>Recursos del Balance</t>
  </si>
  <si>
    <t>Recursos del Balance2</t>
  </si>
  <si>
    <t>Territorio seguro que protege</t>
  </si>
  <si>
    <t>Inclusión social y reconciliación</t>
  </si>
  <si>
    <t>4102</t>
  </si>
  <si>
    <t>Desarrollo integral de la primera infancia a la juventud, y fortalecimiento de las capacidades de las familias de niñas, niños y adolescentes (4102)</t>
  </si>
  <si>
    <t>4102038</t>
  </si>
  <si>
    <t>Atender a 30.000 niños, niñas, adolescentes y sus familias con un enfoque de inclusión social.</t>
  </si>
  <si>
    <t>Territorio seguro que progresa</t>
  </si>
  <si>
    <t>Agricultura y desarrollo rural</t>
  </si>
  <si>
    <t>1702</t>
  </si>
  <si>
    <t>Inclusión Productiva de pequeños productores rurales (1702)</t>
  </si>
  <si>
    <t>1702014</t>
  </si>
  <si>
    <t>Brindar 40 Servicios de apoyo para el acceso a maquinaria y equipos a Productores del sector rural con herramientas que permitan generar valor agregado a las materias primas producidas.</t>
  </si>
  <si>
    <t>inclusión Productiva de pequeños productores rurales (1702)</t>
  </si>
  <si>
    <t>1702016</t>
  </si>
  <si>
    <t>Brindar 5 Servicios de apoyo para el fomento de la asociatividad de pequeños productores rurales de los tres corregimientos del municipio Bucaramanga</t>
  </si>
  <si>
    <t>1702017</t>
  </si>
  <si>
    <t>Fortalecer 150  productores agropecuarios de Bucaramanga, incrementando la cobertura de familias del sector rural en los mercadillos y su formacion en inclusion financiera.</t>
  </si>
  <si>
    <t>1702010</t>
  </si>
  <si>
    <t>Brindar el servicio de asistencia técnica a 1023 beneficiarios</t>
  </si>
  <si>
    <t>1707</t>
  </si>
  <si>
    <t>Sanidad agropecuaria e inocuidad agroalimentaria (1707)</t>
  </si>
  <si>
    <t>1707042</t>
  </si>
  <si>
    <t>Mantener el Servicio de vacunación para 2400 animales de interés agropecuario en los tres corregimientos garantizando el estatus sanitario-libres de aftosa e inmunización contra brucelosis bovina.</t>
  </si>
  <si>
    <t>1709</t>
  </si>
  <si>
    <t>Infraestructura productiva y comercialización (1709)</t>
  </si>
  <si>
    <t>1709105</t>
  </si>
  <si>
    <t>Apoyar 1 cadena productiva agrícola, forestal o pecuaria</t>
  </si>
  <si>
    <t>Territorio seguro que integra</t>
  </si>
  <si>
    <t>Gobierno territorial</t>
  </si>
  <si>
    <t>4502</t>
  </si>
  <si>
    <t>Fortalecimiento del buen gobierno para el respeto y garantía de los derechos humanos (4502)</t>
  </si>
  <si>
    <t>4502015</t>
  </si>
  <si>
    <t>Dotar una (1) oficina para la atención y orientación de familias del municipio de Bucaramanga</t>
  </si>
  <si>
    <t>4103</t>
  </si>
  <si>
    <t>Inclusión social y productiva para la población en situación de vulnerabilidad (4103)</t>
  </si>
  <si>
    <t>4103052</t>
  </si>
  <si>
    <t>Mantener el beneficio a 180 personas en situación de vulnerabilidad con la oferta de servicio exequial</t>
  </si>
  <si>
    <t>4502038</t>
  </si>
  <si>
    <t>Formular e implementar una (1) estrategia que promueve dinámicas familias seguras.  (Cumplimiento a los ejes 1,2 y 3 de la Política Pública para las familias de Bucaramanga, Acuerdo Municipal 034 de 2019)</t>
  </si>
  <si>
    <t>Atender a 31.057 de personas con los programas nacionales de Transferencias Monetarias (Renta Ciudadana, Renta Joven, Compensación Social del IVA y Colombia Mayor) de familias en pobreza extrema, pobreza moderada y en vulnerabilidad municipio de Bucaramanga."</t>
  </si>
  <si>
    <t>4104</t>
  </si>
  <si>
    <t>Atención integral de población en situación permanente de desprotección social y/o familiar (4104)</t>
  </si>
  <si>
    <t>4104026</t>
  </si>
  <si>
    <t>Brindar servicio de gestión de oferta social dirigido a 500 personas a través de la implementación de una (1) estrategia de Red de Apoyo comunitario que promuevan la integración del habitante de calle en la sociedad</t>
  </si>
  <si>
    <t>4104027</t>
  </si>
  <si>
    <t>Mantener el servicio de atención a 500 personas en habitanza de calle bajo servicios integrales que promueven su inclusión y mejoramiento de su calidad de vida, garantizando la promoción de los derechos</t>
  </si>
  <si>
    <t>Beneficiar a 25.000 personas con la oferta social y acceso a servicios que contiene la estrategia de apoyo integral para la implementación de mecanismos de articulación para la garantía de derechos en temas de e inclusión laboral, cohesión social, prevención de la discriminación y la xenofobia, en población migrante, retornada, refugiada y de acogida</t>
  </si>
  <si>
    <t>Beneficiar a 4.800 mujeres con estrategias comunitarias preventivas que integren componentes psicosocial, jurídico y vocacional en el marco de la
oferta institucional del Centro Integral de la mujer.</t>
  </si>
  <si>
    <t>Formular e implementar una (1) estrategia dirigida a mujeres de la zona rural y urbana del municipio de Bucaramanga para la atención de casos de mujeres víctimas de violencia, la formación en liderazgo, política y derechos humanos, y para potencias la red de mujeres emprendedoras BGA.</t>
  </si>
  <si>
    <t>Brindar servicio de gestión de oferta social dirigido a 1600 personas a través de la implementación de una (1) estrategia de sistema de apoyo comunitario para la prevención y erradicación del maltrato y/o violencia contra las personas mayores</t>
  </si>
  <si>
    <t>4104014</t>
  </si>
  <si>
    <t>Mantener 4 Centros vida municipales en su infraestructura y dotación de los espacios habilitados para la prestación de servicios que incluya un sistema de apoyo comunitario para la prevención y erradicación del maltrato y/o violencia contra las personas mayores.</t>
  </si>
  <si>
    <t>4104008</t>
  </si>
  <si>
    <t>Atender a 8400 adultos mayores violentados y/o que presentan abandono con atención integral; en salud, recreación y buen uso del tiempo libre mediante espacios culturales, artísticos y recreativos.</t>
  </si>
  <si>
    <t>Atender a 940 adultos mayores con servicios integrales en modalidad Centros Vida mediante espacios culturales, artísticos y recreativos.</t>
  </si>
  <si>
    <t>Aumentar a 700 la cobertura de personas mayores vinculadas a los procesos de atención integral modalidad Centro Bienestar</t>
  </si>
  <si>
    <t>4104020</t>
  </si>
  <si>
    <t>Atender integralmente a 2200 personas con discapacidad del sector urbano y rural en extrema vulnerabilidad</t>
  </si>
  <si>
    <t>4103067</t>
  </si>
  <si>
    <t>Brindar el servicio de gestión de la oferta social para 4400 personas a través de una estrategia de promoción de derechos de las personas con discapacidad y sus familias dentro de la sociedad</t>
  </si>
  <si>
    <t>Implementar doce (12) estrategias en alianza con instituciones, entidades, fundaciones y/o empresas para impulsar el desarrollo integral de la población con orientación sexual e identidad de género diversa.</t>
  </si>
  <si>
    <t>Implementar una (1) estrategia de promoción de la garantía de derechos a través de una ruta de Prevención, Detección y Atención Interinstitucional ante casos de discriminación dirigida a la población con orientación sexual e identidad de género diversa.</t>
  </si>
  <si>
    <t>4102006</t>
  </si>
  <si>
    <t>Dotar 5 edificaciones de atención a la primera infancia implementando el sistema municipal de cuidado en Bucaramanga.</t>
  </si>
  <si>
    <t>4102046</t>
  </si>
  <si>
    <t>Realizar 12 campañas de promoción  y prevención de los derechos de los niños, niñas, adolescentes y jóvenes y  mecanismos de restablecimiento de derechos.</t>
  </si>
  <si>
    <t>Beneficiar a mil (1000) madres comunitarias y cuidadoras de la infancia a través de una estrategia de fortalecimiento en componentes, pedagógico, comunitario, gestión de redes y de economía de cuidado (bono rosa).</t>
  </si>
  <si>
    <t>4102052</t>
  </si>
  <si>
    <t>Beneficiar a 70.000 niños, niñas, adolescentes con espacios culturales, artísticos, recreativos y de juego.</t>
  </si>
  <si>
    <t>Realizar 4 campañas de promoción en homenaje a la niñez para la visibilización de los derechos de la infancia y la promoción del derecho al juego. niños y niñas</t>
  </si>
  <si>
    <t>Formular e Implementar (1) estrategia que contiene la ruta de atención integral a población vulnerable con difícil acceso a la oferta institucional en los centros de atención.</t>
  </si>
  <si>
    <t>Dotar dos (2) espacios para la atención, orientación y refugio de las mujeres y población OSIGD juntos con sus hijas o hijos víctimas de violencia del municipio de Bucaramanga, para el sistema de cuidado</t>
  </si>
  <si>
    <t>Territorio seguro que genera valor</t>
  </si>
  <si>
    <t>4599</t>
  </si>
  <si>
    <t>Fortalecimiento a la gestión y dirección de la administración pública territorial (4599)</t>
  </si>
  <si>
    <t>4599031</t>
  </si>
  <si>
    <t>Brindar (1) asistencia técnica a los procesos de la Secretaría de Desarrollo Social que se derivan de los planes, programas y proyectos.</t>
  </si>
  <si>
    <t>Implementar una (1) estrategia que promueva espacios de participacion y fomento de la democracia con representantes comunales</t>
  </si>
  <si>
    <t>4502002</t>
  </si>
  <si>
    <t>Dotar 4 ágoras del sector urbano y rural del municipio de Bucaramanga permitiendo el fortalecimiento de las instituciones democráticas y la participación ciudadana</t>
  </si>
  <si>
    <t>4502001</t>
  </si>
  <si>
    <t>Promover 130 espacios de participación ciudadana a través de la garantia del 100% de los ediles con pago de EPS, ARL, póliza de vida.</t>
  </si>
  <si>
    <t>Promover  254 espacios de participacion dirigidos a las 234 JAC y 20 espacios a las JAL para el fortalecimiento en competencias jurídicas y de formulación de Proyectos.</t>
  </si>
  <si>
    <t>Promover un (1) espacio de participación a través de la implementación de un laboratorio de innovación política juvenil.</t>
  </si>
  <si>
    <t>4502034</t>
  </si>
  <si>
    <t>Capacitar 8000 jóvenes entre 14 y 28 años con la implementación de una campaña de futuros adultos (bienestar juvenil, que abarca temas de salud mental, emprendimiento, arte y cultura, prevención de consumo de SPA, fortalecimiento de habilidades blandas, resolución de conflictos, derechos sexuales y reproductivos, orientación vocacional)</t>
  </si>
  <si>
    <t>4103017</t>
  </si>
  <si>
    <t>Beneficiar mensualmente a 3.000 personas con raciones de alimentos para comunidades vulnerables (adultos mayores, personas en condición de discapacidad, niños, niñas y adolescentes)</t>
  </si>
  <si>
    <t xml:space="preserve">Beneficiar a 550 cuidadores de personas con discapacidad en temas de exploración y entendimiento de la discapacidad, normatividad y derechos de las personas con discapacidad, procesos de habilitación y rehabilitación, orientación ocupacional y proyecto de vida. </t>
  </si>
  <si>
    <t>Información estadística.</t>
  </si>
  <si>
    <t>0406</t>
  </si>
  <si>
    <t>Generación de la información geográfica del territorio nacional (0406)</t>
  </si>
  <si>
    <t>0406009</t>
  </si>
  <si>
    <t xml:space="preserve">Realizar un documento de actualización en el censo de personas con discapacidad del sector urbano y rural definiendo su condición de extrema vulnerabilidad. </t>
  </si>
  <si>
    <t>1708</t>
  </si>
  <si>
    <t>Ciencia, tecnología e innovación agropecuaria (1708)</t>
  </si>
  <si>
    <t>1708018</t>
  </si>
  <si>
    <t>Mejorar 2 especies animales a nivel genético para un mejor rendimiento productivo.</t>
  </si>
  <si>
    <t>Trabajo</t>
  </si>
  <si>
    <t>3605</t>
  </si>
  <si>
    <t>Fomento de la investigacion, desarrollo tecnologico e innovacion del sector trabajo (3605)</t>
  </si>
  <si>
    <t>3605012</t>
  </si>
  <si>
    <t>Implementar una estrategia para el desarrollo de habilidades productivas a la población barrista del municipio</t>
  </si>
  <si>
    <t>Desarrollo de Intervenciones de Tipo Psicosocial Dirigido a la Reducción de Factores de Riesgo en Niños, Niñas y Adolescentes en el Municipio de Bucaramanga</t>
  </si>
  <si>
    <t xml:space="preserve">Municipio de Bucaramanga, sector rural en sus tres corrimientos y urbano en sus 17 comunas </t>
  </si>
  <si>
    <t>Niños, niñas, adolescentes y familias</t>
  </si>
  <si>
    <t>Apoyo a la productividad y competitividad del sector rural del municipio de Bucaramanga</t>
  </si>
  <si>
    <t xml:space="preserve">Municipio de Bucaramanga, sector rural </t>
  </si>
  <si>
    <t>Habitantes del sector rural del Municipio</t>
  </si>
  <si>
    <t xml:space="preserve">Productores agropecuarios </t>
  </si>
  <si>
    <t>Desarrollo de acciones de prevención del contagio y propagación de la fiebre aftosa y brucelosis en el municipio de Bucaramanga</t>
  </si>
  <si>
    <t>Corregimientos 1,2 y 3 del Municipio de Bucaramanga</t>
  </si>
  <si>
    <t>Productores con predios de producción pecuaria</t>
  </si>
  <si>
    <t>Fortalecimiento de las cadenas productivas para el desarrollo de actividades agrícolas, forestales y pecuarias en el municipio de Bucaramanga</t>
  </si>
  <si>
    <t>Personas del sector rural del municipio</t>
  </si>
  <si>
    <t>Fortalecimiento de las acciones orientadas a la atención de la población en situación de vulnerabilidad del municipio de Bucaramanga</t>
  </si>
  <si>
    <t>Centro poblado: Rural - Corregimiento 1,2 y 3 de Bucaramanga.
Centro poblado: Urbano – 17 comunas del Municipio de Bucaramanga</t>
  </si>
  <si>
    <t>Hombres, mujeres y NNA que conforman las familias en situación de Pobreza, Extrema pobreza y vulnerabilidad en el municipio de Bucaramanga</t>
  </si>
  <si>
    <t>Implementación de estrategias de promoción de la oferta institucional para las familias del municipio Bucaramanga</t>
  </si>
  <si>
    <t>Fortalecimiento de las acciones de atención integral para la población en habitanza en calle en el municipio de Bucaramanga</t>
  </si>
  <si>
    <t>Las 17 Comunas del Municipio de Bucaramanga.</t>
  </si>
  <si>
    <t xml:space="preserve"> Ciudadanos en habitabilidad en calle</t>
  </si>
  <si>
    <t>Implementación de acciones para la garantía del acceso a la oferta social en población migrante, retornada, refugiada y de acogida en el Municipio de Bucaramanga</t>
  </si>
  <si>
    <t>Bucaramanga – Comunas 1 a la 17, Corregimientos 1, 2 y 3.</t>
  </si>
  <si>
    <t xml:space="preserve">Personas migrantes regularizadas. 
</t>
  </si>
  <si>
    <t>Desarrollo de acciones de intervención social enfocadas a las mujeres en el ámbito comunitario en el municipio de Bucaramanga</t>
  </si>
  <si>
    <t xml:space="preserve">Rural - Corregimiento 1,2 y 3 de Bucaramanga.
Centro poblado: Urbano – 17 comunas del Municipio de Bucaramanga. </t>
  </si>
  <si>
    <t>Mujeres del Municipio de Bucaramanga</t>
  </si>
  <si>
    <t>Implementación de estrategias de atención integral para las mujeres del municipio de Bucaramanga</t>
  </si>
  <si>
    <t xml:space="preserve">Centro poblado: Rural - Corregimiento 1,2 y 3 de Bucaramanga.
Centro poblado: Urbano – 17 comunas del Municipio de Bucaramanga. </t>
  </si>
  <si>
    <t>Desarrollo e Implementación de estrategias para la promoción, protección, restablecimiento de los derechos de las personas mayores en el Municipio de Bucaramanga</t>
  </si>
  <si>
    <t>Personas Mayores del Municipio de Bucaramanga</t>
  </si>
  <si>
    <t>Fortalecimiento de los procesos de atención integral de la población adulta mayor en el Municipio de Bucaramanga</t>
  </si>
  <si>
    <t>Intervenciones intra y extramurales en los centrovida municipales por los profesionales garantizando atencion integral a las personas mayores con espacios de atención primaria en salud orientada a prevencion de enfermedades y promoción de habitos saludables, al igual que el desarrollo de espacios artisticos, recreativos y productivos.</t>
  </si>
  <si>
    <t>"La secretaria de desarrollo social suscribió CONVENIOS DE ASOCIACIÓN con entidades sin ánimo de lucro en modalidad centro vida garantizando servicios integrales, culturales, artisticos y recreativos
"</t>
  </si>
  <si>
    <t>"La secretaria de desarrollo social suscribió CONVENIOS DE ASOCIACIÓN con entidades sin ánimo de lucro en modalidad centro bienestar garantizando los procesos de atención integral.
"</t>
  </si>
  <si>
    <t>Desarrollo de acciones encaminadas a mejorar la calidad de vida de las personas con discapacidad del municipio de Bucaramanga</t>
  </si>
  <si>
    <t>Personas con discapacidad</t>
  </si>
  <si>
    <t>Fortalecimiento de la atención integral a personas con discapacidad y sus cuidadores en el Municipio de Bucaramanga</t>
  </si>
  <si>
    <t>Personas con discapacidad y cuidadores</t>
  </si>
  <si>
    <t>Desarrollo de acciones de atención integral para la población con orientación sexual e identidad de género diversa en el Municipio de Bucaramanga</t>
  </si>
  <si>
    <t>Bucaramanga – Área urbana y rural</t>
  </si>
  <si>
    <t>Personas con orieentación sexual e identidad de género diversa</t>
  </si>
  <si>
    <t>Desarrollar estrategias encaminadas al restablecimiento de los derechos de niños, niñas y adolescentes. Desarrollar campañas de promoción e integración para el homenaje a la niñez para la visibilización de los derechos de la infancia.</t>
  </si>
  <si>
    <t>Implementación de Acciones Pedagógicas, Comunitarias y de Seguridad Alimentaria a Madres, Cuidadoras y Familias de Niños, Niñas y Adolescentes en el Municipio de Bucaramanga</t>
  </si>
  <si>
    <t>Madres cuidadoras y familias de NNA</t>
  </si>
  <si>
    <t>Fortalecimiento de los procesos transversales de la secretaria de desarrollo social en el municipio de Bucaramanga</t>
  </si>
  <si>
    <t>Área urbana y rural</t>
  </si>
  <si>
    <t xml:space="preserve">Usuarios de oferta social </t>
  </si>
  <si>
    <t>Apoyar la gestión administrativa, jurídica, contractual y de seguimiento a los procesos de contratación realizados por la Secretaría de Desarrollo Social. Realizar los procesos de estructuración, actualización, seguimiento de proyectos de inversión y apoyo en la gestión administrativa y contractual. Brindar apoyo en la gestión administrativa, atender solicitudes de los usuarios, apoyo logístico y archivo documental. Efectuar revisión, análisis y evaluación legal de los procesos de contratación y respuesta de requerimientos jurídicos. Realizar actividades de ejecución presupuestal, seguimiento a los diferentes planes, informes de gestión y financieros. Apoyar en el actualización, consolidación, análisis e interpretación de datos, formulación y seguimiento de políticas públicas. Desarrollar actividades de territorialización de la oferta con la población adscrita a los diferentes programas. Adquirir herramientas técnicas y tecnológicas para mejorar la atención a los usuarios</t>
  </si>
  <si>
    <t>Fortalecimiento de los espacios de participación ciudadana y buen gobierno en el municipio de Bucaramanga</t>
  </si>
  <si>
    <t>Municipio de Bucaramanga, sector rural y urbano</t>
  </si>
  <si>
    <t>Representantes comunales</t>
  </si>
  <si>
    <t>Ediles</t>
  </si>
  <si>
    <t>Dignatarios de juntas de acción comunal y ediles</t>
  </si>
  <si>
    <t>Jóvenes del municipio de Bucaramanga</t>
  </si>
  <si>
    <t>Fortalecimiento de la atención integral a personas con discapacidad y sus cuidadores en el Municipio de Bucaramanga.</t>
  </si>
  <si>
    <t xml:space="preserve">Desarrollo e Implementación de estrategias para la promoción, protección, restablecimiento de los derechos de las personas mayores en el Municipio de Bucaramanga. </t>
  </si>
  <si>
    <t>Personas mayores en condición de vulnerabilidad</t>
  </si>
  <si>
    <t>Actualización del censo de personas con discapacidad en el Municipio de Bucaramanga</t>
  </si>
  <si>
    <t>Mejoramiento genetico pecuario en el municipio de Bucaramanga</t>
  </si>
  <si>
    <t>Desarrollo de acciones para adquirir habilidades productivas por parte de los jóvenes del Municipio de Bucaramanga</t>
  </si>
  <si>
    <t>Secretaría de Desarrollo Social</t>
  </si>
  <si>
    <t>Ivan Dario Torres Alfonso</t>
  </si>
  <si>
    <t>2
12</t>
  </si>
  <si>
    <t>5
10</t>
  </si>
  <si>
    <t xml:space="preserve">
10</t>
  </si>
  <si>
    <t>Niños, niñas, adolescentes y jóvenes atendidos en los servicios de restablecimiento en la administración de justicia.
 (410203800)</t>
  </si>
  <si>
    <t>Número</t>
  </si>
  <si>
    <t>Productores beneficiados con acceso a maquinaria y equipo (170201400)</t>
  </si>
  <si>
    <t>asociaciones apoyadas 
 (170201600)</t>
  </si>
  <si>
    <t xml:space="preserve">Productores agropecuarios apoyados
(170201700)
</t>
  </si>
  <si>
    <t xml:space="preserve">Pequenos productores rurales asistidos tecnicamente
(170201000)
</t>
  </si>
  <si>
    <t xml:space="preserve">Número de animales vacunados
 (170704200)
</t>
  </si>
  <si>
    <t xml:space="preserve">Cadenas productivas apoyadas
(170910500)
</t>
  </si>
  <si>
    <t>Oficinas para la atención y orientación ciudadana dotadas 
  (450201500)</t>
  </si>
  <si>
    <t xml:space="preserve">Número </t>
  </si>
  <si>
    <t>Beneficiarios potenciales para quienes se gestiona la oferta social (410305200)</t>
  </si>
  <si>
    <t>Estrategias de promoción de la garantía de derechos implementadas 
  (450203800)</t>
  </si>
  <si>
    <t>Beneficiarios potenciales para quienes se gestiona la oferta social
 (410305200)</t>
  </si>
  <si>
    <t>Personas atendidas con oferta institucional. (410402600)</t>
  </si>
  <si>
    <t>Personas atendidas con servicios integrales 
  (410402700)</t>
  </si>
  <si>
    <t>Beneficiarios potenciales para quienes se gestiona la oferta social
  (410305200)</t>
  </si>
  <si>
    <t>Estrategias de
 promoción de la
 garantía de derechos
 implementadas.
 (450203800)</t>
  </si>
  <si>
    <t>Centros de día para el adulto mayor dotados (410401400)</t>
  </si>
  <si>
    <t>Adultos mayores atendidos con servicios integrales (410400800)</t>
  </si>
  <si>
    <t>Personas con discapacidad atendidas con servicios integrales. 
  (410402000)</t>
  </si>
  <si>
    <t>Documentos de planeación realizados (410306700)</t>
  </si>
  <si>
    <t>Estrategias de promoción de la garantía de derechos implementadas 
   (450203800)</t>
  </si>
  <si>
    <t>Estrategias de promoción de la garantía de derechos implementadas (450203800)</t>
  </si>
  <si>
    <t>Edificaciones de atención a la primera infancia dotadas (410200600)</t>
  </si>
  <si>
    <t>Campañas de promoción realizadas (410204600)</t>
  </si>
  <si>
    <t>Niños, niñas, adolescentes y jóvenes beneficiados (410205200)</t>
  </si>
  <si>
    <t>Oficinas para la
 atención orientación ciudadana dotadas (450201500)</t>
  </si>
  <si>
    <t>Entidades, organismos y dependencias asistidos técnicamente (459903100)</t>
  </si>
  <si>
    <t>Salones comunales construidos y dotados 
  (450200200)</t>
  </si>
  <si>
    <t>Espacios de participación promovidos 
  (450200100)</t>
  </si>
  <si>
    <t>Espacios de participación promovidos (450200100)</t>
  </si>
  <si>
    <t>Personas Capacitadas. (450203400)</t>
  </si>
  <si>
    <t>Personas beneficiadas con raciones de alimentos (410301700)</t>
  </si>
  <si>
    <t>Documentos de estudios técnicos realizados
(040600900)</t>
  </si>
  <si>
    <t>Especies trabajadas a nivel genético (170801800)</t>
  </si>
  <si>
    <t>Estrategias implementadas
(360501200).</t>
  </si>
  <si>
    <t>Versión:3.0</t>
  </si>
  <si>
    <t>Fecha aprobación: Abril 10 de 2025</t>
  </si>
  <si>
    <t>Página: 1 de 2</t>
  </si>
  <si>
    <t>Página: 2 de 2</t>
  </si>
  <si>
    <t>Se ha dado atención personal, telefónica o por cualquier medio las solicitudes de los líderes sociales, comunales, ediles y asociaciones respecto de la oferta institucional.</t>
  </si>
  <si>
    <t>Total 2025</t>
  </si>
  <si>
    <r>
      <t>SGP Deporte 2025</t>
    </r>
    <r>
      <rPr>
        <b/>
        <sz val="12"/>
        <color rgb="FF002060"/>
        <rFont val="Arial"/>
        <family val="2"/>
      </rPr>
      <t>5</t>
    </r>
  </si>
  <si>
    <r>
      <t>SGP Cultura 2025</t>
    </r>
    <r>
      <rPr>
        <b/>
        <sz val="12"/>
        <color rgb="FF002060"/>
        <rFont val="Arial"/>
        <family val="2"/>
      </rPr>
      <t>6</t>
    </r>
  </si>
  <si>
    <r>
      <t>SGP Libre inversión 2025</t>
    </r>
    <r>
      <rPr>
        <b/>
        <sz val="12"/>
        <color rgb="FF002060"/>
        <rFont val="Arial"/>
        <family val="2"/>
      </rPr>
      <t>7</t>
    </r>
  </si>
  <si>
    <t>SGP Libre destinación 2025</t>
  </si>
  <si>
    <t>SGP Alimentación escolar 2025</t>
  </si>
  <si>
    <r>
      <t>SGP APSB 2025</t>
    </r>
    <r>
      <rPr>
        <b/>
        <sz val="12"/>
        <color rgb="FF002060"/>
        <rFont val="Arial"/>
        <family val="2"/>
      </rPr>
      <t>11</t>
    </r>
  </si>
  <si>
    <r>
      <t>Crédito 2025</t>
    </r>
    <r>
      <rPr>
        <b/>
        <sz val="12"/>
        <color rgb="FF002060"/>
        <rFont val="Arial"/>
        <family val="2"/>
      </rPr>
      <t>12</t>
    </r>
  </si>
  <si>
    <t>Transferencias de capital - cofinanciación nación 2025</t>
  </si>
  <si>
    <t>Otros 2025</t>
  </si>
  <si>
    <t>Total Recursos Comprometido 2025</t>
  </si>
  <si>
    <t>Crédito 2025</t>
  </si>
  <si>
    <t>SGP APSB 2025</t>
  </si>
  <si>
    <t>SGP Municipios río Magdalena 2025</t>
  </si>
  <si>
    <t>SGP Libre inversión 2025</t>
  </si>
  <si>
    <t>SGP Cultura 2025</t>
  </si>
  <si>
    <t>Transferencias de capital - cofinanciación departamento 2025</t>
  </si>
  <si>
    <t>Recursos propios 2025</t>
  </si>
  <si>
    <t>SGP Educación 2025</t>
  </si>
  <si>
    <t>SGP Salud 2025</t>
  </si>
  <si>
    <t>SGP Deporte 2025</t>
  </si>
  <si>
    <t>SGP Cultura 20252</t>
  </si>
  <si>
    <t>SGP Libre inversión 20252</t>
  </si>
  <si>
    <t>SGP Libre destinación 20252</t>
  </si>
  <si>
    <t>SGP Alimentación escolar 20252</t>
  </si>
  <si>
    <t>SGP Municipios río Magdalena 20252</t>
  </si>
  <si>
    <t>SGP APSB 20252</t>
  </si>
  <si>
    <t>Crédito 20252</t>
  </si>
  <si>
    <t>Transferencias de capital - cofinanciación departamento 20252</t>
  </si>
  <si>
    <t>Transferencias de capital - cofinanciación nación 20252</t>
  </si>
  <si>
    <t>Otros 20252</t>
  </si>
  <si>
    <t>SGP Deporte 20252</t>
  </si>
  <si>
    <t>SGP Salud 20252</t>
  </si>
  <si>
    <t>SGP Educación 20252</t>
  </si>
  <si>
    <t>Recursos propios 20252</t>
  </si>
  <si>
    <t xml:space="preserve">Se realizan jornadas de atención integral y garantías de derechos, en cumplimiento de la política pública para el bienestar  e inclusión social de la ciudanaía en habitanza en calle. </t>
  </si>
  <si>
    <t>ABRIL: Se ofreció a los niños, niñas y adolescentes de Bucaramanga la oportunidad de asistir a un evento artístico y musical en el coliseo La Presentación, diseñado como un espacio de encuentro, disfrute cultural y promoción del bienestar infantil.</t>
  </si>
  <si>
    <t>Se realizó el pago de EPS, ARL y póliza de vida.</t>
  </si>
  <si>
    <t>Julio: El 30 de julio se suscribe el acta de inicio con el operador encargado de la entrega del Bono Rosa a las madres comunitarias y cuidadoras.
Agosto.: Durante este periodo reportado se entregaron 400 bonos rosas a madres comunitarias y cuidadoras</t>
  </si>
  <si>
    <t>Se han realizado 4 entregas de complementos nutricionales tipo mercado, para un total de 12.656 mercados distribuidos, que beneficiaron a igual número de personas y sus familias, en tres programas sociales: Persona Mayor, con 11.301 mercados en total y un promedio mensual de 2.825 (entrega 1: 2.856; entrega 2: 2.872; entrega 3: 2.799; entrega 4: 2.774); Primera Infancia, Infancia y Adolescencia, con 365 mercados en total y un promedio mensual de 91 (entrega 1: 113; entrega 2: 63; entrega 3: 76; entrega 4: 113); y Personas con Discapacidad, con 990 mercados en total y un promedio mensual de 248 (entrega 1: 177; entrega 2: 333; entrega 3: 313; entrega 4: 167), alcanzando un promedio general mensual de 3.164 entregas.</t>
  </si>
  <si>
    <r>
      <t>Transferencias de capital - cofinanciación departamento 2025</t>
    </r>
    <r>
      <rPr>
        <b/>
        <sz val="12"/>
        <color rgb="FF002060"/>
        <rFont val="Arial"/>
        <family val="2"/>
      </rPr>
      <t>13</t>
    </r>
  </si>
  <si>
    <t xml:space="preserve">Febrero: Desarrollo de un taller de prevención del abuso sexual dirigido a niños, niñas y adolescentes (NNA) a través del enfoque PIBIN, Además, se ejecutó el programa de Aulas Hospitalarias, brindando acompañamiento educativo a NNA en contextos hospitalarios, con el apoyo de profesionales en Psicología y áreas relacionadas.
Marzo:    Durante el periodo reportado, se llevaron a cabo múltiples acciones en Bucaramanga enfocadas en la protección y desarrollo integral de la niñez. Se realizaron talleres de prevención del abuso sexual infantil (PIBIN) en instituciones educativas.
También se desarrollaron aulas hospitalarias en coordinación con hospitales, brindando apoyo pedagógico y emocional .Las ludotecas municipales ofrecieron espacios lúdico-educativos, que fomentaron habilidades sociales, emocionales y cognitivas. Además, se realizaron actividades de robótica y programación como parte de la estrategia de fomento vocacional. Finalmente, se llevaron a cabo mesas de participación de NNA, promoviendo la voz activa de la niñez y el fortalecimiento de vínculos familiares y comunitarios. 
Abril: Durante el periodo reportado, se llevaron a cabo múltiples acciones en Bucaramanga enfocadas en la protección y desarrollo integral de la niñez. Se realizaron talleres de prevención del abuso sexual infantil (PIBIN) en instituciones educativas Barrios, También se desarrollaron aulas hospitalarias en coordinación con hospitales brindando apoyo pedagógico y emocional. Las ludotecas municipales ofrecieron espacios lúdico-educativos, que fomentaron habilidades sociales, emocionales cognitivas. Además, se realizaron actividades de robótica y programación como parte de la estrategia de fomento vocacional.                         
MAYO: Durante el período reportado, en Bucaramanga se desarrollaron diversas acciones orientadas a la protección y el desarrollo integral de la niñez. Se llevaron a cabo talleres de prevención del abuso sexual infantil (PIBIN) en instituciones educativas del sector.
Asimismo, se ofrecieron espacios lúdico-recreativos que promovieron el fortalecimiento de habilidades sociales en los niños y niñas.
Además, se realizaron actividades de robótica, fomentando el pensamiento lógico y la creatividad
JUNIO: Se llevaron a cabo talleres de prevención del abuso sexual infantil (PIBIN) en instituciones educativas, beneficiando a 43 niñas y niños con información clave para su autocuidado y protección. 
En coordinación con los hospitales de la ciudad, se brindaron 29 atenciones pedagógicas y emocionales en aulas hospitalarias, ofreciendo acompañamiento integral a niñas y niños hospitalizados.
Las ludotecas municipales continuaron siendo espacios seguros y enriquecedores, en los que se promovieron habilidades sociales, emocionales y cognitivas, logrando un total de 299 atenciones durante el periodo.
Como parte de la estrategia de fomento vocacional, se desarrollaron actividades de robótica, beneficiando a 229 niñas, niños y adolescentes, impulsando su creatividad e interés por las ciencias y la tecnología.
JULIO: Durante el periodo reportado, se llevaron a cabo múltiples acciones en Bucaramanga enfocadas en la protección y desarrollo integral de la niñez. Se realizaron talleres de prevención del abuso sexual infantil (PIBIN) en instituciones educativas Barrios, También se desarrollaron aulas hospitalarias en coordinación con hospitales brindando apoyo pedagógico y emocional. Las ludotecas municipales ofrecieron espacios lúdico-educativos, que fomentaron habilidades sociales, emocionales cognitivas. Además, se realizaron actividades de robótica y programación como parte de la estrategia de fomento vocacional.   
Agosto: Durante el periodo reportado, se llevaron a cabo múltiples acciones en Bucaramanga enfocadas en la protección y desarrollo integral de la niñez. Se realizaron talleres de prevención del abuso sexual infantil (PIBIN) en instituciones educativas Barrios, También se desarrollaron aulas hospitalarias en coordinación con hospitales brindando apoyo pedagógico y emocional. Las ludotecas municipales ofrecieron espacios lúdico-educativos, que fomentaron habilidades sociales, emocionales cognitivas. Además, se realizaron actividades de robótica y programación como parte de la estrategia de fomento vocacional.
Septiembre: Durante el periodo reportado, se llevaron a cabo múltiples acciones en Bucaramanga enfocadas en la protección y desarrollo integral de la niñez. Se realizaron talleres de prevención del abuso sexual infantil (PIBIN) en instituciones educativas Barrios, También se desarrollaron aulas hospitalarias en coordinación con hospitales brindando apoyo pedagógico y emocional. Las ludotecas municipales ofrecieron espacios lúdico-educativos, que fomentaron habilidades sociales, emocionales cognitivas. Además, se realizaron actividades de robótica y programación como parte de la estrategia de fomento vocacional y Finalmente,dentro del marco de participación, se llevaron a cabo la Mesa de Participación de Niños, Niñas y Adolescentes, así como la Mesa de Primera Infancia, Infancia, Adolescencia y Fortalecimiento Familiar – PIIAFF
Octubre: Durante el periodo reportado, se llevaron a cabo múltiples acciones en Bucaramanga enfocadas en la protección y desarrollo integral de la niñez. Se realizaron talleres de explotación sexual y comercial en instituciones educativas Barrios, También se desarrollaron aulas hospitalarias en coordinación con hospitales brindando apoyo pedagógico y emocional. Las ludotecas municipales ofrecieron espacios lúdico-educativos, que fomentaron habilidades sociales, emocionales cognitivas. Además, se realizaron actividades de robótica y programación como parte de la estrategia de fomento vocacional.
Noviembre: Durante el periodo reportado, se llevaron a cabo múltiples acciones en Bucaramanga enfocadas en la protección y desarrollo integral de la niñez. Se realizaron talleres de explotación sexual y comercial en instituciones educativas Barrios, También se desarrollaron aulas hospitalarias en coordinación con hospitales brindando apoyo pedagógico y emocional. Las ludotecas municipales ofrecieron espacios lúdico-educativos, que fomentaron habilidades sociales, emocionales cognitivas. Además, se realizaron actividades de robótica y programación como parte de la estrategia de fomento vocacional  </t>
  </si>
  <si>
    <t>JULIO
-	Convenio: Adquisición de Kit de elementos agrícolas para apoyo a los pequeños productores de cacao del sector rural del municipio de Bucaramanga.
-	Visita de seguimientos a beneficiarios del sector rural de Bucaramanga, del proyecto productivo Kit de herramientas entregado en el año 2024.
AGOSTO
- Convocatoria y preselección de beneficiarios de Kit de Herramientas para productores de Cacao.
SEPTIEMBRE
- Preselección de beneficiarios y verificación de requisitos para la entrega de Kit de Herramientas para productores de Cacao.
OCTUBRE
- Entrega de Kit de cacao del Convenio: Adquisición de Kit de elementos agrícolas para apoyo a los pequeños productores de cacao del sector rural del municipio de Bucaramanga.
NOVIEMBRE
-	Se realizó entrega de proyecto de gallinas ponedoras y alimentos para las aves, con el fin de apoyar e incentivar la asociatividad en el campo como parte de una comercialización que garantice la economía y el mejoramiento de vida de los pequeños productores que la conforman.</t>
  </si>
  <si>
    <t>OCTUBRE
-	Actas de inicio: Suministro de gallinas ponedoras y alimento tipo concentrado para el apoyo a núcleos familiares de pequeños y/o medianos productores y procesos de asociatividad rural productiva del sector rural del municipio de Bucaramanga.</t>
  </si>
  <si>
    <t>FEBRERO:
-	Se realiza jornadas de Mercadillos Campesinos en los 4 puntos dispuestos por la administración según el acuerdo 025 del 2019, como beneficio a los campesinos de los 3 corregimientos de Bucaramanga.
-	Contratación del personal para apoyo logístico de Mercadillos Campesinos.
MARZO:
-	Se llevaron a cabo 5 jornadas de Mercadillos Campesinos en los 4 puntos dispuestos por la administración según el acuerdo 025 del 2019, como beneficio a los campesinos de los 3 corregimientos de Bucaramanga.
-	Se recibieron las carpas, las cuales serán para la apertura de los cupos y el relanzamiento de los mercadillos campesinos.
-	Se realizo reunión con los 4 mercadillos campesino en articulación con secretaria de salud y ambiente, como parte de la socialización de la normatividad sanitaria vigente para el cumplimiento de la misma, incluyendo operativos en sitio.
-	Se realizo asamblea y junta directiva con mercadillos de campesinos para revisión del reglamento, para actualización del mismo en aras de poder dar cumplimiento a las normas que hacen que el mercadillo funcione generando aumento del fortalecimiento para la competitividad de los productores rurales que se benefician en esta meta del plan de desarrollo.
ABRIL:
-  Se llevaron a cabo 4 jornadas de Mercadillos Campesinos en los 4 puntos dispuestos por la administración según el acuerdo 025 del 2019, como beneficio a los campesinos de los 3 corregimientos de Bucaramanga.
-	Se llevo a cabo la primera jornada de Origen BGA Mercado Campesino, en el Cantón Militar Palonegro, con la participación de 23 pequeños productores del sector rural de Bucaramanga.
-	Se realizo 3 juntas directivas con mercadillos de campesinos para revisión de casos de los beneficiarios.
-	Se continuo con la contratación del personal para apoyar la logística de los Mercadillos Campesinos.
Mayo: 
-	Se llevaron a cabo 4 jornadas de Mercadillos Campesinos en los 4 puntos dispuestos por la administración según el acuerdo 025 del 2019, como beneficio a los campesinos de los 3 corregimientos de Bucaramanga.
-	Se realizo 2 juntas comités con mercadillos de campesinos para revisión de casos de los beneficiarios de los mercadillos campesinos 
-	Se realizo asamblea general de beneficiarios de mercadillos campesinos.
-	Inducción a los nuevos beneficiarios de los mercadillos para el ingreso.
-	Estrategia para impulsar y fortalecer las ventas de los Mercadillos Campesinos.
-	Relanzamiento de los Mercadillos Campesinos con el ingreso de los 21 nuevos beneficiarios, para un total de 150 productores agropecuarios apoyados en los mercadillos campesinos, incrementando la cobertura del sector rural de Bucaramanga. 
-	Se inició la capacitación de manipulación de alimentos para los beneficiarios de los mercadillos campesinos, certificado por el SENA
JUNIO:
-	Se llevaron a cabo 5 jornadas de Mercadillos Campesinos en los 4 puntos dispuestos por la administración según el acuerdo 025 del 2019, como beneficio a los campesinos de los 3 corregimientos de Bucaramanga.
-	Se finalizo capacitación de manipulación de alimentos realizada a los beneficiarios de los mercadillos campesinos, certificado por el SENA. 
-	Se realizo junta directiva con los Mercadillos Campesinos.
-	Se realizo actividad del Corpus Christi en el Mercadillo Campesino San Pio, promovido por sus beneficiarios.
JULIO:
-	Se llevaron a cabo 4 jornadas de Mercadillos Campesinos en los 4 puntos dispuestos por la administración según el acuerdo 025 del 2019, como beneficio a los campesinos de los 3 corregimientos de Bucaramanga.
-	Grado de manipulación de alimentos realizada a los beneficiarios de los mercadillos campesinos, certificado por el SENA. 
-	Se realizo junta directiva con los Mercadillos Campesinos. 
-	Visitas de seguimientos a beneficiarios del Mercadillos Campesinos del sector rural de Bucaramanga.
AGOSTO
-	Se llevaron a cabo 5 jornadas de Mercadillos Campesinos en los 4 puntos dispuestos por la administración según el acuerdo 025 del 2019, como beneficio a los campesinos de los 3 corregimientos de Bucaramanga.
-	Capacitación con FENAVI a productores de pollo y huevos en bioseguridad, agua potable y control de plagas en avicultura, con entrega de kit avícola.
-	Se realizo junta directiva con los Mercadillos Campesinos. 
-	Visitas de seguimientos a beneficiarios del Mercadillos Campesinos del sector rural de Bucaramanga.
SEPTIEMBRE
-	Se llevaron a cabo 4 jornadas de Mercadillos Campesinos en los 4 puntos dispuestos por la administración según el acuerdo 025 del 2019, como beneficio a los campesinos de los 3 corregimientos de Bucaramanga.
-	Se realizo jornada Origen BGA Mercado Campesino en el batallón caldas.
-	Acompañamiento del ejercito nacional en el mercadillo San Pio.
-	Se continuo con la contratación del personal para apoyar diferentes actividades de logística en los Mercadillos Campesinos.
OCTUBRE
-	Se llevaron a cabo 4 jornadas de Mercadillos Campesinos en los 4 puntos dispuestos por la administración según el acuerdo 025 del 2019, como beneficio a los campesinos de los 3 corregimientos de Bucaramanga.
-	Se realizo jornada Origen BGA Mercado campesino - Fortalecimiento a la seguridad alimentaria en el marco del día mundial de la alimentación saludable. 
-	Festival de cosecha: Dinamización de los Mercadillos campesinos con ventas de cosecha    
-	Se realizo junta directiva con los representantes de los Mercadillos Campesinos. 
NOVIEMBRE
-	Se llevaron a cabo 5 jornadas de Mercadillos Campesinos en los 4 puntos dispuestos por la administración según el acuerdo 025 del 2019, como beneficio a los campesinos de los 3 corregimientos de Bucaramanga. 
-	Se realizo jornada Origen BGA Mercado Campesino en la Brigada del ejército, Batallón Caldas.
-	Se realizó el cuarto comité de seguridad alimentaria y nutrición -COMSA – para revisar los avances de la ejecución del plan de acción por cada uno de los actores que la componen.</t>
  </si>
  <si>
    <t>FEBRERO
-	Contratación del personal para apoyar diferentes actividades del sector rural de Bucaramanga, incluyendo asistencia técnica a los pequeños productores, caracterización, registro de base de datos, articulación con gremios.
MARZO
-	Se realizan asistencias técnicas a través del personal contratado para resolver las necesidades de los pequeños productores rurales del sector agropecuario y ambiental.
-	Se continuo con la contratación del personal para apoyar diferentes actividades del sector rural de Bucaramanga, incluyendo asistencia técnica a los pequeños productores, caracterización, registro de base de datos, articulación con gremios.
-	Reactivación de los lunes veredales como espacio de participación ciudadana, iniciativa que busca informar de primera mano sobre programas y servicios disponibles para el sector rural, que busca resolver problemáticas y necesidades de la población campesina.
ABRIL
-	Se realizan 11 asistencias técnicas a través del personal contratado para resolver las necesidades de los pequeños productores rurales del sector agropecuario y ambiental.
-	Se continuo con la contratación del personal para apoyar diferentes actividades del sector rural de Bucaramanga, incluyendo asistencia técnica a los pequeños productores, caracterización, registro de base de datos, articulación con gremios.
-	Lunes veredales con participación ciudadana del sector rural dentro de la plenaria del concejo municipal de Bucaramanga, para la aprobación del consejo municipal de desarrollo rural. 
MAYO
-	Se realizan asistencias técnicas a través del personal contratado para resolver las necesidades de los pequeños productores rurales del sector agropecuario y ambiental.
-	Se realizaron 2 Lunes veredales como espacio de participación ciudadana, iniciativa que busca informar de primera mano sobre programas y servicios disponibles para el sector rural, que busca resolver problemáticas y necesidades de la población campesina.
JUNIO
-	Se realizan asistencias técnicas a través del personal contratado para resolver las necesidades de los pequeños productores rurales del sector agropecuario y ambiental.
-	Se realizo un lunes veredales como espacio de participación ciudadana, iniciativa que busca informar de primera mano sobre programas y servicios disponibles para el sector rural, que busca resolver problemáticas y necesidades de la población campesina.
-	Celebración conmemoración Día del Campesino en los 3 corregimientos del municipio de Bucaramanga, con entrega de fumigadoras de espalda como reconocimiento y apoyo a la labor del pequeño productor.
JULIO:
-	Se realizan asistencias técnicas a través del personal contratado para resolver las necesidades de los pequeños productores rurales del sector agropecuario y ambiental.
-	Se realizo dos lunes veredales como espacio de participación ciudadana, iniciativa que busca informar de primera mano sobre programas y servicios disponibles para el sector rural, que busca resolver problemáticas y necesidades de la población campesina.
-	Visita de seguimientos a beneficiarios del sector rural de Bucaramanga, del proyecto productivo Gallinas ponedoras entregado en el año 2024.
AGOSTO
-	Se realizan asistencias técnicas a través del personal contratado para resolver las necesidades de los pequeños productores rurales del sector agropecuario y ambiental.
-	Se realizo lunes veredal como espacio de participación ciudadana, iniciativa que busca informar de primera mano sobre programas y servicios disponibles para el sector rural, que busca resolver problemáticas y necesidades de la población campesina.
-	Convocatoria y preselección de beneficiarios de los proyectos productivos de gallinas ponedoras, plántulas de cacao, cítricos y aguacate.
-	Contratación de personal para apoyar las diferentes actividades del sector rural de Bucaramanga, incluyendo la articulación con gremios y liderar procesos.
SEPTIEMBRE
-	Se realizan asistencias técnicas a través del personal contratado para resolver las necesidades de los pequeños productores rurales del sector agropecuario y ambiental.
-	Se realizo lunes veredal como espacio de participación ciudadana, iniciativa que busca informar de primera mano sobre programas y servicios disponibles para el sector rural, que busca resolver problemáticas y necesidades de la población campesina.
-	Se continuo con la contratación del personal para apoyar diferentes actividades del sector rural de Bucaramanga, incluyendo asistencia técnica a los pequeños productores, caracterización, registro de base de datos.
OCTUBRE
-	Se realizan asistencias técnicas a través del personal contratado para resolver las necesidades de los pequeños productores rurales del sector agropecuario y ambiental.
-	Se realizo dos lunes veredales como espacio de participación ciudadana, iniciativa que busca informar de primera mano sobre programas y servicios disponibles para el sector rural, que busca resolver problemáticas y necesidades de la población campesina. 
-	Acta de inicio: Suministro de gallinas ponedoras y alimento tipo concentrado para el apoyo a núcleos familiares de pequeños y/o medianos productores y procesos de asociatividad rural productiva del sector rural del municipio de Bucaramanga. 
NOVIEMBRE
-	Se realizan asistencias técnicas a través del personal contratado para resolver las necesidades de los pequeños productores rurales del sector agropecuario y ambiental.
-	Se realizo lunes veredal donde se impartió la capacitación en el manejo de Gallinas ponedoras en articulación con FENAVI
-	Apoyo a jóvenes rurales, pequeños productores del campo motivando sus proyectos en el sector agropecuario.
-	Entrega de proyectos productivos de gallinas ponedoras y alimentos para aves a 76 pequeños productores como beneficiarios y apoyando la productividad del campo.</t>
  </si>
  <si>
    <t>JUNIO: 
-Se realizo el primer ciclo de vacunación en los 3 corregimientos del municipio de Bucaramanga, para mantener el estatus sanitario, libres de aftosa e inmunización contra la brucelosis bovina. 
OCTUBRE
-Se inició el segundo ciclo de vacunación en los 3 corregimientos del municipio de Bucaramanga, para mantener el estatus sanitario, libres de aftosa e inmunización contra la brucelosis bovina.
NOVIEMBRE
-	Se continuo con el segundo ciclo de vacunación en los 3 corregimientos del municipio de Bucaramanga, para mantener el estatus sanitario, libres de aftosa e inmunización contra la brucelosis bovina.</t>
  </si>
  <si>
    <t>JULIO
-	Convenio: Aunar esfuerzos técnicos y económicos para fortalecer las condiciones productivas de los caficultores del municipio de Bucaramanga.
-	Elaboración de cronograma de actividades convenio con cafeteros.
-	Se realizaron 2 reuniones para dar a conocer a los productores de café del municipio rural de Bucaramanga, los proyectos productivos dentro del convenio con el comité de cafeteros de Santander.
AGOSTO
-	Acto protocolario de la firma del convenio #146 con federación de cafeteros, para fortalecer las condiciones productivas de los caficultores del municipio de Bucaramanga y acompañamiento del IMEBU quienes también firmaron convenio para fortalecer el proceso de producción e industrialización de café de los productores del municipio de Bucaramanga.
-	Convocatoria de inscripción a participar en: entrega de Almácigos, módulos para el beneficio del café, y fertilizantes con capacitación de calidad del café. 
-	Revisión y verificación del avance en los almácigos de café.
SEPTIEMBRE
-	Listado de preseleccionados del convenio de café.
-	Visitas de verificación de requisitos.
OCTUBRE
En el marco del convenio se realiza el día de campo con capacitación en: ciclos de renovación, fertilización de cafetales, buenas prácticas de beneficio. A pequeños productores cafeteros de Bucaramanga que se verán beneficiados con entregas de almácigos, fertilizantes y módulos de beneficio para el café.
NOVIEMBRE
Se realizaron las entregas descritas dentro del convenio 146 con la federación de cafeteros, que incluyo beneficiarios para módulos beneficiaderos de café, almácigos y fertilizantes.</t>
  </si>
  <si>
    <t xml:space="preserve">En ejecución del Contrato 247-2024 con vigencia futura, se solicitaron y prestaron en el mes de mayo de 2025, 10 servicios exequiales. Los servicios fueron prestados, según las condiciones técnicas establecidas en el contrato, esto es: retiro del cuerpo y traslado del mismo, cofre, preparación del cuerpo, sala de velación (si cuenta con familia), cremación o alquiler de bóveda en el Cementerio y trámites notariales. 
En ejecución del Contrato 247-2024 con vigencia futura, se solicitaron y prestaron en el mes de noviembre de 2025, 8 servicios exequiales. Los servicios fueron prestados, según las condiciones técnicas establecidas en el contrato, esto es: retiro del cuerpo y traslado del mismo, cofre, preparación del cuerpo, sala de velación (si cuenta con familia), cremación o alquiler de bóveda en el Cementerio y trámites notariales. 
En ejecución del Contrato 247-2024 con vigencia futura, se solicitaron y prestaron en el mes de agosto de 2025, 8 servicios exequiales. Los servicios fueron prestados, según las condiciones técnicas establecidas en el contrato, esto es: retiro del cuerpo y traslado del mismo, cofre, preparación del cuerpo, sala de velación (si cuenta con familia), cremación o alquiler de bóveda en el Cementerio y trámites notariales. </t>
  </si>
  <si>
    <t>Se realiza implementación de la fase 1. Sensibilización sobre la importancia de la familia y campaña de expectativa. En esta fase se realizaron 3 jornadas de sensibilización en territorio, donde el personal de la secretaría de desarrollo social y entidades con las que se realiza articulación, se pararon en diferentes zonas de la ciudad con letreros que contenían frases sobre la importancia de la familia y se repartía a la comunidad volantes, mientras paralelamente se realizaba llamado a la acción mencionándole a las personas la frase “¿Sabías que tu familia es el corazón de Bucaramanga?, por eso cuídala”
Carrera 27 –  22 de febrero de 2025
Carrera 9 – 1 de marzo de 2025
Carrera 33 – 28 de marzo de 2025
Durante el mes de MAYO se realizaron las siguientes actividades:                                                                                  INEM- 15 de mayo del 2025                                                                                                                                      Calle de los estudiantes- 16 de mayo del 2025                                                                                                               Dentro del cumplimiento de la estrategia macro FAMILIAS 360 se realiza el encuentro 6 de "Construyendo lazos familiares", donde se celebró una fiesta de la familia en la zona norte - 24 de mayo del 2025                        Adicionalmente y en el marco de la conmemoración del mes de la familia se realizan actividades con diferentes poblaciones como la cárcel modelo (10 de mayo del 2025), la cárcel de mujeres (23 de mayo del 2025), familias de la población en habitanza en calle (22 de mayo del 2025) y un encuentro por el bienestar de la familia y la mujer en donde se resaltó el trabajo de estas entidades que protegen estos grupos (30 de mayo del 2025). Finalmente, se realizó un foro dirigido a estudiantes (22 de mayo de 2025) en la Universidad Autónoma de Bucaramanga, centrado en la importancia de la familia como núcleo fundamental en el desarrollo personal y social; este foro tuvo por nombre "Parchemos en Convivencia y Familia".                                                                                                                                                                        Para el mes de Jumio se realiza el cumplimiento de la fase 2 (encuentro 3 y 6 del ciclo 2 Sur) resaltando que en el ciclo sur, se determina ajustar la estraategia para fusionar el encuentro 3 y 6  "Feria del cuidado familiar" el cual en esta ocasión se llevo a cabo el 28 de junio en el recrear de provenza.
Para el mes de Julio se realiza sensibilizaciones de la importancia de la familia de la fase 1 (24 julio en la carcel de mujeres); de la fase 2 de la estrategia macro FAMILIAS360 se realiza el enuentro 6 que en esta ocasion consistia en certificar a las familias que en los ciclos 1 norte y ciclo 2 sur (un desayuno realizado en las instalaciones del SENA el 25 de julio) habian culminado el proceso de escuelas de familia con asistencia completa; de la fase 3 se realiza mesa de trabajo de articualación con el programa de escuela de convivencia (18 de julio), donde se establecio la ruta de acción a seguir en la agenda  y organizacion de foros en la universidades para el segundo semestre.
En cumplimiento a la fase 1 (sensibilizacion sobre la importancia de la familia) se realiza taller sobre el fortalecimiento de la economia familiar a migrantes en el marco de la entrega de bonificaciones para el arriendo de sus lugares de vivienda, actividad realizada el 14 de agosto.                                                                                                                                                                                                       Por otra parte, el 21 de agosto se realiza de manera virtual una reunion con los lideres de las juntas de acción comunal y diferentes actores de entidades aliadas para socializar la implementación de las acciones de Familias 360 en el ciclo 3 que priorizara como zona territorial las comunas 13, 14 y corregimiento 2 y 3.                                                                                                                                                    En el mes de septiembre se realizan en la Fase 1  de la estrategia macro Familias360 2 Actividades: La primera fue el día 18 de septiembre en el colegio Jose Maria Estevez, donde en el marco de la celebración del día de la familia por aprte del colegio , se realiza sensibilización de la impportancia de familia a los estudiantes y sus acompañantes; el 19 de septiembre en el recrear del mutis se realiza actividad con habitantes de calle en proceso de reinserción social y sus familias en una actitividad de person y reconciliación. Y para la Fase 2 de la estrategia macro Familias360 se realiza el 27 de septiembre el encuentro 5 "Feria del cuidado familiar" en el recrear de las americas.
En el mes de noviembre se realiza en la fase 1 de sensibilización de familias 360, recorrido con mujeres que aprticiparon en las escuelas de familia por la carcel de mujeres el dpia 10 de noviembre; el 13 de noviembre se realiza el taller "mi familia y el corazón" en la fundación de personas mayores Santa Rita; el 20 de noviembre se realiza taller con niños y niñas de bachillerato de la escuelam rural Bosconia y en horas de la tarde se realiza actividad en casa segura. El 11 de noviembre se realiza el foro "prevención de violencias en relaciones adolescentes" en la UCC  en cumplimineto a las fase 3 de la esterategias familias 360 que se centra en realizar foros universitario.</t>
  </si>
  <si>
    <t>Enero: 1.224 atenciones presenciales en el CAME de la Alcaldía de Bucaramanga,  distribuidas así: 707 en Renta Ciudadana, 490 en Colombia Mayor, 21 en Devolución del IVA y 6 en Renta Joven. En este mes, Prosperidad Social realizó el pago 6 de 2024 de Renta Ciudadana en la línea de valoración del cuidado.
Febrero: 1.115 atenciones presenciales en el CAMEde la Alcaldía de Bucaramanga,  distribuidas así: 506 en Renta Ciudadana, 379 en Colombia Mayor, 219 en Devolución del IVA y 11 en Renta Joven. En este mes, Prosperidad Social realizó el pago 5 y 6 de 2024 de Devolución del Iva; además del ciclo 1 de 2025 de Colombia Mayor.
Marzo: Se realizaron 1.433 atenciones presenciales en el CAME Centro y CAME Norte (591 en Renta Ciudadana, 371 en Devolución del IVA, 11 en Renta Joven y 460 en Colombia Mayor), 13 atenciones de PQRSD y 507 atenciones durante los 12 encuentros de bienvenida del programa Renta Ciudadana en los siguientes lugares: Ágora de Provenza (18/mar), Punto Digital Nororiente (19/mar), Ágora Gaitán (20/mar), Ágora de Café Madrid (2 - 25/mar), Ágora de San Cristóbal (2 - 26/mar), Ágora de Kennedy (2 - 27/mar), Salón Comunal el Nogal (27/mar), Ágora de Miramar (2 - 28/mar)
Abril: Se realizaron 1.292 atenciones presenciales en el CAME Centro y CAME Norte (497 en Renta Ciudadana, 191 en Devolución del IVA, 24 en Renta Joven y 580 en Colombia Mayor), 15 atenciones de PQRSD, 381 atenciones durante 10 encuentros de gestión de oferta en salud mental y alfabetización digital y 817 atenciones realizadas durante la feria del cuidado y bienestar familiar realizada el día 12 de abril en el Centro Vida Kennedy.
Mayo: Se dio atención a 3.142 personas a través de las distintas modalidades.
unio: Se realizaron 1.448 atenciones presenciales en el CAME Centro y CAME Norte (498 en Renta Ciudadana, 66 en Devolución del IVA, 2 en Renta Joven y 882 en Colombia Mayor); 270 atenciones telefónicas de Renta Ciudadana, 9 atenciones de PQRSD y 688 atenciones en territorio (a través de 5 encuentros de fortalecimiento del tejido social, 5 encuentros de gestión de oferta en salud mental, 1 feria de servicios en salud y bienestar)
Julio: Se realizaron 1.893 atenciones presenciales en el CAME Centro y CAME Norte (552 en Renta Ciudadana, 71 en Devolución del IVA, 18 en Renta Joven y 1252 en Colombia Mayor); 20 atenciones de PQRSD y 354 atenciones en territorio (a través de 2 encuentros de fortalecimiento del tejido social, 5 encuentros de oferta en uso de redes sociales y 5 encuentros de oferta de empleo, emprendimiento y formación para el trabajo)
Agosto: Se realizaron 1.008 atenciones presenciales en el CAME Centro y CAME Norte (552 en Renta Ciudadana, 17 en Devolución del IVA, 1 en Renta Joven y 756 en Colombia Mayor); 9 atenciones de PQRSD y 133 atenciones en territorio (a través de 5 encuentros de fortalecimiento del tejido social en las comunas 13, 14 y corregimientos 2 y 3)
Septiembre: Se realizaron 2274 atenciones presenciales en el CAME Centro y CAME Norte (248 en Renta Ciudadana, 13 en Devolución del IVA, 1 en Renta Joven y 2012 en Colombia Mayor) y 656 atenciones en territorio (a través de 3 jornadas de pre-registro en Pilar Solidario e inscripción de Colombia Mayor en las comunas 1, 9 y 14; 12 encuentros de gestión de oferta en salud, empleo, emprendimiento, formación, ahorro y uso de las redes sociales en las comunas 13, 14 y 15 más corregimientos 2 y 3; 1 taller de habilidades socioemocionales en la comuna 15)
Noviembre: Se realizaron 1638 atenciones presenciales en el CAME Centro y CAME Norte (293 en Renta Ciudadana, 7 en Devolución del IVA, 7 en Renta Joven y 1331 en Colombia Mayor), 9 atenciones de PQRSD y 528 atenciones en territorio (a través de 10 encuentros de oferta de empleo, emprendimiento y formación para el trabajo, uso de las redes sociales, 1 feria de servicios en salud y bienestar dirigido a las familias de las comunas 4 y 5; 2 ferias de empleo dirigidas a los jóvenes de la fase 2 del programa Renta Joven)</t>
  </si>
  <si>
    <t>Se crea red de apoyo con colectivo de ciudadanos voluntarios a participar de espacios de autocuidado y la red de Educación con participación de instituciones educativas del municipio. Se hizo articulación con dos instituciones universitarias que se vinvularon a través del sistema de voluntariiado, a través de las cuales brindaron capacitaciones en Derechos humanos y talleres de lectoescritura, ademas, donaron biblioteca para el hogar transitorio de ciudadanos en habitanza en calle. Junio: en el marco de la estrategia  tejiendo bienestar comunitario se logra establecer redes de apoyo de apoyo para la prevencion de la habitanza en calle con las instituciones academicas y comunidades religiosas
Julio. Se realizó mesa de trabajo para la creación de la primera red con la academia.
Mesa de articulación con universidad Santo Tomás para la implementación de acciones dirigidas a  ciudadanía en habitanza en calle y estudiantes
Agosto: En el marco de la estratejia tejiendo bienestar comunitario se realiza capacitacion sonre los detirminantes que llevan a la habitanza en calle y el fortalecimiento de factores protectores en el colegio comuneros de la comuna 3
Septiembre se realiza Articulacion con fundaciones o voluntarios de las fundaciones Vikingos y Rescatados por su sangre donde se trataron temas dirigidos al el cierre de brechas de la  discriminación y estigmatización de la poblacion en situacion de calle a través de la participación en actividades propias del programa lo cualk contamos con la participacion de 41 personas de estas fundaciones.
Octubre:  Se logra implementar acciones de prevencion a travez de charlas de prevencion  para la prevencion del consumo de SPA en el entendido que esta es una de las principales cuasales de la habitanza en calle a 30 ciudadanos de la fundacion ADRA.
Noviembre: se impactaron 11 personas a través de las distintas actividades.</t>
  </si>
  <si>
    <t>Se realiza atenciones finalizadas a 451 personas a através del Centro Intégrate. Se realiza primera mesa de asuntos migratorios y se desarrolló 6 reuniones de coordinación con otros programas: Mujer y equidad de género, Habitanza de calle, Escuela Municipal de Artes, Secretaría de Educación, para garantizar el acceso a esta oferta por parte de personas migrantes. Se realiza 1098 atenciones a población migrante por primera vez. Se realizan 4 acciones de Focalización en los Barrios: Juan Pablo XXIII, San Miguel y dos en el Barrio Mutis. Se realizó 3 jornadas de caracterización en artículación con el DADEP para vendedores informales de la ciudad de Bucramanga,  y se conmemoró el día de la Mujer Migrante, el 6 de marzo con la asistencia de 84 mujeres migrantes. 
Abril: se atienden 738 personas, en mayo 1.053 personas.
junio: Se atienden 961 personas.
Agosto: Durante el mes de agosto se desarrollaron diversas actividades en el marco de la atención a población migrante, retornada y de acogida en el Centro Intégrate. El 14 de agosto se llevó a cabo la entrega simbólica de subsidios de arrendamiento a 100 familias migrantes, mientras que el 19 de agosto se realizó una reunión de socialización de proyecto con comunidades de acogida y migrantes en el barrio El Mutis. Posteriormente, el 28 de agosto se adelantó una actividad de prevención de la xenofobia en Provenza, en la cual participaron 60 niños. Finalmente, el 29 de agosto se realizó una feria de servicios en el Parque de los Niños dirigida a hombres migrantes en condición de habitancia en calle, actividad a la que asistieron 48 personas y en la que se gestionaron tres retornos voluntarios hacia Venezuela.
Septiembre: Durante septiembre de 2025, desde la Secretaría de Desarrollo Social de Bucaramanga se avanzó en la articulación con la Gobernación de Santander, Migración Colombia, la OIM y la Cruz Roja, mediante acciones que contribuyeron a beneficiar a población migrante, retornada, refugiada y de acogida, fortaleciendo su acceso a la oferta social y a servicios municipales. Entre ellas se destacan la atención y acompañamiento brindado a través del Centro Intégrate, la gestión de casos para regularización y afiliación en salud, las actividades comunitarias de cohesión social y ambiental ejecutadas con apoyo de la OIM y SEVICOL, y el seguimiento a la Mesa de Coordinación de Asuntos Migratorios, promoviendo la inclusión, la integración socioeconómica y la prevención de la discriminación y la xenofobia en el territorio. 
Octubre: Se realiza atenciones finalizadas a 549 personas a através del Centro Intégrate.
Noviembre: Se atendieron en total 496 personas migrantes en las distintas solicitudes.</t>
  </si>
  <si>
    <t>Se continuaron la acciones preventivas con el propósito de disminuir la violencia de género y la violencia intrafamiliar. Se hizo socialización de la oferta institucional en diferentes comunas, enfatizando en la ruta de atención, los números de atención en caso de violencia y facilitando material que permite la identificación de los tipos de violencia, Se siguen implemntando las campañas AMIG@ DATE CUENTA y se está complementando con los TALLERES DE MASCULINIDAD POSITIVA.  En el mes de ABRIL de alcanzaron 626 personas con dichas actividades comunitarias preventivas. En el mes de MAYO se alcanzaron 276 personas con dichas actividades comunitarias preventivas. JUNIO: En este mes se continuaron la acciones preventivas con el propósito de disminuir la violencia de género y la violencia intrafamiliar,  se reporta la atención de 59 personas a través de los servicios de psicología, orientación jurídica, y la línea de atención Whatsapp, población víctima de VBG. Se hizo socialización de la oferta institucional en diferentes comunas, enfatizando en la ruta de atención, los números de atención en caso de violencia y facilitando material que permite la identificación de los tipos de violencia, Se siguen implemntando las campañas AMIG@ DATE CUENTA y se está complementando con los TALLERES DE MASCULINIDAD POSITIVA.  En el mes de JUNIO  se alcanzaron 398 personas con dichas actividades comunitarias preventivas. 
JULIO: Durante el mes de julio, se alcanzaron un total de 465 personas a través de actividades comunitarias de prevención enfocadas en la reducción de la violencia de género (VBG) y la violencia intrafamiliar.
Se brindó atención a 78 personas víctimas de VBG mediante los servicios de psicología, orientación jurídica y la línea de atención por WhatsApp. Además, se realizó la socialización de la oferta institucional en diversas comunas, haciendo énfasis en la ruta de atención, los números de contacto en caso de violencia y distribuyendo material informativo para facilitar la identificación de los distintos tipos de violencia.
Las campañas “Amig@ Date Cuenta” continúan en implementación y se están complementando con los talleres de Masculinidad Positiva, con el objetivo de promover relaciones saludables y libres de violencia.  En el mes de JULIO se alcanzaron 387 personas con dichas actividades comunitarias preventivas. 
AGOSTO:  Las campañas “Amig@ Date Cuenta” continúan en implementación y se están complementando con los talleres de Masculinidad Positiva, con el objetivo de promover relaciones saludables y libres de violencia. Además, se realizó la socialización de la oferta institucional en diversas comunas, haciendo énfasis en la ruta de atención, los números de contacto en caso de violencia y distribuyendo material informativo para facilitar la identificación de los distintos tipos de violencia. Durante el periodo reportado se alcanzaron 302 personas con dichas actividades comunitarias preventivas. 
 Asi mimso, Se brindó atención a 66 personas víctimas de VBG mediante los servicios de psicología, orientación jurídica y la línea Rosa de atención por WhatsApp. 
SEPTIEMBRE:  Durante el mes de septiembre, se avanzó en la implementación de la campaña “Amig@ Date Cuenta”, complementada con los talleres de Masculinidad Positiva bajo la estrategia “Ser berraco no es ser violento”, cuyo propósito es promover relaciones basadas en el respeto, la igualdad y la no violencia. De manera paralela, se realizó la socialización de la oferta institucional en distintas comunas de la ciudad, enfatizando en la ruta de atención a mujeres víctimas de violencia, la divulgación de los números de contacto para emergencias y la entrega de material pedagógico que facilita la identificación de los distintos tipos de violencia, alcanzando un total de 300 personas con estas acciones de prevención y sensibilización comunitaria. Asimismo, se dio inicio al proceso de caracterización de mujeres que ejercen actividades sexualmente pagas, con el fin de reconocer sus condiciones de vida, necesidades y acceder a información clave que permita la formulación de acciones de acompañamiento y atención integral. Este proceso contempla además la identificación de las violencias a las que se ven expuestas en el marco de su labor, lo cual permitirá orientar acciones institucionales más pertinentes, efectivas y con enfoque de derechos. Durante el periodo reportado se logró la caracterización de 115 mujeres, para un total de 415 personas alcanzadas en las diferentes acciones desarrolladas.  Asi mimso, Se brindó atención a 63 personas víctimas de VBG mediante los servicios de psicología, orientación jurídica y la línea Rosa de atención por WhatsApp.
octubre, se realizó el lanzamiento de la campaña “Amiga, Cuídate Más”, la cual tuvo como actividad central una jornada de defensa personal dirigida a mujeres, con el objetivo de fortalecer su autoconfianza, promover el autocuidado y fomentar estrategias de autoprotección ante posibles situaciones de riesgo. Asi mismo, se avanzó en la implementación de la campaña “Amig@ Date Cuenta”, complementada con los talleres de Masculinidad Positiva bajo la estrategia “Ser berraco no es ser violento”, cuyo propósito es promover relaciones basadas en el respeto, la igualdad y la no violencia. De manera paralela, se realizó la socialización de la oferta institucional en distintas comunas de la ciudad, enfatizando en la ruta de atención a mujeres víctimas de violencia, la divulgación de los números de contacto para emergencias y la entrega de material pedagógico que facilita la identificación de los distintos tipos de violencia, alcanzando un total de 320 personas con estas acciones de prevención y sensibilización comunitaria.  Por otro lado, desde el Centro Integral de la Mujer, se brindó atención a 84 personas víctimas de violencias basadas en género (VBG) mediante los servicios de psicología, orientación jurídica y la atención a través de la Línea Rosa por WhatsApp, fortaleciendo el acompañamiento integral a mujeres en situación de vulnerabilidad y garantizando el acceso oportuno a la ruta de atención y protección.
Se continuó con el proceso de caracterización de mujeres que ejercen actividades sexualmente pagas, con el fin de reconocer sus condiciones de vida, identificar sus necesidades y acceder a información clave que permita la formulación de acciones de acompañamiento y atención integral. Este proceso incluye la identificación de las violencias a las que se ven expuestas en el marco de su labor, lo que permitirá orientar acciones institucionales más pertinentes, efectivas y con enfoque de derechos. Durante el periodo reportado se logró la caracterización de 52 mujeres. En conjunto, las acciones desarrolladas durante el mes permitieron alcanzar un total de 456 personas beneficiadas a través de procesos de prevención, sensibilización y acompañamiento integral.
NOVIEMBRE: Durante el mes de noviembre se continuó con la ejecución de la campaña “Amig@ Date Cuenta”, complementada con los talleres de Masculinidad Positiva desarrollados bajo la estrategia “Ser berraco no es ser violento”, así como con la campaña “Amiga, Cuídate Más”, cuyo propósito es promover relaciones basadas en el respeto, la igualdad y la no violencia.
De manera paralela, se realizó la socialización de la oferta institucional en distintas comunas de la ciudad, con énfasis en la ruta de atención a mujeres víctimas de violencia, la divulgación de los números de contacto para emergencias y la entrega de material pedagógico que facilita la identificación de los distintos tipos de violencia. Estas acciones de prevención y sensibilización comunitaria lograron alcanzar a 643 personas.
Por otro lado, desde el Centro Integral de la Mujer se brindó atención a 55 personas víctimas de violencias basadas en género (VBG), mediante los servicios de psicología, orientación jurídica y acompañamiento a través de la Línea Rosa por WhatsApp, fortaleciendo la atención integral a mujeres en situación de vulnerabilidad y garantizando el acceso oportuno a la ruta de atención y protección.
Asi mismo, se avanzó en el proceso de caracterización de mujeres que ejercen actividades sexualmente pagas, con el fin de reconocer sus condiciones de vida, identificar sus necesidades y acceder a información clave que permita orientar acciones de acompañamiento y atención integral. Este proceso incluye la identificación de las violencias a las que se ven expuestas en el ejercicio de su labor, lo que permitirá la formulación de intervenciones institucionales más pertinentes, efectivas y con enfoque de derechos. Durante el periodo reportado fueron caracterizadas 190 mujeres.
En conjunto, las acciones desarrolladas durante el mes permitieron alcanzar un total de 833 personas beneficiadas a través de procesos de prevención, sensibilización y acompañamiento integral.</t>
  </si>
  <si>
    <t>Se ha fomentado la autonomía económica de 469 mujeres con los talleres ocupacionales del Centro Integral de la mujer. También en marzo se realizó la primera feria de empleo con enfoque de mujer, a la cual asistieron 800 mujeres.  Así mismo se atendieron en Marzo 242 personas a través de los servicios de Psicología, orientación jurídica, y la línea de atención Whatsapp, población víctima de VBG. La Red de emprendedora se siguió afianzando, se tienen en marzo 1367 emprendedoras inscritas. Se realizó una sesión extraordinaria del Consejo consultivo de Mujeres (21 marzo) y se mantuvo el servicio de alojamiento casa refugio para mujeres víctimas de VBG y sus hijos. A través de la implementación de la estrategia MUJERES LÍDERES Y EMPRENDEDORAS se dio inicio al seminario de Finanzas para emprendedoras dictado por las UTS. De igual manera y en articulación con el SENA se desarrolló en el Centro integral de la Mujer, una jornada para certificar mujeres en competencias laborales (alimentos y ventas).  Por otra parte , en cuanto a la ATENCIÓN DE CASOS, se reporta la atención de 347 personas a través de los servicios de Psicología, orientación jurídica, y la línea de atención Whatsapp, población víctima de VBG. La Red de emprendedora se siguió afianzando, se tienen en ABRIL 1374 emprendedoras inscritas. En el mes de abtil se realizó el proceso de convocatoria para conformar el nuevo CONSEJO CONSULTIVO DE MUJERES 2025-2029, dando cumplimiento al Decreto 0384 de 2020. Finalmente, se mantuvo el servicio de alojamiento casa refugio para mujeres víctimas de VBG y sus hijos.MAYO: A través de la implementación de la estrategia MUJERES LÍDERES Y EMPRENDEDORAS se dio a la segunda sesion del seminario Fundamentos Contables para las mujeres emprendedoras, de igual manera, se llevo a cabo  el desarrollo de los cursos de formacion ocupacional en el Centro Integral de la Mujer.; asi como la Feria de la RED ESTUDIANTES DE LOS TALLERES del Centro Integral de la Mujer. JUNIO: A través de la implementación de la estrategia MUJERES LÍDERES Y EMPRENDEDORAS se realizo la certificacion a 320 mujeres que culminaron con exito el primer ciclo de los cursos de formacion ocupacional en el Centro Integral de la Mujer. Se realizo capacitacion con IMEBU dirigida a mujeres que hacen parte de la red de mujeres emprendedoras BGA, abordando la tematica Marketing Emocional, de igual forma con CCB se trabajo ciclo de capacitaciones, orientados al fortalecimiento de unidades productivas de la red de mujeres emprendedoras. Por ultimo, se realiza acto de posesion de las nuevas Consejeras que hacen parte del CCM para el periodo 2025 - 2029. 
JULIO: En el marco de la estrategia “Mujeres Líderes y Emprendedoras”, se avanzó significativamente en el fortalecimiento de las capacidades de las mujeres del territorio, a través de diversas acciones integradas. Se llevaron a cabo las inscripciones a 512 mujeres en el segundo ciclo de los cursos de formación ocupacional en el Centro Integral de la Mujer, con el objetivo de brindar herramientas técnicas y prácticas que fomenten su autonomía económica y mejoren sus oportunidades laborales. 
Asimismo, en articulación con la Cámara de Comercio, se llevaron a cabo espacios de capacitación especializada en emprendimiento, formalización y fortalecimiento empresarial, dirigidos a mujeres interesadas en iniciar o consolidar sus unidades productivas. Como parte de estas acciones, se realizó la feria de emprendimiento EXPOMUJER EMPRENDE BGA, en la que participaron 40 emprendedoras, con el objetivo de visibilizar sus negocios, promover el intercambio comercial y fortalecer sus redes de contacto.                                                                                                                       Como parte del componente de participación y transparencia, se realizó  la primera sesión ordinaria del Consejo Consultivo de Mujeres, espacio en el que se abordaron temas clave para la agenda de género del municipio y se fortaleció el liderazgo femenino en la toma de decisiones.
AGOSTO:  En el marco de la estrategia “Mujeres Líderes y Emprendedoras”, se avanzó significativamente en el fortalecimiento de las capacidades de las mujeres del territorio, a través de diversas acciones integradas. Se llevaron a cabo los talleres de formación ocupaciona del Centro Intgeral de la Mujer.Por otro lado se realizo sesión extraordinaria del CMM a fin de socializar la reformulación de metas y plan estrategico definitivo de la PP de Mujer.
SEPTIEMBRE  En el marco de la estrategia “Mujeres Líderes y Emprendedoras”, durante el mes reportado se logró avanzar de manera significativa en el fortalecimiento de las capacidades de las mujeres del territorio, promoviendo escenarios de formación que contribuyen a su autonomía económica, la generación de ingresos y el desarrollo de proyectos productivos sostenibles.
Desde el Centro Integral de la Mujer, se llevaron a cabo diferentes talleres de formación ocupacional, orientados a brindar herramientas prácticas y conocimientos aplicables en el mercado laboral. Dentro de estas acciones se resalta el Curso de Cocina, desarrollado en articulación con Colombia College, el cual permitió a las participantes adquirir competencias técnicas en preparación de alimentos, normas de higiene y manipulación, así como nociones para la creación de emprendimientos en el sector gastronómico.
De igual manera, en alianza con la Universidad de Santander – UDES, se implementó el Diplomado en Fortalecimiento Empresarial, dirigido a las integrantes de la Red de Mujeres Emprendedoras de Bucaramanga. Este proceso formativo tuvo como objetivo potenciar sus conocimientos en administración, finanzas, mercadeo, innovación y sostenibilidad, con el fin de consolidar sus iniciativas productivas y abrir oportunidades de crecimiento en el ámbito local y regional.
Estas acciones se enmarcan en el compromiso institucional de garantizar a las mujeres del municipio el acceso a procesos de capacitación de calidad, que no solo fortalecen sus habilidades técnicas y empresariales, sino que también promueven la generación de redes de apoyo, la autonomía financiera y la igualdad de oportunidades.
OCTUBRE: En el marco de la estrategia “Mujeres Líderes y Emprendedoras”, durante el mes de octubre se avanzó significativamente en el fortalecimiento de las capacidades de las mujeres del territorio, promoviendo escenarios de formación que contribuyen a su autonomía económica, la generación de ingresos y el desarrollo de proyectos productivos sostenibles.
Desde el Centro Integral de la Mujer, se realizaron diversos talleres de formación ocupacional orientados a brindar herramientas prácticas y conocimientos aplicables en el mercado laboral. Entre estas acciones se destaca el Curso de Cocina, desarrollado en articulación con Colombia College, que permitió a las participantes adquirir competencias técnicas en la preparación de alimentos, normas de higiene y manipulación, así como conocimientos básicos para la creación de emprendimientos en el sector gastronómico.
De igual manera, en alianza con la Universidad de Santander – UDES, se continúa implementando el Diplomado en Fortalecimiento Empresarial, dirigido a las integrantes de la Red de Mujeres Emprendedoras de Bucaramanga. Este proceso formativo busca fortalecer sus conocimientos en administración, finanzas, mercadeo, innovación y sostenibilidad, con el propósito de consolidar sus iniciativas productivas y abrir oportunidades de crecimiento en los ámbitos local y regional.
Asi mismo, se llevó a cabo la segunda sesión del Consejo Consultivo de Mujeres, un espacio de participación que fortalece la articulación entre las representantes de organizaciones sociales y la institucionalidad, promoviendo su incidencia efectiva en la implementación de la Política Pública para la Igualdad de las Mujeres.
En el mismo sentido, se desarrolló la Feria de Empleo “Mujeres BGA”, en articulación con el SENA, orientada a facilitar el acceso de las mujeres a oportunidades laborales formales y promover su vinculación a diferentes sectores económicos, en coordinación con empresas locales y entidades aliadas.
Igualmente, en alianza con la Cámara de Comercio de Bucaramanga, se realizó un taller de marketing emocional dirigido a las integrantes de la Red de Mujeres Emprendedoras, enfocado en el fortalecimiento de estrategias de comunicación y promoción comercial de sus emprendimientos.
Finalmente, se dio inicio al Diplomado en Liderazgo Político y Solución de Conflictos con Enfoque de Género, desarrollado en alianza con la Universidad del Chicamocha (Unich), dirigido a mujeres lideresas y representantes de procesos comunitarios, con el propósito de fortalecer sus capacidades en liderazgo transformador, participación ciudadana y resolución pacífica de conflictos.
Estas acciones reflejan el compromiso institucional con el acceso de las mujeres del municipio a procesos de formación y empoderamiento de calidad, que no solo fortalecen sus habilidades técnicas, empresariales y políticas, sino que también fomentan la autonomía económica, la igualdad de oportunidades y la creación de redes de apoyo solidarias y sostenibles.
NOVIEMBRE: En el marco de la estrategia “Mujeres Líderes y Emprendedoras”, durante el mes de octubre se avanzó significativamente en el fortalecimiento de las capacidades de las mujeres del territorio, promoviendo escenarios de formación orientados a potenciar su autonomía económica, la generación de ingresos y el desarrollo de proyectos productivos sostenibles.
Desde el Centro Integral de la Mujer, se realizó la certificación de 379 mujeres participantes de los talleres de formación ocupacional, los cuales brindan herramientas prácticas y conocimientos aplicables en el mercado laboral. Entre estas acciones se destaca el Curso de Cocina, desarrollado en articulación con Colombia College, que permitió a las participantes adquirir competencias técnicas en preparación de alimentos, normas de higiene y manipulación, así como conocimientos básicos para la creación de emprendimientos en el sector gastronómico.
De igual manera, en alianza con la Universidad de Santander – UDES, se certificaron 52 mujeres en el Diplomado en Fortalecimiento Empresarial, dirigido a integrantes de la Red de Mujeres Emprendedoras de Bucaramanga. Este proceso formativo busca fortalecer sus conocimientos en administración, finanzas, mercadeo, innovación y sostenibilidad, con el fin de consolidar sus iniciativas productivas y ampliar sus oportunidades de crecimiento en los ámbitos local y regional.
De manera complementaria, durante el mes también se desarrolló la tercera sesión ordinaria del Consejo Consultivo de Mujeres, avanzando en la consolidación de este escenario como un mecanismo clave para la concertación y el seguimiento a las acciones en favor de los derechos de las mujeres.
En este mismo sentido, se realizó una Feria de Emprendimiento con la participación de 20 mujeres emprendedoras, quienes tuvieron la oportunidad de visibilizar sus iniciativas productivas y fortalecer sus redes de comercialización.
Finalmente, se culminó el Diplomado en Liderazgo Político y Solución de Conflictos con Enfoque de Género, desarrollado en alianza con la Universidad del Chicamocha (Unich), dirigido a mujeres lideresas y representantes de procesos comunitarios, con el propósito de fortalecer sus capacidades en liderazgo transformador, participación ciudadana y resolución pacífica de conflictos.
Estas acciones reflejan el compromiso institucional con el acceso de las mujeres del municipio a procesos de formación y empoderamiento de calidad, que no solo fortalecen sus habilidades técnicas, empresariales y políticas, sino que también consolidan su autonomía económica, la igualdad de oportunidades y la creación de redes de apoyo solidarias y sostenibles.</t>
  </si>
  <si>
    <t>"Taller de promocion de buen trato a la persona mayor y espacio intergeneracional conlos estudiantes de la UNAB
BUCARAFEST MAYOR- Feria intergeneracional de emprendimiento y artística para la promoción del buen trato a la persona mayor, en el colegio nuestra sra del pilar.
Taller de promocion de buen trato a la persona mayor a funcionarios de la alcaldía
Taller del buen trato a la persona mayor actividad familias 360 recrear provenza.
Encuentro intergeneracional en articulacion con sayco
Taller del buen trato en AVAC 
Encuentro intergeneracional Bolarqui alto
Encuentro integeneracional y taller del buen trato en colegio PROMOCIÓN SOCIAL DEL NORTE</t>
  </si>
  <si>
    <t xml:space="preserve">Atención biopsicosocial : se atendieron 233 , más   5 benefeciciarios nuevos . Total 238 
Habitos de la vida diaria : convenio : 60 personas  antiguas.  Se mantuvieron en el proceso estas personas dado que vienen de un trabajo desde el año pasado y no reciben otra atención integral, son personas mayores de edad que ya no tienen proceso de escolarización por eso se reciben en este programa para fortalecer su autonomía desde el desarrollo humano y los habitos diarios 
Entrega ayudas técnicas : 11 personas neuvas  
Total : 309 personas
Cumplimento de meta solo personas nuevas: 16.     
En marzo reciben atención integral biopsicosocial de 230 quienes ingresaron en diciembre de 2024 en el convenio 231 , más 5 beneficiarios quienes ingresaron en el mes de febrero de la presente vigencia, y 10 beneficiarios quienes ingresaron en marzo de 2025 para un total de 245 beneficiarios.   
En Hábitos de la vida diaria reciben atención 60 personas que vienen del período anterior.  En este período no se entregaron ayudas técnicas. 
En  abril reciben atención integral biopsicosocial de 244 personas (1 persona se retiró),  que había ingresaron en diciembre de 2024 en el convenio 231 .
En Hábitos de la vida diaria reciben atención 60 personas que vienen del período anterior  1 nueva que entró en abril de 2025 . En este mes  se entregaron 5 ayudas técnicas nuevas  4 personas  con discapacidad .
En mayo se atendieron 244 personas en atención integral biopsicosocial, 60 personas en hábitos de la vida diaria. Este mes no se entregaron ayudas técnicas, total  304, estos beneficiarios vienen recibiendo la atención desde el inicio de los convenios 
Habitos de la vida diaria : convenio : 60 personas  antiguas.  Se mantuvieron en el proceso estas personas dado que vienen de un trabajo desde el año pasado y no reciben otra atención integral, son personas mayores de edad que ya no tienen proceso de escolarización por eso se reciben en este programa para fortalecer su autonomía desde el desarrollo humano y los habitos diarios 
Entrega ayudas técnicas : 11 personas neuvas  
Total : 309 personas
Cumplimento de meta solo personas nuevas: 16.     
En marzo reciben atención integral biopsicosocial de 230 quienes ingresaron en diciembre de 2024 en el convenio 231 , más 5 beneficiarios quienes ingresaron en el mes de febrero de la presente vigencia, y 10 beneficiarios quienes ingresaron en marzo de 2025 para un total de 245 beneficiarios.   
En Hábitos de la vida diaria reciben atención 60 personas que vienen del período anterior.  En este período no se entregaron ayudas técnicas. 
En  abril reciben atención integral biopsicosocial de 244 personas (1 persona se retiró),  que había ingresaron en diciembre de 2024 en el convenio 231 .
En Hábitos de la vida diaria reciben atención 60 personas que vienen del período anterior  1 nueva que entró en abril de 2025 . En este mes  se entregaron 5 ayudas técnicas nuevas  4 personas  con discapacidad .
"
Habitos de la vida diaria : convenio : 60 personas  antiguas.  Se mantuvieron en el proceso estas personas dado que vienen de un trabajo desde el año pasado y no reciben otra atención integral, son personas mayores de edad que ya no tienen proceso de escolarización por eso se reciben en este programa para fortalecer su autonomía desde el desarrollo humano y los habitos diarios 
Entrega ayudas técnicas : 11 personas neuvas  
Total : 309 personas
Cumplimento de meta solo personas nuevas: 16.     
En marzo reciben atención integral biopsicosocial de 230 quienes ingresaron en diciembre de 2024 en el convenio 231 , más 5 beneficiarios quienes ingresaron en el mes de febrero de la presente vigencia, y 10 beneficiarios quienes ingresaron en marzo de 2025 para un total de 245 beneficiarios.   
En Hábitos de la vida diaria reciben atención 60 personas que vienen del período anterior.  En este período no se entregaron ayudas técnicas. 
EN junio se inició un nuevo convenio de  atención integral biopsicosocial en el cual 210 personas venían del convenio pasado y 11 ingresaron nuevos para un total de 221 personas atentidas 
En julio se atendieron 234 personas de las cuales 17 fueron nuevos beneficiarios.  Adicionalmente se entregó 1 ayuda técnica para un total de 235 beneficiarios en esta meta.
En agosto se atendieron  231 prsonas de las cuales 4 fueron personas nuevas. Este mes no se entregaron ayudas técnicas.  
En septiembre se atendieron: 233 personas de las cuales 5 fueron nuevos. Se entregaron 3 ayudas técnicas 
En octubre se atendieron 233 personas y el convenio terminó el 10 de octubre, eran los beneficiarios que venían del mes anterior, se entregaron 19 ayudas técnicas.  
En noviembre se atendieron 227 personas de las cuales 17 son nuevos y se entregaron 12 ayudas técnicas   </t>
  </si>
  <si>
    <t xml:space="preserve">Atención, orientación y articulación  de  oferta instucional a los usuarios en el CAME- prorama de personas con discapacida: 240
Tomas de conciencia con personas que laboran en las Fundaciones convenios con la alcaldía:  8.  
Orientación jurídica: (tutelas, incidetes de desacato y derechos de peticón EPS): a través de la abogada del programa:  16.  
 En Marzo se realizaron  Por parte de la  abogada del programa se realizaron  orientaciones jurídicas así:  2 tutelas, 2 incidentes de desacatos y 4 derechos de petición, para un total de 8 atenciones.   Se realizaron tomas de conciencia a 41 padres de familia del colegio santander para promocion de la no discriminación de personas con discapacidad y fortalecer el lenguaje inclusivo;    Adicionalmente se participó en dos jornadas extramurales de oferta institucional donde se dio atención a 14 personas. 
se capacitaron 12 funcionarios de isabú de Equipos básicos con la oferta institucional del programa Total personas impactadas  : 75
  Se realizó toma de conciencia en el SENA a 28 personas, 13 personas en Luz de Salvación.  Se realizaron 3 acciones de tutela y 5 derechos de petición desde el área jurídica del programa para un total de 8 atenciones sobre este tema.  Se partició en la feria del cuidado en el marco de famlias 360 en el barrio Kenedy donde se dió oferta insitucional y toma de conciencia a 75 personas .  Adicional se capacitaron 11 funcionarios en trato digno a personas con discapacidad. Total abril: 135 personas impactadas 
MAYO: se realizaron  6 derechos de petición, 1 tutela y 1 incidente de desacato para un total de 8 ayudas jurídicas. Adicionalmente  se impactaron 21 personas en jornadas de oferta de servicio. 
Total 29 personas impactadas
JUNIO: se realizaron: 1 toma de conciencia funcionarios del IMCT (30 personas). Se realizaó toma de conciencia padres , madres y cuidadores FULMIANI (29 personas), oferta institucional en el barrio los angeles a (10 personas).  Se realizó toma de conciencia (8 funcionarios) de la casa de justicia Se acercó la oferta institucional al IMCT a 8 funcionarios.  Se realizaron 4 acciones de tutela, 4 derechos de petición y 1 desacato total (9 atenciones jurídicas).
Se realizaron 171 atenciones en el CAME
Se articuló con INFANCIA para dictar taller de autocuidado (20 participantes) = 285 personas impactadas
JULIO:  Se realizó oferta institucional en el agora del kenedy: 90 personas impactadas 
se llevaron a cabo  3 tomas de conciencia: 134 personas impactadas
Se llevó a cabo atención y orientación en el came: 315 personas 
Se llevaron a cabo orientacines  jurídicas :  11 PERSONAS 
se acercó la oferta insitucional a beneficarios del convenios con prevencion de abuso con PIBIN : 30 personas impactadas
agosto: atención came : 182
Tomas de conciencia : 14 fucnionarios de invisbú
oferta institucional barrio bucaramanga: 43 personas 
Atención jurídica: 17 personas 
total agosto:  256
Septiembre 
Atención en el came : 337
Apoyo  feria de emprendimientos : 10  personas con la universidad santoto mas 
tomas de conciencia : 55 personas colegio las américas + 53 miembos de la policía metropolitana + 206 personas en la feria de la familia en el recrear de las americas =  314 personas impactadas 
En la feria ancestral participaron 8 personas ciegas como artistas con presentación musical 
Participaron en la feria ancestral  6 artesanos de personas con discapacidad y cuidadores  
En la conmemoración del día de los sordos se les entregaron kits escolares a 45 nios sordos de la Normal Superior de Bucaramanga.
Orientación jurídica:  derechos de petiición: 7, tutelas:  3    ,  incidentes de desacato: 4 
Total : 734 
 Octubre: 
Atención en came: 320personas 
Oferta insitucional: Se realizó oferta insitucional en la comuna 14 donde se impactaron 18 personas ; adicionalmente la el programa fue aliado en las olimpiadas de personas con discapacidad donde participaron 447 personas; también se articuló con imebú para feria de empleabilidad de personas con discapacidad donde participaron 33 personas, se realizó jornada de temas de diversidad para 20 personas desde el componente de diversidad de la secretaria de desarrollo  social total : 518
Toma de conciencia : conmemoración del bastón blanco 114 personas, adicional 6 personas en el parque santander se les realizó toma de conciencia en jornada en mercadillo SENA. Se realizó toma de conciencia 15 padres de familia del CDI PIOLÍN: 135 
orientación jurídica: se realizaron 6 derechos de petición, 3 tutelas , 3 desacatos : total atención juridica 12 
Total personas 985
NOVIEMBRE: 
Atención en el CAME : 730 
Atención jurídico: tutelas (5), Derechos de petición  (7), desacatos:( 3). Total : 15 atenciones jurídicas
Tomas de conciencia persona de la carcel modelo 41 personas. En la feria insitucional de campo hermoso de familias 360 se atendieron 255 personas realizando tomas de conciencia . En la casa de justicia norte se realizó toma de conciencia a 10 personas . 
Oferta Insitucional: se le acercó la oferta institucional para beneficio de metrolínea a  22 personas. Adicionalmente en la feria de empleo de Imebú realizada en Neomundo se dió orientación a 20 personas  y participaron 2 emprendedores.  
Se realizó oferta insitucional en la JAC de la joya a las cuidadoras : 6 personas </t>
  </si>
  <si>
    <t xml:space="preserve">Se adelantó trabajo de planeación para la creación del borrador del cronograma de las estrategias para la vigencia 2025. Se inicipo el proceso de caracterizaron de personas en el observatorio de la SDS.  Mayo: Se adelantó trabajo de articulación con entidades competentes para la realización de las actividades contempladas en las estrategias "La Calle libre de discriminación, Diversidad-es" "Espacios seguros OSIGD", en articulación con organizaciones sociales en el marco de la construcción del PRIDE 2025.
Junio:  Se desarrolló la agenda PRIDE JUNIO 2025 del programa de diversidad enfocada en el reconocimiento de la diversidad y las alianzas estrategicas entre instituciones para el desarrollo de acciones integrales para la población OSIGD del municipio. 
Julio: Se generaron espacios de articulacion con Organizaciones de Base comunitaria y  liderazgos independientes para la construccion de metas y acciones a desarrollar por parte del programa de diversidad sexual en el segundo semestre del año.
Agosto: Se generó articulación con universidades para el diseño del instrumento pedagogico "Diversidad-es", para el desarrollo de actividades pedagogicas en relación a la diversidad sexual y de género en el territorio.    
Septiembre: Se evaluo el impacto de las estrategias del podcast Queeremos café, se articuló con IES bajo la estrategia diversidades y  se realizó la jornada de bienestar en el territorio bajo la estrategia "La calle libre de discriminación"     
Noviembre: Se articuló con secretaría de educación para revisión de manuales de convivencia con enfoque OSIGD.                                                             </t>
  </si>
  <si>
    <t xml:space="preserve">Se adelantó trabajo de planeación para la creación del borrador del cronograma de la estrategia para la vigencia 2025. Se participó en sesiones de articulación en el Comité articulador de violencias en el municipio en el marco de la promoción de los derechos incluidos en la Ruta de Prevención, Detección y atención de violencias dirigidas a población OSIGD.
Junio:  Se diseñó material que fue publicado en redes sociales de la secretaría de Desarrollo en torno a la visibilización de las experiencias de vida de las personas OSIGD, así como el acompañamiento del eslogan "La Calle libre de discriminación" en actividades PRIDE que fueron desarrolladas con el fin de generar sensibilización sobre los espacios libres de violencias y la activación de la ruta en los casos necesarios.
Julio: Se seleccionaron contenidos multimedia para visibilizar las violencias ocurridas en población OSIGD y se realizó grabacion de contendio multimedia en articulacion al podcast Queeremos Café.
Septiembre: Se realizó una jornada en espacios abiertos para la entrega de materia, así como la impresión de material para socialización de ruta.
Noviembre: Se articuló con Policia nacional para la ruta de zonas seguras en los cai municipales.    </t>
  </si>
  <si>
    <t>Octubre: El Acta de Inicio del contrato de Dotaciones se expidio  con fecha de 22 de Octubre 2025.
Novoembre :Se programo la Dotacion de la ludotecas  años maravillosos y Alvarez para el 11 de Diciembre.</t>
  </si>
  <si>
    <t>JUNIO: se desarrollaron diversas actividades lúdico-recreativas en la ciudad de Bucaramanga, bajo la modalidad “Campeonatos BGA”, beneficiando a un total de 441 niñas, niños y adolescentes, quienes participaron activamente en jornadas deportivas y de integración diseñadas para fortalecer valores como el trabajo en equipo, la sana competencia y la convivencia.
Adicionalmente, se llevó a cabo la estrategia “Ludotecas Rodantes – Vacaciones Recreativas: Juego y Diversión sobre Ruedas”, la cual recorrió diferentes sectores de la ciudad, llevando alegría, aprendizaje y espacios seguros de juego a 465 niñas, niños y adolescentes.
Estas actividades fortalecen el desarrollo emocional, social y físico de la niñez, reafirmando el compromiso del PROGRAMA DE INFANCIA con la promoción de entornos protectores y enriquecedores para todos los NNA de Bucaramanga.
JULIO: se desarrollaron diversas actividades lúdico-recreativas en la ciudad de Bucaramanga, bajo la modalidad “Campeonatos BGA”, beneficiando a  niñas, niños y adolescentes, quienes participaron activamente en jornadas deportivas y de integración diseñadas para fortalecer valores como el trabajo en equipo, la sana competencia y la convivencia.
AGOSTO: se desarrollaron diversas actividades lúdico-recreativas en la ciudad de Bucaramanga, bajo la modalidad “Campeonatos BGA”, beneficiando a  niñas, niños y adolescentes, quienes participaron activamente en jornadas deportivas y de integración diseñadas para fortalecer valores como el trabajo en equipo, la sana competencia y la convivencia.
SEPTIEMBRE: se desarrollaron diversas actividades lúdico-recreativas en la ciudad de Bucaramanga, bajo la modalidad “Campeonatos BGA”, beneficiando a  niñas, niños y adolescentes, quienes participaron activamente en jornadas deportivas y de integración diseñadas para fortalecer valores como el trabajo en equipo, la sana competencia y la convivencia.
Octubre: se desarrollaron diversas actividades lúdico-recreativas en la ciudad de Bucaramanga, bajo la modalidad “Desafios Bucaritos”, beneficiando a niñas, niños y adolescentes, quienes participaron activamente en jornadas deportivas y de integración diseñadas para fortalecer valores como el trabajo en equipo, la sana competencia y la convivencia.
Noviembre: se desarrollaron diversas actividades lúdico-recreativas en la ciudad de Bucaramanga,  beneficiando a niñas, niños y adolescentes, quienes participaron activamente en jornadas deportivas y de integración diseñadas para fortalecer valores como el trabajo en equipo, la sana competencia y la convivencia.</t>
  </si>
  <si>
    <t xml:space="preserve">Se hizo proceso de contratación de 2 profesionales. Por medio de la buseta, que sirve como herramienta de ejecución de la Ruta de la Empatia: con esta se realiza la implementación del primer encuentro (encuentro de Bienvenida) de la macro estrategia FAMILIAS360, donde las dos profesionales realizaron intervenciones con familias de diferentes zonas del norte.                                                                                                                                Por otra parte, los diferentes programas de la secretaria de desarrollo social (persona mayor, habitante de calle, desarrollo de campo, mujer y equidad de género, familias e infancia y adolescencia) para poder acercar la oferta institucional a la población. 
En el mes de Junio se realizan los encuentros 1 y 2 del ciclo 2: Zona Sur de la estrategia Macro Familias360, así como el uso de la ruta de la empatia para acercar la oferta de diferentes programas de la secretaria a la comunidad.
En el mes de julio se realizan los encuentros 4 y 5 del ciclo 2: zona Sur de la macro estrategia Familias 360, así como el uso de la ruta de la empatia para acercar la oferta de diferentes programas de la secretria a la comunidad.
En el mes de septiembre se realizo la fase 2 de la estrategia macro familias 360 del ciclo 3 (zona oriente), con las siguientes actividades: Del 2 al 5 de septiembre se realiza el encuentro 2, del 9 al 12 de septiembre se realiza el encuentro 3, del 17 al 19 de septiembre se realiza el encuentro 4.  En el mes de septiembre tambien se realiza  el uso de la ruta de la empatia para acercar la oferta de diferentes programas de la secretria a la comunidad.  
En el mes de octubre y noviembre se realizo la fase 2 de la estrategia macro familias 360 se termina el ciclo 3 (zona oriente),encuentro 5 y el ciclo 4 (zona centro occidente).  En los meses de octubre y noviembre tambien se realiza  el uso de la ruta de la empatia para acercar la oferta de diferentes programas de la secretria a la comunidad.                                                                                                                                                                                                 </t>
  </si>
  <si>
    <t>"Durante la vigencia 2025 se  han generado los siguientes espacios gestionados por el funcionario de planta distribuidos así: 9 capacitaciones  a las JAC para el corregimiento 3 en competencias jurídicas y una reunión de Ediles para capacitar y resolver dudas con el Seguro de Vida dictada por la compañía de seguros y 2 capacitaciones en Estructuras de las JAC y leyes: 2166 de 2021 y Decreto 1501 de 2023 JAC:  Vereda tres balcones corregiento 3 y Campo Hermoso. Se realizó capacitaciones a las edileses en Cartagena los días del 23 al  26 de abril con  la participación de 22 Edilesas, en laciudad de Bucaramanga en abril se dictaron 6 capacitaciones por JAC en Estructuras de las JAC y leyes: 2166 de 2021 y Decreto 1501 de 2023. En mayo se realizó capacitaciones a 17 edilesas en Tauramena 1 al 5 de mayo y se realizaron  12 capacitaciones a  las que asisitieron  36 ediles y Comunales de la zona urbana y rural en las funciones y leyes: 2166 de 2021 y Decreto 1501 de 2023. En Junio se realizaron 6 capacitaciones a 47 integrantes de las JAC de corregimientos y zona urbana
"
En julio se realizaron 13 capacitaciones para Ediles y Comunales a la que asistieron 85 líderes en temas: Proceso Electoral de Dignatarios JAC, Procesos de Manejo de Libros y Depuración de Libros, reglamento Interno de Ediles Leyes 1551 y 2086. También, dentro de las capacitaciones a nivel nacional participaron 37 ediles en el IX CONGRESO NACIONAL DE EDILES en Santa Marta. 
En Agosto se realizaron 7 capacitaciones para Comunales a la que asistieron 42 líderes en temas: Proceso Electoral de Dignatarios gostoJAC, Procesos de Manejo de Libros y Depuración de Libros, reglamento Interno .
En el mes de octubre se terminó con la realización de los Talleres de Socialización de Intervención Institucional para el abordaje de conflictividad entre ediles y dignatarios JAC con la asistencia de 10 líderes y se realizaron tres capacitaciones en Estructuras de las JAC y leyes: 2166 de 2021 y Decreto 1501 de 2023 y Procesos de Manejo de Libros y Depuración de Libros y Manejo y depuración de libros.
En el mes de noviembre se generaron 16 espacios,mediante una pacitación en el tema RUB y otra en la ley 2166</t>
  </si>
  <si>
    <t xml:space="preserve">Se avanzó en la estructuración de la agenda para los espacios de formación, a través de reuniones con la Sec de Educación.
Se realizó presentación ante la PMJ, así como la articulación con el CMJ, con el fin de generar un espacio de formación con la UIS."
Se realizarón espacios de formación Act. 1.  Taller de resolución de conflictos. y Act. 2. Capacitación en Participación Política.
unio: Se realizarón espacios de: Act1.  capacitación en participación política y Act2  Talleres de proyecto de vida y formación integral
Julio. Se llevo a cabo el taller de capacitación en temas de emprendimiento y CMJ en la IE Comuneros.
Agosto: Act. 1. Actividades de Identidad Regional y Arraigo Territorial y Act. 2. Capacitación en Participación Política.
Septiembre: Se realizó :Act. 1. Capacitación en Participación Política.
Octubre: Se realizó: Act. 1. Taller de resolución de conflictos. y Act. 2. Talleres Proyecto de vida y  formación integral.
Noviembre: Se reaió: Act. 1.Formación en nuevas comunicaciones y Act. 2 Taller de liderazgo
</t>
  </si>
  <si>
    <t>Se se realizó una jornadad de formación de jóvenes en articulación con el Sena. Se capacitaron 24 jóvenes. 
Se se realizarón los convenios con la I. E DAMASO ZAPATA y la UCC, con el fin de iniciar las capacitaciones."
Durante mayo se realizó en el marco de la Campaña Bienestar Jóven – Actividad de Salud mental
Junio: Se realizó Campañas de Bienestar Jóven: Act  1. Prevención al consumo de sustancias Psicoactivas, Act2 Actividad de salud mental
Julio.  Se desrrollaron tallleres sobre violencia basada en género y salud sexual reproductiva en las instituciones SENA, INEM e IE Aurelio Martínez Mútis.
Agosto:  Se desrrollaron tallleres sobre Act. 1.Campaña Bienestar Jóven – Actividad salud sexual y  Act. 2. Campaña Bienestar Jóven – habilidades blandas
Septiembre: Se desarrollaron talleres sobre: Act. 1. Campaña Bienestar Jóven – Actividad Salud Mental y Act. 2. Campaña Bienestar Jóven – Actividad Salud Mental
Octubre: Se desarrollaron tallere sobre: Act. 1. Campaña Bienestar Jóven – Hábitos saludables
Noviembre: Se desarrolló Act. 1. Campaña Bienestar Jóven – habilidades blandas</t>
  </si>
  <si>
    <t>Se han realizado cinco entregas de complementos nutricionales tipo mercado, alcanzando un total de 20.159 unidades distribuidas, beneficiando al mismo número de personas en los tres programas sociales priorizados:
Persona Mayor: 17796 mercados entregados
Primera Infancia, Infancia y Adolescencia: 853 mercados entregados
Personas con Discapacidad: 1.510 mercados entregados
El total de mercados entregados mensualmente en promedio es de 3.360.</t>
  </si>
  <si>
    <t>Se han capacitado 132 cuidadoras  de PCD
En articulación con la UDES, SENA, SECRETARÍA DE SALUD Y COMPONENTE DE MUJER, se capacitaron 33 cuidadores en Derechos y deberes de personas con discapacidad, certificación por competencias laborales, certificado de discapacidad, rutas de salud mental y cuidados de las personas con discpacidad
JULIO:: Conmemoración dia del cuidador se capacitaron 48 cuidadoras en  bienestar físico y sindrome del cuidador  
Septiembre: se capacitaron 17 cuidadoras de NEUROAVANZAR 
Octubre: 11 cuidadores se capacitaron en temas de autocuidado</t>
  </si>
  <si>
    <t xml:space="preserve">Se realizó capacitación con la CPS contratada para esta meta sobre el programa de discapacidad, formatos, bases de datos y rutas
En junio se realizaron caracterizaciones a :  59 personas
En julio se realizaron  117 encuestas  a personas con discapacidad de acuerdo a la base de datos del programa utilizado para este censo 
En agosto se realizaron 108 encuestas a personas con discapacidad de acuerdo a la base de datos 
En septiembre se realizaron 120 encuestas a personas con discapacidad de acuerdo a la base de datos 
En Octubre se realizaron 109 encuestas 
En noviembre se realizaron 117 encuestas </t>
  </si>
  <si>
    <t>JULIO
-	Acta de inicio Convenio: Realizar inseminación artificial a tiempo fijo IATF a hembras bovinas en predios rurales del municipio dentro del marco del proyecto “MEJORAMIENTO GENÉTICO PECUARIO EN EL MUNICIPIO DE BUCARAMANGA” de la Secretaria de Desarrollo Social.
AGOSTO
-       Listado de beneficiarios según ciclo de vacunación (A)  fiebre aftosa.
-	Se dio inicio al proyecto del mejoramiento genético en  el sector rural del municipio de Bucaramanga, con el siguiente proceso: 40 asistencias técnicas que incluyen la palpación y protocolo de dispositivo intravaginal, en total 16 bovinos inseminados. 
SEPTIEMBRE
- Avance proyecto del mejoramiento genético en el sector rural del municipio de Bucaramanga
OCTUBRE
-  Avance proyecto del mejoramiento genético en el sector rural del municipio de Bucaramanga. 
NOVIEMBRE
-	Se dio continuidad al proyecto de mejoramiento Genético, avanzando las inseminaciones artificiales para hembras bovinas en los corregimientos del municipio de Bucaramanga.
-	Se realizó capacitación a jóvenes rurales en conocimientos básicos teórico - prácticos en Inseminación artificial en bovinos en el marco del proyecto de mejoramiento genético.</t>
  </si>
  <si>
    <t>Se actualizó  el documento de la estrategia y se presentó para su aprobación respectiva. 
Se realizaron espacios de articulación, entre CORPOADASES, SENA, SEC Interior de Bucaramanga, con el fin de dar inicio a las jornadas de capacitación y actividades en territorio."
En articulación con la UDES, SENA, SECRETARÍA DE SALUD Y COMPONENTE DE MUJER, se capacitaron 33 cuidadores en Derechos y deberes de personas con discapacidad, certificación por competencias laborales, certificado de discapacidad, rutas de salud mental y cuidados de las personas con discpacidad.
Se realizaron actividades con el fin de avanzar en el convenio con corporadases así como formación a la población barrista: Act. 1. . Estrategia pazificandonos – Creación de alianzas para inicio de capacitación Pazificandonos Formación de convenio con entidad responsable de los SRPA y Estrategia pazificandonos –  Capacitación Barrismo
Junio: Act1. Presentación del proyecto Pazificandonos ante el comite Departamental de los jóvens del SRPA, Act2. Entrega de diplomas de pazificandonos al grupo de barra de la comuna 14, Act3. Intervención de mural en la estación de metrolínea de provenza con miembros de la barra fortaleza. Act3 Taller de formación Sena con los miembros de la barra de la fortaleza
JULIO. Se llevo a cabo un taller de habilidades productivas, mesa de trabajo en política pública de barrismo y socialización de las elecciones del consejo municipal de juventudes CMJ. 
Agosto: Se llevo a cabo talleres de Act. 1. Estrategia pazificandonos – Actividad Diagnóstico educativo y ocupacional y Act2.Formulación politica pública de barrismo social
Septiembre: Se realizó: Act. 1. Estrategia pazificandonos – Actividad taller de formación de proyectos 
Octubre: Se realizó: Act. 1. articulación con el programa de Familia, Aguante la barra, Habitanza de Calle, Secretaría de Salud e Inderbu, con el fin de desarrollar la gran feria de oferta insitucional para la población barrista en el mes de Noviembre y Act 2. Se realizó convocatoria para la apertura al curso de FORMACIÓN EN HABILIDADES PRODUCTIVAS Y LIDERAZGO COMUNITARIO con la Universidad del chicamocha, el cúal inicia el 04 de Noviembre.
Noviembre: Se realizó curso en lideraszgo por parte de la universidad chicamocha a jóvenes barristas</t>
  </si>
  <si>
    <t>p19</t>
  </si>
  <si>
    <t>p20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</si>
</sst>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6" formatCode="&quot;$&quot;\ #,##0;[Red]\-&quot;$&quot;\ #,##0"/>
    <numFmt numFmtId="44" formatCode="_-&quot;$&quot;\ * #,##0.00_-;\-&quot;$&quot;\ * #,##0.00_-;_-&quot;$&quot;\ * &quot;-&quot;??_-;_-@_-"/>
    <numFmt numFmtId="164" formatCode="_-&quot;XDR&quot;* #,##0.00_-;\-&quot;XDR&quot;* #,##0.00_-;_-&quot;XDR&quot;* &quot;-&quot;??_-;_-@_-"/>
    <numFmt numFmtId="165" formatCode="_-&quot;$&quot;\ * #,##0.0_-;\-&quot;$&quot;\ * #,##0.0_-;_-&quot;$&quot;\ * &quot;-&quot;??_-;_-@_-"/>
  </numFmts>
  <fonts count="19">
    <font>
      <sz val="11"/>
      <color theme="1"/>
      <name val="Aptos Narrow"/>
      <family val="2"/>
      <scheme val="minor"/>
    </font>
    <font>
      <b/>
      <sz val="11"/>
      <color theme="1"/>
      <name val="Aptos Narrow"/>
      <family val="2"/>
      <scheme val="minor"/>
    </font>
    <font>
      <b/>
      <sz val="11"/>
      <color theme="1"/>
      <name val="Arial"/>
      <family val="2"/>
    </font>
    <font>
      <sz val="11"/>
      <color theme="1"/>
      <name val="Arial"/>
      <family val="2"/>
    </font>
    <font>
      <b/>
      <sz val="22"/>
      <color theme="1"/>
      <name val="Aptos Narrow"/>
      <family val="2"/>
      <scheme val="minor"/>
    </font>
    <font>
      <b/>
      <sz val="12"/>
      <color theme="0"/>
      <name val="Arial"/>
      <family val="2"/>
    </font>
    <font>
      <b/>
      <sz val="12"/>
      <color theme="1"/>
      <name val="Arial"/>
      <family val="2"/>
    </font>
    <font>
      <b/>
      <sz val="12"/>
      <color rgb="FF002060"/>
      <name val="Arial"/>
      <family val="2"/>
    </font>
    <font>
      <sz val="12"/>
      <color theme="1"/>
      <name val="Arial"/>
      <family val="2"/>
    </font>
    <font>
      <sz val="8"/>
      <name val="Aptos Narrow"/>
      <family val="2"/>
      <scheme val="minor"/>
    </font>
    <font>
      <sz val="9"/>
      <color indexed="81"/>
      <name val="Tahoma"/>
      <family val="2"/>
    </font>
    <font>
      <b/>
      <sz val="9"/>
      <color indexed="81"/>
      <name val="Tahoma"/>
      <family val="2"/>
    </font>
    <font>
      <sz val="11"/>
      <color theme="1"/>
      <name val="Aptos Narrow"/>
      <family val="2"/>
      <scheme val="minor"/>
    </font>
    <font>
      <sz val="11"/>
      <name val="Arial"/>
      <family val="2"/>
    </font>
    <font>
      <sz val="11"/>
      <color rgb="FFFF0000"/>
      <name val="Aptos Narrow"/>
      <family val="2"/>
      <scheme val="minor"/>
    </font>
    <font>
      <b/>
      <sz val="11"/>
      <name val="Arial"/>
      <family val="2"/>
    </font>
    <font>
      <sz val="14"/>
      <name val="Arial"/>
      <family val="2"/>
    </font>
    <font>
      <sz val="12"/>
      <name val="Arial"/>
      <family val="2"/>
    </font>
    <font>
      <b/>
      <sz val="14"/>
      <color theme="1"/>
      <name val="Arial"/>
      <family val="2"/>
    </font>
  </fonts>
  <fills count="7">
    <fill>
      <patternFill patternType="none"/>
    </fill>
    <fill>
      <patternFill patternType="gray125"/>
    </fill>
    <fill>
      <patternFill patternType="solid">
        <fgColor rgb="FF00206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s>
  <cellStyleXfs count="4">
    <xf numFmtId="0" fontId="0" fillId="0" borderId="0"/>
    <xf numFmtId="9" fontId="12" fillId="0" borderId="0" applyFont="0" applyFill="0" applyBorder="0" applyAlignment="0" applyProtection="0"/>
    <xf numFmtId="44" fontId="12" fillId="0" borderId="0" applyFont="0" applyFill="0" applyBorder="0" applyAlignment="0" applyProtection="0"/>
    <xf numFmtId="164" fontId="12" fillId="0" borderId="0" applyFont="0" applyFill="0" applyBorder="0" applyAlignment="0" applyProtection="0"/>
  </cellStyleXfs>
  <cellXfs count="185">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5" fillId="2" borderId="5" xfId="0" applyFont="1" applyFill="1" applyBorder="1" applyAlignment="1">
      <alignment horizontal="center" vertical="center" wrapText="1"/>
    </xf>
    <xf numFmtId="0" fontId="2" fillId="0" borderId="0" xfId="0" applyFont="1" applyAlignment="1">
      <alignment horizontal="center" vertical="center"/>
    </xf>
    <xf numFmtId="10" fontId="3"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6" fillId="0" borderId="2"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7" xfId="0" applyFont="1" applyBorder="1" applyAlignment="1">
      <alignment horizontal="center" vertical="center"/>
    </xf>
    <xf numFmtId="0" fontId="2" fillId="0" borderId="0" xfId="0" applyFont="1" applyAlignment="1">
      <alignment vertical="center"/>
    </xf>
    <xf numFmtId="0" fontId="2" fillId="0" borderId="7" xfId="0" applyFont="1" applyBorder="1" applyAlignment="1">
      <alignment vertical="center"/>
    </xf>
    <xf numFmtId="0" fontId="1" fillId="2" borderId="19" xfId="0" applyFont="1" applyFill="1" applyBorder="1" applyAlignment="1">
      <alignment horizontal="center" vertical="center" wrapText="1"/>
    </xf>
    <xf numFmtId="44" fontId="13" fillId="0" borderId="1" xfId="0" applyNumberFormat="1" applyFont="1" applyBorder="1" applyAlignment="1" applyProtection="1">
      <alignment horizontal="center" vertical="center"/>
      <protection locked="0"/>
    </xf>
    <xf numFmtId="0" fontId="14" fillId="0" borderId="0" xfId="0" applyFont="1" applyAlignment="1">
      <alignment horizontal="center" vertical="center"/>
    </xf>
    <xf numFmtId="44" fontId="13" fillId="0" borderId="1" xfId="0" applyNumberFormat="1" applyFont="1" applyBorder="1" applyAlignment="1" applyProtection="1">
      <alignment horizontal="center" vertical="center" wrapText="1"/>
      <protection locked="0"/>
    </xf>
    <xf numFmtId="9" fontId="13" fillId="0" borderId="1" xfId="1" applyFont="1" applyBorder="1" applyAlignment="1" applyProtection="1">
      <alignment horizontal="center" vertical="center" wrapText="1"/>
      <protection locked="0"/>
    </xf>
    <xf numFmtId="9" fontId="13" fillId="0" borderId="1" xfId="1" applyFont="1" applyBorder="1" applyAlignment="1" applyProtection="1">
      <alignment horizontal="center" vertical="center"/>
      <protection locked="0"/>
    </xf>
    <xf numFmtId="9" fontId="13" fillId="0" borderId="21" xfId="1" applyFont="1" applyFill="1" applyBorder="1" applyAlignment="1" applyProtection="1">
      <alignment horizontal="center" vertical="center"/>
      <protection locked="0"/>
    </xf>
    <xf numFmtId="9" fontId="13" fillId="0" borderId="21" xfId="1" applyFont="1" applyBorder="1" applyAlignment="1" applyProtection="1">
      <alignment horizontal="center" vertical="center" wrapText="1"/>
      <protection locked="0"/>
    </xf>
    <xf numFmtId="9" fontId="13" fillId="0" borderId="22" xfId="1" applyFont="1" applyBorder="1" applyAlignment="1" applyProtection="1">
      <alignment horizontal="center" vertical="center" wrapText="1"/>
      <protection locked="0"/>
    </xf>
    <xf numFmtId="0" fontId="5" fillId="2" borderId="18"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0" fillId="0" borderId="11" xfId="0" applyBorder="1" applyAlignment="1">
      <alignment horizontal="center" vertical="center"/>
    </xf>
    <xf numFmtId="9" fontId="13" fillId="0" borderId="1" xfId="1" applyFont="1" applyFill="1" applyBorder="1" applyAlignment="1" applyProtection="1">
      <alignment horizontal="center" vertical="center"/>
      <protection locked="0"/>
    </xf>
    <xf numFmtId="9" fontId="13" fillId="0" borderId="22" xfId="1" applyFont="1" applyFill="1" applyBorder="1" applyAlignment="1" applyProtection="1">
      <alignment horizontal="center" vertical="center"/>
      <protection locked="0"/>
    </xf>
    <xf numFmtId="44" fontId="15" fillId="0" borderId="1" xfId="0" applyNumberFormat="1" applyFont="1" applyBorder="1" applyAlignment="1" applyProtection="1">
      <alignment horizontal="center" vertical="center"/>
      <protection locked="0"/>
    </xf>
    <xf numFmtId="9" fontId="2" fillId="0" borderId="0" xfId="1" applyFont="1" applyAlignment="1">
      <alignment horizontal="center" vertical="center"/>
    </xf>
    <xf numFmtId="9" fontId="4" fillId="0" borderId="0" xfId="1" applyFont="1" applyAlignment="1">
      <alignment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pplyProtection="1">
      <alignment horizontal="center" vertical="center"/>
      <protection locked="0"/>
    </xf>
    <xf numFmtId="9" fontId="13" fillId="0" borderId="1" xfId="1" applyFont="1" applyBorder="1" applyAlignment="1">
      <alignment horizontal="center" vertical="center"/>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9" fontId="13" fillId="0" borderId="1" xfId="1" applyFont="1" applyFill="1" applyBorder="1" applyAlignment="1">
      <alignment horizontal="center" vertical="center"/>
    </xf>
    <xf numFmtId="0" fontId="13" fillId="0" borderId="21" xfId="0" applyFont="1" applyBorder="1" applyAlignment="1" applyProtection="1">
      <alignment horizontal="center" vertical="center" wrapText="1"/>
      <protection locked="0"/>
    </xf>
    <xf numFmtId="9" fontId="13" fillId="0" borderId="1" xfId="1" applyFont="1" applyBorder="1" applyAlignment="1">
      <alignment horizontal="center" vertical="center" wrapText="1"/>
    </xf>
    <xf numFmtId="0" fontId="5" fillId="2" borderId="19" xfId="0" applyFont="1" applyFill="1" applyBorder="1" applyAlignment="1">
      <alignment horizontal="center" vertical="center" wrapText="1"/>
    </xf>
    <xf numFmtId="9" fontId="5" fillId="2" borderId="19" xfId="1" applyFont="1" applyFill="1" applyBorder="1" applyAlignment="1">
      <alignment horizontal="center" vertical="center" wrapText="1"/>
    </xf>
    <xf numFmtId="0" fontId="5" fillId="2" borderId="24" xfId="0" applyFont="1" applyFill="1" applyBorder="1" applyAlignment="1">
      <alignment horizontal="center" vertical="center" wrapText="1"/>
    </xf>
    <xf numFmtId="9" fontId="13" fillId="3" borderId="1" xfId="1" applyFont="1" applyFill="1" applyBorder="1" applyAlignment="1">
      <alignment horizontal="center" vertical="center" wrapText="1"/>
    </xf>
    <xf numFmtId="9" fontId="13" fillId="0" borderId="1" xfId="0" applyNumberFormat="1" applyFont="1" applyBorder="1" applyAlignment="1" applyProtection="1">
      <alignment horizontal="center" vertical="center" wrapText="1"/>
      <protection locked="0"/>
    </xf>
    <xf numFmtId="0" fontId="5" fillId="2" borderId="25" xfId="0" applyFont="1" applyFill="1" applyBorder="1" applyAlignment="1">
      <alignment horizontal="center" vertical="center" wrapText="1"/>
    </xf>
    <xf numFmtId="0" fontId="13" fillId="0" borderId="26" xfId="0" applyFont="1" applyBorder="1" applyAlignment="1">
      <alignment horizontal="center" vertical="center"/>
    </xf>
    <xf numFmtId="0" fontId="13" fillId="0" borderId="27" xfId="0" applyFont="1" applyBorder="1" applyAlignment="1">
      <alignment horizontal="center" vertical="center" wrapText="1"/>
    </xf>
    <xf numFmtId="0" fontId="13" fillId="0" borderId="27" xfId="0" applyFont="1" applyBorder="1" applyAlignment="1">
      <alignment horizontal="center" vertical="center"/>
    </xf>
    <xf numFmtId="0" fontId="13" fillId="0" borderId="28" xfId="0" applyFont="1" applyBorder="1" applyAlignment="1">
      <alignment horizontal="center" vertical="center"/>
    </xf>
    <xf numFmtId="9" fontId="13" fillId="3" borderId="22" xfId="1" applyFont="1" applyFill="1" applyBorder="1" applyAlignment="1">
      <alignment horizontal="center" vertical="center" wrapText="1"/>
    </xf>
    <xf numFmtId="9" fontId="13" fillId="0" borderId="22" xfId="1" applyFont="1" applyBorder="1" applyAlignment="1">
      <alignment horizontal="center" vertical="center"/>
    </xf>
    <xf numFmtId="9" fontId="13" fillId="0" borderId="22" xfId="1" applyFont="1" applyFill="1" applyBorder="1" applyAlignment="1">
      <alignment horizontal="center" vertical="center"/>
    </xf>
    <xf numFmtId="9" fontId="13" fillId="0" borderId="22" xfId="1" applyFont="1" applyBorder="1" applyAlignment="1">
      <alignment horizontal="center" vertical="center" wrapText="1"/>
    </xf>
    <xf numFmtId="44" fontId="15" fillId="0" borderId="22" xfId="0" applyNumberFormat="1" applyFont="1" applyBorder="1" applyAlignment="1" applyProtection="1">
      <alignment horizontal="center" vertical="center" wrapText="1"/>
      <protection locked="0"/>
    </xf>
    <xf numFmtId="44" fontId="15" fillId="0" borderId="22" xfId="0" applyNumberFormat="1" applyFont="1" applyBorder="1" applyAlignment="1" applyProtection="1">
      <alignment horizontal="center" vertical="center"/>
      <protection locked="0"/>
    </xf>
    <xf numFmtId="44" fontId="13" fillId="0" borderId="27" xfId="0" applyNumberFormat="1" applyFont="1" applyBorder="1" applyAlignment="1" applyProtection="1">
      <alignment horizontal="center" vertical="center"/>
      <protection locked="0"/>
    </xf>
    <xf numFmtId="44" fontId="15" fillId="0" borderId="27" xfId="0" applyNumberFormat="1" applyFont="1" applyBorder="1" applyAlignment="1" applyProtection="1">
      <alignment horizontal="center" vertical="center"/>
      <protection locked="0"/>
    </xf>
    <xf numFmtId="9" fontId="13" fillId="0" borderId="21" xfId="1" applyFont="1" applyBorder="1" applyAlignment="1" applyProtection="1">
      <alignment horizontal="center" vertical="center"/>
      <protection locked="0"/>
    </xf>
    <xf numFmtId="9" fontId="13" fillId="0" borderId="22" xfId="1" applyFont="1" applyBorder="1" applyAlignment="1" applyProtection="1">
      <alignment horizontal="center" vertical="center"/>
      <protection locked="0"/>
    </xf>
    <xf numFmtId="9" fontId="13" fillId="0" borderId="8" xfId="1" applyFont="1" applyBorder="1" applyAlignment="1" applyProtection="1">
      <alignment horizontal="center" vertical="center" wrapText="1"/>
      <protection locked="0"/>
    </xf>
    <xf numFmtId="0" fontId="5" fillId="2" borderId="29" xfId="0" applyFont="1" applyFill="1" applyBorder="1" applyAlignment="1">
      <alignment horizontal="center" vertical="center" wrapText="1"/>
    </xf>
    <xf numFmtId="0" fontId="16" fillId="0" borderId="1" xfId="0" applyFont="1" applyBorder="1" applyAlignment="1">
      <alignment horizontal="center" vertical="center" wrapText="1"/>
    </xf>
    <xf numFmtId="44" fontId="13" fillId="0" borderId="8" xfId="0" applyNumberFormat="1" applyFont="1" applyBorder="1" applyAlignment="1" applyProtection="1">
      <alignment horizontal="center" vertical="center" wrapText="1"/>
      <protection locked="0"/>
    </xf>
    <xf numFmtId="44" fontId="13" fillId="0" borderId="8" xfId="0" applyNumberFormat="1" applyFont="1" applyBorder="1" applyAlignment="1" applyProtection="1">
      <alignment horizontal="center" vertical="center"/>
      <protection locked="0"/>
    </xf>
    <xf numFmtId="9" fontId="13" fillId="0" borderId="1" xfId="0" applyNumberFormat="1" applyFont="1" applyBorder="1" applyAlignment="1">
      <alignment horizontal="center" vertical="center"/>
    </xf>
    <xf numFmtId="9" fontId="13" fillId="0" borderId="27" xfId="0" applyNumberFormat="1" applyFont="1" applyBorder="1" applyAlignment="1">
      <alignment horizontal="center" vertical="center"/>
    </xf>
    <xf numFmtId="1" fontId="16" fillId="0" borderId="30" xfId="0" applyNumberFormat="1" applyFont="1" applyBorder="1" applyAlignment="1">
      <alignment horizontal="center" vertical="center" wrapText="1"/>
    </xf>
    <xf numFmtId="0" fontId="16" fillId="0" borderId="30" xfId="0" applyFont="1" applyBorder="1" applyAlignment="1">
      <alignment horizontal="center" vertical="center" wrapText="1"/>
    </xf>
    <xf numFmtId="1" fontId="16" fillId="0" borderId="1" xfId="0" applyNumberFormat="1" applyFont="1" applyBorder="1" applyAlignment="1">
      <alignment horizontal="center" vertical="center" wrapText="1"/>
    </xf>
    <xf numFmtId="1" fontId="16" fillId="0" borderId="31" xfId="0" applyNumberFormat="1" applyFont="1" applyBorder="1" applyAlignment="1">
      <alignment horizontal="center" vertical="center" wrapText="1"/>
    </xf>
    <xf numFmtId="1" fontId="16" fillId="0" borderId="31" xfId="0" applyNumberFormat="1" applyFont="1" applyBorder="1" applyAlignment="1">
      <alignment horizontal="center" vertical="center"/>
    </xf>
    <xf numFmtId="44" fontId="3" fillId="0" borderId="1" xfId="0" applyNumberFormat="1" applyFont="1" applyBorder="1" applyAlignment="1" applyProtection="1">
      <alignment horizontal="center" vertical="center"/>
      <protection locked="0"/>
    </xf>
    <xf numFmtId="44" fontId="13" fillId="0" borderId="21" xfId="0" applyNumberFormat="1" applyFont="1" applyBorder="1" applyAlignment="1" applyProtection="1">
      <alignment horizontal="center" vertical="center"/>
      <protection locked="0"/>
    </xf>
    <xf numFmtId="44" fontId="13" fillId="0" borderId="21" xfId="0" applyNumberFormat="1" applyFont="1" applyBorder="1" applyAlignment="1" applyProtection="1">
      <alignment horizontal="center" vertical="center" wrapText="1"/>
      <protection locked="0"/>
    </xf>
    <xf numFmtId="44" fontId="13" fillId="0" borderId="26" xfId="0" applyNumberFormat="1" applyFont="1" applyBorder="1" applyAlignment="1" applyProtection="1">
      <alignment horizontal="center" vertical="center"/>
      <protection locked="0"/>
    </xf>
    <xf numFmtId="44" fontId="13" fillId="0" borderId="10" xfId="1" applyNumberFormat="1" applyFont="1" applyBorder="1" applyAlignment="1" applyProtection="1">
      <alignment horizontal="center" vertical="center" wrapText="1"/>
      <protection locked="0"/>
    </xf>
    <xf numFmtId="44" fontId="13" fillId="0" borderId="10" xfId="1" applyNumberFormat="1" applyFont="1" applyBorder="1" applyAlignment="1" applyProtection="1">
      <alignment horizontal="center" vertical="center"/>
      <protection locked="0"/>
    </xf>
    <xf numFmtId="44" fontId="13" fillId="0" borderId="10" xfId="1" applyNumberFormat="1" applyFont="1" applyFill="1" applyBorder="1" applyAlignment="1" applyProtection="1">
      <alignment horizontal="center" vertical="center"/>
      <protection locked="0"/>
    </xf>
    <xf numFmtId="6" fontId="13" fillId="0" borderId="10" xfId="1" applyNumberFormat="1" applyFont="1" applyFill="1" applyBorder="1" applyAlignment="1" applyProtection="1">
      <alignment horizontal="center" vertical="center"/>
      <protection locked="0"/>
    </xf>
    <xf numFmtId="0" fontId="16" fillId="0" borderId="31" xfId="0" applyFont="1" applyBorder="1" applyAlignment="1">
      <alignment horizontal="center" vertical="center" wrapText="1"/>
    </xf>
    <xf numFmtId="3" fontId="13" fillId="0" borderId="1" xfId="0" applyNumberFormat="1" applyFont="1" applyBorder="1" applyAlignment="1">
      <alignment horizontal="center" vertical="center" wrapText="1"/>
    </xf>
    <xf numFmtId="3" fontId="13" fillId="0" borderId="1" xfId="0" applyNumberFormat="1" applyFont="1" applyBorder="1" applyAlignment="1">
      <alignment horizontal="center" vertical="center"/>
    </xf>
    <xf numFmtId="9" fontId="15" fillId="0" borderId="1" xfId="0" applyNumberFormat="1" applyFont="1" applyBorder="1" applyAlignment="1">
      <alignment horizontal="center" vertical="center"/>
    </xf>
    <xf numFmtId="0" fontId="13" fillId="0" borderId="32" xfId="0" applyFont="1" applyBorder="1" applyAlignment="1">
      <alignment horizontal="center" vertical="center"/>
    </xf>
    <xf numFmtId="0" fontId="13" fillId="0" borderId="31" xfId="0" applyFont="1" applyBorder="1" applyAlignment="1">
      <alignment horizontal="center" vertical="center" wrapText="1"/>
    </xf>
    <xf numFmtId="0" fontId="13" fillId="0" borderId="31" xfId="0" applyFont="1" applyBorder="1" applyAlignment="1">
      <alignment horizontal="center" vertical="center"/>
    </xf>
    <xf numFmtId="9" fontId="15" fillId="0" borderId="31" xfId="0" applyNumberFormat="1" applyFont="1" applyBorder="1" applyAlignment="1">
      <alignment horizontal="center" vertical="center"/>
    </xf>
    <xf numFmtId="44" fontId="13" fillId="0" borderId="31" xfId="0" applyNumberFormat="1" applyFont="1" applyBorder="1" applyAlignment="1" applyProtection="1">
      <alignment horizontal="center" vertical="center"/>
      <protection locked="0"/>
    </xf>
    <xf numFmtId="44" fontId="15" fillId="0" borderId="31" xfId="0" applyNumberFormat="1" applyFont="1" applyBorder="1" applyAlignment="1" applyProtection="1">
      <alignment horizontal="center" vertical="center"/>
      <protection locked="0"/>
    </xf>
    <xf numFmtId="9" fontId="13" fillId="0" borderId="32" xfId="1" applyFont="1" applyBorder="1" applyAlignment="1" applyProtection="1">
      <alignment horizontal="center" vertical="center"/>
      <protection locked="0"/>
    </xf>
    <xf numFmtId="9" fontId="13" fillId="0" borderId="31" xfId="1" applyFont="1" applyBorder="1" applyAlignment="1" applyProtection="1">
      <alignment horizontal="center" vertical="center"/>
      <protection locked="0"/>
    </xf>
    <xf numFmtId="3" fontId="13" fillId="0" borderId="31" xfId="0" applyNumberFormat="1" applyFont="1" applyBorder="1" applyAlignment="1">
      <alignment horizontal="center" vertical="center"/>
    </xf>
    <xf numFmtId="44" fontId="13" fillId="0" borderId="21" xfId="2" applyFont="1" applyBorder="1" applyAlignment="1" applyProtection="1">
      <alignment horizontal="center" vertical="center"/>
      <protection locked="0"/>
    </xf>
    <xf numFmtId="44" fontId="13" fillId="0" borderId="32" xfId="0" applyNumberFormat="1" applyFont="1" applyBorder="1" applyAlignment="1" applyProtection="1">
      <alignment horizontal="center" vertical="center"/>
      <protection locked="0"/>
    </xf>
    <xf numFmtId="44" fontId="0" fillId="0" borderId="1" xfId="0" applyNumberFormat="1" applyBorder="1" applyAlignment="1">
      <alignment horizontal="center" vertical="center"/>
    </xf>
    <xf numFmtId="0" fontId="16" fillId="0" borderId="30" xfId="0" applyFont="1" applyBorder="1" applyAlignment="1">
      <alignment horizontal="center" vertical="top" wrapText="1"/>
    </xf>
    <xf numFmtId="0" fontId="17" fillId="0" borderId="1" xfId="0" applyFont="1" applyBorder="1" applyAlignment="1">
      <alignment horizontal="center" vertical="top" wrapText="1"/>
    </xf>
    <xf numFmtId="44" fontId="17" fillId="0" borderId="1" xfId="0" applyNumberFormat="1" applyFont="1" applyBorder="1" applyAlignment="1">
      <alignment horizontal="center" vertical="top" wrapText="1"/>
    </xf>
    <xf numFmtId="0" fontId="17" fillId="0" borderId="22" xfId="0" applyFont="1" applyBorder="1" applyAlignment="1">
      <alignment horizontal="center" vertical="top" wrapText="1"/>
    </xf>
    <xf numFmtId="0" fontId="16" fillId="0" borderId="1" xfId="0" applyFont="1" applyBorder="1" applyAlignment="1">
      <alignment horizontal="center" vertical="top" wrapText="1"/>
    </xf>
    <xf numFmtId="44" fontId="2" fillId="0" borderId="0" xfId="0" applyNumberFormat="1" applyFont="1" applyAlignment="1">
      <alignment horizontal="center" vertical="center"/>
    </xf>
    <xf numFmtId="44" fontId="2" fillId="0" borderId="0" xfId="2" applyFont="1" applyAlignment="1">
      <alignment horizontal="center" vertical="center"/>
    </xf>
    <xf numFmtId="0" fontId="3" fillId="0" borderId="1" xfId="0" applyFont="1" applyBorder="1" applyAlignment="1" applyProtection="1">
      <alignment horizontal="center" vertical="top" wrapText="1"/>
      <protection locked="0"/>
    </xf>
    <xf numFmtId="0" fontId="3" fillId="0" borderId="0" xfId="0" applyFont="1" applyAlignment="1">
      <alignment horizontal="center" vertical="center"/>
    </xf>
    <xf numFmtId="44" fontId="15" fillId="0" borderId="1" xfId="0" applyNumberFormat="1" applyFont="1" applyBorder="1" applyAlignment="1">
      <alignment horizontal="center" vertical="center"/>
    </xf>
    <xf numFmtId="44" fontId="15" fillId="0" borderId="27" xfId="0" applyNumberFormat="1" applyFont="1" applyBorder="1" applyAlignment="1">
      <alignment horizontal="center" vertical="center"/>
    </xf>
    <xf numFmtId="44" fontId="15" fillId="0" borderId="31" xfId="0" applyNumberFormat="1" applyFont="1" applyBorder="1" applyAlignment="1">
      <alignment horizontal="center" vertical="center"/>
    </xf>
    <xf numFmtId="0" fontId="4" fillId="4" borderId="0" xfId="0" applyFont="1" applyFill="1" applyAlignment="1">
      <alignment vertical="center"/>
    </xf>
    <xf numFmtId="0" fontId="5" fillId="5" borderId="19" xfId="0" applyFont="1" applyFill="1" applyBorder="1" applyAlignment="1">
      <alignment horizontal="center" vertical="center" wrapText="1"/>
    </xf>
    <xf numFmtId="1" fontId="3" fillId="0" borderId="1" xfId="0" applyNumberFormat="1" applyFont="1" applyBorder="1" applyAlignment="1" applyProtection="1">
      <alignment horizontal="center" vertical="top" wrapText="1"/>
      <protection locked="0"/>
    </xf>
    <xf numFmtId="44" fontId="3" fillId="0" borderId="1" xfId="0" applyNumberFormat="1" applyFont="1" applyBorder="1" applyAlignment="1" applyProtection="1">
      <alignment horizontal="center" vertical="top" wrapText="1"/>
      <protection locked="0"/>
    </xf>
    <xf numFmtId="44" fontId="3" fillId="0" borderId="1" xfId="2" applyFont="1" applyBorder="1" applyAlignment="1" applyProtection="1">
      <alignment horizontal="center" vertical="center"/>
      <protection locked="0"/>
    </xf>
    <xf numFmtId="9" fontId="3" fillId="0" borderId="21" xfId="1" applyFont="1" applyBorder="1" applyAlignment="1" applyProtection="1">
      <alignment horizontal="center" vertical="center"/>
      <protection locked="0"/>
    </xf>
    <xf numFmtId="44" fontId="13" fillId="5" borderId="21" xfId="0" applyNumberFormat="1" applyFont="1" applyFill="1" applyBorder="1" applyAlignment="1" applyProtection="1">
      <alignment horizontal="center" vertical="center"/>
      <protection locked="0"/>
    </xf>
    <xf numFmtId="9" fontId="13" fillId="0" borderId="51" xfId="1" applyFont="1" applyBorder="1" applyAlignment="1" applyProtection="1">
      <alignment horizontal="center" vertical="center"/>
      <protection locked="0"/>
    </xf>
    <xf numFmtId="9" fontId="13" fillId="0" borderId="30" xfId="1" applyFont="1" applyBorder="1" applyAlignment="1" applyProtection="1">
      <alignment horizontal="center" vertical="center"/>
      <protection locked="0"/>
    </xf>
    <xf numFmtId="44" fontId="0" fillId="0" borderId="10" xfId="0" applyNumberFormat="1" applyBorder="1" applyAlignment="1">
      <alignment horizontal="center" vertical="center"/>
    </xf>
    <xf numFmtId="9" fontId="13" fillId="0" borderId="52" xfId="1" applyFont="1" applyBorder="1" applyAlignment="1" applyProtection="1">
      <alignment horizontal="center" vertical="center"/>
      <protection locked="0"/>
    </xf>
    <xf numFmtId="165" fontId="13" fillId="0" borderId="1" xfId="0" applyNumberFormat="1" applyFont="1" applyBorder="1" applyAlignment="1" applyProtection="1">
      <alignment horizontal="center" vertical="center" wrapText="1"/>
      <protection locked="0"/>
    </xf>
    <xf numFmtId="9" fontId="3" fillId="0" borderId="1" xfId="1" applyFont="1" applyBorder="1" applyAlignment="1" applyProtection="1">
      <alignment horizontal="center" vertical="center"/>
      <protection locked="0"/>
    </xf>
    <xf numFmtId="1" fontId="17" fillId="0" borderId="10" xfId="0" applyNumberFormat="1" applyFont="1" applyBorder="1" applyAlignment="1">
      <alignment horizontal="center" vertical="top" wrapText="1"/>
    </xf>
    <xf numFmtId="0" fontId="16" fillId="0" borderId="8" xfId="0" applyFont="1" applyBorder="1" applyAlignment="1">
      <alignment horizontal="center" vertical="top" wrapText="1"/>
    </xf>
    <xf numFmtId="1" fontId="17" fillId="0" borderId="1" xfId="0" applyNumberFormat="1" applyFont="1" applyBorder="1" applyAlignment="1">
      <alignment horizontal="center" vertical="top" wrapText="1"/>
    </xf>
    <xf numFmtId="44" fontId="17" fillId="0" borderId="31" xfId="0" applyNumberFormat="1" applyFont="1" applyBorder="1" applyAlignment="1">
      <alignment horizontal="center" vertical="top" wrapText="1"/>
    </xf>
    <xf numFmtId="0" fontId="17" fillId="0" borderId="31" xfId="0" applyFont="1" applyBorder="1" applyAlignment="1">
      <alignment horizontal="center" vertical="top" wrapText="1"/>
    </xf>
    <xf numFmtId="0" fontId="17" fillId="0" borderId="52" xfId="0" applyFont="1" applyBorder="1" applyAlignment="1">
      <alignment horizontal="center" vertical="top" wrapText="1"/>
    </xf>
    <xf numFmtId="0" fontId="3" fillId="0" borderId="30" xfId="0" applyFont="1" applyBorder="1" applyAlignment="1" applyProtection="1">
      <alignment horizontal="center" vertical="top" wrapText="1"/>
      <protection locked="0"/>
    </xf>
    <xf numFmtId="0" fontId="3" fillId="0" borderId="22" xfId="0" applyFont="1" applyBorder="1" applyAlignment="1" applyProtection="1">
      <alignment horizontal="center" vertical="top" wrapText="1"/>
      <protection locked="0"/>
    </xf>
    <xf numFmtId="9" fontId="3" fillId="0" borderId="22" xfId="1" applyFont="1" applyBorder="1" applyAlignment="1" applyProtection="1">
      <alignment horizontal="center" vertical="center"/>
      <protection locked="0"/>
    </xf>
    <xf numFmtId="44" fontId="3" fillId="0" borderId="10" xfId="0" applyNumberFormat="1" applyFont="1" applyBorder="1" applyAlignment="1" applyProtection="1">
      <alignment horizontal="center" vertical="center"/>
      <protection locked="0"/>
    </xf>
    <xf numFmtId="6" fontId="3" fillId="0" borderId="10" xfId="0" applyNumberFormat="1"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44" fontId="13" fillId="0" borderId="1" xfId="0" applyNumberFormat="1" applyFont="1" applyBorder="1" applyAlignment="1">
      <alignment horizontal="center" vertical="center"/>
    </xf>
    <xf numFmtId="6" fontId="13" fillId="0" borderId="1" xfId="0" applyNumberFormat="1" applyFont="1" applyBorder="1" applyAlignment="1" applyProtection="1">
      <alignment horizontal="center" vertical="center" wrapText="1"/>
      <protection locked="0"/>
    </xf>
    <xf numFmtId="44" fontId="13" fillId="6" borderId="21" xfId="0" applyNumberFormat="1" applyFont="1" applyFill="1" applyBorder="1" applyAlignment="1" applyProtection="1">
      <alignment horizontal="center" vertical="center"/>
      <protection locked="0"/>
    </xf>
    <xf numFmtId="44" fontId="13" fillId="0" borderId="27" xfId="0" applyNumberFormat="1" applyFont="1" applyBorder="1" applyAlignment="1">
      <alignment horizontal="center" vertical="center"/>
    </xf>
    <xf numFmtId="44" fontId="15" fillId="0" borderId="52" xfId="0" applyNumberFormat="1" applyFont="1" applyBorder="1" applyAlignment="1" applyProtection="1">
      <alignment horizontal="center" vertical="center"/>
      <protection locked="0"/>
    </xf>
    <xf numFmtId="44" fontId="2" fillId="0" borderId="22" xfId="0" applyNumberFormat="1" applyFont="1" applyBorder="1" applyAlignment="1" applyProtection="1">
      <alignment horizontal="center" vertical="center"/>
      <protection locked="0"/>
    </xf>
    <xf numFmtId="44" fontId="2" fillId="0" borderId="1" xfId="0" applyNumberFormat="1" applyFont="1" applyBorder="1" applyAlignment="1" applyProtection="1">
      <alignment horizontal="center" vertical="center"/>
      <protection locked="0"/>
    </xf>
    <xf numFmtId="44" fontId="13" fillId="0" borderId="31" xfId="0" applyNumberFormat="1" applyFont="1" applyBorder="1" applyAlignment="1">
      <alignment horizontal="center" vertical="center"/>
    </xf>
    <xf numFmtId="6" fontId="13" fillId="0" borderId="1" xfId="0" applyNumberFormat="1" applyFont="1" applyBorder="1" applyAlignment="1" applyProtection="1">
      <alignment horizontal="center" vertical="center"/>
      <protection locked="0"/>
    </xf>
    <xf numFmtId="0" fontId="5" fillId="2" borderId="17"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41" xfId="0" applyFont="1" applyBorder="1" applyAlignment="1">
      <alignment horizontal="center" vertical="center"/>
    </xf>
    <xf numFmtId="0" fontId="2" fillId="0" borderId="1"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18" fillId="0" borderId="35"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Alignment="1">
      <alignment horizontal="center" vertical="center" wrapText="1"/>
    </xf>
    <xf numFmtId="0" fontId="18" fillId="0" borderId="12"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7" xfId="0" applyFont="1" applyBorder="1" applyAlignment="1">
      <alignment horizontal="center" vertical="center" wrapText="1"/>
    </xf>
    <xf numFmtId="0" fontId="8" fillId="0" borderId="38" xfId="0" applyFont="1" applyBorder="1" applyAlignment="1">
      <alignment horizontal="left" vertical="center"/>
    </xf>
    <xf numFmtId="0" fontId="8" fillId="0" borderId="39" xfId="0" applyFont="1" applyBorder="1" applyAlignment="1">
      <alignment horizontal="left" vertical="center"/>
    </xf>
    <xf numFmtId="0" fontId="8" fillId="0" borderId="40"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42" xfId="0" applyFont="1" applyBorder="1" applyAlignment="1">
      <alignment horizontal="left" vertical="center"/>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8" fillId="0" borderId="50" xfId="0" applyFont="1" applyBorder="1" applyAlignment="1">
      <alignment horizontal="left" vertical="center" wrapText="1"/>
    </xf>
    <xf numFmtId="9" fontId="5" fillId="2" borderId="4" xfId="1" applyFont="1" applyFill="1" applyBorder="1" applyAlignment="1">
      <alignment horizontal="center" vertical="center" wrapText="1"/>
    </xf>
    <xf numFmtId="9" fontId="5" fillId="2" borderId="3" xfId="1" applyFont="1" applyFill="1" applyBorder="1" applyAlignment="1">
      <alignment horizontal="center" vertical="center" wrapText="1"/>
    </xf>
    <xf numFmtId="9" fontId="5" fillId="2" borderId="13" xfId="1" applyFont="1" applyFill="1" applyBorder="1" applyAlignment="1">
      <alignment horizontal="center" vertical="center" wrapText="1"/>
    </xf>
    <xf numFmtId="0" fontId="8" fillId="0" borderId="8" xfId="0" applyFont="1" applyBorder="1" applyAlignment="1">
      <alignment vertical="center"/>
    </xf>
    <xf numFmtId="0" fontId="8" fillId="0" borderId="9" xfId="0" applyFont="1" applyBorder="1" applyAlignment="1">
      <alignment vertical="center"/>
    </xf>
    <xf numFmtId="0" fontId="8" fillId="0" borderId="42" xfId="0" applyFont="1" applyBorder="1" applyAlignment="1">
      <alignment vertical="center"/>
    </xf>
  </cellXfs>
  <cellStyles count="4">
    <cellStyle name="Moneda" xfId="2" builtinId="4"/>
    <cellStyle name="Moneda 2" xfId="3" xr:uid="{50697D8C-543D-4A8C-B8AE-984EDBE20C31}"/>
    <cellStyle name="Normal" xfId="0" builtinId="0"/>
    <cellStyle name="Porcentaje" xfId="1" builtinId="5"/>
  </cellStyles>
  <dxfs count="124">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strike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vertical/>
        <horizontal/>
      </border>
      <protection locked="0" hidden="0"/>
    </dxf>
    <dxf>
      <font>
        <b/>
        <strike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vertical/>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medium">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1"/>
        <color auto="1"/>
        <name val="Arial"/>
        <family val="2"/>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Arial"/>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Arial"/>
        <family val="2"/>
        <scheme val="none"/>
      </font>
      <numFmt numFmtId="13"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center" vertical="center" textRotation="0" wrapText="0" indent="0" justifyLastLine="0" shrinkToFit="0" readingOrder="0"/>
    </dxf>
    <dxf>
      <border>
        <bottom style="medium">
          <color indexed="64"/>
        </bottom>
      </border>
    </dxf>
    <dxf>
      <font>
        <b/>
        <i val="0"/>
        <strike val="0"/>
        <condense val="0"/>
        <extend val="0"/>
        <outline val="0"/>
        <shadow val="0"/>
        <u val="none"/>
        <vertAlign val="baseline"/>
        <sz val="12"/>
        <color theme="0"/>
        <name val="Arial"/>
        <scheme val="none"/>
      </font>
      <fill>
        <patternFill patternType="solid">
          <fgColor indexed="64"/>
          <bgColor rgb="FF002060"/>
        </patternFill>
      </fill>
      <alignment horizontal="center" vertical="center" textRotation="0" wrapText="1" indent="0" justifyLastLine="0" shrinkToFit="0" readingOrder="0"/>
    </dxf>
    <dxf>
      <font>
        <b val="0"/>
        <i val="0"/>
        <strike val="0"/>
        <condense val="0"/>
        <extend val="0"/>
        <outline val="0"/>
        <shadow val="0"/>
        <u val="none"/>
        <vertAlign val="baseline"/>
        <sz val="14"/>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4"/>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Arial"/>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Arial"/>
        <scheme val="none"/>
      </font>
      <numFmt numFmtId="34" formatCode="_-&quot;$&quot;\ * #,##0.00_-;\-&quot;$&quot;\ * #,##0.00_-;_-&quot;$&quot;\ * &quot;-&quot;??_-;_-@_-"/>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34" formatCode="_-&quot;$&quot;\ * #,##0.00_-;\-&quot;$&quot;\ * #,##0.00_-;_-&quot;$&quot;\ *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numFmt numFmtId="34" formatCode="_-&quot;$&quot;\ * #,##0.00_-;\-&quot;$&quot;\ * #,##0.00_-;_-&quot;$&quot;\ * &quot;-&quot;??_-;_-@_-"/>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numFmt numFmtId="1" formatCode="0"/>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4"/>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Arial"/>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rgb="FF000000"/>
        </bottom>
      </border>
    </dxf>
    <dxf>
      <font>
        <b val="0"/>
        <i val="0"/>
        <strike val="0"/>
        <condense val="0"/>
        <extend val="0"/>
        <outline val="0"/>
        <shadow val="0"/>
        <u val="none"/>
        <vertAlign val="baseline"/>
        <sz val="11"/>
        <color rgb="FF000000"/>
        <name val="Arial"/>
        <scheme val="none"/>
      </font>
      <fill>
        <patternFill patternType="none">
          <fgColor rgb="FF000000"/>
          <bgColor auto="1"/>
        </patternFill>
      </fill>
      <alignment horizontal="center" vertical="center" textRotation="0" wrapText="0" indent="0" justifyLastLine="0" shrinkToFit="0" readingOrder="0"/>
    </dxf>
    <dxf>
      <border>
        <bottom style="medium">
          <color rgb="FF000000"/>
        </bottom>
      </border>
    </dxf>
    <dxf>
      <font>
        <b/>
        <i val="0"/>
        <strike val="0"/>
        <condense val="0"/>
        <extend val="0"/>
        <outline val="0"/>
        <shadow val="0"/>
        <u val="none"/>
        <vertAlign val="baseline"/>
        <sz val="12"/>
        <color theme="0"/>
        <name val="Arial"/>
        <scheme val="none"/>
      </font>
      <fill>
        <patternFill patternType="solid">
          <fgColor indexed="64"/>
          <bgColor rgb="FF002060"/>
        </patternFill>
      </fill>
      <alignment horizontal="center" vertical="center" textRotation="0" wrapText="1" indent="0" justifyLastLine="0" shrinkToFit="0" readingOrder="0"/>
    </dxf>
    <dxf>
      <fill>
        <patternFill patternType="solid">
          <fgColor theme="6" tint="0.39994506668294322"/>
          <bgColor theme="6" tint="0.39994506668294322"/>
        </patternFill>
      </fill>
    </dxf>
    <dxf>
      <fill>
        <patternFill>
          <bgColor theme="9" tint="0.39994506668294322"/>
        </patternFill>
      </fill>
    </dxf>
  </dxfs>
  <tableStyles count="4" defaultTableStyle="TableStyleMedium2" defaultPivotStyle="PivotStyleLight16">
    <tableStyle name="Estilo de tabla 1" pivot="0" count="0" xr9:uid="{00000000-0011-0000-FFFF-FFFF00000000}"/>
    <tableStyle name="Estilo de tabla 2" pivot="0" count="0" xr9:uid="{00000000-0011-0000-FFFF-FFFF01000000}"/>
    <tableStyle name="Estilo de tabla 3" pivot="0" count="1" xr9:uid="{00000000-0011-0000-FFFF-FFFF02000000}">
      <tableStyleElement type="firstRowStripe" dxfId="123"/>
    </tableStyle>
    <tableStyle name="Estilo de tabla 4" pivot="0" count="1" xr9:uid="{00000000-0011-0000-FFFF-FFFF03000000}">
      <tableStyleElement type="firstRowStripe" dxfId="12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349250</xdr:colOff>
      <xdr:row>1</xdr:row>
      <xdr:rowOff>92074</xdr:rowOff>
    </xdr:from>
    <xdr:to>
      <xdr:col>0</xdr:col>
      <xdr:colOff>1481137</xdr:colOff>
      <xdr:row>6</xdr:row>
      <xdr:rowOff>114975</xdr:rowOff>
    </xdr:to>
    <xdr:pic>
      <xdr:nvPicPr>
        <xdr:cNvPr id="2" name="Imagen 1">
          <a:extLst>
            <a:ext uri="{FF2B5EF4-FFF2-40B4-BE49-F238E27FC236}">
              <a16:creationId xmlns:a16="http://schemas.microsoft.com/office/drawing/2014/main" id="{86C543D6-90DE-46F5-A547-3240C82F56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9250" y="298449"/>
          <a:ext cx="1131887" cy="10865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1119187</xdr:colOff>
      <xdr:row>0</xdr:row>
      <xdr:rowOff>190499</xdr:rowOff>
    </xdr:from>
    <xdr:to>
      <xdr:col>1</xdr:col>
      <xdr:colOff>904873</xdr:colOff>
      <xdr:row>3</xdr:row>
      <xdr:rowOff>203882</xdr:rowOff>
    </xdr:to>
    <xdr:pic>
      <xdr:nvPicPr>
        <xdr:cNvPr id="8" name="Imagen 7">
          <a:extLst>
            <a:ext uri="{FF2B5EF4-FFF2-40B4-BE49-F238E27FC236}">
              <a16:creationId xmlns:a16="http://schemas.microsoft.com/office/drawing/2014/main" id="{86AEA962-FDDD-434F-8D5F-DC670485DA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9187" y="190499"/>
          <a:ext cx="1233486" cy="11563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ktop/Alcald&#237;a%20Bga%202025/Seguimiento%20PDM%202024-2027/Plan%20Indicativo%202024-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Indicativo"/>
      <sheetName val="Plan Indicativo 2024-2027"/>
    </sheetNames>
    <sheetDataSet>
      <sheetData sheetId="0">
        <row r="8">
          <cell r="T8">
            <v>30000</v>
          </cell>
          <cell r="W8">
            <v>7500</v>
          </cell>
          <cell r="AC8" t="str">
            <v>Acumulativa</v>
          </cell>
        </row>
        <row r="96">
          <cell r="T96">
            <v>40</v>
          </cell>
          <cell r="W96">
            <v>10</v>
          </cell>
          <cell r="AC96" t="str">
            <v>Acumulativa</v>
          </cell>
        </row>
        <row r="97">
          <cell r="T97">
            <v>5</v>
          </cell>
          <cell r="W97">
            <v>2</v>
          </cell>
          <cell r="AC97" t="str">
            <v>Acumulativa</v>
          </cell>
        </row>
        <row r="98">
          <cell r="T98">
            <v>150</v>
          </cell>
          <cell r="W98">
            <v>150</v>
          </cell>
          <cell r="AC98" t="str">
            <v>No Acumulativa</v>
          </cell>
        </row>
        <row r="99">
          <cell r="T99">
            <v>1023</v>
          </cell>
          <cell r="W99">
            <v>250</v>
          </cell>
          <cell r="AC99" t="str">
            <v>Acumulativa</v>
          </cell>
        </row>
        <row r="100">
          <cell r="T100">
            <v>2400</v>
          </cell>
          <cell r="W100">
            <v>2400</v>
          </cell>
          <cell r="AC100" t="str">
            <v>No Acumulativa</v>
          </cell>
        </row>
        <row r="102">
          <cell r="T102">
            <v>1</v>
          </cell>
          <cell r="W102">
            <v>1</v>
          </cell>
          <cell r="AC102" t="str">
            <v>No Acumulativa</v>
          </cell>
        </row>
        <row r="208">
          <cell r="T208">
            <v>1</v>
          </cell>
          <cell r="W208">
            <v>0</v>
          </cell>
          <cell r="AC208" t="str">
            <v>Acumulativa</v>
          </cell>
        </row>
        <row r="209">
          <cell r="T209">
            <v>180</v>
          </cell>
          <cell r="W209">
            <v>180</v>
          </cell>
          <cell r="AC209" t="str">
            <v>No Acumulativa</v>
          </cell>
        </row>
        <row r="210">
          <cell r="T210">
            <v>1</v>
          </cell>
          <cell r="W210">
            <v>1</v>
          </cell>
          <cell r="AC210" t="str">
            <v>No Acumulativa</v>
          </cell>
        </row>
        <row r="211">
          <cell r="T211">
            <v>31057</v>
          </cell>
          <cell r="W211">
            <v>31057</v>
          </cell>
          <cell r="AC211" t="str">
            <v>No Acumulativa</v>
          </cell>
        </row>
        <row r="212">
          <cell r="T212">
            <v>500</v>
          </cell>
          <cell r="W212">
            <v>500</v>
          </cell>
          <cell r="AC212" t="str">
            <v>No Acumulativa</v>
          </cell>
        </row>
        <row r="213">
          <cell r="T213">
            <v>500</v>
          </cell>
          <cell r="W213">
            <v>500</v>
          </cell>
          <cell r="AC213" t="str">
            <v>No Acumulativa</v>
          </cell>
        </row>
        <row r="214">
          <cell r="T214">
            <v>25000</v>
          </cell>
          <cell r="W214">
            <v>6250</v>
          </cell>
          <cell r="AC214" t="str">
            <v>Acumulativa</v>
          </cell>
        </row>
        <row r="215">
          <cell r="T215">
            <v>4800</v>
          </cell>
          <cell r="W215">
            <v>1200</v>
          </cell>
          <cell r="AC215" t="str">
            <v>Acumulativa</v>
          </cell>
        </row>
        <row r="216">
          <cell r="T216">
            <v>1</v>
          </cell>
          <cell r="W216">
            <v>1</v>
          </cell>
          <cell r="AC216" t="str">
            <v>No Acumulativa</v>
          </cell>
        </row>
        <row r="217">
          <cell r="T217">
            <v>1600</v>
          </cell>
          <cell r="W217">
            <v>400</v>
          </cell>
          <cell r="AC217" t="str">
            <v>Acumulativa</v>
          </cell>
        </row>
        <row r="218">
          <cell r="T218">
            <v>4</v>
          </cell>
          <cell r="W218">
            <v>1</v>
          </cell>
          <cell r="AC218" t="str">
            <v>Acumulativa</v>
          </cell>
        </row>
        <row r="219">
          <cell r="T219">
            <v>8400</v>
          </cell>
          <cell r="W219">
            <v>2100</v>
          </cell>
          <cell r="AC219" t="str">
            <v>Acumulativa</v>
          </cell>
        </row>
        <row r="220">
          <cell r="T220">
            <v>940</v>
          </cell>
          <cell r="W220">
            <v>940</v>
          </cell>
          <cell r="AC220" t="str">
            <v>No Acumulativa</v>
          </cell>
        </row>
        <row r="221">
          <cell r="T221">
            <v>700</v>
          </cell>
          <cell r="W221">
            <v>700</v>
          </cell>
          <cell r="AC221" t="str">
            <v>No Acumulativa</v>
          </cell>
        </row>
        <row r="222">
          <cell r="T222">
            <v>2200</v>
          </cell>
          <cell r="W222">
            <v>550</v>
          </cell>
          <cell r="AC222" t="str">
            <v>Acumulativa</v>
          </cell>
        </row>
        <row r="223">
          <cell r="T223">
            <v>1</v>
          </cell>
          <cell r="W223">
            <v>1</v>
          </cell>
          <cell r="AC223" t="str">
            <v>No Acumulativa</v>
          </cell>
        </row>
        <row r="224">
          <cell r="T224">
            <v>12</v>
          </cell>
          <cell r="W224">
            <v>3</v>
          </cell>
          <cell r="AC224" t="str">
            <v>Acumulativa</v>
          </cell>
        </row>
        <row r="225">
          <cell r="T225">
            <v>1</v>
          </cell>
          <cell r="W225">
            <v>1</v>
          </cell>
          <cell r="AC225" t="str">
            <v>No Acumulativa</v>
          </cell>
        </row>
        <row r="226">
          <cell r="T226">
            <v>5</v>
          </cell>
          <cell r="W226">
            <v>2</v>
          </cell>
          <cell r="AC226" t="str">
            <v>Acumulativa</v>
          </cell>
        </row>
        <row r="227">
          <cell r="T227">
            <v>12</v>
          </cell>
          <cell r="W227">
            <v>3</v>
          </cell>
          <cell r="AC227" t="str">
            <v>Acumulativa</v>
          </cell>
        </row>
        <row r="228">
          <cell r="T228">
            <v>1000</v>
          </cell>
          <cell r="W228">
            <v>250</v>
          </cell>
          <cell r="AC228" t="str">
            <v>Acumulativa</v>
          </cell>
        </row>
        <row r="229">
          <cell r="T229">
            <v>70000</v>
          </cell>
          <cell r="W229">
            <v>17500</v>
          </cell>
          <cell r="AC229" t="str">
            <v>Acumulativa</v>
          </cell>
        </row>
        <row r="230">
          <cell r="T230">
            <v>4</v>
          </cell>
          <cell r="W230">
            <v>1</v>
          </cell>
          <cell r="AC230" t="str">
            <v>Acumulativa</v>
          </cell>
        </row>
        <row r="231">
          <cell r="T231">
            <v>1</v>
          </cell>
          <cell r="W231">
            <v>1</v>
          </cell>
          <cell r="AC231" t="str">
            <v>No Acumulativa</v>
          </cell>
        </row>
        <row r="232">
          <cell r="T232">
            <v>2</v>
          </cell>
          <cell r="W232">
            <v>0</v>
          </cell>
          <cell r="AC232" t="str">
            <v>Acumulativa</v>
          </cell>
        </row>
        <row r="262">
          <cell r="T262">
            <v>1</v>
          </cell>
          <cell r="W262">
            <v>1</v>
          </cell>
          <cell r="AC262" t="str">
            <v>No Acumulativa</v>
          </cell>
        </row>
        <row r="264">
          <cell r="T264">
            <v>1</v>
          </cell>
          <cell r="W264">
            <v>1</v>
          </cell>
          <cell r="AC264" t="str">
            <v>No Acumulativa</v>
          </cell>
        </row>
        <row r="265">
          <cell r="T265">
            <v>4</v>
          </cell>
          <cell r="W265">
            <v>0</v>
          </cell>
          <cell r="AC265" t="str">
            <v>Acumulativa</v>
          </cell>
        </row>
        <row r="266">
          <cell r="T266">
            <v>130</v>
          </cell>
          <cell r="W266">
            <v>130</v>
          </cell>
          <cell r="AC266" t="str">
            <v>No Acumulativa</v>
          </cell>
        </row>
        <row r="267">
          <cell r="T267">
            <v>254</v>
          </cell>
          <cell r="W267">
            <v>68</v>
          </cell>
          <cell r="AC267" t="str">
            <v>No Acumulativa</v>
          </cell>
        </row>
        <row r="268">
          <cell r="T268">
            <v>1</v>
          </cell>
          <cell r="W268">
            <v>1</v>
          </cell>
          <cell r="AC268" t="str">
            <v>No Acumulativa</v>
          </cell>
        </row>
        <row r="269">
          <cell r="T269">
            <v>8000</v>
          </cell>
          <cell r="W269">
            <v>2000</v>
          </cell>
          <cell r="AC269" t="str">
            <v>Acumulativa</v>
          </cell>
        </row>
        <row r="278">
          <cell r="T278">
            <v>3000</v>
          </cell>
          <cell r="W278">
            <v>3000</v>
          </cell>
          <cell r="AC278" t="str">
            <v>No Acumulativa</v>
          </cell>
        </row>
        <row r="279">
          <cell r="T279">
            <v>550</v>
          </cell>
          <cell r="W279">
            <v>140</v>
          </cell>
          <cell r="AC279" t="str">
            <v>Acumulativa</v>
          </cell>
        </row>
        <row r="284">
          <cell r="T284">
            <v>1</v>
          </cell>
          <cell r="W284">
            <v>0.33</v>
          </cell>
          <cell r="AC284" t="str">
            <v>Acumulativa</v>
          </cell>
        </row>
        <row r="286">
          <cell r="T286">
            <v>2</v>
          </cell>
          <cell r="W286">
            <v>1</v>
          </cell>
          <cell r="AC286" t="str">
            <v>Acumulativa</v>
          </cell>
        </row>
        <row r="288">
          <cell r="T288">
            <v>1</v>
          </cell>
          <cell r="W288">
            <v>1</v>
          </cell>
          <cell r="AC288" t="str">
            <v>No Acumulativa</v>
          </cell>
        </row>
      </sheetData>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3965C74-0A34-44B1-9088-25EEC23419A2}" name="Tabla13" displayName="Tabla13" ref="A10:BE56" totalsRowShown="0" headerRowDxfId="121" dataDxfId="119" headerRowBorderDxfId="120" tableBorderDxfId="118">
  <autoFilter ref="A10:BE56" xr:uid="{9AEA0680-D7F0-4E45-8C53-F3D40F6ED9A3}"/>
  <tableColumns count="57">
    <tableColumn id="1" xr3:uid="{65D14341-FDBE-42B8-B7D5-7E150551EDD3}" name=" Consecutivo PDM" dataDxfId="117"/>
    <tableColumn id="2" xr3:uid="{60D91BD5-326F-4181-9736-1B7E3DC718AA}" name="Linea Estratégica" dataDxfId="116"/>
    <tableColumn id="5" xr3:uid="{2B72B04C-8B26-4957-9A4A-69B8BDA76DA4}" name="Sector" dataDxfId="115"/>
    <tableColumn id="14" xr3:uid="{70AF2510-5345-4381-ABAA-B4AFCC804B8D}" name="Cod. Programa" dataDxfId="114"/>
    <tableColumn id="15" xr3:uid="{B3B430F1-5AB8-457D-954D-07917B909E3D}" name="Programa" dataDxfId="113"/>
    <tableColumn id="16" xr3:uid="{0D1A3130-1716-41EE-B2DD-7783EFF821E3}" name="Cod. de Producto" dataDxfId="112"/>
    <tableColumn id="17" xr3:uid="{263738D4-0BF1-4641-BF01-8D689A2F6D6C}" name="Meta de Producto" dataDxfId="111"/>
    <tableColumn id="28" xr3:uid="{265C5C14-9721-4DF6-9F04-CD084EB3153C}" name="Código BPIN" dataDxfId="110"/>
    <tableColumn id="29" xr3:uid="{CFEE8A12-837A-41A6-9256-96D03AD1DA0D}" name="Nombre del Proyecto" dataDxfId="109"/>
    <tableColumn id="30" xr3:uid="{7ED939F8-2F64-4705-8331-07539F4B357D}" name="Valor del Proyecto" dataDxfId="108"/>
    <tableColumn id="31" xr3:uid="{49F4CF2D-84F0-4F1F-8A60-56530DD1DB25}" name="Valor Vigencia Proyecto" dataDxfId="107"/>
    <tableColumn id="32" xr3:uid="{3B4E8DB5-A135-4E19-AA48-2D4C1C31261F}" name="Comuna o Barrio Beneficiado" dataDxfId="106"/>
    <tableColumn id="33" xr3:uid="{A0F8050B-D3CC-4F11-8684-7EE99217C5D8}" name="Población Beneficiada" dataDxfId="105"/>
    <tableColumn id="34" xr3:uid="{F5872986-3542-4C02-8779-7C8E6405C1BE}" name="Número de Beneficiarios" dataDxfId="104"/>
    <tableColumn id="44" xr3:uid="{188958C0-5705-45CC-8081-967F23F321AC}" name="Actividades Realizadas" dataDxfId="103"/>
    <tableColumn id="46" xr3:uid="{B7FA6E24-25AA-4AAA-8A32-A19A854DAA70}" name="Recursos propios 2025" dataDxfId="102"/>
    <tableColumn id="47" xr3:uid="{6FB96342-91E3-41EB-B374-BD74AC864983}" name="SGP Educación 2025" dataDxfId="101"/>
    <tableColumn id="48" xr3:uid="{64DEC005-A6B2-4D41-928D-0822DC132D15}" name="SGP Salud 2025" dataDxfId="100"/>
    <tableColumn id="36" xr3:uid="{C21A9FC4-E0AA-49F0-8F65-4A7423549509}" name="SGP Deporte 2025" dataDxfId="99"/>
    <tableColumn id="35" xr3:uid="{98E5C65C-864B-4505-834D-356E7F0D26BD}" name="SGP Cultura 2025" dataDxfId="98"/>
    <tableColumn id="13" xr3:uid="{507C355F-4268-49AC-9FD6-EB1639CBBA6E}" name="SGP Libre inversión 2025" dataDxfId="97"/>
    <tableColumn id="12" xr3:uid="{6E749D6B-8F24-4CC4-A8C5-B76B294346EA}" name="SGP Libre destinación 2025" dataDxfId="96"/>
    <tableColumn id="11" xr3:uid="{68426388-DD0E-4EEE-98F0-1A0EBAD40522}" name="SGP Alimentación escolar 2025" dataDxfId="95"/>
    <tableColumn id="10" xr3:uid="{0527F5BC-8891-4832-997F-815055A8D3C4}" name="SGP Municipios río Magdalena 2025" dataDxfId="94"/>
    <tableColumn id="9" xr3:uid="{31AD5EBC-9218-44FA-94BE-6F13A3350D66}" name="SGP APSB 2025" dataDxfId="93"/>
    <tableColumn id="8" xr3:uid="{36A9233E-7A7A-4444-9B9E-0AAFF5841D04}" name="Crédito 2025" dataDxfId="92"/>
    <tableColumn id="7" xr3:uid="{8AA89013-FE89-4C07-9F0D-3BA2CD684454}" name="Transferencias de capital - cofinanciación departamento 2025" dataDxfId="91"/>
    <tableColumn id="6" xr3:uid="{B070A8DA-4BBD-4A76-9C79-CF9814191830}" name="Transferencias de capital - cofinanciación nación 2025" dataDxfId="90"/>
    <tableColumn id="49" xr3:uid="{FF0E6505-3174-444B-9476-73FA709232F9}" name="Otros 2025" dataDxfId="89"/>
    <tableColumn id="3" xr3:uid="{39AF7610-3289-4FDF-9471-901F9FFEEB16}" name="Recursos del Balance" dataDxfId="88" dataCellStyle="Moneda"/>
    <tableColumn id="50" xr3:uid="{8D208D96-CCCB-4B80-B246-E497F3817205}" name="Total 2025" dataDxfId="87">
      <calculatedColumnFormula>SUM(Tabla13[[#This Row],[Recursos propios 2025]:[Recursos del Balance]])</calculatedColumnFormula>
    </tableColumn>
    <tableColumn id="51" xr3:uid="{94204CFF-C341-49B3-803F-F2FEF3B5B06E}" name="Recursos propios 20252" dataDxfId="86"/>
    <tableColumn id="52" xr3:uid="{126BDAD8-159D-4EF4-9969-3957952E3797}" name="SGP Educación 20252" dataDxfId="85"/>
    <tableColumn id="53" xr3:uid="{8ABB053A-10AE-4B00-8B64-9CDE031623BA}" name="SGP Salud 20252" dataDxfId="84"/>
    <tableColumn id="62" xr3:uid="{2F2DF77C-86D3-40F0-99AE-8237C3D33116}" name="SGP Deporte 20252" dataDxfId="83"/>
    <tableColumn id="61" xr3:uid="{69BC6685-19BE-40E5-A154-2CBC59AFE1FF}" name="SGP Cultura 20252" dataDxfId="82"/>
    <tableColumn id="45" xr3:uid="{DF8FE0A1-557E-4DD9-AAF6-B4FF28A00772}" name="SGP Libre inversión 20252" dataDxfId="81"/>
    <tableColumn id="43" xr3:uid="{50250098-F096-4505-B880-DCD11B28A478}" name="SGP Libre destinación 20252" dataDxfId="80"/>
    <tableColumn id="42" xr3:uid="{A5B16C54-BD91-4033-8970-4081C980D975}" name="SGP Alimentación escolar 20252" dataDxfId="79"/>
    <tableColumn id="41" xr3:uid="{A287F363-1B40-4A24-9BAC-52129952E333}" name="SGP Municipios río Magdalena 20252" dataDxfId="78"/>
    <tableColumn id="40" xr3:uid="{AE930EBA-B019-4E7A-B1F7-64B743C16C5F}" name="SGP APSB 20252" dataDxfId="77"/>
    <tableColumn id="39" xr3:uid="{B47D2BC2-2292-463F-874E-0D26D6D3A23E}" name="Crédito 20252" dataDxfId="76"/>
    <tableColumn id="38" xr3:uid="{0C39022C-553E-43CC-B2B0-729CF4F728B0}" name="Transferencias de capital - cofinanciación departamento 20252" dataDxfId="75"/>
    <tableColumn id="37" xr3:uid="{0995B593-98B8-4692-AD4E-C65E9F95B45C}" name="Transferencias de capital - cofinanciación nación 20252" dataDxfId="74"/>
    <tableColumn id="54" xr3:uid="{51353F1C-E7BC-455A-83D8-C2AF164F48EE}" name="Otros 20252" dataDxfId="73"/>
    <tableColumn id="4" xr3:uid="{C14F85CA-A5E7-4CD2-8CBF-8DF527B7BC4F}" name="Recursos del Balance2" dataDxfId="72"/>
    <tableColumn id="55" xr3:uid="{B0218A19-7E39-421B-98B1-A18F1E0728B8}" name="Total Recursos Comprometido 2025" dataDxfId="71">
      <calculatedColumnFormula>SUM(Tabla13[[#This Row],[Recursos propios 20252]:[Recursos del Balance2]])</calculatedColumnFormula>
    </tableColumn>
    <tableColumn id="20" xr3:uid="{7DF32B32-BB7D-4283-B8CC-F9AFED85302E}" name="Total Recursos Obligados" dataDxfId="70"/>
    <tableColumn id="21" xr3:uid="{9F79282F-FF9E-44D9-BA4B-CEA8F3D77068}" name="Total Recursos Pagados" dataDxfId="69"/>
    <tableColumn id="56" xr3:uid="{A73726FF-B1A6-4951-95E1-624FE287C0E9}" name="Ejecución Recursos Comprometidos" dataDxfId="68" dataCellStyle="Porcentaje">
      <calculatedColumnFormula>+Tabla13[[#This Row],[Total Recursos Comprometido 2025]]/Tabla13[[#This Row],[Total 2025]]</calculatedColumnFormula>
    </tableColumn>
    <tableColumn id="24" xr3:uid="{6D8042CE-849E-40EC-9F72-906358BE8958}" name="Ejecución Recursos Obligados" dataDxfId="67">
      <calculatedColumnFormula>+Tabla13[[#This Row],[Total Recursos Obligados]]/Tabla13[[#This Row],[Total 2025]]</calculatedColumnFormula>
    </tableColumn>
    <tableColumn id="23" xr3:uid="{951D6867-3642-44F3-A857-DC9A7F378290}" name="Ejecución Recursos Pagados" dataDxfId="66">
      <calculatedColumnFormula>+Tabla13[[#This Row],[Total Recursos Pagados]]/Tabla13[[#This Row],[Total 2025]]</calculatedColumnFormula>
    </tableColumn>
    <tableColumn id="18" xr3:uid="{6CBE91FC-42A0-4F4C-A0A9-2DFCDBACD1BC}" name="Total Recursos Gestionados2" dataDxfId="65"/>
    <tableColumn id="57" xr3:uid="{16E62207-8D0D-47ED-AA98-7A25A6121AB3}" name="Nivel de Gestión" dataDxfId="64">
      <calculatedColumnFormula>IF(Tabla13[[#This Row],[Total Recursos Gestionados2]]=0,"_",IF(Tabla13[[#This Row],[Ejecución Recursos Comprometidos]]=0,100%,Tabla13[[#This Row],[Total Recursos Gestionados2]]/Tabla13[[#This Row],[Ejecución Recursos Comprometidos]]))</calculatedColumnFormula>
    </tableColumn>
    <tableColumn id="58" xr3:uid="{2A694B7E-C12C-43FE-ABD3-923E6E969BA2}" name="Dependencia" dataDxfId="63"/>
    <tableColumn id="59" xr3:uid="{86FF230D-5505-41DC-BCFA-59B37B424DD5}" name="Responsable" dataDxfId="62"/>
    <tableColumn id="60" xr3:uid="{C73BA560-7C88-44BA-A9AD-1D47863983D1}" name="ODS" dataDxfId="61"/>
  </tableColumns>
  <tableStyleInfo name="Estilo de tabla 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0:BE54" totalsRowShown="0" headerRowDxfId="60" dataDxfId="58" headerRowBorderDxfId="59" tableBorderDxfId="57">
  <autoFilter ref="A10:BE54" xr:uid="{00000000-000C-0000-FFFF-FFFF00000000}"/>
  <tableColumns count="57">
    <tableColumn id="1" xr3:uid="{00000000-0010-0000-0000-000001000000}" name=" Consecutivo PDM" dataDxfId="56"/>
    <tableColumn id="2" xr3:uid="{00000000-0010-0000-0000-000002000000}" name="Linea Estratégica" dataDxfId="55"/>
    <tableColumn id="5" xr3:uid="{00000000-0010-0000-0000-000005000000}" name="Sector" dataDxfId="54"/>
    <tableColumn id="14" xr3:uid="{00000000-0010-0000-0000-00000E000000}" name="Cod. Programa" dataDxfId="53"/>
    <tableColumn id="15" xr3:uid="{00000000-0010-0000-0000-00000F000000}" name="Programa" dataDxfId="52"/>
    <tableColumn id="16" xr3:uid="{00000000-0010-0000-0000-000010000000}" name="Cod. de Producto" dataDxfId="51"/>
    <tableColumn id="17" xr3:uid="{00000000-0010-0000-0000-000011000000}" name="Meta de Producto" dataDxfId="50"/>
    <tableColumn id="18" xr3:uid="{00000000-0010-0000-0000-000012000000}" name="Cod. Indicador de Producto" dataDxfId="49"/>
    <tableColumn id="19" xr3:uid="{00000000-0010-0000-0000-000013000000}" name="Indicador de Producto" dataDxfId="48"/>
    <tableColumn id="20" xr3:uid="{00000000-0010-0000-0000-000014000000}" name="LÍnea Base" dataDxfId="47"/>
    <tableColumn id="21" xr3:uid="{00000000-0010-0000-0000-000015000000}" name="Unidad de Medida2" dataDxfId="46"/>
    <tableColumn id="22" xr3:uid="{00000000-0010-0000-0000-000016000000}" name="Tipo de Meta" dataDxfId="45"/>
    <tableColumn id="23" xr3:uid="{00000000-0010-0000-0000-000017000000}" name="Meta Programada Cuatrienio3" dataDxfId="44"/>
    <tableColumn id="24" xr3:uid="{00000000-0010-0000-0000-000018000000}" name="Meta Programada Vigencia" dataDxfId="43"/>
    <tableColumn id="25" xr3:uid="{00000000-0010-0000-0000-000019000000}" name="Logro Vigencia" dataDxfId="31"/>
    <tableColumn id="41" xr3:uid="{948C74B7-9F8F-43C1-93AB-EE07E4D2D27B}" name="Porcentaje Avance Vigencia" dataDxfId="42">
      <calculatedColumnFormula>+Tabla1[[#This Row],[Logro Vigencia]]/Tabla1[[#This Row],[Meta Programada Vigencia]]</calculatedColumnFormula>
    </tableColumn>
    <tableColumn id="26" xr3:uid="{00000000-0010-0000-0000-00001A000000}" name="Porcentaje Avance VigenciaR" dataDxfId="41"/>
    <tableColumn id="46" xr3:uid="{00000000-0010-0000-0000-00002E000000}" name="Recursos propios" dataDxfId="29"/>
    <tableColumn id="47" xr3:uid="{00000000-0010-0000-0000-00002F000000}" name="SGP Educación" dataDxfId="28"/>
    <tableColumn id="48" xr3:uid="{00000000-0010-0000-0000-000030000000}" name="SGP Salud" dataDxfId="27"/>
    <tableColumn id="36" xr3:uid="{9F9AF3B5-9302-4098-86C2-F3751C61856C}" name="SGP Deporte" dataDxfId="26"/>
    <tableColumn id="35" xr3:uid="{C5C853CA-0E38-42F1-B617-F223698DFB1E}" name="SGP Cultura" dataDxfId="25"/>
    <tableColumn id="13" xr3:uid="{D6B586E6-694C-47D3-A512-D9CFE88B0A7F}" name="SGP Libre inversión" dataDxfId="24"/>
    <tableColumn id="12" xr3:uid="{C6702C45-B7D4-4947-B509-EA37B6998105}" name="SGP Libre destinación" dataDxfId="23"/>
    <tableColumn id="11" xr3:uid="{6017F25B-848D-457C-9FE3-AA60351408C4}" name="SGP Alimentación escolar" dataDxfId="22"/>
    <tableColumn id="9" xr3:uid="{09919044-DCEC-4B52-92EE-B073D02DC126}" name="SGP APSB" dataDxfId="21"/>
    <tableColumn id="8" xr3:uid="{DB23BA9E-ECC6-40CB-BD89-0D2B86F37CB6}" name="Crédito" dataDxfId="20"/>
    <tableColumn id="7" xr3:uid="{D5A630DF-3B56-46D1-9753-5E0368C63EC6}" name="Transferencias de capital - cofinanciación departamento" dataDxfId="19"/>
    <tableColumn id="6" xr3:uid="{412FCA12-6813-443B-B6C2-123BED9F85F9}" name="Transferencias de capital - cofinanciación nación" dataDxfId="18"/>
    <tableColumn id="49" xr3:uid="{00000000-0010-0000-0000-000031000000}" name="Otros" dataDxfId="17"/>
    <tableColumn id="27" xr3:uid="{7DD93E19-2832-4A51-8A0C-E61BADE2EBF2}" name="Recursos del Balance" dataDxfId="16"/>
    <tableColumn id="50" xr3:uid="{00000000-0010-0000-0000-000032000000}" name="Total 2025" dataDxfId="30">
      <calculatedColumnFormula>SUM(Tabla1[[#This Row],[Recursos propios]:[Recursos del Balance]])</calculatedColumnFormula>
    </tableColumn>
    <tableColumn id="51" xr3:uid="{00000000-0010-0000-0000-000033000000}" name="Recursos propios2" dataDxfId="15"/>
    <tableColumn id="52" xr3:uid="{00000000-0010-0000-0000-000034000000}" name="SGP Educación2" dataDxfId="14"/>
    <tableColumn id="53" xr3:uid="{00000000-0010-0000-0000-000035000000}" name="SGP Salud 2025" dataDxfId="13"/>
    <tableColumn id="62" xr3:uid="{7C7CEB6E-F374-4CFE-9734-C5F0F9CACDEF}" name="SGP Deporte 20255" dataDxfId="12"/>
    <tableColumn id="61" xr3:uid="{3FADCE38-626D-4D04-8E80-59C4EF4A26E2}" name="SGP Cultura 20256" dataDxfId="11"/>
    <tableColumn id="45" xr3:uid="{6E60DE39-5E5F-42D9-8EA9-092D48DC1C96}" name="SGP Libre inversión 20257" dataDxfId="10"/>
    <tableColumn id="43" xr3:uid="{2BAC0D89-AF4D-42C7-B398-E355E1723AC0}" name="SGP Libre destinación 2025" dataDxfId="9"/>
    <tableColumn id="42" xr3:uid="{26B92485-4124-4A13-AFC5-F2B525B9055F}" name="SGP Alimentación escolar 2025" dataDxfId="8"/>
    <tableColumn id="40" xr3:uid="{1BEDA122-5557-4D48-AF95-BCC1CDE51394}" name="SGP APSB 202511" dataDxfId="7"/>
    <tableColumn id="39" xr3:uid="{08579477-3F83-4D37-83BA-A19DF09AE01D}" name="Crédito 202512" dataDxfId="6"/>
    <tableColumn id="38" xr3:uid="{A6A070B1-2233-4449-B2F2-3342ACF65D94}" name="Transferencias de capital - cofinanciación departamento 202513" dataDxfId="5"/>
    <tableColumn id="37" xr3:uid="{81D561A4-3CB9-4C97-9B09-8163BD53EE55}" name="Transferencias de capital - cofinanciación nación 2025" dataDxfId="4"/>
    <tableColumn id="54" xr3:uid="{00000000-0010-0000-0000-000036000000}" name="Otros 2025" dataDxfId="3"/>
    <tableColumn id="10" xr3:uid="{6E2474FE-BE7F-4145-9A73-37EE37601765}" name="Recursos del Balance2" dataDxfId="2"/>
    <tableColumn id="55" xr3:uid="{00000000-0010-0000-0000-000037000000}" name="Total Recursos Comprometido 2025" dataDxfId="40">
      <calculatedColumnFormula>SUM(Tabla1[[#This Row],[Recursos propios2]:[Recursos del Balance2]])</calculatedColumnFormula>
    </tableColumn>
    <tableColumn id="3" xr3:uid="{97D6E022-C782-4FF3-9460-66988DC9E046}" name="Total Recursos Obligados" dataDxfId="1"/>
    <tableColumn id="4" xr3:uid="{FACF9905-9C80-4C0B-AA93-96434C5C0E89}" name="Total Recursos Pagados" dataDxfId="0"/>
    <tableColumn id="30" xr3:uid="{222F91FD-F5ED-4EEE-9A8F-E86D76F6FD1C}" name="Ejecución Recursos Comprometidos" dataDxfId="39" dataCellStyle="Porcentaje">
      <calculatedColumnFormula>+Tabla1[[#This Row],[Total Recursos Comprometido 2025]]/Tabla1[[#This Row],[Total 2025]]</calculatedColumnFormula>
    </tableColumn>
    <tableColumn id="44" xr3:uid="{7DBE1784-C877-4957-91C7-B1BADAEDDC3F}" name="Ejecución Recursos Obligados" dataDxfId="38" dataCellStyle="Porcentaje">
      <calculatedColumnFormula>+Tabla1[[#This Row],[Total Recursos Obligados]]/Tabla1[[#This Row],[Total 2025]]</calculatedColumnFormula>
    </tableColumn>
    <tableColumn id="34" xr3:uid="{F07761C5-914C-41B3-B942-83BA8CBE6BCC}" name="Ejecución Recursos Pagados" dataDxfId="37" dataCellStyle="Porcentaje">
      <calculatedColumnFormula>+Tabla1[[#This Row],[Total Recursos Pagados]]/Tabla1[[#This Row],[Total 2025]]</calculatedColumnFormula>
    </tableColumn>
    <tableColumn id="31" xr3:uid="{425B0788-0421-4008-BBBD-C96BE816DACB}" name="Total Recursos Gestionados2" dataDxfId="36"/>
    <tableColumn id="33" xr3:uid="{DC8E6CD1-31C8-440A-AC48-81F7B88607CF}" name="Nivel de Gestión" dataDxfId="35" dataCellStyle="Porcentaje">
      <calculatedColumnFormula>+Tabla1[[#This Row],[Total Recursos Gestionados2]]/Tabla1[[#This Row],[Total Recursos Comprometido 2025]]</calculatedColumnFormula>
    </tableColumn>
    <tableColumn id="58" xr3:uid="{00000000-0010-0000-0000-00003A000000}" name="Dependencia" dataDxfId="34"/>
    <tableColumn id="59" xr3:uid="{00000000-0010-0000-0000-00003B000000}" name="Responsable" dataDxfId="33"/>
    <tableColumn id="60" xr3:uid="{00000000-0010-0000-0000-00003C000000}" name="ODS" dataDxfId="32"/>
  </tableColumns>
  <tableStyleInfo name="Estilo de tabla 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34DD6-61DF-4A05-A43E-A74C486AF10B}">
  <sheetPr>
    <tabColor theme="8" tint="-0.249977111117893"/>
  </sheetPr>
  <dimension ref="A1:BE76"/>
  <sheetViews>
    <sheetView showGridLines="0" zoomScale="60" zoomScaleNormal="60" workbookViewId="0">
      <pane xSplit="1" ySplit="10" topLeftCell="B11" activePane="bottomRight" state="frozen"/>
      <selection pane="topRight" activeCell="B1" sqref="B1"/>
      <selection pane="bottomLeft" activeCell="A11" sqref="A11"/>
      <selection pane="bottomRight" sqref="A1:B4"/>
    </sheetView>
  </sheetViews>
  <sheetFormatPr baseColWidth="10" defaultColWidth="11.125" defaultRowHeight="15"/>
  <cols>
    <col min="1" max="1" width="24" style="4" customWidth="1"/>
    <col min="2" max="2" width="36.125" style="4" customWidth="1"/>
    <col min="3" max="3" width="20.125" style="4" customWidth="1"/>
    <col min="4" max="4" width="19.125" style="4" customWidth="1"/>
    <col min="5" max="5" width="25.875" style="4" customWidth="1"/>
    <col min="6" max="6" width="21.875" style="4" customWidth="1"/>
    <col min="7" max="7" width="33.875" style="4" customWidth="1"/>
    <col min="8" max="8" width="20.125" style="4" customWidth="1"/>
    <col min="9" max="9" width="25.125" style="4" customWidth="1"/>
    <col min="10" max="10" width="26.125" style="4" customWidth="1"/>
    <col min="11" max="11" width="28.125" style="4" customWidth="1"/>
    <col min="12" max="12" width="34.125" style="4" customWidth="1"/>
    <col min="13" max="13" width="26.875" style="4" customWidth="1"/>
    <col min="14" max="14" width="15.75" style="4" customWidth="1"/>
    <col min="15" max="15" width="37" style="4" customWidth="1"/>
    <col min="16" max="16" width="25.875" style="4" bestFit="1" customWidth="1"/>
    <col min="17" max="17" width="17.875" style="4" hidden="1" customWidth="1"/>
    <col min="18" max="28" width="18.125" style="4" hidden="1" customWidth="1"/>
    <col min="29" max="29" width="25" style="4" bestFit="1" customWidth="1"/>
    <col min="30" max="30" width="24.875" style="4" bestFit="1" customWidth="1"/>
    <col min="31" max="31" width="25.375" style="4" bestFit="1" customWidth="1"/>
    <col min="32" max="32" width="25" style="4" bestFit="1" customWidth="1"/>
    <col min="33" max="41" width="19" style="4" hidden="1" customWidth="1"/>
    <col min="42" max="42" width="24.25" style="4" hidden="1" customWidth="1"/>
    <col min="43" max="43" width="26.875" style="4" hidden="1" customWidth="1"/>
    <col min="44" max="44" width="25.375" style="4" hidden="1" customWidth="1"/>
    <col min="45" max="45" width="25" style="4" bestFit="1" customWidth="1"/>
    <col min="46" max="46" width="23.375" style="4" bestFit="1" customWidth="1"/>
    <col min="47" max="47" width="30.625" style="4" customWidth="1"/>
    <col min="48" max="48" width="30.125" style="4" customWidth="1"/>
    <col min="49" max="49" width="29.75" style="4" customWidth="1"/>
    <col min="50" max="53" width="27.125" style="4" customWidth="1"/>
    <col min="54" max="54" width="25.875" style="4" customWidth="1"/>
    <col min="55" max="55" width="17.875" style="4" customWidth="1"/>
    <col min="56" max="56" width="19.875" style="26" customWidth="1"/>
    <col min="57" max="57" width="21.125" style="4" customWidth="1"/>
    <col min="58" max="58" width="22.875" style="1" bestFit="1" customWidth="1"/>
    <col min="59" max="59" width="33" style="1" bestFit="1" customWidth="1"/>
    <col min="60" max="60" width="28.875" style="1" bestFit="1" customWidth="1"/>
    <col min="61" max="61" width="58.125" style="1" bestFit="1" customWidth="1"/>
    <col min="62" max="62" width="26" style="1" bestFit="1" customWidth="1"/>
    <col min="63" max="63" width="24.125" style="1" bestFit="1" customWidth="1"/>
    <col min="64" max="64" width="35.125" style="1" bestFit="1" customWidth="1"/>
    <col min="65" max="65" width="30.125" style="1" bestFit="1" customWidth="1"/>
    <col min="66" max="66" width="31.125" style="1" bestFit="1" customWidth="1"/>
    <col min="67" max="67" width="38" style="1" bestFit="1" customWidth="1"/>
    <col min="68" max="68" width="40.125" style="1" bestFit="1" customWidth="1"/>
    <col min="69" max="69" width="43.125" style="1" bestFit="1" customWidth="1"/>
    <col min="70" max="70" width="48.875" style="1" bestFit="1" customWidth="1"/>
    <col min="71" max="71" width="39.125" style="1" bestFit="1" customWidth="1"/>
    <col min="72" max="72" width="26.875" style="1" bestFit="1" customWidth="1"/>
    <col min="73" max="73" width="47" style="1" bestFit="1" customWidth="1"/>
    <col min="74" max="74" width="40" style="1" bestFit="1" customWidth="1"/>
    <col min="75" max="75" width="83.875" style="1" bestFit="1" customWidth="1"/>
    <col min="76" max="76" width="21.125" style="1" bestFit="1" customWidth="1"/>
    <col min="77" max="77" width="31.125" style="1" bestFit="1" customWidth="1"/>
    <col min="78" max="78" width="27.125" style="1" bestFit="1" customWidth="1"/>
    <col min="79" max="79" width="56.875" style="1" bestFit="1" customWidth="1"/>
    <col min="80" max="80" width="24.125" style="1" bestFit="1" customWidth="1"/>
    <col min="81" max="81" width="22.875" style="1" bestFit="1" customWidth="1"/>
    <col min="82" max="82" width="33.875" style="1" bestFit="1" customWidth="1"/>
    <col min="83" max="83" width="29" style="1" bestFit="1" customWidth="1"/>
    <col min="84" max="84" width="29.875" style="1" bestFit="1" customWidth="1"/>
    <col min="85" max="85" width="36.125" style="1" bestFit="1" customWidth="1"/>
    <col min="86" max="86" width="38.875" style="1" bestFit="1" customWidth="1"/>
    <col min="87" max="87" width="42" style="1" bestFit="1" customWidth="1"/>
    <col min="88" max="88" width="47.125" style="1" bestFit="1" customWidth="1"/>
    <col min="89" max="89" width="37.875" style="1" bestFit="1" customWidth="1"/>
    <col min="90" max="90" width="25.125" style="1" bestFit="1" customWidth="1"/>
    <col min="91" max="91" width="45.125" style="1" bestFit="1" customWidth="1"/>
    <col min="92" max="92" width="38.125" style="1" bestFit="1" customWidth="1"/>
    <col min="93" max="93" width="82.125" style="1" bestFit="1" customWidth="1"/>
    <col min="94" max="94" width="22" style="1" bestFit="1" customWidth="1"/>
    <col min="95" max="95" width="32.125" style="1" bestFit="1" customWidth="1"/>
    <col min="96" max="96" width="28" style="1" bestFit="1" customWidth="1"/>
    <col min="97" max="97" width="57.125" style="1" bestFit="1" customWidth="1"/>
    <col min="98" max="98" width="25.125" style="1" bestFit="1" customWidth="1"/>
    <col min="99" max="99" width="23.125" style="1" bestFit="1" customWidth="1"/>
    <col min="100" max="100" width="34.125" style="1" bestFit="1" customWidth="1"/>
    <col min="101" max="101" width="29.125" style="1" bestFit="1" customWidth="1"/>
    <col min="102" max="102" width="30.125" style="1" bestFit="1" customWidth="1"/>
    <col min="103" max="103" width="37.125" style="1" bestFit="1" customWidth="1"/>
    <col min="104" max="104" width="39.125" style="1" bestFit="1" customWidth="1"/>
    <col min="105" max="105" width="42.125" style="1" bestFit="1" customWidth="1"/>
    <col min="106" max="106" width="48" style="1" bestFit="1" customWidth="1"/>
    <col min="107" max="107" width="38.125" style="1" bestFit="1" customWidth="1"/>
    <col min="108" max="108" width="25.875" style="1" bestFit="1" customWidth="1"/>
    <col min="109" max="109" width="46" style="1" bestFit="1" customWidth="1"/>
    <col min="110" max="110" width="39.125" style="1" bestFit="1" customWidth="1"/>
    <col min="111" max="111" width="82.875" style="1" bestFit="1" customWidth="1"/>
    <col min="112" max="112" width="20" style="1" bestFit="1" customWidth="1"/>
    <col min="113" max="113" width="30.125" style="1" bestFit="1" customWidth="1"/>
    <col min="114" max="114" width="26" style="1" bestFit="1" customWidth="1"/>
    <col min="115" max="115" width="55.125" style="1" bestFit="1" customWidth="1"/>
    <col min="116" max="116" width="23.125" style="1" bestFit="1" customWidth="1"/>
    <col min="117" max="117" width="21.125" style="1" bestFit="1" customWidth="1"/>
    <col min="118" max="118" width="32.125" style="1" bestFit="1" customWidth="1"/>
    <col min="119" max="119" width="27.875" style="1" bestFit="1" customWidth="1"/>
    <col min="120" max="120" width="28.125" style="1" bestFit="1" customWidth="1"/>
    <col min="121" max="121" width="35.125" style="1" bestFit="1" customWidth="1"/>
    <col min="122" max="122" width="37.125" style="1" bestFit="1" customWidth="1"/>
    <col min="123" max="123" width="40.125" style="1" bestFit="1" customWidth="1"/>
    <col min="124" max="124" width="46" style="1" bestFit="1" customWidth="1"/>
    <col min="125" max="125" width="36.125" style="1" bestFit="1" customWidth="1"/>
    <col min="126" max="126" width="24" style="1" bestFit="1" customWidth="1"/>
    <col min="127" max="127" width="44.125" style="1" bestFit="1" customWidth="1"/>
    <col min="128" max="128" width="37.125" style="1" bestFit="1" customWidth="1"/>
    <col min="129" max="129" width="80.875" style="1" bestFit="1" customWidth="1"/>
    <col min="130" max="130" width="37.125" style="1" bestFit="1" customWidth="1"/>
    <col min="131" max="131" width="22.875" style="1" bestFit="1" customWidth="1"/>
    <col min="132" max="132" width="33" style="1" bestFit="1" customWidth="1"/>
    <col min="133" max="133" width="28.875" style="1" bestFit="1" customWidth="1"/>
    <col min="134" max="134" width="58.125" style="1" bestFit="1" customWidth="1"/>
    <col min="135" max="135" width="26" style="1" bestFit="1" customWidth="1"/>
    <col min="136" max="136" width="24.125" style="1" bestFit="1" customWidth="1"/>
    <col min="137" max="137" width="35.125" style="1" bestFit="1" customWidth="1"/>
    <col min="138" max="138" width="30.125" style="1" bestFit="1" customWidth="1"/>
    <col min="139" max="139" width="31.125" style="1" bestFit="1" customWidth="1"/>
    <col min="140" max="140" width="38" style="1" bestFit="1" customWidth="1"/>
    <col min="141" max="141" width="40.125" style="1" bestFit="1" customWidth="1"/>
    <col min="142" max="142" width="43.125" style="1" bestFit="1" customWidth="1"/>
    <col min="143" max="143" width="48.875" style="1" bestFit="1" customWidth="1"/>
    <col min="144" max="144" width="39.125" style="1" bestFit="1" customWidth="1"/>
    <col min="145" max="145" width="26.875" style="1" bestFit="1" customWidth="1"/>
    <col min="146" max="146" width="47" style="1" bestFit="1" customWidth="1"/>
    <col min="147" max="147" width="40" style="1" bestFit="1" customWidth="1"/>
    <col min="148" max="148" width="83.875" style="1" bestFit="1" customWidth="1"/>
    <col min="149" max="149" width="21.125" style="1" bestFit="1" customWidth="1"/>
    <col min="150" max="150" width="31.125" style="1" bestFit="1" customWidth="1"/>
    <col min="151" max="151" width="27.125" style="1" bestFit="1" customWidth="1"/>
    <col min="152" max="152" width="56.875" style="1" bestFit="1" customWidth="1"/>
    <col min="153" max="153" width="24.125" style="1" bestFit="1" customWidth="1"/>
    <col min="154" max="154" width="22.875" style="1" bestFit="1" customWidth="1"/>
    <col min="155" max="155" width="33.875" style="1" bestFit="1" customWidth="1"/>
    <col min="156" max="156" width="29" style="1" bestFit="1" customWidth="1"/>
    <col min="157" max="157" width="29.875" style="1" bestFit="1" customWidth="1"/>
    <col min="158" max="158" width="36.125" style="1" bestFit="1" customWidth="1"/>
    <col min="159" max="159" width="38.875" style="1" bestFit="1" customWidth="1"/>
    <col min="160" max="160" width="42" style="1" bestFit="1" customWidth="1"/>
    <col min="161" max="161" width="47.125" style="1" bestFit="1" customWidth="1"/>
    <col min="162" max="162" width="37.875" style="1" bestFit="1" customWidth="1"/>
    <col min="163" max="163" width="25.125" style="1" bestFit="1" customWidth="1"/>
    <col min="164" max="164" width="45.125" style="1" bestFit="1" customWidth="1"/>
    <col min="165" max="165" width="38.125" style="1" bestFit="1" customWidth="1"/>
    <col min="166" max="166" width="82.125" style="1" bestFit="1" customWidth="1"/>
    <col min="167" max="167" width="22" style="1" bestFit="1" customWidth="1"/>
    <col min="168" max="168" width="32.125" style="1" bestFit="1" customWidth="1"/>
    <col min="169" max="169" width="28" style="1" bestFit="1" customWidth="1"/>
    <col min="170" max="170" width="57.125" style="1" bestFit="1" customWidth="1"/>
    <col min="171" max="171" width="25.125" style="1" bestFit="1" customWidth="1"/>
    <col min="172" max="172" width="23.125" style="1" bestFit="1" customWidth="1"/>
    <col min="173" max="173" width="34.125" style="1" bestFit="1" customWidth="1"/>
    <col min="174" max="174" width="29.125" style="1" bestFit="1" customWidth="1"/>
    <col min="175" max="175" width="30.125" style="1" bestFit="1" customWidth="1"/>
    <col min="176" max="176" width="37.125" style="1" bestFit="1" customWidth="1"/>
    <col min="177" max="177" width="39.125" style="1" bestFit="1" customWidth="1"/>
    <col min="178" max="178" width="42.125" style="1" bestFit="1" customWidth="1"/>
    <col min="179" max="179" width="48" style="1" bestFit="1" customWidth="1"/>
    <col min="180" max="180" width="38.125" style="1" bestFit="1" customWidth="1"/>
    <col min="181" max="181" width="25.875" style="1" bestFit="1" customWidth="1"/>
    <col min="182" max="182" width="46" style="1" bestFit="1" customWidth="1"/>
    <col min="183" max="183" width="39.125" style="1" bestFit="1" customWidth="1"/>
    <col min="184" max="184" width="82.875" style="1" bestFit="1" customWidth="1"/>
    <col min="185" max="185" width="20" style="1" bestFit="1" customWidth="1"/>
    <col min="186" max="186" width="30.125" style="1" bestFit="1" customWidth="1"/>
    <col min="187" max="187" width="26" style="1" bestFit="1" customWidth="1"/>
    <col min="188" max="188" width="55.125" style="1" bestFit="1" customWidth="1"/>
    <col min="189" max="189" width="23.125" style="1" bestFit="1" customWidth="1"/>
    <col min="190" max="190" width="21.125" style="1" bestFit="1" customWidth="1"/>
    <col min="191" max="191" width="32.125" style="1" bestFit="1" customWidth="1"/>
    <col min="192" max="192" width="27.875" style="1" bestFit="1" customWidth="1"/>
    <col min="193" max="193" width="28.125" style="1" bestFit="1" customWidth="1"/>
    <col min="194" max="194" width="35.125" style="1" bestFit="1" customWidth="1"/>
    <col min="195" max="195" width="37.125" style="1" bestFit="1" customWidth="1"/>
    <col min="196" max="196" width="40.125" style="1" bestFit="1" customWidth="1"/>
    <col min="197" max="197" width="46" style="1" bestFit="1" customWidth="1"/>
    <col min="198" max="198" width="36.125" style="1" bestFit="1" customWidth="1"/>
    <col min="199" max="199" width="24" style="1" bestFit="1" customWidth="1"/>
    <col min="200" max="200" width="44.125" style="1" bestFit="1" customWidth="1"/>
    <col min="201" max="201" width="37.125" style="1" bestFit="1" customWidth="1"/>
    <col min="202" max="202" width="80.875" style="1" bestFit="1" customWidth="1"/>
    <col min="203" max="203" width="37.125" style="1" bestFit="1" customWidth="1"/>
    <col min="204" max="204" width="22.875" style="1" bestFit="1" customWidth="1"/>
    <col min="205" max="205" width="33" style="1" bestFit="1" customWidth="1"/>
    <col min="206" max="206" width="28.875" style="1" bestFit="1" customWidth="1"/>
    <col min="207" max="207" width="58.125" style="1" bestFit="1" customWidth="1"/>
    <col min="208" max="208" width="26" style="1" bestFit="1" customWidth="1"/>
    <col min="209" max="209" width="24.125" style="1" bestFit="1" customWidth="1"/>
    <col min="210" max="210" width="35.125" style="1" bestFit="1" customWidth="1"/>
    <col min="211" max="211" width="30.125" style="1" bestFit="1" customWidth="1"/>
    <col min="212" max="212" width="31.125" style="1" bestFit="1" customWidth="1"/>
    <col min="213" max="213" width="38" style="1" bestFit="1" customWidth="1"/>
    <col min="214" max="214" width="40.125" style="1" bestFit="1" customWidth="1"/>
    <col min="215" max="215" width="43.125" style="1" bestFit="1" customWidth="1"/>
    <col min="216" max="216" width="48.875" style="1" bestFit="1" customWidth="1"/>
    <col min="217" max="217" width="39.125" style="1" bestFit="1" customWidth="1"/>
    <col min="218" max="218" width="26.875" style="1" bestFit="1" customWidth="1"/>
    <col min="219" max="219" width="47" style="1" bestFit="1" customWidth="1"/>
    <col min="220" max="220" width="40" style="1" bestFit="1" customWidth="1"/>
    <col min="221" max="221" width="83.875" style="1" bestFit="1" customWidth="1"/>
    <col min="222" max="222" width="21.125" style="1" bestFit="1" customWidth="1"/>
    <col min="223" max="223" width="31.125" style="1" bestFit="1" customWidth="1"/>
    <col min="224" max="224" width="27.125" style="1" bestFit="1" customWidth="1"/>
    <col min="225" max="225" width="56.875" style="1" bestFit="1" customWidth="1"/>
    <col min="226" max="226" width="24.125" style="1" bestFit="1" customWidth="1"/>
    <col min="227" max="227" width="22.875" style="1" bestFit="1" customWidth="1"/>
    <col min="228" max="228" width="33.875" style="1" bestFit="1" customWidth="1"/>
    <col min="229" max="229" width="29" style="1" bestFit="1" customWidth="1"/>
    <col min="230" max="230" width="29.875" style="1" bestFit="1" customWidth="1"/>
    <col min="231" max="231" width="36.125" style="1" bestFit="1" customWidth="1"/>
    <col min="232" max="232" width="38.875" style="1" bestFit="1" customWidth="1"/>
    <col min="233" max="233" width="42" style="1" bestFit="1" customWidth="1"/>
    <col min="234" max="234" width="47.125" style="1" bestFit="1" customWidth="1"/>
    <col min="235" max="235" width="37.875" style="1" bestFit="1" customWidth="1"/>
    <col min="236" max="236" width="25.125" style="1" bestFit="1" customWidth="1"/>
    <col min="237" max="237" width="45.125" style="1" bestFit="1" customWidth="1"/>
    <col min="238" max="238" width="38.125" style="1" bestFit="1" customWidth="1"/>
    <col min="239" max="239" width="82.125" style="1" bestFit="1" customWidth="1"/>
    <col min="240" max="240" width="22" style="1" bestFit="1" customWidth="1"/>
    <col min="241" max="241" width="32.125" style="1" bestFit="1" customWidth="1"/>
    <col min="242" max="242" width="28" style="1" bestFit="1" customWidth="1"/>
    <col min="243" max="243" width="57.125" style="1" bestFit="1" customWidth="1"/>
    <col min="244" max="244" width="25.125" style="1" bestFit="1" customWidth="1"/>
    <col min="245" max="245" width="23.125" style="1" bestFit="1" customWidth="1"/>
    <col min="246" max="246" width="34.125" style="1" bestFit="1" customWidth="1"/>
    <col min="247" max="247" width="29.125" style="1" bestFit="1" customWidth="1"/>
    <col min="248" max="248" width="30.125" style="1" bestFit="1" customWidth="1"/>
    <col min="249" max="249" width="37.125" style="1" bestFit="1" customWidth="1"/>
    <col min="250" max="250" width="39.125" style="1" bestFit="1" customWidth="1"/>
    <col min="251" max="251" width="42.125" style="1" bestFit="1" customWidth="1"/>
    <col min="252" max="252" width="48" style="1" bestFit="1" customWidth="1"/>
    <col min="253" max="253" width="38.125" style="1" bestFit="1" customWidth="1"/>
    <col min="254" max="254" width="25.875" style="1" bestFit="1" customWidth="1"/>
    <col min="255" max="255" width="46" style="1" bestFit="1" customWidth="1"/>
    <col min="256" max="256" width="39.125" style="1" bestFit="1" customWidth="1"/>
    <col min="257" max="257" width="82.875" style="1" bestFit="1" customWidth="1"/>
    <col min="258" max="258" width="20" style="1" bestFit="1" customWidth="1"/>
    <col min="259" max="259" width="30.125" style="1" bestFit="1" customWidth="1"/>
    <col min="260" max="260" width="26" style="1" bestFit="1" customWidth="1"/>
    <col min="261" max="261" width="55.125" style="1" bestFit="1" customWidth="1"/>
    <col min="262" max="262" width="23.125" style="1" bestFit="1" customWidth="1"/>
    <col min="263" max="263" width="21.125" style="1" bestFit="1" customWidth="1"/>
    <col min="264" max="264" width="32.125" style="1" bestFit="1" customWidth="1"/>
    <col min="265" max="265" width="27.875" style="1" bestFit="1" customWidth="1"/>
    <col min="266" max="266" width="28.125" style="1" bestFit="1" customWidth="1"/>
    <col min="267" max="267" width="35.125" style="1" bestFit="1" customWidth="1"/>
    <col min="268" max="268" width="37.125" style="1" bestFit="1" customWidth="1"/>
    <col min="269" max="269" width="40.125" style="1" bestFit="1" customWidth="1"/>
    <col min="270" max="270" width="46" style="1" bestFit="1" customWidth="1"/>
    <col min="271" max="271" width="36.125" style="1" bestFit="1" customWidth="1"/>
    <col min="272" max="272" width="24" style="1" bestFit="1" customWidth="1"/>
    <col min="273" max="273" width="44.125" style="1" bestFit="1" customWidth="1"/>
    <col min="274" max="274" width="37.125" style="1" bestFit="1" customWidth="1"/>
    <col min="275" max="275" width="80.875" style="1" bestFit="1" customWidth="1"/>
    <col min="276" max="276" width="37.125" style="1" bestFit="1" customWidth="1"/>
    <col min="277" max="277" width="22.875" style="1" bestFit="1" customWidth="1"/>
    <col min="278" max="278" width="33" style="1" bestFit="1" customWidth="1"/>
    <col min="279" max="279" width="28.875" style="1" bestFit="1" customWidth="1"/>
    <col min="280" max="280" width="58.125" style="1" bestFit="1" customWidth="1"/>
    <col min="281" max="281" width="26" style="1" bestFit="1" customWidth="1"/>
    <col min="282" max="282" width="24.125" style="1" bestFit="1" customWidth="1"/>
    <col min="283" max="283" width="35.125" style="1" bestFit="1" customWidth="1"/>
    <col min="284" max="284" width="30.125" style="1" bestFit="1" customWidth="1"/>
    <col min="285" max="285" width="31.125" style="1" bestFit="1" customWidth="1"/>
    <col min="286" max="286" width="38" style="1" bestFit="1" customWidth="1"/>
    <col min="287" max="287" width="40.125" style="1" bestFit="1" customWidth="1"/>
    <col min="288" max="288" width="43.125" style="1" bestFit="1" customWidth="1"/>
    <col min="289" max="289" width="48.875" style="1" bestFit="1" customWidth="1"/>
    <col min="290" max="290" width="39.125" style="1" bestFit="1" customWidth="1"/>
    <col min="291" max="291" width="26.875" style="1" bestFit="1" customWidth="1"/>
    <col min="292" max="292" width="47" style="1" bestFit="1" customWidth="1"/>
    <col min="293" max="293" width="40" style="1" bestFit="1" customWidth="1"/>
    <col min="294" max="294" width="83.875" style="1" bestFit="1" customWidth="1"/>
    <col min="295" max="295" width="21.125" style="1" bestFit="1" customWidth="1"/>
    <col min="296" max="296" width="31.125" style="1" bestFit="1" customWidth="1"/>
    <col min="297" max="297" width="27.125" style="1" bestFit="1" customWidth="1"/>
    <col min="298" max="298" width="56.875" style="1" bestFit="1" customWidth="1"/>
    <col min="299" max="299" width="24.125" style="1" bestFit="1" customWidth="1"/>
    <col min="300" max="300" width="22.875" style="1" bestFit="1" customWidth="1"/>
    <col min="301" max="301" width="33.875" style="1" bestFit="1" customWidth="1"/>
    <col min="302" max="302" width="29" style="1" bestFit="1" customWidth="1"/>
    <col min="303" max="303" width="29.875" style="1" bestFit="1" customWidth="1"/>
    <col min="304" max="304" width="36.125" style="1" bestFit="1" customWidth="1"/>
    <col min="305" max="305" width="38.875" style="1" bestFit="1" customWidth="1"/>
    <col min="306" max="306" width="42" style="1" bestFit="1" customWidth="1"/>
    <col min="307" max="307" width="47.125" style="1" bestFit="1" customWidth="1"/>
    <col min="308" max="308" width="37.875" style="1" bestFit="1" customWidth="1"/>
    <col min="309" max="309" width="25.125" style="1" bestFit="1" customWidth="1"/>
    <col min="310" max="310" width="45.125" style="1" bestFit="1" customWidth="1"/>
    <col min="311" max="311" width="38.125" style="1" bestFit="1" customWidth="1"/>
    <col min="312" max="312" width="82.125" style="1" bestFit="1" customWidth="1"/>
    <col min="313" max="313" width="22" style="1" bestFit="1" customWidth="1"/>
    <col min="314" max="314" width="32.125" style="1" bestFit="1" customWidth="1"/>
    <col min="315" max="315" width="28" style="1" bestFit="1" customWidth="1"/>
    <col min="316" max="316" width="57.125" style="1" bestFit="1" customWidth="1"/>
    <col min="317" max="317" width="25.125" style="1" bestFit="1" customWidth="1"/>
    <col min="318" max="318" width="23.125" style="1" bestFit="1" customWidth="1"/>
    <col min="319" max="319" width="34.125" style="1" bestFit="1" customWidth="1"/>
    <col min="320" max="320" width="29.125" style="1" bestFit="1" customWidth="1"/>
    <col min="321" max="321" width="30.125" style="1" bestFit="1" customWidth="1"/>
    <col min="322" max="322" width="37.125" style="1" bestFit="1" customWidth="1"/>
    <col min="323" max="323" width="39.125" style="1" bestFit="1" customWidth="1"/>
    <col min="324" max="324" width="42.125" style="1" bestFit="1" customWidth="1"/>
    <col min="325" max="325" width="48" style="1" bestFit="1" customWidth="1"/>
    <col min="326" max="326" width="38.125" style="1" bestFit="1" customWidth="1"/>
    <col min="327" max="327" width="25.875" style="1" bestFit="1" customWidth="1"/>
    <col min="328" max="328" width="46" style="1" bestFit="1" customWidth="1"/>
    <col min="329" max="329" width="39.125" style="1" bestFit="1" customWidth="1"/>
    <col min="330" max="330" width="82.875" style="1" bestFit="1" customWidth="1"/>
    <col min="331" max="331" width="20" style="1" bestFit="1" customWidth="1"/>
    <col min="332" max="332" width="30.125" style="1" bestFit="1" customWidth="1"/>
    <col min="333" max="333" width="26" style="1" bestFit="1" customWidth="1"/>
    <col min="334" max="334" width="55.125" style="1" bestFit="1" customWidth="1"/>
    <col min="335" max="335" width="23.125" style="1" bestFit="1" customWidth="1"/>
    <col min="336" max="336" width="21.125" style="1" bestFit="1" customWidth="1"/>
    <col min="337" max="337" width="32.125" style="1" bestFit="1" customWidth="1"/>
    <col min="338" max="338" width="27.875" style="1" bestFit="1" customWidth="1"/>
    <col min="339" max="339" width="28.125" style="1" bestFit="1" customWidth="1"/>
    <col min="340" max="340" width="35.125" style="1" bestFit="1" customWidth="1"/>
    <col min="341" max="341" width="37.125" style="1" bestFit="1" customWidth="1"/>
    <col min="342" max="342" width="40.125" style="1" bestFit="1" customWidth="1"/>
    <col min="343" max="343" width="46" style="1" bestFit="1" customWidth="1"/>
    <col min="344" max="344" width="36.125" style="1" bestFit="1" customWidth="1"/>
    <col min="345" max="345" width="24" style="1" bestFit="1" customWidth="1"/>
    <col min="346" max="346" width="44.125" style="1" bestFit="1" customWidth="1"/>
    <col min="347" max="347" width="37.125" style="1" bestFit="1" customWidth="1"/>
    <col min="348" max="348" width="80.875" style="1" bestFit="1" customWidth="1"/>
    <col min="349" max="349" width="37.125" style="1" bestFit="1" customWidth="1"/>
    <col min="350" max="16384" width="11.125" style="1"/>
  </cols>
  <sheetData>
    <row r="1" spans="1:57" ht="15.75" thickTop="1">
      <c r="A1" s="155"/>
      <c r="B1" s="156"/>
      <c r="C1" s="161" t="s">
        <v>31</v>
      </c>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3"/>
      <c r="BC1" s="170" t="s">
        <v>32</v>
      </c>
      <c r="BD1" s="171"/>
      <c r="BE1" s="172"/>
    </row>
    <row r="2" spans="1:57">
      <c r="A2" s="157"/>
      <c r="B2" s="158"/>
      <c r="C2" s="164"/>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c r="AU2" s="165"/>
      <c r="AV2" s="165"/>
      <c r="AW2" s="165"/>
      <c r="AX2" s="165"/>
      <c r="AY2" s="165"/>
      <c r="AZ2" s="165"/>
      <c r="BA2" s="165"/>
      <c r="BB2" s="166"/>
      <c r="BC2" s="173" t="s">
        <v>266</v>
      </c>
      <c r="BD2" s="174"/>
      <c r="BE2" s="175"/>
    </row>
    <row r="3" spans="1:57">
      <c r="A3" s="157"/>
      <c r="B3" s="158"/>
      <c r="C3" s="164"/>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165"/>
      <c r="AU3" s="165"/>
      <c r="AV3" s="165"/>
      <c r="AW3" s="165"/>
      <c r="AX3" s="165"/>
      <c r="AY3" s="165"/>
      <c r="AZ3" s="165"/>
      <c r="BA3" s="165"/>
      <c r="BB3" s="166"/>
      <c r="BC3" s="173" t="s">
        <v>267</v>
      </c>
      <c r="BD3" s="174"/>
      <c r="BE3" s="175"/>
    </row>
    <row r="4" spans="1:57" ht="15.75" thickBot="1">
      <c r="A4" s="159"/>
      <c r="B4" s="160"/>
      <c r="C4" s="167"/>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N4" s="168"/>
      <c r="AO4" s="168"/>
      <c r="AP4" s="168"/>
      <c r="AQ4" s="168"/>
      <c r="AR4" s="168"/>
      <c r="AS4" s="168"/>
      <c r="AT4" s="168"/>
      <c r="AU4" s="168"/>
      <c r="AV4" s="168"/>
      <c r="AW4" s="168"/>
      <c r="AX4" s="168"/>
      <c r="AY4" s="168"/>
      <c r="AZ4" s="168"/>
      <c r="BA4" s="168"/>
      <c r="BB4" s="169"/>
      <c r="BC4" s="176" t="s">
        <v>268</v>
      </c>
      <c r="BD4" s="177"/>
      <c r="BE4" s="178"/>
    </row>
    <row r="5" spans="1:57" ht="15.75" thickTop="1">
      <c r="BE5" s="11"/>
    </row>
    <row r="6" spans="1:57" ht="21" customHeight="1" thickBot="1">
      <c r="B6" s="3" t="s">
        <v>28</v>
      </c>
      <c r="C6" s="6"/>
      <c r="D6" s="6"/>
      <c r="E6" s="6"/>
      <c r="F6" s="6"/>
      <c r="G6" s="6"/>
      <c r="H6" s="6"/>
      <c r="I6" s="6"/>
      <c r="J6" s="6"/>
      <c r="K6" s="6"/>
      <c r="L6" s="6"/>
      <c r="M6" s="6"/>
      <c r="N6" s="6"/>
      <c r="O6" s="7"/>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12"/>
      <c r="BD6" s="27"/>
      <c r="BE6" s="13"/>
    </row>
    <row r="7" spans="1:57" ht="15.6" customHeight="1" thickBot="1">
      <c r="A7" s="1"/>
      <c r="B7" s="8">
        <v>2025</v>
      </c>
      <c r="C7" s="6"/>
      <c r="D7" s="6"/>
      <c r="E7" s="6"/>
      <c r="F7" s="6"/>
      <c r="G7" s="6"/>
      <c r="H7" s="6"/>
      <c r="I7" s="6"/>
      <c r="J7" s="6"/>
      <c r="K7" s="6"/>
      <c r="L7" s="6"/>
      <c r="M7" s="6"/>
      <c r="N7" s="6"/>
      <c r="O7" s="111"/>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12"/>
      <c r="BD7" s="27"/>
      <c r="BE7" s="13"/>
    </row>
    <row r="8" spans="1:57" ht="8.85" customHeight="1" thickBot="1">
      <c r="A8" s="1"/>
      <c r="B8" s="1"/>
      <c r="C8" s="7"/>
      <c r="D8" s="6"/>
      <c r="E8" s="6"/>
      <c r="F8" s="6"/>
      <c r="G8" s="6"/>
      <c r="H8" s="6"/>
      <c r="I8" s="6"/>
      <c r="J8" s="6"/>
      <c r="K8" s="6"/>
      <c r="L8" s="6"/>
      <c r="M8" s="6"/>
      <c r="N8" s="6"/>
      <c r="O8" s="7"/>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12"/>
      <c r="BD8" s="27"/>
      <c r="BE8" s="13"/>
    </row>
    <row r="9" spans="1:57" s="2" customFormat="1" ht="38.1" customHeight="1" thickBot="1">
      <c r="A9" s="147" t="s">
        <v>27</v>
      </c>
      <c r="B9" s="147"/>
      <c r="C9" s="147"/>
      <c r="D9" s="147"/>
      <c r="E9" s="147"/>
      <c r="F9" s="147"/>
      <c r="G9" s="147"/>
      <c r="H9" s="148" t="s">
        <v>25</v>
      </c>
      <c r="I9" s="149"/>
      <c r="J9" s="149"/>
      <c r="K9" s="149"/>
      <c r="L9" s="149"/>
      <c r="M9" s="149"/>
      <c r="N9" s="149"/>
      <c r="O9" s="150"/>
      <c r="P9" s="151" t="s">
        <v>24</v>
      </c>
      <c r="Q9" s="152"/>
      <c r="R9" s="152"/>
      <c r="S9" s="152"/>
      <c r="T9" s="152"/>
      <c r="U9" s="152"/>
      <c r="V9" s="152"/>
      <c r="W9" s="152"/>
      <c r="X9" s="152"/>
      <c r="Y9" s="152"/>
      <c r="Z9" s="152"/>
      <c r="AA9" s="152"/>
      <c r="AB9" s="152"/>
      <c r="AC9" s="152"/>
      <c r="AD9" s="153"/>
      <c r="AE9" s="154"/>
      <c r="AF9" s="148" t="s">
        <v>23</v>
      </c>
      <c r="AG9" s="149"/>
      <c r="AH9" s="149"/>
      <c r="AI9" s="149"/>
      <c r="AJ9" s="149"/>
      <c r="AK9" s="149"/>
      <c r="AL9" s="149"/>
      <c r="AM9" s="149"/>
      <c r="AN9" s="149"/>
      <c r="AO9" s="149"/>
      <c r="AP9" s="149"/>
      <c r="AQ9" s="149"/>
      <c r="AR9" s="149"/>
      <c r="AS9" s="149"/>
      <c r="AT9" s="149"/>
      <c r="AU9" s="149"/>
      <c r="AV9" s="149"/>
      <c r="AW9" s="149"/>
      <c r="AX9" s="148" t="s">
        <v>42</v>
      </c>
      <c r="AY9" s="149"/>
      <c r="AZ9" s="150"/>
      <c r="BA9" s="149" t="s">
        <v>44</v>
      </c>
      <c r="BB9" s="149"/>
      <c r="BC9" s="145" t="s">
        <v>22</v>
      </c>
      <c r="BD9" s="146"/>
      <c r="BE9" s="14"/>
    </row>
    <row r="10" spans="1:57" s="2" customFormat="1" ht="57" customHeight="1">
      <c r="A10" s="43" t="s">
        <v>20</v>
      </c>
      <c r="B10" s="43" t="s">
        <v>19</v>
      </c>
      <c r="C10" s="43" t="s">
        <v>18</v>
      </c>
      <c r="D10" s="43" t="s">
        <v>17</v>
      </c>
      <c r="E10" s="43" t="s">
        <v>16</v>
      </c>
      <c r="F10" s="43" t="s">
        <v>15</v>
      </c>
      <c r="G10" s="43" t="s">
        <v>14</v>
      </c>
      <c r="H10" s="43" t="s">
        <v>34</v>
      </c>
      <c r="I10" s="43" t="s">
        <v>8</v>
      </c>
      <c r="J10" s="43" t="s">
        <v>7</v>
      </c>
      <c r="K10" s="43" t="s">
        <v>6</v>
      </c>
      <c r="L10" s="43" t="s">
        <v>5</v>
      </c>
      <c r="M10" s="43" t="s">
        <v>4</v>
      </c>
      <c r="N10" s="43" t="s">
        <v>3</v>
      </c>
      <c r="O10" s="43" t="s">
        <v>2</v>
      </c>
      <c r="P10" s="43" t="s">
        <v>288</v>
      </c>
      <c r="Q10" s="43" t="s">
        <v>289</v>
      </c>
      <c r="R10" s="43" t="s">
        <v>290</v>
      </c>
      <c r="S10" s="43" t="s">
        <v>291</v>
      </c>
      <c r="T10" s="43" t="s">
        <v>286</v>
      </c>
      <c r="U10" s="43" t="s">
        <v>285</v>
      </c>
      <c r="V10" s="43" t="s">
        <v>275</v>
      </c>
      <c r="W10" s="43" t="s">
        <v>276</v>
      </c>
      <c r="X10" s="43" t="s">
        <v>284</v>
      </c>
      <c r="Y10" s="43" t="s">
        <v>283</v>
      </c>
      <c r="Z10" s="43" t="s">
        <v>282</v>
      </c>
      <c r="AA10" s="43" t="s">
        <v>287</v>
      </c>
      <c r="AB10" s="43" t="s">
        <v>279</v>
      </c>
      <c r="AC10" s="43" t="s">
        <v>280</v>
      </c>
      <c r="AD10" s="112" t="s">
        <v>61</v>
      </c>
      <c r="AE10" s="43" t="s">
        <v>271</v>
      </c>
      <c r="AF10" s="43" t="s">
        <v>305</v>
      </c>
      <c r="AG10" s="43" t="s">
        <v>304</v>
      </c>
      <c r="AH10" s="43" t="s">
        <v>303</v>
      </c>
      <c r="AI10" s="43" t="s">
        <v>302</v>
      </c>
      <c r="AJ10" s="43" t="s">
        <v>292</v>
      </c>
      <c r="AK10" s="43" t="s">
        <v>293</v>
      </c>
      <c r="AL10" s="43" t="s">
        <v>294</v>
      </c>
      <c r="AM10" s="43" t="s">
        <v>295</v>
      </c>
      <c r="AN10" s="43" t="s">
        <v>296</v>
      </c>
      <c r="AO10" s="43" t="s">
        <v>297</v>
      </c>
      <c r="AP10" s="43" t="s">
        <v>298</v>
      </c>
      <c r="AQ10" s="43" t="s">
        <v>299</v>
      </c>
      <c r="AR10" s="43" t="s">
        <v>300</v>
      </c>
      <c r="AS10" s="43" t="s">
        <v>301</v>
      </c>
      <c r="AT10" s="43" t="s">
        <v>62</v>
      </c>
      <c r="AU10" s="43" t="s">
        <v>281</v>
      </c>
      <c r="AV10" s="43" t="s">
        <v>35</v>
      </c>
      <c r="AW10" s="64" t="s">
        <v>36</v>
      </c>
      <c r="AX10" s="43" t="s">
        <v>41</v>
      </c>
      <c r="AY10" s="43" t="s">
        <v>39</v>
      </c>
      <c r="AZ10" s="43" t="s">
        <v>38</v>
      </c>
      <c r="BA10" s="48" t="s">
        <v>43</v>
      </c>
      <c r="BB10" s="64" t="s">
        <v>40</v>
      </c>
      <c r="BC10" s="43" t="s">
        <v>1</v>
      </c>
      <c r="BD10" s="43" t="s">
        <v>0</v>
      </c>
      <c r="BE10" s="45" t="s">
        <v>21</v>
      </c>
    </row>
    <row r="11" spans="1:57" s="9" customFormat="1" ht="20.25" customHeight="1">
      <c r="A11" s="70">
        <v>1</v>
      </c>
      <c r="B11" s="99" t="s">
        <v>63</v>
      </c>
      <c r="C11" s="99" t="s">
        <v>64</v>
      </c>
      <c r="D11" s="99" t="s">
        <v>65</v>
      </c>
      <c r="E11" s="99" t="s">
        <v>66</v>
      </c>
      <c r="F11" s="99" t="s">
        <v>67</v>
      </c>
      <c r="G11" s="99" t="s">
        <v>68</v>
      </c>
      <c r="H11" s="124">
        <v>2024680010141</v>
      </c>
      <c r="I11" s="100" t="s">
        <v>166</v>
      </c>
      <c r="J11" s="101">
        <f>4623616741.79+877600000-30025500-249974500+100000000+40000000</f>
        <v>5361216741.79</v>
      </c>
      <c r="K11" s="101">
        <f>1119200000+877600000-30025500-249974500+100000000+40000000</f>
        <v>1856800000</v>
      </c>
      <c r="L11" s="100" t="s">
        <v>167</v>
      </c>
      <c r="M11" s="100" t="s">
        <v>168</v>
      </c>
      <c r="N11" s="100">
        <v>30000</v>
      </c>
      <c r="O11" s="102" t="s">
        <v>312</v>
      </c>
      <c r="P11" s="77">
        <v>449395000</v>
      </c>
      <c r="Q11" s="17"/>
      <c r="R11" s="17"/>
      <c r="S11" s="17"/>
      <c r="T11" s="17"/>
      <c r="U11" s="17"/>
      <c r="V11" s="17"/>
      <c r="W11" s="17"/>
      <c r="X11" s="17"/>
      <c r="Y11" s="17"/>
      <c r="Z11" s="17"/>
      <c r="AA11" s="17"/>
      <c r="AB11" s="17"/>
      <c r="AC11" s="137"/>
      <c r="AD11" s="17">
        <v>527625500</v>
      </c>
      <c r="AE11" s="57">
        <f>SUM(Tabla13[[#This Row],[Recursos propios 2025]:[Recursos del Balance]])</f>
        <v>977020500</v>
      </c>
      <c r="AF11" s="76">
        <v>428053333.34000009</v>
      </c>
      <c r="AG11" s="76">
        <v>0</v>
      </c>
      <c r="AH11" s="76">
        <v>0</v>
      </c>
      <c r="AI11" s="76">
        <v>0</v>
      </c>
      <c r="AJ11" s="76">
        <v>0</v>
      </c>
      <c r="AK11" s="76">
        <v>0</v>
      </c>
      <c r="AL11" s="76">
        <v>0</v>
      </c>
      <c r="AM11" s="76">
        <v>0</v>
      </c>
      <c r="AN11" s="76"/>
      <c r="AO11" s="76">
        <v>0</v>
      </c>
      <c r="AP11" s="76">
        <v>0</v>
      </c>
      <c r="AQ11" s="76">
        <v>0</v>
      </c>
      <c r="AR11" s="76">
        <v>0</v>
      </c>
      <c r="AS11" s="17"/>
      <c r="AT11" s="122">
        <v>382966666.66000003</v>
      </c>
      <c r="AU11" s="17">
        <f>SUM(Tabla13[[#This Row],[Recursos propios 20252]:[Recursos del Balance2]])</f>
        <v>811020000.00000012</v>
      </c>
      <c r="AV11" s="98">
        <v>500366666.66999996</v>
      </c>
      <c r="AW11" s="98">
        <v>500366666.66999996</v>
      </c>
      <c r="AX11" s="21">
        <f>+Tabla13[[#This Row],[Total Recursos Comprometido 2025]]/Tabla13[[#This Row],[Total 2025]]</f>
        <v>0.83009517200509109</v>
      </c>
      <c r="AY11" s="18">
        <f>+Tabla13[[#This Row],[Total Recursos Obligados]]/Tabla13[[#This Row],[Total 2025]]</f>
        <v>0.51213527932116054</v>
      </c>
      <c r="AZ11" s="22">
        <f>+Tabla13[[#This Row],[Total Recursos Pagados]]/Tabla13[[#This Row],[Total 2025]]</f>
        <v>0.51213527932116054</v>
      </c>
      <c r="BA11" s="79"/>
      <c r="BB11" s="66" t="str">
        <f>IF(Tabla13[[#This Row],[Total Recursos Gestionados2]]=0,"_",IF(Tabla13[[#This Row],[Ejecución Recursos Comprometidos]]=0,100%,Tabla13[[#This Row],[Total Recursos Gestionados2]]/Tabla13[[#This Row],[Ejecución Recursos Comprometidos]]))</f>
        <v>_</v>
      </c>
      <c r="BC11" s="71" t="s">
        <v>225</v>
      </c>
      <c r="BD11" s="71" t="s">
        <v>226</v>
      </c>
      <c r="BE11" s="71">
        <v>10</v>
      </c>
    </row>
    <row r="12" spans="1:57" s="10" customFormat="1" ht="20.45" customHeight="1">
      <c r="A12" s="70">
        <v>88</v>
      </c>
      <c r="B12" s="99" t="s">
        <v>69</v>
      </c>
      <c r="C12" s="99" t="s">
        <v>70</v>
      </c>
      <c r="D12" s="99" t="s">
        <v>71</v>
      </c>
      <c r="E12" s="99" t="s">
        <v>72</v>
      </c>
      <c r="F12" s="99" t="s">
        <v>73</v>
      </c>
      <c r="G12" s="99" t="s">
        <v>74</v>
      </c>
      <c r="H12" s="124">
        <v>2024680010123</v>
      </c>
      <c r="I12" s="100" t="s">
        <v>169</v>
      </c>
      <c r="J12" s="101">
        <f>4096826278.13+198000000-25000000-110000000+288000000</f>
        <v>4447826278.1300001</v>
      </c>
      <c r="K12" s="101">
        <f>775200000+198000000-25000000-110000000+288000000</f>
        <v>1126200000</v>
      </c>
      <c r="L12" s="100" t="s">
        <v>170</v>
      </c>
      <c r="M12" s="100" t="s">
        <v>171</v>
      </c>
      <c r="N12" s="100">
        <v>40</v>
      </c>
      <c r="O12" s="102" t="s">
        <v>313</v>
      </c>
      <c r="P12" s="76">
        <f>100000000-25000000</f>
        <v>75000000</v>
      </c>
      <c r="Q12" s="15"/>
      <c r="R12" s="15"/>
      <c r="S12" s="15"/>
      <c r="T12" s="15"/>
      <c r="U12" s="15"/>
      <c r="V12" s="15"/>
      <c r="W12" s="15"/>
      <c r="X12" s="15"/>
      <c r="Y12" s="15"/>
      <c r="Z12" s="15"/>
      <c r="AA12" s="15"/>
      <c r="AB12" s="15"/>
      <c r="AC12" s="15"/>
      <c r="AD12" s="15"/>
      <c r="AE12" s="58">
        <f>SUM(Tabla13[[#This Row],[Recursos propios 2025]:[Recursos del Balance]])</f>
        <v>75000000</v>
      </c>
      <c r="AF12" s="76">
        <v>64964718</v>
      </c>
      <c r="AG12" s="15"/>
      <c r="AH12" s="15"/>
      <c r="AI12" s="15"/>
      <c r="AJ12" s="15"/>
      <c r="AK12" s="15"/>
      <c r="AL12" s="15"/>
      <c r="AM12" s="15"/>
      <c r="AN12" s="15"/>
      <c r="AO12" s="15"/>
      <c r="AP12" s="15"/>
      <c r="AQ12" s="15"/>
      <c r="AR12" s="15"/>
      <c r="AS12" s="15"/>
      <c r="AT12" s="122">
        <v>0</v>
      </c>
      <c r="AU12" s="15">
        <f>SUM(Tabla13[[#This Row],[Recursos propios 20252]:[Recursos del Balance2]])</f>
        <v>64964718</v>
      </c>
      <c r="AV12" s="98">
        <v>64964718</v>
      </c>
      <c r="AW12" s="98">
        <v>64964718</v>
      </c>
      <c r="AX12" s="61">
        <f>+Tabla13[[#This Row],[Total Recursos Comprometido 2025]]/Tabla13[[#This Row],[Total 2025]]</f>
        <v>0.86619623999999995</v>
      </c>
      <c r="AY12" s="19">
        <f>+Tabla13[[#This Row],[Total Recursos Obligados]]/Tabla13[[#This Row],[Total 2025]]</f>
        <v>0.86619623999999995</v>
      </c>
      <c r="AZ12" s="62">
        <f>+Tabla13[[#This Row],[Total Recursos Pagados]]/Tabla13[[#This Row],[Total 2025]]</f>
        <v>0.86619623999999995</v>
      </c>
      <c r="BA12" s="80"/>
      <c r="BB12" s="67" t="str">
        <f>IF(Tabla13[[#This Row],[Total Recursos Gestionados2]]=0,"_",IF(Tabla13[[#This Row],[Ejecución Recursos Comprometidos]]=0,100%,Tabla13[[#This Row],[Total Recursos Gestionados2]]/Tabla13[[#This Row],[Ejecución Recursos Comprometidos]]))</f>
        <v>_</v>
      </c>
      <c r="BC12" s="71" t="s">
        <v>225</v>
      </c>
      <c r="BD12" s="71" t="s">
        <v>226</v>
      </c>
      <c r="BE12" s="71" t="s">
        <v>227</v>
      </c>
    </row>
    <row r="13" spans="1:57" s="10" customFormat="1" ht="20.45" customHeight="1">
      <c r="A13" s="72">
        <v>89</v>
      </c>
      <c r="B13" s="103" t="s">
        <v>69</v>
      </c>
      <c r="C13" s="103" t="s">
        <v>70</v>
      </c>
      <c r="D13" s="103" t="s">
        <v>71</v>
      </c>
      <c r="E13" s="103" t="s">
        <v>75</v>
      </c>
      <c r="F13" s="103" t="s">
        <v>76</v>
      </c>
      <c r="G13" s="103" t="s">
        <v>77</v>
      </c>
      <c r="H13" s="124">
        <v>2024680010123</v>
      </c>
      <c r="I13" s="100" t="s">
        <v>169</v>
      </c>
      <c r="J13" s="101"/>
      <c r="K13" s="101"/>
      <c r="L13" s="100" t="s">
        <v>170</v>
      </c>
      <c r="M13" s="100" t="s">
        <v>171</v>
      </c>
      <c r="N13" s="100">
        <v>5</v>
      </c>
      <c r="O13" s="102" t="s">
        <v>314</v>
      </c>
      <c r="P13" s="76">
        <f>110000000-110000000+34000000</f>
        <v>34000000</v>
      </c>
      <c r="Q13" s="15"/>
      <c r="R13" s="15"/>
      <c r="S13" s="15"/>
      <c r="T13" s="15"/>
      <c r="U13" s="15"/>
      <c r="V13" s="15"/>
      <c r="W13" s="15"/>
      <c r="X13" s="15"/>
      <c r="Y13" s="15"/>
      <c r="Z13" s="15"/>
      <c r="AA13" s="15"/>
      <c r="AB13" s="15"/>
      <c r="AC13" s="15"/>
      <c r="AD13" s="15">
        <v>15000000</v>
      </c>
      <c r="AE13" s="58">
        <f>SUM(Tabla13[[#This Row],[Recursos propios 2025]:[Recursos del Balance]])</f>
        <v>49000000</v>
      </c>
      <c r="AF13" s="76">
        <v>31758300</v>
      </c>
      <c r="AG13" s="15"/>
      <c r="AH13" s="15"/>
      <c r="AI13" s="15"/>
      <c r="AJ13" s="15"/>
      <c r="AK13" s="15"/>
      <c r="AL13" s="15"/>
      <c r="AM13" s="15"/>
      <c r="AN13" s="15"/>
      <c r="AO13" s="15"/>
      <c r="AP13" s="15"/>
      <c r="AQ13" s="15"/>
      <c r="AR13" s="15"/>
      <c r="AS13" s="15"/>
      <c r="AT13" s="122">
        <v>0</v>
      </c>
      <c r="AU13" s="15">
        <f>SUM(Tabla13[[#This Row],[Recursos propios 20252]:[Recursos del Balance2]])</f>
        <v>31758300</v>
      </c>
      <c r="AV13" s="98">
        <v>0</v>
      </c>
      <c r="AW13" s="98">
        <v>0</v>
      </c>
      <c r="AX13" s="20">
        <f>+Tabla13[[#This Row],[Total Recursos Comprometido 2025]]/Tabla13[[#This Row],[Total 2025]]</f>
        <v>0.64812857142857139</v>
      </c>
      <c r="AY13" s="29">
        <f>+Tabla13[[#This Row],[Total Recursos Obligados]]/Tabla13[[#This Row],[Total 2025]]</f>
        <v>0</v>
      </c>
      <c r="AZ13" s="30">
        <f>+Tabla13[[#This Row],[Total Recursos Pagados]]/Tabla13[[#This Row],[Total 2025]]</f>
        <v>0</v>
      </c>
      <c r="BA13" s="81"/>
      <c r="BB13" s="67" t="str">
        <f>IF(Tabla13[[#This Row],[Total Recursos Gestionados2]]=0,"_",IF(Tabla13[[#This Row],[Ejecución Recursos Comprometidos]]=0,100%,Tabla13[[#This Row],[Total Recursos Gestionados2]]/Tabla13[[#This Row],[Ejecución Recursos Comprometidos]]))</f>
        <v>_</v>
      </c>
      <c r="BC13" s="65" t="s">
        <v>225</v>
      </c>
      <c r="BD13" s="65" t="s">
        <v>226</v>
      </c>
      <c r="BE13" s="65" t="s">
        <v>227</v>
      </c>
    </row>
    <row r="14" spans="1:57" s="10" customFormat="1" ht="20.45" customHeight="1">
      <c r="A14" s="70">
        <v>90</v>
      </c>
      <c r="B14" s="99" t="s">
        <v>69</v>
      </c>
      <c r="C14" s="99" t="s">
        <v>70</v>
      </c>
      <c r="D14" s="99" t="s">
        <v>71</v>
      </c>
      <c r="E14" s="99" t="s">
        <v>75</v>
      </c>
      <c r="F14" s="99" t="s">
        <v>78</v>
      </c>
      <c r="G14" s="99" t="s">
        <v>79</v>
      </c>
      <c r="H14" s="124">
        <v>2024680010123</v>
      </c>
      <c r="I14" s="100" t="s">
        <v>169</v>
      </c>
      <c r="J14" s="101"/>
      <c r="K14" s="101"/>
      <c r="L14" s="100" t="s">
        <v>170</v>
      </c>
      <c r="M14" s="100" t="s">
        <v>172</v>
      </c>
      <c r="N14" s="100">
        <v>150</v>
      </c>
      <c r="O14" s="102" t="s">
        <v>315</v>
      </c>
      <c r="P14" s="96">
        <v>70000000</v>
      </c>
      <c r="Q14" s="15"/>
      <c r="R14" s="15"/>
      <c r="S14" s="15"/>
      <c r="T14" s="15"/>
      <c r="U14" s="15"/>
      <c r="V14" s="15"/>
      <c r="W14" s="15"/>
      <c r="X14" s="15"/>
      <c r="Y14" s="15"/>
      <c r="Z14" s="15"/>
      <c r="AA14" s="15"/>
      <c r="AB14" s="15"/>
      <c r="AC14" s="15"/>
      <c r="AD14" s="15">
        <v>51000000</v>
      </c>
      <c r="AE14" s="58">
        <f>SUM(Tabla13[[#This Row],[Recursos propios 2025]:[Recursos del Balance]])</f>
        <v>121000000</v>
      </c>
      <c r="AF14" s="76">
        <v>66480000</v>
      </c>
      <c r="AG14" s="15"/>
      <c r="AH14" s="15"/>
      <c r="AI14" s="15"/>
      <c r="AJ14" s="15"/>
      <c r="AK14" s="15"/>
      <c r="AL14" s="15"/>
      <c r="AM14" s="15"/>
      <c r="AN14" s="15"/>
      <c r="AO14" s="15"/>
      <c r="AP14" s="15"/>
      <c r="AQ14" s="15"/>
      <c r="AR14" s="15"/>
      <c r="AS14" s="15"/>
      <c r="AT14" s="122">
        <v>35483333.329999998</v>
      </c>
      <c r="AU14" s="15">
        <f>SUM(Tabla13[[#This Row],[Recursos propios 20252]:[Recursos del Balance2]])</f>
        <v>101963333.33</v>
      </c>
      <c r="AV14" s="98">
        <v>78743333.329999998</v>
      </c>
      <c r="AW14" s="98">
        <v>78743333.329999998</v>
      </c>
      <c r="AX14" s="21">
        <f>+Tabla13[[#This Row],[Total Recursos Comprometido 2025]]/Tabla13[[#This Row],[Total 2025]]</f>
        <v>0.84267217628099167</v>
      </c>
      <c r="AY14" s="18">
        <f>+Tabla13[[#This Row],[Total Recursos Obligados]]/Tabla13[[#This Row],[Total 2025]]</f>
        <v>0.65077134983471074</v>
      </c>
      <c r="AZ14" s="22">
        <f>+Tabla13[[#This Row],[Total Recursos Pagados]]/Tabla13[[#This Row],[Total 2025]]</f>
        <v>0.65077134983471074</v>
      </c>
      <c r="BA14" s="79"/>
      <c r="BB14" s="67" t="str">
        <f>IF(Tabla13[[#This Row],[Total Recursos Gestionados2]]=0,"_",IF(Tabla13[[#This Row],[Ejecución Recursos Comprometidos]]=0,100%,Tabla13[[#This Row],[Total Recursos Gestionados2]]/Tabla13[[#This Row],[Ejecución Recursos Comprometidos]]))</f>
        <v>_</v>
      </c>
      <c r="BC14" s="71" t="s">
        <v>225</v>
      </c>
      <c r="BD14" s="71" t="s">
        <v>226</v>
      </c>
      <c r="BE14" s="71" t="s">
        <v>227</v>
      </c>
    </row>
    <row r="15" spans="1:57" s="10" customFormat="1" ht="20.45" customHeight="1">
      <c r="A15" s="72">
        <v>91</v>
      </c>
      <c r="B15" s="103" t="s">
        <v>69</v>
      </c>
      <c r="C15" s="103" t="s">
        <v>70</v>
      </c>
      <c r="D15" s="103" t="s">
        <v>71</v>
      </c>
      <c r="E15" s="103" t="s">
        <v>75</v>
      </c>
      <c r="F15" s="103" t="s">
        <v>80</v>
      </c>
      <c r="G15" s="103" t="s">
        <v>81</v>
      </c>
      <c r="H15" s="124">
        <v>2024680010123</v>
      </c>
      <c r="I15" s="100" t="s">
        <v>169</v>
      </c>
      <c r="J15" s="101"/>
      <c r="K15" s="101"/>
      <c r="L15" s="100" t="s">
        <v>170</v>
      </c>
      <c r="M15" s="100" t="s">
        <v>171</v>
      </c>
      <c r="N15" s="100">
        <v>1203</v>
      </c>
      <c r="O15" s="102" t="s">
        <v>316</v>
      </c>
      <c r="P15" s="76">
        <f>495200000+254000000</f>
        <v>749200000</v>
      </c>
      <c r="Q15" s="15"/>
      <c r="R15" s="15"/>
      <c r="S15" s="15"/>
      <c r="T15" s="15"/>
      <c r="U15" s="15"/>
      <c r="V15" s="15"/>
      <c r="W15" s="15"/>
      <c r="X15" s="15"/>
      <c r="Y15" s="15"/>
      <c r="Z15" s="15"/>
      <c r="AA15" s="15"/>
      <c r="AB15" s="15"/>
      <c r="AC15" s="15"/>
      <c r="AD15" s="15">
        <v>132000000</v>
      </c>
      <c r="AE15" s="58">
        <f>SUM(Tabla13[[#This Row],[Recursos propios 2025]:[Recursos del Balance]])</f>
        <v>881200000</v>
      </c>
      <c r="AF15" s="76">
        <v>745164900</v>
      </c>
      <c r="AG15" s="15"/>
      <c r="AH15" s="15"/>
      <c r="AI15" s="15"/>
      <c r="AJ15" s="15"/>
      <c r="AK15" s="15"/>
      <c r="AL15" s="15"/>
      <c r="AM15" s="15"/>
      <c r="AN15" s="15"/>
      <c r="AO15" s="15"/>
      <c r="AP15" s="15"/>
      <c r="AQ15" s="15"/>
      <c r="AR15" s="15"/>
      <c r="AS15" s="15"/>
      <c r="AT15" s="122">
        <v>116060000</v>
      </c>
      <c r="AU15" s="15">
        <f>SUM(Tabla13[[#This Row],[Recursos propios 20252]:[Recursos del Balance2]])</f>
        <v>861224900</v>
      </c>
      <c r="AV15" s="98">
        <v>552636102.00000012</v>
      </c>
      <c r="AW15" s="98">
        <v>552636102.00000012</v>
      </c>
      <c r="AX15" s="20">
        <f>+Tabla13[[#This Row],[Total Recursos Comprometido 2025]]/Tabla13[[#This Row],[Total 2025]]</f>
        <v>0.97733193372673632</v>
      </c>
      <c r="AY15" s="29">
        <f>+Tabla13[[#This Row],[Total Recursos Obligados]]/Tabla13[[#This Row],[Total 2025]]</f>
        <v>0.62714037902859754</v>
      </c>
      <c r="AZ15" s="30">
        <f>+Tabla13[[#This Row],[Total Recursos Pagados]]/Tabla13[[#This Row],[Total 2025]]</f>
        <v>0.62714037902859754</v>
      </c>
      <c r="BA15" s="81"/>
      <c r="BB15" s="67" t="str">
        <f>IF(Tabla13[[#This Row],[Total Recursos Gestionados2]]=0,"_",IF(Tabla13[[#This Row],[Ejecución Recursos Comprometidos]]=0,100%,Tabla13[[#This Row],[Total Recursos Gestionados2]]/Tabla13[[#This Row],[Ejecución Recursos Comprometidos]]))</f>
        <v>_</v>
      </c>
      <c r="BC15" s="65" t="s">
        <v>225</v>
      </c>
      <c r="BD15" s="65" t="s">
        <v>226</v>
      </c>
      <c r="BE15" s="65" t="s">
        <v>227</v>
      </c>
    </row>
    <row r="16" spans="1:57" s="10" customFormat="1" ht="20.45" customHeight="1">
      <c r="A16" s="70">
        <v>92</v>
      </c>
      <c r="B16" s="99" t="s">
        <v>69</v>
      </c>
      <c r="C16" s="99" t="s">
        <v>70</v>
      </c>
      <c r="D16" s="99" t="s">
        <v>82</v>
      </c>
      <c r="E16" s="99" t="s">
        <v>83</v>
      </c>
      <c r="F16" s="99" t="s">
        <v>84</v>
      </c>
      <c r="G16" s="99" t="s">
        <v>85</v>
      </c>
      <c r="H16" s="124">
        <v>2024680010067</v>
      </c>
      <c r="I16" s="100" t="s">
        <v>173</v>
      </c>
      <c r="J16" s="101">
        <v>247303880</v>
      </c>
      <c r="K16" s="101">
        <v>65000000</v>
      </c>
      <c r="L16" s="100" t="s">
        <v>174</v>
      </c>
      <c r="M16" s="100" t="s">
        <v>175</v>
      </c>
      <c r="N16" s="100">
        <v>130</v>
      </c>
      <c r="O16" s="102" t="s">
        <v>317</v>
      </c>
      <c r="P16" s="77">
        <v>65000000</v>
      </c>
      <c r="Q16" s="17"/>
      <c r="R16" s="17"/>
      <c r="S16" s="17"/>
      <c r="T16" s="17"/>
      <c r="U16" s="17"/>
      <c r="V16" s="17"/>
      <c r="W16" s="17"/>
      <c r="X16" s="17"/>
      <c r="Y16" s="17"/>
      <c r="Z16" s="17"/>
      <c r="AA16" s="17"/>
      <c r="AB16" s="17"/>
      <c r="AC16" s="17"/>
      <c r="AD16" s="17"/>
      <c r="AE16" s="58">
        <f>SUM(Tabla13[[#This Row],[Recursos propios 2025]:[Recursos del Balance]])</f>
        <v>65000000</v>
      </c>
      <c r="AF16" s="76">
        <v>64654400</v>
      </c>
      <c r="AG16" s="17"/>
      <c r="AH16" s="17"/>
      <c r="AI16" s="17"/>
      <c r="AJ16" s="17"/>
      <c r="AK16" s="17"/>
      <c r="AL16" s="17"/>
      <c r="AM16" s="17"/>
      <c r="AN16" s="17"/>
      <c r="AO16" s="17"/>
      <c r="AP16" s="17"/>
      <c r="AQ16" s="17"/>
      <c r="AR16" s="17"/>
      <c r="AS16" s="17"/>
      <c r="AT16" s="122">
        <v>0</v>
      </c>
      <c r="AU16" s="15">
        <f>SUM(Tabla13[[#This Row],[Recursos propios 20252]:[Recursos del Balance2]])</f>
        <v>64654400</v>
      </c>
      <c r="AV16" s="98">
        <v>28260800</v>
      </c>
      <c r="AW16" s="98">
        <v>28260800</v>
      </c>
      <c r="AX16" s="20">
        <f>+Tabla13[[#This Row],[Total Recursos Comprometido 2025]]/Tabla13[[#This Row],[Total 2025]]</f>
        <v>0.99468307692307689</v>
      </c>
      <c r="AY16" s="29">
        <f>+Tabla13[[#This Row],[Total Recursos Obligados]]/Tabla13[[#This Row],[Total 2025]]</f>
        <v>0.43478153846153844</v>
      </c>
      <c r="AZ16" s="30">
        <f>+Tabla13[[#This Row],[Total Recursos Pagados]]/Tabla13[[#This Row],[Total 2025]]</f>
        <v>0.43478153846153844</v>
      </c>
      <c r="BA16" s="81"/>
      <c r="BB16" s="67" t="str">
        <f>IF(Tabla13[[#This Row],[Total Recursos Gestionados2]]=0,"_",IF(Tabla13[[#This Row],[Ejecución Recursos Comprometidos]]=0,100%,Tabla13[[#This Row],[Total Recursos Gestionados2]]/Tabla13[[#This Row],[Ejecución Recursos Comprometidos]]))</f>
        <v>_</v>
      </c>
      <c r="BC16" s="71" t="s">
        <v>225</v>
      </c>
      <c r="BD16" s="71" t="s">
        <v>226</v>
      </c>
      <c r="BE16" s="71" t="s">
        <v>227</v>
      </c>
    </row>
    <row r="17" spans="1:57" s="10" customFormat="1" ht="20.45" customHeight="1">
      <c r="A17" s="70">
        <v>94</v>
      </c>
      <c r="B17" s="99" t="s">
        <v>69</v>
      </c>
      <c r="C17" s="99" t="s">
        <v>70</v>
      </c>
      <c r="D17" s="99" t="s">
        <v>86</v>
      </c>
      <c r="E17" s="99" t="s">
        <v>87</v>
      </c>
      <c r="F17" s="99" t="s">
        <v>88</v>
      </c>
      <c r="G17" s="103" t="s">
        <v>89</v>
      </c>
      <c r="H17" s="124">
        <v>2024680010244</v>
      </c>
      <c r="I17" s="100" t="s">
        <v>176</v>
      </c>
      <c r="J17" s="101">
        <f>960000000-137000000</f>
        <v>823000000</v>
      </c>
      <c r="K17" s="101">
        <f>300000000-137000000</f>
        <v>163000000</v>
      </c>
      <c r="L17" s="100" t="s">
        <v>170</v>
      </c>
      <c r="M17" s="100" t="s">
        <v>177</v>
      </c>
      <c r="N17" s="100">
        <v>1278</v>
      </c>
      <c r="O17" s="102" t="s">
        <v>318</v>
      </c>
      <c r="P17" s="76">
        <f>300000000-137000000</f>
        <v>163000000</v>
      </c>
      <c r="Q17" s="15"/>
      <c r="R17" s="15"/>
      <c r="S17" s="15"/>
      <c r="T17" s="15"/>
      <c r="U17" s="15"/>
      <c r="V17" s="15"/>
      <c r="W17" s="15"/>
      <c r="X17" s="15"/>
      <c r="Y17" s="15"/>
      <c r="Z17" s="15"/>
      <c r="AA17" s="15"/>
      <c r="AB17" s="15"/>
      <c r="AC17" s="15"/>
      <c r="AD17" s="15"/>
      <c r="AE17" s="58">
        <f>SUM(Tabla13[[#This Row],[Recursos propios 2025]:[Recursos del Balance]])</f>
        <v>163000000</v>
      </c>
      <c r="AF17" s="76">
        <v>150000000</v>
      </c>
      <c r="AG17" s="15"/>
      <c r="AH17" s="15"/>
      <c r="AI17" s="15"/>
      <c r="AJ17" s="15"/>
      <c r="AK17" s="15"/>
      <c r="AL17" s="15"/>
      <c r="AM17" s="15"/>
      <c r="AN17" s="15"/>
      <c r="AO17" s="15"/>
      <c r="AP17" s="15"/>
      <c r="AQ17" s="15"/>
      <c r="AR17" s="15"/>
      <c r="AS17" s="15"/>
      <c r="AT17" s="122">
        <v>0</v>
      </c>
      <c r="AU17" s="15">
        <f>SUM(Tabla13[[#This Row],[Recursos propios 20252]:[Recursos del Balance2]])</f>
        <v>150000000</v>
      </c>
      <c r="AV17" s="98">
        <v>60000000</v>
      </c>
      <c r="AW17" s="98">
        <v>60000000</v>
      </c>
      <c r="AX17" s="61">
        <f>+Tabla13[[#This Row],[Total Recursos Comprometido 2025]]/Tabla13[[#This Row],[Total 2025]]</f>
        <v>0.92024539877300615</v>
      </c>
      <c r="AY17" s="19">
        <f>+Tabla13[[#This Row],[Total Recursos Obligados]]/Tabla13[[#This Row],[Total 2025]]</f>
        <v>0.36809815950920244</v>
      </c>
      <c r="AZ17" s="62">
        <f>+Tabla13[[#This Row],[Total Recursos Pagados]]/Tabla13[[#This Row],[Total 2025]]</f>
        <v>0.36809815950920244</v>
      </c>
      <c r="BA17" s="80"/>
      <c r="BB17" s="67" t="str">
        <f>IF(Tabla13[[#This Row],[Total Recursos Gestionados2]]=0,"_",IF(Tabla13[[#This Row],[Ejecución Recursos Comprometidos]]=0,100%,Tabla13[[#This Row],[Total Recursos Gestionados2]]/Tabla13[[#This Row],[Ejecución Recursos Comprometidos]]))</f>
        <v>_</v>
      </c>
      <c r="BC17" s="71" t="s">
        <v>225</v>
      </c>
      <c r="BD17" s="71" t="s">
        <v>226</v>
      </c>
      <c r="BE17" s="71" t="s">
        <v>227</v>
      </c>
    </row>
    <row r="18" spans="1:57" s="10" customFormat="1" ht="20.45" customHeight="1">
      <c r="A18" s="70">
        <v>200</v>
      </c>
      <c r="B18" s="99" t="s">
        <v>90</v>
      </c>
      <c r="C18" s="99" t="s">
        <v>91</v>
      </c>
      <c r="D18" s="99" t="s">
        <v>92</v>
      </c>
      <c r="E18" s="99" t="s">
        <v>93</v>
      </c>
      <c r="F18" s="99" t="s">
        <v>94</v>
      </c>
      <c r="G18" s="99" t="s">
        <v>95</v>
      </c>
      <c r="H18" s="124">
        <v>0</v>
      </c>
      <c r="I18" s="100"/>
      <c r="J18" s="101"/>
      <c r="K18" s="101"/>
      <c r="L18" s="100"/>
      <c r="M18" s="100"/>
      <c r="N18" s="100"/>
      <c r="O18" s="102"/>
      <c r="P18" s="76">
        <v>0</v>
      </c>
      <c r="Q18" s="15"/>
      <c r="R18" s="15"/>
      <c r="S18" s="15"/>
      <c r="T18" s="15"/>
      <c r="U18" s="15"/>
      <c r="V18" s="15"/>
      <c r="W18" s="15"/>
      <c r="X18" s="15"/>
      <c r="Y18" s="15"/>
      <c r="Z18" s="15"/>
      <c r="AA18" s="15"/>
      <c r="AB18" s="15"/>
      <c r="AC18" s="15"/>
      <c r="AD18" s="15"/>
      <c r="AE18" s="58">
        <f>SUM(Tabla13[[#This Row],[Recursos propios 2025]:[Recursos del Balance]])</f>
        <v>0</v>
      </c>
      <c r="AF18" s="76">
        <v>0</v>
      </c>
      <c r="AG18" s="15"/>
      <c r="AH18" s="15"/>
      <c r="AI18" s="15"/>
      <c r="AJ18" s="15"/>
      <c r="AK18" s="15"/>
      <c r="AL18" s="15"/>
      <c r="AM18" s="15"/>
      <c r="AN18" s="15"/>
      <c r="AO18" s="15"/>
      <c r="AP18" s="15"/>
      <c r="AQ18" s="15"/>
      <c r="AR18" s="15"/>
      <c r="AS18" s="15"/>
      <c r="AT18" s="122">
        <v>0</v>
      </c>
      <c r="AU18" s="15">
        <f>SUM(Tabla13[[#This Row],[Recursos propios 20252]:[Recursos del Balance2]])</f>
        <v>0</v>
      </c>
      <c r="AV18" s="98">
        <v>0</v>
      </c>
      <c r="AW18" s="98">
        <v>0</v>
      </c>
      <c r="AX18" s="20" t="e">
        <f>+Tabla13[[#This Row],[Total Recursos Comprometido 2025]]/Tabla13[[#This Row],[Total 2025]]</f>
        <v>#DIV/0!</v>
      </c>
      <c r="AY18" s="29" t="e">
        <f>+Tabla13[[#This Row],[Total Recursos Obligados]]/Tabla13[[#This Row],[Total 2025]]</f>
        <v>#DIV/0!</v>
      </c>
      <c r="AZ18" s="30" t="e">
        <f>+Tabla13[[#This Row],[Total Recursos Pagados]]/Tabla13[[#This Row],[Total 2025]]</f>
        <v>#DIV/0!</v>
      </c>
      <c r="BA18" s="81"/>
      <c r="BB18" s="67" t="str">
        <f>IF(Tabla13[[#This Row],[Total Recursos Gestionados2]]=0,"_",IF(Tabla13[[#This Row],[Ejecución Recursos Comprometidos]]=0,100%,Tabla13[[#This Row],[Total Recursos Gestionados2]]/Tabla13[[#This Row],[Ejecución Recursos Comprometidos]]))</f>
        <v>_</v>
      </c>
      <c r="BC18" s="71" t="s">
        <v>225</v>
      </c>
      <c r="BD18" s="65" t="s">
        <v>226</v>
      </c>
      <c r="BE18" s="71">
        <v>10</v>
      </c>
    </row>
    <row r="19" spans="1:57" s="10" customFormat="1" ht="20.45" customHeight="1">
      <c r="A19" s="72">
        <v>201</v>
      </c>
      <c r="B19" s="103" t="s">
        <v>90</v>
      </c>
      <c r="C19" s="103" t="s">
        <v>64</v>
      </c>
      <c r="D19" s="103" t="s">
        <v>96</v>
      </c>
      <c r="E19" s="103" t="s">
        <v>97</v>
      </c>
      <c r="F19" s="103" t="s">
        <v>98</v>
      </c>
      <c r="G19" s="103" t="s">
        <v>99</v>
      </c>
      <c r="H19" s="124">
        <v>2024680010163</v>
      </c>
      <c r="I19" s="100" t="s">
        <v>178</v>
      </c>
      <c r="J19" s="101">
        <f>1988269038.66+75000000-70000000</f>
        <v>1993269038.6600001</v>
      </c>
      <c r="K19" s="101">
        <f>613200000+75000000-70000000</f>
        <v>618200000</v>
      </c>
      <c r="L19" s="100" t="s">
        <v>179</v>
      </c>
      <c r="M19" s="100" t="s">
        <v>180</v>
      </c>
      <c r="N19" s="100">
        <v>180</v>
      </c>
      <c r="O19" s="102" t="s">
        <v>319</v>
      </c>
      <c r="P19" s="138">
        <v>460000000</v>
      </c>
      <c r="Q19" s="15"/>
      <c r="R19" s="15"/>
      <c r="S19" s="15"/>
      <c r="T19" s="15"/>
      <c r="U19" s="15"/>
      <c r="V19" s="15"/>
      <c r="W19" s="15"/>
      <c r="X19" s="15"/>
      <c r="Y19" s="15"/>
      <c r="Z19" s="15"/>
      <c r="AA19" s="15"/>
      <c r="AB19" s="15"/>
      <c r="AC19" s="15"/>
      <c r="AD19" s="15"/>
      <c r="AE19" s="58">
        <f>SUM(Tabla13[[#This Row],[Recursos propios 2025]:[Recursos del Balance]])</f>
        <v>460000000</v>
      </c>
      <c r="AF19" s="76">
        <v>280000000</v>
      </c>
      <c r="AG19" s="15"/>
      <c r="AH19" s="15"/>
      <c r="AI19" s="15"/>
      <c r="AJ19" s="15"/>
      <c r="AK19" s="15"/>
      <c r="AL19" s="15"/>
      <c r="AM19" s="15"/>
      <c r="AN19" s="15"/>
      <c r="AO19" s="15"/>
      <c r="AP19" s="15"/>
      <c r="AQ19" s="15"/>
      <c r="AR19" s="15"/>
      <c r="AS19" s="15"/>
      <c r="AT19" s="122">
        <v>0</v>
      </c>
      <c r="AU19" s="15">
        <f>SUM(Tabla13[[#This Row],[Recursos propios 20252]:[Recursos del Balance2]])</f>
        <v>280000000</v>
      </c>
      <c r="AV19" s="98">
        <v>225090000</v>
      </c>
      <c r="AW19" s="98">
        <v>225090000</v>
      </c>
      <c r="AX19" s="20">
        <f>+Tabla13[[#This Row],[Total Recursos Comprometido 2025]]/Tabla13[[#This Row],[Total 2025]]</f>
        <v>0.60869565217391308</v>
      </c>
      <c r="AY19" s="29">
        <f>+Tabla13[[#This Row],[Total Recursos Obligados]]/Tabla13[[#This Row],[Total 2025]]</f>
        <v>0.48932608695652174</v>
      </c>
      <c r="AZ19" s="30">
        <f>+Tabla13[[#This Row],[Total Recursos Pagados]]/Tabla13[[#This Row],[Total 2025]]</f>
        <v>0.48932608695652174</v>
      </c>
      <c r="BA19" s="81"/>
      <c r="BB19" s="67" t="str">
        <f>IF(Tabla13[[#This Row],[Total Recursos Gestionados2]]=0,"_",IF(Tabla13[[#This Row],[Ejecución Recursos Comprometidos]]=0,100%,Tabla13[[#This Row],[Total Recursos Gestionados2]]/Tabla13[[#This Row],[Ejecución Recursos Comprometidos]]))</f>
        <v>_</v>
      </c>
      <c r="BC19" s="65" t="s">
        <v>225</v>
      </c>
      <c r="BD19" s="71" t="s">
        <v>226</v>
      </c>
      <c r="BE19" s="65">
        <v>10</v>
      </c>
    </row>
    <row r="20" spans="1:57" s="10" customFormat="1" ht="20.45" customHeight="1">
      <c r="A20" s="70">
        <v>202</v>
      </c>
      <c r="B20" s="99" t="s">
        <v>90</v>
      </c>
      <c r="C20" s="99" t="s">
        <v>91</v>
      </c>
      <c r="D20" s="99" t="s">
        <v>92</v>
      </c>
      <c r="E20" s="99" t="s">
        <v>93</v>
      </c>
      <c r="F20" s="99" t="s">
        <v>100</v>
      </c>
      <c r="G20" s="99" t="s">
        <v>101</v>
      </c>
      <c r="H20" s="124">
        <v>2024680010143</v>
      </c>
      <c r="I20" s="100" t="s">
        <v>181</v>
      </c>
      <c r="J20" s="101">
        <f>2408364138.76+36000000+70000000</f>
        <v>2514364138.7600002</v>
      </c>
      <c r="K20" s="101">
        <f>240000000+36000000+70000000</f>
        <v>346000000</v>
      </c>
      <c r="L20" s="100" t="s">
        <v>179</v>
      </c>
      <c r="M20" s="100" t="s">
        <v>180</v>
      </c>
      <c r="N20" s="100">
        <v>277938</v>
      </c>
      <c r="O20" s="102" t="s">
        <v>320</v>
      </c>
      <c r="P20" s="138">
        <f>200000000+70000000</f>
        <v>270000000</v>
      </c>
      <c r="Q20" s="15"/>
      <c r="R20" s="15"/>
      <c r="S20" s="15"/>
      <c r="T20" s="15"/>
      <c r="U20" s="15"/>
      <c r="V20" s="15"/>
      <c r="W20" s="15"/>
      <c r="X20" s="15"/>
      <c r="Y20" s="15"/>
      <c r="Z20" s="15"/>
      <c r="AA20" s="15"/>
      <c r="AB20" s="15"/>
      <c r="AC20" s="15"/>
      <c r="AD20" s="15"/>
      <c r="AE20" s="58">
        <f>SUM(Tabla13[[#This Row],[Recursos propios 2025]:[Recursos del Balance]])</f>
        <v>270000000</v>
      </c>
      <c r="AF20" s="76">
        <v>200000000</v>
      </c>
      <c r="AG20" s="15"/>
      <c r="AH20" s="15"/>
      <c r="AI20" s="15"/>
      <c r="AJ20" s="15"/>
      <c r="AK20" s="15"/>
      <c r="AL20" s="15"/>
      <c r="AM20" s="15"/>
      <c r="AN20" s="15"/>
      <c r="AO20" s="15"/>
      <c r="AP20" s="15"/>
      <c r="AQ20" s="15"/>
      <c r="AR20" s="15"/>
      <c r="AS20" s="15"/>
      <c r="AT20" s="122">
        <v>0</v>
      </c>
      <c r="AU20" s="15">
        <f>SUM(Tabla13[[#This Row],[Recursos propios 20252]:[Recursos del Balance2]])</f>
        <v>200000000</v>
      </c>
      <c r="AV20" s="98">
        <v>116112393</v>
      </c>
      <c r="AW20" s="98">
        <v>116112393</v>
      </c>
      <c r="AX20" s="20">
        <f>+Tabla13[[#This Row],[Total Recursos Comprometido 2025]]/Tabla13[[#This Row],[Total 2025]]</f>
        <v>0.7407407407407407</v>
      </c>
      <c r="AY20" s="29">
        <f>+Tabla13[[#This Row],[Total Recursos Obligados]]/Tabla13[[#This Row],[Total 2025]]</f>
        <v>0.43004589999999998</v>
      </c>
      <c r="AZ20" s="30">
        <f>+Tabla13[[#This Row],[Total Recursos Pagados]]/Tabla13[[#This Row],[Total 2025]]</f>
        <v>0.43004589999999998</v>
      </c>
      <c r="BA20" s="81"/>
      <c r="BB20" s="67" t="str">
        <f>IF(Tabla13[[#This Row],[Total Recursos Gestionados2]]=0,"_",IF(Tabla13[[#This Row],[Ejecución Recursos Comprometidos]]=0,100%,Tabla13[[#This Row],[Total Recursos Gestionados2]]/Tabla13[[#This Row],[Ejecución Recursos Comprometidos]]))</f>
        <v>_</v>
      </c>
      <c r="BC20" s="71" t="s">
        <v>225</v>
      </c>
      <c r="BD20" s="65" t="s">
        <v>226</v>
      </c>
      <c r="BE20" s="71">
        <v>10</v>
      </c>
    </row>
    <row r="21" spans="1:57" s="16" customFormat="1" ht="20.45" customHeight="1">
      <c r="A21" s="72">
        <v>203</v>
      </c>
      <c r="B21" s="103" t="s">
        <v>90</v>
      </c>
      <c r="C21" s="103" t="s">
        <v>64</v>
      </c>
      <c r="D21" s="103" t="s">
        <v>96</v>
      </c>
      <c r="E21" s="103" t="s">
        <v>97</v>
      </c>
      <c r="F21" s="103" t="s">
        <v>98</v>
      </c>
      <c r="G21" s="103" t="s">
        <v>102</v>
      </c>
      <c r="H21" s="124">
        <v>2024680010163</v>
      </c>
      <c r="I21" s="100" t="s">
        <v>178</v>
      </c>
      <c r="J21" s="101"/>
      <c r="K21" s="101"/>
      <c r="L21" s="100" t="s">
        <v>179</v>
      </c>
      <c r="M21" s="100" t="s">
        <v>180</v>
      </c>
      <c r="N21" s="100">
        <v>31057</v>
      </c>
      <c r="O21" s="102" t="s">
        <v>321</v>
      </c>
      <c r="P21" s="76">
        <v>83200000</v>
      </c>
      <c r="Q21" s="15"/>
      <c r="R21" s="15"/>
      <c r="S21" s="15"/>
      <c r="T21" s="15"/>
      <c r="U21" s="15"/>
      <c r="V21" s="15"/>
      <c r="W21" s="15"/>
      <c r="X21" s="15"/>
      <c r="Y21" s="15"/>
      <c r="Z21" s="15"/>
      <c r="AA21" s="15"/>
      <c r="AB21" s="15"/>
      <c r="AC21" s="15"/>
      <c r="AD21" s="15">
        <v>75000000</v>
      </c>
      <c r="AE21" s="58">
        <f>SUM(Tabla13[[#This Row],[Recursos propios 2025]:[Recursos del Balance]])</f>
        <v>158200000</v>
      </c>
      <c r="AF21" s="76">
        <v>82500000</v>
      </c>
      <c r="AG21" s="15"/>
      <c r="AH21" s="15"/>
      <c r="AI21" s="15"/>
      <c r="AJ21" s="15"/>
      <c r="AK21" s="15"/>
      <c r="AL21" s="15"/>
      <c r="AM21" s="15"/>
      <c r="AN21" s="15"/>
      <c r="AO21" s="15"/>
      <c r="AP21" s="15"/>
      <c r="AQ21" s="15"/>
      <c r="AR21" s="15"/>
      <c r="AS21" s="15"/>
      <c r="AT21" s="122">
        <v>72730000</v>
      </c>
      <c r="AU21" s="15">
        <f>SUM(Tabla13[[#This Row],[Recursos propios 20252]:[Recursos del Balance2]])</f>
        <v>155230000</v>
      </c>
      <c r="AV21" s="98">
        <v>124880000</v>
      </c>
      <c r="AW21" s="98">
        <v>124880000</v>
      </c>
      <c r="AX21" s="20">
        <f>+Tabla13[[#This Row],[Total Recursos Comprometido 2025]]/Tabla13[[#This Row],[Total 2025]]</f>
        <v>0.98122629582806575</v>
      </c>
      <c r="AY21" s="29">
        <f>+Tabla13[[#This Row],[Total Recursos Obligados]]/Tabla13[[#This Row],[Total 2025]]</f>
        <v>0.78938053097345129</v>
      </c>
      <c r="AZ21" s="30">
        <f>+Tabla13[[#This Row],[Total Recursos Pagados]]/Tabla13[[#This Row],[Total 2025]]</f>
        <v>0.78938053097345129</v>
      </c>
      <c r="BA21" s="81"/>
      <c r="BB21" s="67" t="str">
        <f>IF(Tabla13[[#This Row],[Total Recursos Gestionados2]]=0,"_",IF(Tabla13[[#This Row],[Ejecución Recursos Comprometidos]]=0,100%,Tabla13[[#This Row],[Total Recursos Gestionados2]]/Tabla13[[#This Row],[Ejecución Recursos Comprometidos]]))</f>
        <v>_</v>
      </c>
      <c r="BC21" s="65" t="s">
        <v>225</v>
      </c>
      <c r="BD21" s="71" t="s">
        <v>226</v>
      </c>
      <c r="BE21" s="65">
        <v>10</v>
      </c>
    </row>
    <row r="22" spans="1:57" s="10" customFormat="1" ht="20.45" customHeight="1">
      <c r="A22" s="70">
        <v>204</v>
      </c>
      <c r="B22" s="99" t="s">
        <v>90</v>
      </c>
      <c r="C22" s="99" t="s">
        <v>64</v>
      </c>
      <c r="D22" s="99" t="s">
        <v>103</v>
      </c>
      <c r="E22" s="99" t="s">
        <v>104</v>
      </c>
      <c r="F22" s="99" t="s">
        <v>105</v>
      </c>
      <c r="G22" s="99" t="s">
        <v>106</v>
      </c>
      <c r="H22" s="124">
        <v>2024680010066</v>
      </c>
      <c r="I22" s="100" t="s">
        <v>182</v>
      </c>
      <c r="J22" s="101">
        <f>8143880621.35+167000000</f>
        <v>8310880621.3500004</v>
      </c>
      <c r="K22" s="101">
        <f>2322000000+167000000</f>
        <v>2489000000</v>
      </c>
      <c r="L22" s="100" t="s">
        <v>183</v>
      </c>
      <c r="M22" s="100" t="s">
        <v>184</v>
      </c>
      <c r="N22" s="100">
        <v>500</v>
      </c>
      <c r="O22" s="102" t="s">
        <v>322</v>
      </c>
      <c r="P22" s="76">
        <v>522000000</v>
      </c>
      <c r="Q22" s="15"/>
      <c r="R22" s="15"/>
      <c r="S22" s="15"/>
      <c r="T22" s="15"/>
      <c r="U22" s="15"/>
      <c r="V22" s="15"/>
      <c r="W22" s="15"/>
      <c r="X22" s="15"/>
      <c r="Y22" s="15"/>
      <c r="Z22" s="15"/>
      <c r="AA22" s="15"/>
      <c r="AB22" s="15"/>
      <c r="AC22" s="15"/>
      <c r="AD22" s="15">
        <v>167000000</v>
      </c>
      <c r="AE22" s="58">
        <f>SUM(Tabla13[[#This Row],[Recursos propios 2025]:[Recursos del Balance]])</f>
        <v>689000000</v>
      </c>
      <c r="AF22" s="76">
        <v>477511328.67000002</v>
      </c>
      <c r="AG22" s="15"/>
      <c r="AH22" s="15"/>
      <c r="AI22" s="15"/>
      <c r="AJ22" s="15"/>
      <c r="AK22" s="15"/>
      <c r="AL22" s="15"/>
      <c r="AM22" s="15"/>
      <c r="AN22" s="15"/>
      <c r="AO22" s="15"/>
      <c r="AP22" s="15"/>
      <c r="AQ22" s="15"/>
      <c r="AR22" s="15"/>
      <c r="AS22" s="15"/>
      <c r="AT22" s="122">
        <v>75793333.329999998</v>
      </c>
      <c r="AU22" s="15">
        <f>SUM(Tabla13[[#This Row],[Recursos propios 20252]:[Recursos del Balance2]])</f>
        <v>553304662</v>
      </c>
      <c r="AV22" s="98">
        <v>423823590.67000002</v>
      </c>
      <c r="AW22" s="98">
        <v>418276924.00999999</v>
      </c>
      <c r="AX22" s="21">
        <f>+Tabla13[[#This Row],[Total Recursos Comprometido 2025]]/Tabla13[[#This Row],[Total 2025]]</f>
        <v>0.8030546618287373</v>
      </c>
      <c r="AY22" s="18">
        <f>+Tabla13[[#This Row],[Total Recursos Obligados]]/Tabla13[[#This Row],[Total 2025]]</f>
        <v>0.61512857862119019</v>
      </c>
      <c r="AZ22" s="22">
        <f>+Tabla13[[#This Row],[Total Recursos Pagados]]/Tabla13[[#This Row],[Total 2025]]</f>
        <v>0.60707826416545718</v>
      </c>
      <c r="BA22" s="79"/>
      <c r="BB22" s="66" t="str">
        <f>IF(Tabla13[[#This Row],[Total Recursos Gestionados2]]=0,"_",IF(Tabla13[[#This Row],[Ejecución Recursos Comprometidos]]=0,100%,Tabla13[[#This Row],[Total Recursos Gestionados2]]/Tabla13[[#This Row],[Ejecución Recursos Comprometidos]]))</f>
        <v>_</v>
      </c>
      <c r="BC22" s="71" t="s">
        <v>225</v>
      </c>
      <c r="BD22" s="65" t="s">
        <v>226</v>
      </c>
      <c r="BE22" s="71">
        <v>10</v>
      </c>
    </row>
    <row r="23" spans="1:57" s="16" customFormat="1" ht="20.45" customHeight="1">
      <c r="A23" s="72">
        <v>205</v>
      </c>
      <c r="B23" s="103" t="s">
        <v>90</v>
      </c>
      <c r="C23" s="103" t="s">
        <v>64</v>
      </c>
      <c r="D23" s="103" t="s">
        <v>103</v>
      </c>
      <c r="E23" s="103" t="s">
        <v>104</v>
      </c>
      <c r="F23" s="103" t="s">
        <v>107</v>
      </c>
      <c r="G23" s="103" t="s">
        <v>108</v>
      </c>
      <c r="H23" s="124">
        <v>2024680010066</v>
      </c>
      <c r="I23" s="100" t="s">
        <v>182</v>
      </c>
      <c r="J23" s="101"/>
      <c r="K23" s="101"/>
      <c r="L23" s="100" t="s">
        <v>183</v>
      </c>
      <c r="M23" s="100" t="s">
        <v>184</v>
      </c>
      <c r="N23" s="100">
        <v>500</v>
      </c>
      <c r="O23" s="102" t="s">
        <v>306</v>
      </c>
      <c r="P23" s="76">
        <v>1800000000</v>
      </c>
      <c r="Q23" s="15"/>
      <c r="R23" s="15"/>
      <c r="S23" s="15"/>
      <c r="T23" s="15"/>
      <c r="U23" s="15"/>
      <c r="V23" s="15"/>
      <c r="W23" s="15"/>
      <c r="X23" s="15"/>
      <c r="Y23" s="15"/>
      <c r="Z23" s="15"/>
      <c r="AA23" s="15"/>
      <c r="AB23" s="15"/>
      <c r="AC23" s="15"/>
      <c r="AD23" s="15"/>
      <c r="AE23" s="58">
        <f>SUM(Tabla13[[#This Row],[Recursos propios 2025]:[Recursos del Balance]])</f>
        <v>1800000000</v>
      </c>
      <c r="AF23" s="76">
        <v>1580454539.5799999</v>
      </c>
      <c r="AG23" s="15"/>
      <c r="AH23" s="15"/>
      <c r="AI23" s="15"/>
      <c r="AJ23" s="15"/>
      <c r="AK23" s="15"/>
      <c r="AL23" s="15"/>
      <c r="AM23" s="15"/>
      <c r="AN23" s="15"/>
      <c r="AO23" s="15"/>
      <c r="AP23" s="15"/>
      <c r="AQ23" s="15"/>
      <c r="AR23" s="15"/>
      <c r="AS23" s="15"/>
      <c r="AT23" s="122">
        <v>0</v>
      </c>
      <c r="AU23" s="15">
        <f>SUM(Tabla13[[#This Row],[Recursos propios 20252]:[Recursos del Balance2]])</f>
        <v>1580454539.5799999</v>
      </c>
      <c r="AV23" s="98">
        <v>1319442211.75</v>
      </c>
      <c r="AW23" s="98">
        <v>1319442211.75</v>
      </c>
      <c r="AX23" s="20">
        <f>+Tabla13[[#This Row],[Total Recursos Comprometido 2025]]/Tabla13[[#This Row],[Total 2025]]</f>
        <v>0.87803029976666658</v>
      </c>
      <c r="AY23" s="29">
        <f>+Tabla13[[#This Row],[Total Recursos Obligados]]/Tabla13[[#This Row],[Total 2025]]</f>
        <v>0.73302345097222221</v>
      </c>
      <c r="AZ23" s="30">
        <f>+Tabla13[[#This Row],[Total Recursos Pagados]]/Tabla13[[#This Row],[Total 2025]]</f>
        <v>0.73302345097222221</v>
      </c>
      <c r="BA23" s="82">
        <v>175967944</v>
      </c>
      <c r="BB23" s="67">
        <f>IF(Tabla13[[#This Row],[Total Recursos Gestionados2]]=0,"_",IF(Tabla13[[#This Row],[Ejecución Recursos Comprometidos]]=0,100%,Tabla13[[#This Row],[Total Recursos Gestionados2]]/Tabla13[[#This Row],[Ejecución Recursos Comprometidos]]))</f>
        <v>200412154.39462951</v>
      </c>
      <c r="BC23" s="65" t="s">
        <v>225</v>
      </c>
      <c r="BD23" s="71" t="s">
        <v>226</v>
      </c>
      <c r="BE23" s="65">
        <v>10</v>
      </c>
    </row>
    <row r="24" spans="1:57" s="10" customFormat="1" ht="20.45" customHeight="1">
      <c r="A24" s="70">
        <v>206</v>
      </c>
      <c r="B24" s="99" t="s">
        <v>90</v>
      </c>
      <c r="C24" s="99" t="s">
        <v>64</v>
      </c>
      <c r="D24" s="99" t="s">
        <v>96</v>
      </c>
      <c r="E24" s="99" t="s">
        <v>97</v>
      </c>
      <c r="F24" s="99" t="s">
        <v>98</v>
      </c>
      <c r="G24" s="103" t="s">
        <v>109</v>
      </c>
      <c r="H24" s="124">
        <v>2024680010086</v>
      </c>
      <c r="I24" s="100" t="s">
        <v>185</v>
      </c>
      <c r="J24" s="101">
        <f>641853148.4+15000000</f>
        <v>656853148.39999998</v>
      </c>
      <c r="K24" s="101">
        <f>60000000+15000000</f>
        <v>75000000</v>
      </c>
      <c r="L24" s="100" t="s">
        <v>186</v>
      </c>
      <c r="M24" s="100" t="s">
        <v>187</v>
      </c>
      <c r="N24" s="100">
        <v>25000</v>
      </c>
      <c r="O24" s="102" t="s">
        <v>323</v>
      </c>
      <c r="P24" s="76">
        <v>60000000</v>
      </c>
      <c r="Q24" s="15"/>
      <c r="R24" s="15"/>
      <c r="S24" s="15"/>
      <c r="T24" s="15"/>
      <c r="U24" s="15"/>
      <c r="V24" s="15"/>
      <c r="W24" s="15"/>
      <c r="X24" s="15"/>
      <c r="Y24" s="15"/>
      <c r="Z24" s="15"/>
      <c r="AA24" s="15"/>
      <c r="AB24" s="15"/>
      <c r="AC24" s="15"/>
      <c r="AD24" s="15">
        <v>15000000</v>
      </c>
      <c r="AE24" s="58">
        <f>SUM(Tabla13[[#This Row],[Recursos propios 2025]:[Recursos del Balance]])</f>
        <v>75000000</v>
      </c>
      <c r="AF24" s="76">
        <v>52100000</v>
      </c>
      <c r="AG24" s="15"/>
      <c r="AH24" s="15"/>
      <c r="AI24" s="15"/>
      <c r="AJ24" s="15"/>
      <c r="AK24" s="15"/>
      <c r="AL24" s="15"/>
      <c r="AM24" s="15"/>
      <c r="AN24" s="15"/>
      <c r="AO24" s="15"/>
      <c r="AP24" s="15"/>
      <c r="AQ24" s="15"/>
      <c r="AR24" s="15"/>
      <c r="AS24" s="15"/>
      <c r="AT24" s="122">
        <v>13466666.67</v>
      </c>
      <c r="AU24" s="15">
        <f>SUM(Tabla13[[#This Row],[Recursos propios 20252]:[Recursos del Balance2]])</f>
        <v>65566666.670000002</v>
      </c>
      <c r="AV24" s="98">
        <v>52966666.670000002</v>
      </c>
      <c r="AW24" s="98">
        <v>52966666.670000002</v>
      </c>
      <c r="AX24" s="20">
        <f>+Tabla13[[#This Row],[Total Recursos Comprometido 2025]]/Tabla13[[#This Row],[Total 2025]]</f>
        <v>0.87422222226666668</v>
      </c>
      <c r="AY24" s="29">
        <f>+Tabla13[[#This Row],[Total Recursos Obligados]]/Tabla13[[#This Row],[Total 2025]]</f>
        <v>0.70622222226666664</v>
      </c>
      <c r="AZ24" s="30">
        <f>+Tabla13[[#This Row],[Total Recursos Pagados]]/Tabla13[[#This Row],[Total 2025]]</f>
        <v>0.70622222226666664</v>
      </c>
      <c r="BA24" s="81"/>
      <c r="BB24" s="67" t="str">
        <f>IF(Tabla13[[#This Row],[Total Recursos Gestionados2]]=0,"_",IF(Tabla13[[#This Row],[Ejecución Recursos Comprometidos]]=0,100%,Tabla13[[#This Row],[Total Recursos Gestionados2]]/Tabla13[[#This Row],[Ejecución Recursos Comprometidos]]))</f>
        <v>_</v>
      </c>
      <c r="BC24" s="71" t="s">
        <v>225</v>
      </c>
      <c r="BD24" s="65" t="s">
        <v>226</v>
      </c>
      <c r="BE24" s="71">
        <v>10</v>
      </c>
    </row>
    <row r="25" spans="1:57" s="10" customFormat="1" ht="20.45" customHeight="1">
      <c r="A25" s="72">
        <v>207</v>
      </c>
      <c r="B25" s="103" t="s">
        <v>90</v>
      </c>
      <c r="C25" s="103" t="s">
        <v>64</v>
      </c>
      <c r="D25" s="103" t="s">
        <v>96</v>
      </c>
      <c r="E25" s="103" t="s">
        <v>97</v>
      </c>
      <c r="F25" s="103" t="s">
        <v>98</v>
      </c>
      <c r="G25" s="103" t="s">
        <v>110</v>
      </c>
      <c r="H25" s="124">
        <v>2024680010140</v>
      </c>
      <c r="I25" s="100" t="s">
        <v>188</v>
      </c>
      <c r="J25" s="101">
        <f>823551953.96+70000000+30000000</f>
        <v>923551953.96000004</v>
      </c>
      <c r="K25" s="101">
        <f>203400000+70000000+30000000</f>
        <v>303400000</v>
      </c>
      <c r="L25" s="100" t="s">
        <v>189</v>
      </c>
      <c r="M25" s="100" t="s">
        <v>190</v>
      </c>
      <c r="N25" s="100">
        <v>4800</v>
      </c>
      <c r="O25" s="102" t="s">
        <v>324</v>
      </c>
      <c r="P25" s="76">
        <v>203400000</v>
      </c>
      <c r="Q25" s="15"/>
      <c r="R25" s="15"/>
      <c r="S25" s="15"/>
      <c r="T25" s="15"/>
      <c r="U25" s="15"/>
      <c r="V25" s="15"/>
      <c r="W25" s="15"/>
      <c r="X25" s="15"/>
      <c r="Y25" s="15"/>
      <c r="Z25" s="15"/>
      <c r="AA25" s="15"/>
      <c r="AB25" s="15"/>
      <c r="AC25" s="15"/>
      <c r="AD25" s="15">
        <v>100000000</v>
      </c>
      <c r="AE25" s="58">
        <f>SUM(Tabla13[[#This Row],[Recursos propios 2025]:[Recursos del Balance]])</f>
        <v>303400000</v>
      </c>
      <c r="AF25" s="76">
        <v>181800000</v>
      </c>
      <c r="AG25" s="15"/>
      <c r="AH25" s="15"/>
      <c r="AI25" s="15"/>
      <c r="AJ25" s="15"/>
      <c r="AK25" s="15"/>
      <c r="AL25" s="15"/>
      <c r="AM25" s="15"/>
      <c r="AN25" s="15"/>
      <c r="AO25" s="15"/>
      <c r="AP25" s="15"/>
      <c r="AQ25" s="15"/>
      <c r="AR25" s="15"/>
      <c r="AS25" s="15"/>
      <c r="AT25" s="122">
        <v>62666666.68</v>
      </c>
      <c r="AU25" s="15">
        <f>SUM(Tabla13[[#This Row],[Recursos propios 20252]:[Recursos del Balance2]])</f>
        <v>244466666.68000001</v>
      </c>
      <c r="AV25" s="98">
        <v>208546666.67999998</v>
      </c>
      <c r="AW25" s="98">
        <v>204546666.67999998</v>
      </c>
      <c r="AX25" s="61">
        <f>+Tabla13[[#This Row],[Total Recursos Comprometido 2025]]/Tabla13[[#This Row],[Total 2025]]</f>
        <v>0.80575697653263023</v>
      </c>
      <c r="AY25" s="19">
        <f>+Tabla13[[#This Row],[Total Recursos Obligados]]/Tabla13[[#This Row],[Total 2025]]</f>
        <v>0.68736541423862885</v>
      </c>
      <c r="AZ25" s="62">
        <f>+Tabla13[[#This Row],[Total Recursos Pagados]]/Tabla13[[#This Row],[Total 2025]]</f>
        <v>0.67418149861568877</v>
      </c>
      <c r="BA25" s="80"/>
      <c r="BB25" s="67" t="str">
        <f>IF(Tabla13[[#This Row],[Total Recursos Gestionados2]]=0,"_",IF(Tabla13[[#This Row],[Ejecución Recursos Comprometidos]]=0,100%,Tabla13[[#This Row],[Total Recursos Gestionados2]]/Tabla13[[#This Row],[Ejecución Recursos Comprometidos]]))</f>
        <v>_</v>
      </c>
      <c r="BC25" s="65" t="s">
        <v>225</v>
      </c>
      <c r="BD25" s="71" t="s">
        <v>226</v>
      </c>
      <c r="BE25" s="65" t="s">
        <v>228</v>
      </c>
    </row>
    <row r="26" spans="1:57" s="10" customFormat="1" ht="20.45" customHeight="1">
      <c r="A26" s="70">
        <v>208</v>
      </c>
      <c r="B26" s="99" t="s">
        <v>90</v>
      </c>
      <c r="C26" s="99" t="s">
        <v>91</v>
      </c>
      <c r="D26" s="99" t="s">
        <v>92</v>
      </c>
      <c r="E26" s="99" t="s">
        <v>93</v>
      </c>
      <c r="F26" s="99" t="s">
        <v>100</v>
      </c>
      <c r="G26" s="99" t="s">
        <v>111</v>
      </c>
      <c r="H26" s="124">
        <v>2024680010147</v>
      </c>
      <c r="I26" s="100" t="s">
        <v>191</v>
      </c>
      <c r="J26" s="101">
        <f>1608758068.61+50000000+30000000+30025500+79974500</f>
        <v>1798758068.6099999</v>
      </c>
      <c r="K26" s="101">
        <f>538400000+50000000+30000000+30025500+79974500</f>
        <v>728400000</v>
      </c>
      <c r="L26" s="100" t="s">
        <v>192</v>
      </c>
      <c r="M26" s="100" t="s">
        <v>190</v>
      </c>
      <c r="N26" s="100">
        <v>6000</v>
      </c>
      <c r="O26" s="102" t="s">
        <v>325</v>
      </c>
      <c r="P26" s="77">
        <f>538400000+30025500</f>
        <v>568425500</v>
      </c>
      <c r="Q26" s="17"/>
      <c r="R26" s="17"/>
      <c r="S26" s="17"/>
      <c r="T26" s="17"/>
      <c r="U26" s="17"/>
      <c r="V26" s="17"/>
      <c r="W26" s="17"/>
      <c r="X26" s="17"/>
      <c r="Y26" s="17"/>
      <c r="Z26" s="17"/>
      <c r="AA26" s="17"/>
      <c r="AB26" s="17"/>
      <c r="AC26" s="17"/>
      <c r="AD26" s="17">
        <v>159974500</v>
      </c>
      <c r="AE26" s="58">
        <f>SUM(Tabla13[[#This Row],[Recursos propios 2025]:[Recursos del Balance]])</f>
        <v>728400000</v>
      </c>
      <c r="AF26" s="76">
        <v>536496400</v>
      </c>
      <c r="AG26" s="17"/>
      <c r="AH26" s="17"/>
      <c r="AI26" s="17"/>
      <c r="AJ26" s="17"/>
      <c r="AK26" s="17"/>
      <c r="AL26" s="17"/>
      <c r="AM26" s="17"/>
      <c r="AN26" s="17"/>
      <c r="AO26" s="17"/>
      <c r="AP26" s="17"/>
      <c r="AQ26" s="17"/>
      <c r="AR26" s="17"/>
      <c r="AS26" s="17"/>
      <c r="AT26" s="122">
        <v>39300000</v>
      </c>
      <c r="AU26" s="15">
        <f>SUM(Tabla13[[#This Row],[Recursos propios 20252]:[Recursos del Balance2]])</f>
        <v>575796400</v>
      </c>
      <c r="AV26" s="98">
        <v>399910722.32999998</v>
      </c>
      <c r="AW26" s="98">
        <v>399910722.32999998</v>
      </c>
      <c r="AX26" s="21">
        <f>+Tabla13[[#This Row],[Total Recursos Comprometido 2025]]/Tabla13[[#This Row],[Total 2025]]</f>
        <v>0.79049478308621635</v>
      </c>
      <c r="AY26" s="18">
        <f>+Tabla13[[#This Row],[Total Recursos Obligados]]/Tabla13[[#This Row],[Total 2025]]</f>
        <v>0.54902625251235582</v>
      </c>
      <c r="AZ26" s="22">
        <f>+Tabla13[[#This Row],[Total Recursos Pagados]]/Tabla13[[#This Row],[Total 2025]]</f>
        <v>0.54902625251235582</v>
      </c>
      <c r="BA26" s="79"/>
      <c r="BB26" s="66" t="str">
        <f>IF(Tabla13[[#This Row],[Total Recursos Gestionados2]]=0,"_",IF(Tabla13[[#This Row],[Ejecución Recursos Comprometidos]]=0,100%,Tabla13[[#This Row],[Total Recursos Gestionados2]]/Tabla13[[#This Row],[Ejecución Recursos Comprometidos]]))</f>
        <v>_</v>
      </c>
      <c r="BC26" s="71" t="s">
        <v>225</v>
      </c>
      <c r="BD26" s="65" t="s">
        <v>226</v>
      </c>
      <c r="BE26" s="71" t="s">
        <v>228</v>
      </c>
    </row>
    <row r="27" spans="1:57" s="10" customFormat="1" ht="20.45" customHeight="1">
      <c r="A27" s="72">
        <v>209</v>
      </c>
      <c r="B27" s="103" t="s">
        <v>90</v>
      </c>
      <c r="C27" s="103" t="s">
        <v>64</v>
      </c>
      <c r="D27" s="103" t="s">
        <v>96</v>
      </c>
      <c r="E27" s="103" t="s">
        <v>97</v>
      </c>
      <c r="F27" s="103" t="s">
        <v>98</v>
      </c>
      <c r="G27" s="103" t="s">
        <v>112</v>
      </c>
      <c r="H27" s="124">
        <v>2024680010126</v>
      </c>
      <c r="I27" s="100" t="s">
        <v>193</v>
      </c>
      <c r="J27" s="101">
        <f>9600872091.75+5317950000-63424435-1284683960</f>
        <v>13570713696.75</v>
      </c>
      <c r="K27" s="101">
        <f>1383941867+5317950000-63424435-1284683960</f>
        <v>5353783472</v>
      </c>
      <c r="L27" s="100" t="s">
        <v>186</v>
      </c>
      <c r="M27" s="100" t="s">
        <v>194</v>
      </c>
      <c r="N27" s="100">
        <v>1600</v>
      </c>
      <c r="O27" s="102" t="s">
        <v>326</v>
      </c>
      <c r="P27" s="77">
        <v>99216000</v>
      </c>
      <c r="Q27" s="17"/>
      <c r="R27" s="17"/>
      <c r="S27" s="17"/>
      <c r="T27" s="17"/>
      <c r="U27" s="17"/>
      <c r="V27" s="17"/>
      <c r="W27" s="17"/>
      <c r="X27" s="17"/>
      <c r="Y27" s="17"/>
      <c r="Z27" s="17"/>
      <c r="AA27" s="17"/>
      <c r="AB27" s="17"/>
      <c r="AC27" s="17"/>
      <c r="AD27" s="17">
        <v>173525565</v>
      </c>
      <c r="AE27" s="58">
        <f>SUM(Tabla13[[#This Row],[Recursos propios 2025]:[Recursos del Balance]])</f>
        <v>272741565</v>
      </c>
      <c r="AF27" s="76">
        <v>77093333.329999983</v>
      </c>
      <c r="AG27" s="17"/>
      <c r="AH27" s="17"/>
      <c r="AI27" s="17"/>
      <c r="AJ27" s="17"/>
      <c r="AK27" s="17"/>
      <c r="AL27" s="17"/>
      <c r="AM27" s="17"/>
      <c r="AN27" s="17"/>
      <c r="AO27" s="17"/>
      <c r="AP27" s="17"/>
      <c r="AQ27" s="17"/>
      <c r="AR27" s="17"/>
      <c r="AS27" s="17"/>
      <c r="AT27" s="122">
        <v>154660000</v>
      </c>
      <c r="AU27" s="15">
        <f>SUM(Tabla13[[#This Row],[Recursos propios 20252]:[Recursos del Balance2]])</f>
        <v>231753333.32999998</v>
      </c>
      <c r="AV27" s="98">
        <v>143059999.99000001</v>
      </c>
      <c r="AW27" s="98">
        <v>131859999.98999999</v>
      </c>
      <c r="AX27" s="61">
        <f>+Tabla13[[#This Row],[Total Recursos Comprometido 2025]]/Tabla13[[#This Row],[Total 2025]]</f>
        <v>0.84971769275431119</v>
      </c>
      <c r="AY27" s="19">
        <f>+Tabla13[[#This Row],[Total Recursos Obligados]]/Tabla13[[#This Row],[Total 2025]]</f>
        <v>0.52452584551973225</v>
      </c>
      <c r="AZ27" s="62">
        <f>+Tabla13[[#This Row],[Total Recursos Pagados]]/Tabla13[[#This Row],[Total 2025]]</f>
        <v>0.48346133083895737</v>
      </c>
      <c r="BA27" s="80"/>
      <c r="BB27" s="67" t="str">
        <f>IF(Tabla13[[#This Row],[Total Recursos Gestionados2]]=0,"_",IF(Tabla13[[#This Row],[Ejecución Recursos Comprometidos]]=0,100%,Tabla13[[#This Row],[Total Recursos Gestionados2]]/Tabla13[[#This Row],[Ejecución Recursos Comprometidos]]))</f>
        <v>_</v>
      </c>
      <c r="BC27" s="65" t="s">
        <v>225</v>
      </c>
      <c r="BD27" s="71" t="s">
        <v>226</v>
      </c>
      <c r="BE27" s="65">
        <v>10</v>
      </c>
    </row>
    <row r="28" spans="1:57" s="10" customFormat="1" ht="20.45" customHeight="1">
      <c r="A28" s="70">
        <v>210</v>
      </c>
      <c r="B28" s="99" t="s">
        <v>90</v>
      </c>
      <c r="C28" s="99" t="s">
        <v>64</v>
      </c>
      <c r="D28" s="99" t="s">
        <v>103</v>
      </c>
      <c r="E28" s="99" t="s">
        <v>104</v>
      </c>
      <c r="F28" s="99" t="s">
        <v>113</v>
      </c>
      <c r="G28" s="99" t="s">
        <v>114</v>
      </c>
      <c r="H28" s="124">
        <v>2024680010170</v>
      </c>
      <c r="I28" s="100"/>
      <c r="J28" s="101">
        <f>525383293.54+63424435</f>
        <v>588807728.53999996</v>
      </c>
      <c r="K28" s="101">
        <f>525383293.54+63424435</f>
        <v>588807728.53999996</v>
      </c>
      <c r="L28" s="100"/>
      <c r="M28" s="100"/>
      <c r="N28" s="100"/>
      <c r="O28" s="102"/>
      <c r="P28" s="76">
        <v>0</v>
      </c>
      <c r="Q28" s="15"/>
      <c r="R28" s="15"/>
      <c r="S28" s="15"/>
      <c r="T28" s="15"/>
      <c r="U28" s="15"/>
      <c r="V28" s="15"/>
      <c r="W28" s="15"/>
      <c r="X28" s="15"/>
      <c r="Y28" s="15"/>
      <c r="Z28" s="15"/>
      <c r="AA28" s="15"/>
      <c r="AB28" s="15"/>
      <c r="AC28" s="15"/>
      <c r="AD28" s="136">
        <v>588807728.53999996</v>
      </c>
      <c r="AE28" s="57">
        <f>SUM(Tabla13[[#This Row],[Recursos propios 2025]:[Recursos del Balance]])</f>
        <v>588807728.53999996</v>
      </c>
      <c r="AF28" s="76">
        <v>0</v>
      </c>
      <c r="AG28" s="15"/>
      <c r="AH28" s="15"/>
      <c r="AI28" s="15"/>
      <c r="AJ28" s="15"/>
      <c r="AK28" s="15"/>
      <c r="AL28" s="15"/>
      <c r="AM28" s="15"/>
      <c r="AN28" s="15"/>
      <c r="AO28" s="15"/>
      <c r="AP28" s="15"/>
      <c r="AQ28" s="15"/>
      <c r="AR28" s="15"/>
      <c r="AS28" s="15"/>
      <c r="AT28" s="122">
        <v>0</v>
      </c>
      <c r="AU28" s="17">
        <f>SUM(Tabla13[[#This Row],[Recursos propios 20252]:[Recursos del Balance2]])</f>
        <v>0</v>
      </c>
      <c r="AV28" s="98">
        <v>0</v>
      </c>
      <c r="AW28" s="98">
        <v>0</v>
      </c>
      <c r="AX28" s="21">
        <f>+Tabla13[[#This Row],[Total Recursos Comprometido 2025]]/Tabla13[[#This Row],[Total 2025]]</f>
        <v>0</v>
      </c>
      <c r="AY28" s="18">
        <f>+Tabla13[[#This Row],[Total Recursos Obligados]]/Tabla13[[#This Row],[Total 2025]]</f>
        <v>0</v>
      </c>
      <c r="AZ28" s="22">
        <f>+Tabla13[[#This Row],[Total Recursos Pagados]]/Tabla13[[#This Row],[Total 2025]]</f>
        <v>0</v>
      </c>
      <c r="BA28" s="79"/>
      <c r="BB28" s="66" t="str">
        <f>IF(Tabla13[[#This Row],[Total Recursos Gestionados2]]=0,"_",IF(Tabla13[[#This Row],[Ejecución Recursos Comprometidos]]=0,100%,Tabla13[[#This Row],[Total Recursos Gestionados2]]/Tabla13[[#This Row],[Ejecución Recursos Comprometidos]]))</f>
        <v>_</v>
      </c>
      <c r="BC28" s="71" t="s">
        <v>225</v>
      </c>
      <c r="BD28" s="65" t="s">
        <v>226</v>
      </c>
      <c r="BE28" s="71">
        <v>10</v>
      </c>
    </row>
    <row r="29" spans="1:57" s="10" customFormat="1" ht="20.45" customHeight="1" thickBot="1">
      <c r="A29" s="72">
        <v>211</v>
      </c>
      <c r="B29" s="103" t="s">
        <v>90</v>
      </c>
      <c r="C29" s="103" t="s">
        <v>64</v>
      </c>
      <c r="D29" s="103" t="s">
        <v>103</v>
      </c>
      <c r="E29" s="103" t="s">
        <v>104</v>
      </c>
      <c r="F29" s="103" t="s">
        <v>115</v>
      </c>
      <c r="G29" s="125" t="s">
        <v>116</v>
      </c>
      <c r="H29" s="126">
        <v>2024680010125</v>
      </c>
      <c r="I29" s="100" t="s">
        <v>195</v>
      </c>
      <c r="J29" s="127">
        <f>30889872363.66+3265785436.1</f>
        <v>34155657799.759998</v>
      </c>
      <c r="K29" s="127">
        <f>10055426971+3265785436.1</f>
        <v>13321212407.1</v>
      </c>
      <c r="L29" s="128" t="s">
        <v>186</v>
      </c>
      <c r="M29" s="128" t="s">
        <v>194</v>
      </c>
      <c r="N29" s="128">
        <v>8400</v>
      </c>
      <c r="O29" s="129" t="s">
        <v>196</v>
      </c>
      <c r="P29" s="78">
        <v>1285684000</v>
      </c>
      <c r="Q29" s="59"/>
      <c r="R29" s="59"/>
      <c r="S29" s="59"/>
      <c r="T29" s="59"/>
      <c r="U29" s="59"/>
      <c r="V29" s="59"/>
      <c r="W29" s="59"/>
      <c r="X29" s="59"/>
      <c r="Y29" s="59"/>
      <c r="Z29" s="59"/>
      <c r="AA29" s="59"/>
      <c r="AB29" s="59"/>
      <c r="AC29" s="59">
        <f>300000000+400000000-100000000</f>
        <v>600000000</v>
      </c>
      <c r="AD29" s="139">
        <v>1210000000</v>
      </c>
      <c r="AE29" s="140">
        <f>SUM(Tabla13[[#This Row],[Recursos propios 2025]:[Recursos del Balance]])</f>
        <v>3095684000</v>
      </c>
      <c r="AF29" s="76">
        <v>1144600000</v>
      </c>
      <c r="AG29" s="59"/>
      <c r="AH29" s="59"/>
      <c r="AI29" s="59"/>
      <c r="AJ29" s="59"/>
      <c r="AK29" s="59"/>
      <c r="AL29" s="59"/>
      <c r="AM29" s="59"/>
      <c r="AN29" s="59"/>
      <c r="AO29" s="59"/>
      <c r="AP29" s="59"/>
      <c r="AQ29" s="59"/>
      <c r="AR29" s="59"/>
      <c r="AS29" s="59">
        <v>505719999.98000002</v>
      </c>
      <c r="AT29" s="122">
        <v>601885378.10000014</v>
      </c>
      <c r="AU29" s="91">
        <f>SUM(Tabla13[[#This Row],[Recursos propios 20252]:[Recursos del Balance2]])</f>
        <v>2252205378.0799999</v>
      </c>
      <c r="AV29" s="98">
        <v>1397883794.9799995</v>
      </c>
      <c r="AW29" s="98">
        <v>1343323794.9899998</v>
      </c>
      <c r="AX29" s="61">
        <f>+Tabla13[[#This Row],[Total Recursos Comprometido 2025]]/Tabla13[[#This Row],[Total 2025]]</f>
        <v>0.72753077448473424</v>
      </c>
      <c r="AY29" s="19">
        <f>+Tabla13[[#This Row],[Total Recursos Obligados]]/Tabla13[[#This Row],[Total 2025]]</f>
        <v>0.45155894302519234</v>
      </c>
      <c r="AZ29" s="62">
        <f>+Tabla13[[#This Row],[Total Recursos Pagados]]/Tabla13[[#This Row],[Total 2025]]</f>
        <v>0.4339344051233911</v>
      </c>
      <c r="BA29" s="80"/>
      <c r="BB29" s="67" t="str">
        <f>IF(Tabla13[[#This Row],[Total Recursos Gestionados2]]=0,"_",IF(Tabla13[[#This Row],[Ejecución Recursos Comprometidos]]=0,100%,Tabla13[[#This Row],[Total Recursos Gestionados2]]/Tabla13[[#This Row],[Ejecución Recursos Comprometidos]]))</f>
        <v>_</v>
      </c>
      <c r="BC29" s="65" t="s">
        <v>225</v>
      </c>
      <c r="BD29" s="71" t="s">
        <v>226</v>
      </c>
      <c r="BE29" s="65">
        <v>10</v>
      </c>
    </row>
    <row r="30" spans="1:57" ht="20.45" customHeight="1">
      <c r="A30" s="70">
        <v>212</v>
      </c>
      <c r="B30" s="99" t="s">
        <v>90</v>
      </c>
      <c r="C30" s="99" t="s">
        <v>64</v>
      </c>
      <c r="D30" s="99" t="s">
        <v>103</v>
      </c>
      <c r="E30" s="99" t="s">
        <v>104</v>
      </c>
      <c r="F30" s="99" t="s">
        <v>115</v>
      </c>
      <c r="G30" s="99" t="s">
        <v>117</v>
      </c>
      <c r="H30" s="113">
        <v>2024680010125</v>
      </c>
      <c r="I30" s="130" t="s">
        <v>195</v>
      </c>
      <c r="J30" s="114"/>
      <c r="K30" s="114"/>
      <c r="L30" s="106" t="s">
        <v>186</v>
      </c>
      <c r="M30" s="106" t="s">
        <v>194</v>
      </c>
      <c r="N30" s="106">
        <v>940</v>
      </c>
      <c r="O30" s="131" t="s">
        <v>197</v>
      </c>
      <c r="P30" s="76">
        <v>0</v>
      </c>
      <c r="Q30" s="15"/>
      <c r="R30" s="15"/>
      <c r="S30" s="15"/>
      <c r="T30" s="15"/>
      <c r="U30" s="15"/>
      <c r="V30" s="15"/>
      <c r="W30" s="15"/>
      <c r="X30" s="15"/>
      <c r="Y30" s="15"/>
      <c r="Z30" s="15"/>
      <c r="AA30" s="15"/>
      <c r="AB30" s="15"/>
      <c r="AC30" s="15">
        <f>5308402320-400000000+100000000</f>
        <v>5008402320</v>
      </c>
      <c r="AD30" s="136"/>
      <c r="AE30" s="141">
        <f>SUM(Tabla13[[#This Row],[Recursos propios 2025]:[Recursos del Balance]])</f>
        <v>5008402320</v>
      </c>
      <c r="AF30" s="76">
        <v>0</v>
      </c>
      <c r="AG30" s="15"/>
      <c r="AH30" s="15"/>
      <c r="AI30" s="15"/>
      <c r="AJ30" s="15"/>
      <c r="AK30" s="15"/>
      <c r="AL30" s="15"/>
      <c r="AM30" s="15"/>
      <c r="AN30" s="15"/>
      <c r="AO30" s="15"/>
      <c r="AP30" s="15"/>
      <c r="AQ30" s="15"/>
      <c r="AR30" s="15"/>
      <c r="AS30" s="15">
        <v>4311384408</v>
      </c>
      <c r="AT30" s="122">
        <v>0</v>
      </c>
      <c r="AU30" s="75">
        <f>SUM(Tabla13[[#This Row],[Recursos propios 20252]:[Recursos del Balance2]])</f>
        <v>4311384408</v>
      </c>
      <c r="AV30" s="98">
        <v>3741343300</v>
      </c>
      <c r="AW30" s="98">
        <v>3741343300</v>
      </c>
      <c r="AX30" s="116">
        <f>+Tabla13[[#This Row],[Total Recursos Comprometido 2025]]/Tabla13[[#This Row],[Total 2025]]</f>
        <v>0.86083028729209599</v>
      </c>
      <c r="AY30" s="123">
        <f>+Tabla13[[#This Row],[Total Recursos Obligados]]/Tabla13[[#This Row],[Total 2025]]</f>
        <v>0.74701333098975164</v>
      </c>
      <c r="AZ30" s="132">
        <f>+Tabla13[[#This Row],[Total Recursos Pagados]]/Tabla13[[#This Row],[Total 2025]]</f>
        <v>0.74701333098975164</v>
      </c>
      <c r="BA30" s="133">
        <v>3421764060</v>
      </c>
      <c r="BB30" s="75">
        <f>IF(Tabla13[[#This Row],[Total Recursos Gestionados2]]=0,"_",IF(Tabla13[[#This Row],[Ejecución Recursos Comprometidos]]=0,100%,Tabla13[[#This Row],[Total Recursos Gestionados2]]/Tabla13[[#This Row],[Ejecución Recursos Comprometidos]]))</f>
        <v>3974957794.25211</v>
      </c>
      <c r="BC30" s="71" t="s">
        <v>225</v>
      </c>
      <c r="BD30" s="65" t="s">
        <v>226</v>
      </c>
      <c r="BE30" s="71">
        <v>10</v>
      </c>
    </row>
    <row r="31" spans="1:57" ht="20.45" customHeight="1">
      <c r="A31" s="72">
        <v>213</v>
      </c>
      <c r="B31" s="103" t="s">
        <v>90</v>
      </c>
      <c r="C31" s="103" t="s">
        <v>64</v>
      </c>
      <c r="D31" s="103" t="s">
        <v>103</v>
      </c>
      <c r="E31" s="103" t="s">
        <v>104</v>
      </c>
      <c r="F31" s="103" t="s">
        <v>115</v>
      </c>
      <c r="G31" s="103" t="s">
        <v>118</v>
      </c>
      <c r="H31" s="113">
        <v>2024680010125</v>
      </c>
      <c r="I31" s="106" t="s">
        <v>195</v>
      </c>
      <c r="J31" s="114"/>
      <c r="K31" s="114"/>
      <c r="L31" s="106" t="s">
        <v>186</v>
      </c>
      <c r="M31" s="106" t="s">
        <v>194</v>
      </c>
      <c r="N31" s="106">
        <v>700</v>
      </c>
      <c r="O31" s="106" t="s">
        <v>198</v>
      </c>
      <c r="P31" s="76">
        <v>0</v>
      </c>
      <c r="Q31" s="15"/>
      <c r="R31" s="15"/>
      <c r="S31" s="15"/>
      <c r="T31" s="15"/>
      <c r="U31" s="15"/>
      <c r="V31" s="15"/>
      <c r="W31" s="15"/>
      <c r="X31" s="15"/>
      <c r="Y31" s="15"/>
      <c r="Z31" s="15"/>
      <c r="AA31" s="15"/>
      <c r="AB31" s="15"/>
      <c r="AC31" s="15">
        <v>3161340651</v>
      </c>
      <c r="AD31" s="136">
        <v>2055785436.0999999</v>
      </c>
      <c r="AE31" s="142">
        <f>SUM(Tabla13[[#This Row],[Recursos propios 2025]:[Recursos del Balance]])</f>
        <v>5217126087.1000004</v>
      </c>
      <c r="AF31" s="76">
        <v>0</v>
      </c>
      <c r="AG31" s="15"/>
      <c r="AH31" s="15"/>
      <c r="AI31" s="15"/>
      <c r="AJ31" s="15"/>
      <c r="AK31" s="15"/>
      <c r="AL31" s="15"/>
      <c r="AM31" s="15"/>
      <c r="AN31" s="15"/>
      <c r="AO31" s="15"/>
      <c r="AP31" s="15"/>
      <c r="AQ31" s="15"/>
      <c r="AR31" s="15"/>
      <c r="AS31" s="15">
        <v>3161148523</v>
      </c>
      <c r="AT31" s="122">
        <v>1422724243</v>
      </c>
      <c r="AU31" s="75">
        <f>SUM(Tabla13[[#This Row],[Recursos propios 20252]:[Recursos del Balance2]])</f>
        <v>4583872766</v>
      </c>
      <c r="AV31" s="98">
        <v>3983185236</v>
      </c>
      <c r="AW31" s="98">
        <v>3983185236</v>
      </c>
      <c r="AX31" s="116">
        <f>+Tabla13[[#This Row],[Total Recursos Comprometido 2025]]/Tabla13[[#This Row],[Total 2025]]</f>
        <v>0.87862027665656794</v>
      </c>
      <c r="AY31" s="123">
        <f>+Tabla13[[#This Row],[Total Recursos Obligados]]/Tabla13[[#This Row],[Total 2025]]</f>
        <v>0.76348264724690584</v>
      </c>
      <c r="AZ31" s="132">
        <f>+Tabla13[[#This Row],[Total Recursos Pagados]]/Tabla13[[#This Row],[Total 2025]]</f>
        <v>0.76348264724690584</v>
      </c>
      <c r="BA31" s="133">
        <v>2304903735</v>
      </c>
      <c r="BB31" s="75">
        <f>IF(Tabla13[[#This Row],[Total Recursos Gestionados2]]=0,"_",IF(Tabla13[[#This Row],[Ejecución Recursos Comprometidos]]=0,100%,Tabla13[[#This Row],[Total Recursos Gestionados2]]/Tabla13[[#This Row],[Ejecución Recursos Comprometidos]]))</f>
        <v>2623321810.6129966</v>
      </c>
      <c r="BC31" s="65" t="s">
        <v>225</v>
      </c>
      <c r="BD31" s="71" t="s">
        <v>226</v>
      </c>
      <c r="BE31" s="65">
        <v>10</v>
      </c>
    </row>
    <row r="32" spans="1:57" ht="20.45" customHeight="1">
      <c r="A32" s="70">
        <v>214</v>
      </c>
      <c r="B32" s="99" t="s">
        <v>90</v>
      </c>
      <c r="C32" s="99" t="s">
        <v>64</v>
      </c>
      <c r="D32" s="99" t="s">
        <v>103</v>
      </c>
      <c r="E32" s="99" t="s">
        <v>104</v>
      </c>
      <c r="F32" s="99" t="s">
        <v>119</v>
      </c>
      <c r="G32" s="99" t="s">
        <v>120</v>
      </c>
      <c r="H32" s="113">
        <v>2024680010155</v>
      </c>
      <c r="I32" s="106" t="s">
        <v>199</v>
      </c>
      <c r="J32" s="114">
        <f>6708276568+1104683960+90000000</f>
        <v>7902960528</v>
      </c>
      <c r="K32" s="114">
        <f>2001690782+1104683960+90000000</f>
        <v>3196374742</v>
      </c>
      <c r="L32" s="106" t="s">
        <v>186</v>
      </c>
      <c r="M32" s="106" t="s">
        <v>200</v>
      </c>
      <c r="N32" s="106">
        <v>2200</v>
      </c>
      <c r="O32" s="106" t="s">
        <v>327</v>
      </c>
      <c r="P32" s="76">
        <f>2001690782</f>
        <v>2001690782</v>
      </c>
      <c r="Q32" s="15"/>
      <c r="R32" s="15"/>
      <c r="S32" s="15"/>
      <c r="T32" s="15"/>
      <c r="U32" s="15"/>
      <c r="V32" s="15"/>
      <c r="W32" s="15"/>
      <c r="X32" s="15"/>
      <c r="Y32" s="15"/>
      <c r="Z32" s="15"/>
      <c r="AA32" s="15"/>
      <c r="AB32" s="15"/>
      <c r="AC32" s="15"/>
      <c r="AD32" s="136">
        <v>1194683960</v>
      </c>
      <c r="AE32" s="142">
        <f>SUM(Tabla13[[#This Row],[Recursos propios 2025]:[Recursos del Balance]])</f>
        <v>3196374742</v>
      </c>
      <c r="AF32" s="76">
        <v>1999939840.0299995</v>
      </c>
      <c r="AG32" s="15"/>
      <c r="AH32" s="15"/>
      <c r="AI32" s="15"/>
      <c r="AJ32" s="15"/>
      <c r="AK32" s="15"/>
      <c r="AL32" s="15"/>
      <c r="AM32" s="15"/>
      <c r="AN32" s="15"/>
      <c r="AO32" s="15"/>
      <c r="AP32" s="15"/>
      <c r="AQ32" s="15"/>
      <c r="AR32" s="15"/>
      <c r="AS32" s="15"/>
      <c r="AT32" s="122">
        <v>550520266.87000012</v>
      </c>
      <c r="AU32" s="75">
        <f>SUM(Tabla13[[#This Row],[Recursos propios 20252]:[Recursos del Balance2]])</f>
        <v>2550460106.8999996</v>
      </c>
      <c r="AV32" s="98">
        <v>2093165828.9000001</v>
      </c>
      <c r="AW32" s="98">
        <v>1927315828.9000001</v>
      </c>
      <c r="AX32" s="116">
        <f>+Tabla13[[#This Row],[Total Recursos Comprometido 2025]]/Tabla13[[#This Row],[Total 2025]]</f>
        <v>0.79792274459788592</v>
      </c>
      <c r="AY32" s="123">
        <f>+Tabla13[[#This Row],[Total Recursos Obligados]]/Tabla13[[#This Row],[Total 2025]]</f>
        <v>0.65485620362219721</v>
      </c>
      <c r="AZ32" s="132">
        <f>+Tabla13[[#This Row],[Total Recursos Pagados]]/Tabla13[[#This Row],[Total 2025]]</f>
        <v>0.60296929630161622</v>
      </c>
      <c r="BA32" s="134">
        <v>502564776</v>
      </c>
      <c r="BB32" s="75">
        <f>IF(Tabla13[[#This Row],[Total Recursos Gestionados2]]=0,"_",IF(Tabla13[[#This Row],[Ejecución Recursos Comprometidos]]=0,100%,Tabla13[[#This Row],[Total Recursos Gestionados2]]/Tabla13[[#This Row],[Ejecución Recursos Comprometidos]]))</f>
        <v>629841396.80498528</v>
      </c>
      <c r="BC32" s="71" t="s">
        <v>225</v>
      </c>
      <c r="BD32" s="65" t="s">
        <v>226</v>
      </c>
      <c r="BE32" s="71">
        <v>10</v>
      </c>
    </row>
    <row r="33" spans="1:57" ht="20.45" customHeight="1">
      <c r="A33" s="72">
        <v>215</v>
      </c>
      <c r="B33" s="103" t="s">
        <v>90</v>
      </c>
      <c r="C33" s="103" t="s">
        <v>64</v>
      </c>
      <c r="D33" s="103" t="s">
        <v>96</v>
      </c>
      <c r="E33" s="103" t="s">
        <v>97</v>
      </c>
      <c r="F33" s="103" t="s">
        <v>121</v>
      </c>
      <c r="G33" s="103" t="s">
        <v>122</v>
      </c>
      <c r="H33" s="113">
        <v>2024680010127</v>
      </c>
      <c r="I33" s="106" t="s">
        <v>201</v>
      </c>
      <c r="J33" s="114">
        <f>2113159891.71+157050000+50000000+40000000</f>
        <v>2360209891.71</v>
      </c>
      <c r="K33" s="114">
        <f>647754693+157050000+50000000+40000000</f>
        <v>894804693</v>
      </c>
      <c r="L33" s="106" t="s">
        <v>186</v>
      </c>
      <c r="M33" s="106" t="s">
        <v>202</v>
      </c>
      <c r="N33" s="106">
        <v>4400</v>
      </c>
      <c r="O33" s="106" t="s">
        <v>328</v>
      </c>
      <c r="P33" s="76">
        <v>160000000</v>
      </c>
      <c r="Q33" s="15"/>
      <c r="R33" s="15"/>
      <c r="S33" s="15"/>
      <c r="T33" s="15"/>
      <c r="U33" s="15"/>
      <c r="V33" s="15"/>
      <c r="W33" s="15"/>
      <c r="X33" s="15"/>
      <c r="Y33" s="15"/>
      <c r="Z33" s="15"/>
      <c r="AA33" s="15"/>
      <c r="AB33" s="15"/>
      <c r="AC33" s="15"/>
      <c r="AD33" s="136">
        <v>137050000</v>
      </c>
      <c r="AE33" s="142">
        <f>SUM(Tabla13[[#This Row],[Recursos propios 2025]:[Recursos del Balance]])</f>
        <v>297050000</v>
      </c>
      <c r="AF33" s="76">
        <v>159400000</v>
      </c>
      <c r="AG33" s="15"/>
      <c r="AH33" s="15"/>
      <c r="AI33" s="15"/>
      <c r="AJ33" s="15"/>
      <c r="AK33" s="15"/>
      <c r="AL33" s="15"/>
      <c r="AM33" s="15"/>
      <c r="AN33" s="15"/>
      <c r="AO33" s="15"/>
      <c r="AP33" s="15"/>
      <c r="AQ33" s="15"/>
      <c r="AR33" s="15"/>
      <c r="AS33" s="15"/>
      <c r="AT33" s="122">
        <v>98740000</v>
      </c>
      <c r="AU33" s="75">
        <f>SUM(Tabla13[[#This Row],[Recursos propios 20252]:[Recursos del Balance2]])</f>
        <v>258140000</v>
      </c>
      <c r="AV33" s="98">
        <v>180931100</v>
      </c>
      <c r="AW33" s="98">
        <v>180931100</v>
      </c>
      <c r="AX33" s="116">
        <f>+Tabla13[[#This Row],[Total Recursos Comprometido 2025]]/Tabla13[[#This Row],[Total 2025]]</f>
        <v>0.86901195085002525</v>
      </c>
      <c r="AY33" s="123">
        <f>+Tabla13[[#This Row],[Total Recursos Obligados]]/Tabla13[[#This Row],[Total 2025]]</f>
        <v>0.60909308197273182</v>
      </c>
      <c r="AZ33" s="132">
        <f>+Tabla13[[#This Row],[Total Recursos Pagados]]/Tabla13[[#This Row],[Total 2025]]</f>
        <v>0.60909308197273182</v>
      </c>
      <c r="BA33" s="135"/>
      <c r="BB33" s="75" t="str">
        <f>IF(Tabla13[[#This Row],[Total Recursos Gestionados2]]=0,"_",IF(Tabla13[[#This Row],[Ejecución Recursos Comprometidos]]=0,100%,Tabla13[[#This Row],[Total Recursos Gestionados2]]/Tabla13[[#This Row],[Ejecución Recursos Comprometidos]]))</f>
        <v>_</v>
      </c>
      <c r="BC33" s="65" t="s">
        <v>225</v>
      </c>
      <c r="BD33" s="71" t="s">
        <v>226</v>
      </c>
      <c r="BE33" s="65">
        <v>10</v>
      </c>
    </row>
    <row r="34" spans="1:57" ht="20.45" customHeight="1">
      <c r="A34" s="70">
        <v>216</v>
      </c>
      <c r="B34" s="99" t="s">
        <v>90</v>
      </c>
      <c r="C34" s="99" t="s">
        <v>91</v>
      </c>
      <c r="D34" s="99" t="s">
        <v>92</v>
      </c>
      <c r="E34" s="99" t="s">
        <v>93</v>
      </c>
      <c r="F34" s="99" t="s">
        <v>100</v>
      </c>
      <c r="G34" s="99" t="s">
        <v>123</v>
      </c>
      <c r="H34" s="113">
        <v>2024680010154</v>
      </c>
      <c r="I34" s="106" t="s">
        <v>203</v>
      </c>
      <c r="J34" s="114">
        <f>2547555986.2+101000000</f>
        <v>2648555986.1999998</v>
      </c>
      <c r="K34" s="114">
        <f>290800000+101000000</f>
        <v>391800000</v>
      </c>
      <c r="L34" s="106" t="s">
        <v>204</v>
      </c>
      <c r="M34" s="106" t="s">
        <v>205</v>
      </c>
      <c r="N34" s="106">
        <v>1300</v>
      </c>
      <c r="O34" s="106" t="s">
        <v>329</v>
      </c>
      <c r="P34" s="117">
        <f>199500000+11500000</f>
        <v>211000000</v>
      </c>
      <c r="Q34" s="15"/>
      <c r="R34" s="15"/>
      <c r="S34" s="15"/>
      <c r="T34" s="15"/>
      <c r="U34" s="15"/>
      <c r="V34" s="15"/>
      <c r="W34" s="15"/>
      <c r="X34" s="15"/>
      <c r="Y34" s="15"/>
      <c r="Z34" s="15"/>
      <c r="AA34" s="15"/>
      <c r="AB34" s="15"/>
      <c r="AC34" s="15"/>
      <c r="AD34" s="136">
        <v>81000000</v>
      </c>
      <c r="AE34" s="142">
        <f>SUM(Tabla13[[#This Row],[Recursos propios 2025]:[Recursos del Balance]])</f>
        <v>292000000</v>
      </c>
      <c r="AF34" s="76">
        <v>211000000</v>
      </c>
      <c r="AG34" s="15"/>
      <c r="AH34" s="15"/>
      <c r="AI34" s="15"/>
      <c r="AJ34" s="15"/>
      <c r="AK34" s="15"/>
      <c r="AL34" s="15"/>
      <c r="AM34" s="15"/>
      <c r="AN34" s="15"/>
      <c r="AO34" s="15"/>
      <c r="AP34" s="15"/>
      <c r="AQ34" s="15"/>
      <c r="AR34" s="15"/>
      <c r="AS34" s="15"/>
      <c r="AT34" s="122">
        <v>25683333.329999998</v>
      </c>
      <c r="AU34" s="75">
        <f>SUM(Tabla13[[#This Row],[Recursos propios 20252]:[Recursos del Balance2]])</f>
        <v>236683333.32999998</v>
      </c>
      <c r="AV34" s="98">
        <v>200068796.66999999</v>
      </c>
      <c r="AW34" s="98">
        <v>200068796.66999999</v>
      </c>
      <c r="AX34" s="116">
        <f>+Tabla13[[#This Row],[Total Recursos Comprometido 2025]]/Tabla13[[#This Row],[Total 2025]]</f>
        <v>0.810559360719178</v>
      </c>
      <c r="AY34" s="123">
        <f>+Tabla13[[#This Row],[Total Recursos Obligados]]/Tabla13[[#This Row],[Total 2025]]</f>
        <v>0.68516711188356161</v>
      </c>
      <c r="AZ34" s="132">
        <f>+Tabla13[[#This Row],[Total Recursos Pagados]]/Tabla13[[#This Row],[Total 2025]]</f>
        <v>0.68516711188356161</v>
      </c>
      <c r="BA34" s="135"/>
      <c r="BB34" s="75" t="str">
        <f>IF(Tabla13[[#This Row],[Total Recursos Gestionados2]]=0,"_",IF(Tabla13[[#This Row],[Ejecución Recursos Comprometidos]]=0,100%,Tabla13[[#This Row],[Total Recursos Gestionados2]]/Tabla13[[#This Row],[Ejecución Recursos Comprometidos]]))</f>
        <v>_</v>
      </c>
      <c r="BC34" s="71" t="s">
        <v>225</v>
      </c>
      <c r="BD34" s="65" t="s">
        <v>226</v>
      </c>
      <c r="BE34" s="71" t="s">
        <v>229</v>
      </c>
    </row>
    <row r="35" spans="1:57" ht="20.45" customHeight="1">
      <c r="A35" s="72">
        <v>217</v>
      </c>
      <c r="B35" s="103" t="s">
        <v>90</v>
      </c>
      <c r="C35" s="103" t="s">
        <v>91</v>
      </c>
      <c r="D35" s="103" t="s">
        <v>92</v>
      </c>
      <c r="E35" s="103" t="s">
        <v>93</v>
      </c>
      <c r="F35" s="103" t="s">
        <v>100</v>
      </c>
      <c r="G35" s="103" t="s">
        <v>124</v>
      </c>
      <c r="H35" s="113">
        <v>2024680010154</v>
      </c>
      <c r="I35" s="106" t="s">
        <v>203</v>
      </c>
      <c r="J35" s="114"/>
      <c r="K35" s="114"/>
      <c r="L35" s="106" t="s">
        <v>204</v>
      </c>
      <c r="M35" s="106" t="s">
        <v>205</v>
      </c>
      <c r="N35" s="106">
        <v>1300</v>
      </c>
      <c r="O35" s="106" t="s">
        <v>330</v>
      </c>
      <c r="P35" s="117">
        <f>91300000-11500000</f>
        <v>79800000</v>
      </c>
      <c r="Q35" s="15"/>
      <c r="R35" s="15"/>
      <c r="S35" s="15"/>
      <c r="T35" s="15"/>
      <c r="U35" s="15"/>
      <c r="V35" s="15"/>
      <c r="W35" s="15"/>
      <c r="X35" s="15"/>
      <c r="Y35" s="15"/>
      <c r="Z35" s="15"/>
      <c r="AA35" s="15"/>
      <c r="AB35" s="15"/>
      <c r="AC35" s="15"/>
      <c r="AD35" s="136">
        <v>20000000</v>
      </c>
      <c r="AE35" s="142">
        <f>SUM(Tabla13[[#This Row],[Recursos propios 2025]:[Recursos del Balance]])</f>
        <v>99800000</v>
      </c>
      <c r="AF35" s="76">
        <v>42923333.329999998</v>
      </c>
      <c r="AG35" s="15"/>
      <c r="AH35" s="15"/>
      <c r="AI35" s="15"/>
      <c r="AJ35" s="15"/>
      <c r="AK35" s="15"/>
      <c r="AL35" s="15"/>
      <c r="AM35" s="15"/>
      <c r="AN35" s="15"/>
      <c r="AO35" s="15"/>
      <c r="AP35" s="15"/>
      <c r="AQ35" s="15"/>
      <c r="AR35" s="15"/>
      <c r="AS35" s="15"/>
      <c r="AT35" s="122">
        <v>10000000</v>
      </c>
      <c r="AU35" s="75">
        <f>SUM(Tabla13[[#This Row],[Recursos propios 20252]:[Recursos del Balance2]])</f>
        <v>52923333.329999998</v>
      </c>
      <c r="AV35" s="98">
        <v>37820000</v>
      </c>
      <c r="AW35" s="98">
        <v>37820000</v>
      </c>
      <c r="AX35" s="116">
        <f>+Tabla13[[#This Row],[Total Recursos Comprometido 2025]]/Tabla13[[#This Row],[Total 2025]]</f>
        <v>0.53029392114228457</v>
      </c>
      <c r="AY35" s="123">
        <f>+Tabla13[[#This Row],[Total Recursos Obligados]]/Tabla13[[#This Row],[Total 2025]]</f>
        <v>0.37895791583166333</v>
      </c>
      <c r="AZ35" s="132">
        <f>+Tabla13[[#This Row],[Total Recursos Pagados]]/Tabla13[[#This Row],[Total 2025]]</f>
        <v>0.37895791583166333</v>
      </c>
      <c r="BA35" s="135"/>
      <c r="BB35" s="75" t="str">
        <f>IF(Tabla13[[#This Row],[Total Recursos Gestionados2]]=0,"_",IF(Tabla13[[#This Row],[Ejecución Recursos Comprometidos]]=0,100%,Tabla13[[#This Row],[Total Recursos Gestionados2]]/Tabla13[[#This Row],[Ejecución Recursos Comprometidos]]))</f>
        <v>_</v>
      </c>
      <c r="BC35" s="65" t="s">
        <v>225</v>
      </c>
      <c r="BD35" s="65" t="s">
        <v>226</v>
      </c>
      <c r="BE35" s="65">
        <v>10</v>
      </c>
    </row>
    <row r="36" spans="1:57" ht="20.45" customHeight="1">
      <c r="A36" s="70">
        <v>218</v>
      </c>
      <c r="B36" s="99" t="s">
        <v>90</v>
      </c>
      <c r="C36" s="99" t="s">
        <v>64</v>
      </c>
      <c r="D36" s="99" t="s">
        <v>65</v>
      </c>
      <c r="E36" s="99" t="s">
        <v>66</v>
      </c>
      <c r="F36" s="99" t="s">
        <v>125</v>
      </c>
      <c r="G36" s="99" t="s">
        <v>126</v>
      </c>
      <c r="H36" s="113">
        <v>2024680010141</v>
      </c>
      <c r="I36" s="106" t="s">
        <v>166</v>
      </c>
      <c r="J36" s="114"/>
      <c r="K36" s="114"/>
      <c r="L36" s="106" t="s">
        <v>167</v>
      </c>
      <c r="M36" s="106" t="s">
        <v>168</v>
      </c>
      <c r="N36" s="106">
        <v>30000</v>
      </c>
      <c r="O36" s="106" t="s">
        <v>331</v>
      </c>
      <c r="P36" s="76">
        <f>150000000-30025500</f>
        <v>119974500</v>
      </c>
      <c r="Q36" s="15"/>
      <c r="R36" s="15"/>
      <c r="S36" s="15"/>
      <c r="T36" s="15"/>
      <c r="U36" s="15"/>
      <c r="V36" s="15"/>
      <c r="W36" s="15"/>
      <c r="X36" s="15"/>
      <c r="Y36" s="15"/>
      <c r="Z36" s="15"/>
      <c r="AA36" s="15"/>
      <c r="AB36" s="15"/>
      <c r="AC36" s="15"/>
      <c r="AD36" s="136"/>
      <c r="AE36" s="142">
        <f>SUM(Tabla13[[#This Row],[Recursos propios 2025]:[Recursos del Balance]])</f>
        <v>119974500</v>
      </c>
      <c r="AF36" s="76">
        <v>117564546</v>
      </c>
      <c r="AG36" s="15"/>
      <c r="AH36" s="15"/>
      <c r="AI36" s="15"/>
      <c r="AJ36" s="15"/>
      <c r="AK36" s="15"/>
      <c r="AL36" s="15"/>
      <c r="AM36" s="15"/>
      <c r="AN36" s="15"/>
      <c r="AO36" s="15"/>
      <c r="AP36" s="15"/>
      <c r="AQ36" s="15"/>
      <c r="AR36" s="15"/>
      <c r="AS36" s="15"/>
      <c r="AT36" s="122">
        <v>0</v>
      </c>
      <c r="AU36" s="75">
        <f>SUM(Tabla13[[#This Row],[Recursos propios 20252]:[Recursos del Balance2]])</f>
        <v>117564546</v>
      </c>
      <c r="AV36" s="98">
        <v>0</v>
      </c>
      <c r="AW36" s="98">
        <v>0</v>
      </c>
      <c r="AX36" s="116">
        <f>+Tabla13[[#This Row],[Total Recursos Comprometido 2025]]/Tabla13[[#This Row],[Total 2025]]</f>
        <v>0.97991278146606153</v>
      </c>
      <c r="AY36" s="123">
        <f>+Tabla13[[#This Row],[Total Recursos Obligados]]/Tabla13[[#This Row],[Total 2025]]</f>
        <v>0</v>
      </c>
      <c r="AZ36" s="132">
        <f>+Tabla13[[#This Row],[Total Recursos Pagados]]/Tabla13[[#This Row],[Total 2025]]</f>
        <v>0</v>
      </c>
      <c r="BA36" s="135"/>
      <c r="BB36" s="75" t="str">
        <f>IF(Tabla13[[#This Row],[Total Recursos Gestionados2]]=0,"_",IF(Tabla13[[#This Row],[Ejecución Recursos Comprometidos]]=0,100%,Tabla13[[#This Row],[Total Recursos Gestionados2]]/Tabla13[[#This Row],[Ejecución Recursos Comprometidos]]))</f>
        <v>_</v>
      </c>
      <c r="BC36" s="71" t="s">
        <v>225</v>
      </c>
      <c r="BD36" s="71" t="s">
        <v>226</v>
      </c>
      <c r="BE36" s="71">
        <v>10</v>
      </c>
    </row>
    <row r="37" spans="1:57" ht="20.45" customHeight="1">
      <c r="A37" s="72">
        <v>219</v>
      </c>
      <c r="B37" s="103" t="s">
        <v>90</v>
      </c>
      <c r="C37" s="103" t="s">
        <v>64</v>
      </c>
      <c r="D37" s="103" t="s">
        <v>65</v>
      </c>
      <c r="E37" s="103" t="s">
        <v>66</v>
      </c>
      <c r="F37" s="103" t="s">
        <v>127</v>
      </c>
      <c r="G37" s="103" t="s">
        <v>128</v>
      </c>
      <c r="H37" s="113">
        <v>2024680010141</v>
      </c>
      <c r="I37" s="106" t="s">
        <v>166</v>
      </c>
      <c r="J37" s="114"/>
      <c r="K37" s="114"/>
      <c r="L37" s="106" t="s">
        <v>167</v>
      </c>
      <c r="M37" s="106" t="s">
        <v>168</v>
      </c>
      <c r="N37" s="106">
        <v>30000</v>
      </c>
      <c r="O37" s="106" t="s">
        <v>206</v>
      </c>
      <c r="P37" s="76">
        <v>239805000</v>
      </c>
      <c r="Q37" s="15"/>
      <c r="R37" s="15"/>
      <c r="S37" s="15"/>
      <c r="T37" s="15"/>
      <c r="U37" s="15"/>
      <c r="V37" s="15"/>
      <c r="W37" s="15"/>
      <c r="X37" s="15"/>
      <c r="Y37" s="15"/>
      <c r="Z37" s="15"/>
      <c r="AA37" s="15"/>
      <c r="AB37" s="15"/>
      <c r="AC37" s="15"/>
      <c r="AD37" s="136">
        <v>200000000</v>
      </c>
      <c r="AE37" s="142">
        <f>SUM(Tabla13[[#This Row],[Recursos propios 2025]:[Recursos del Balance]])</f>
        <v>439805000</v>
      </c>
      <c r="AF37" s="76">
        <v>239436666.6699999</v>
      </c>
      <c r="AG37" s="15"/>
      <c r="AH37" s="15"/>
      <c r="AI37" s="15"/>
      <c r="AJ37" s="15"/>
      <c r="AK37" s="15"/>
      <c r="AL37" s="15"/>
      <c r="AM37" s="15"/>
      <c r="AN37" s="15"/>
      <c r="AO37" s="15"/>
      <c r="AP37" s="15"/>
      <c r="AQ37" s="15"/>
      <c r="AR37" s="15"/>
      <c r="AS37" s="15"/>
      <c r="AT37" s="122">
        <v>96833333.359999999</v>
      </c>
      <c r="AU37" s="75">
        <f>SUM(Tabla13[[#This Row],[Recursos propios 20252]:[Recursos del Balance2]])</f>
        <v>336270000.02999991</v>
      </c>
      <c r="AV37" s="98">
        <v>274100000.01999998</v>
      </c>
      <c r="AW37" s="98">
        <v>274100000.01999998</v>
      </c>
      <c r="AX37" s="116">
        <f>+Tabla13[[#This Row],[Total Recursos Comprometido 2025]]/Tabla13[[#This Row],[Total 2025]]</f>
        <v>0.76458885194574844</v>
      </c>
      <c r="AY37" s="123">
        <f>+Tabla13[[#This Row],[Total Recursos Obligados]]/Tabla13[[#This Row],[Total 2025]]</f>
        <v>0.62323075003694817</v>
      </c>
      <c r="AZ37" s="132">
        <f>+Tabla13[[#This Row],[Total Recursos Pagados]]/Tabla13[[#This Row],[Total 2025]]</f>
        <v>0.62323075003694817</v>
      </c>
      <c r="BA37" s="135"/>
      <c r="BB37" s="75" t="str">
        <f>IF(Tabla13[[#This Row],[Total Recursos Gestionados2]]=0,"_",IF(Tabla13[[#This Row],[Ejecución Recursos Comprometidos]]=0,100%,Tabla13[[#This Row],[Total Recursos Gestionados2]]/Tabla13[[#This Row],[Ejecución Recursos Comprometidos]]))</f>
        <v>_</v>
      </c>
      <c r="BC37" s="65" t="s">
        <v>225</v>
      </c>
      <c r="BD37" s="65" t="s">
        <v>226</v>
      </c>
      <c r="BE37" s="65">
        <v>10</v>
      </c>
    </row>
    <row r="38" spans="1:57" ht="20.45" customHeight="1">
      <c r="A38" s="70">
        <v>220</v>
      </c>
      <c r="B38" s="99" t="s">
        <v>90</v>
      </c>
      <c r="C38" s="99" t="s">
        <v>64</v>
      </c>
      <c r="D38" s="99" t="s">
        <v>96</v>
      </c>
      <c r="E38" s="99" t="s">
        <v>97</v>
      </c>
      <c r="F38" s="99" t="s">
        <v>98</v>
      </c>
      <c r="G38" s="99" t="s">
        <v>129</v>
      </c>
      <c r="H38" s="113">
        <v>2024680010164</v>
      </c>
      <c r="I38" s="106" t="s">
        <v>207</v>
      </c>
      <c r="J38" s="114">
        <f>1218355431+75000000</f>
        <v>1293355431</v>
      </c>
      <c r="K38" s="114">
        <f>250000000+75000000</f>
        <v>325000000</v>
      </c>
      <c r="L38" s="106" t="s">
        <v>167</v>
      </c>
      <c r="M38" s="106" t="s">
        <v>208</v>
      </c>
      <c r="N38" s="106">
        <v>1000</v>
      </c>
      <c r="O38" s="106" t="s">
        <v>309</v>
      </c>
      <c r="P38" s="76">
        <v>100000000</v>
      </c>
      <c r="Q38" s="15"/>
      <c r="R38" s="15"/>
      <c r="S38" s="15"/>
      <c r="T38" s="15"/>
      <c r="U38" s="15"/>
      <c r="V38" s="15"/>
      <c r="W38" s="15"/>
      <c r="X38" s="15"/>
      <c r="Y38" s="15"/>
      <c r="Z38" s="15"/>
      <c r="AA38" s="15"/>
      <c r="AB38" s="15"/>
      <c r="AC38" s="15"/>
      <c r="AD38" s="136">
        <v>75000000</v>
      </c>
      <c r="AE38" s="142">
        <f>SUM(Tabla13[[#This Row],[Recursos propios 2025]:[Recursos del Balance]])</f>
        <v>175000000</v>
      </c>
      <c r="AF38" s="76">
        <v>100000000</v>
      </c>
      <c r="AG38" s="15"/>
      <c r="AH38" s="15"/>
      <c r="AI38" s="15"/>
      <c r="AJ38" s="15"/>
      <c r="AK38" s="15"/>
      <c r="AL38" s="15"/>
      <c r="AM38" s="15"/>
      <c r="AN38" s="15"/>
      <c r="AO38" s="15"/>
      <c r="AP38" s="15"/>
      <c r="AQ38" s="15"/>
      <c r="AR38" s="15"/>
      <c r="AS38" s="15"/>
      <c r="AT38" s="122">
        <v>0</v>
      </c>
      <c r="AU38" s="75">
        <f>SUM(Tabla13[[#This Row],[Recursos propios 20252]:[Recursos del Balance2]])</f>
        <v>100000000</v>
      </c>
      <c r="AV38" s="98">
        <v>100000000</v>
      </c>
      <c r="AW38" s="98">
        <v>100000000</v>
      </c>
      <c r="AX38" s="116">
        <f>+Tabla13[[#This Row],[Total Recursos Comprometido 2025]]/Tabla13[[#This Row],[Total 2025]]</f>
        <v>0.5714285714285714</v>
      </c>
      <c r="AY38" s="123">
        <f>+Tabla13[[#This Row],[Total Recursos Obligados]]/Tabla13[[#This Row],[Total 2025]]</f>
        <v>0.5714285714285714</v>
      </c>
      <c r="AZ38" s="132">
        <f>+Tabla13[[#This Row],[Total Recursos Pagados]]/Tabla13[[#This Row],[Total 2025]]</f>
        <v>0.5714285714285714</v>
      </c>
      <c r="BA38" s="135"/>
      <c r="BB38" s="75" t="str">
        <f>IF(Tabla13[[#This Row],[Total Recursos Gestionados2]]=0,"_",IF(Tabla13[[#This Row],[Ejecución Recursos Comprometidos]]=0,100%,Tabla13[[#This Row],[Total Recursos Gestionados2]]/Tabla13[[#This Row],[Ejecución Recursos Comprometidos]]))</f>
        <v>_</v>
      </c>
      <c r="BC38" s="71" t="s">
        <v>225</v>
      </c>
      <c r="BD38" s="71" t="s">
        <v>226</v>
      </c>
      <c r="BE38" s="71">
        <v>10</v>
      </c>
    </row>
    <row r="39" spans="1:57" ht="20.45" customHeight="1">
      <c r="A39" s="72">
        <v>221</v>
      </c>
      <c r="B39" s="103" t="s">
        <v>90</v>
      </c>
      <c r="C39" s="103" t="s">
        <v>64</v>
      </c>
      <c r="D39" s="103" t="s">
        <v>65</v>
      </c>
      <c r="E39" s="103" t="s">
        <v>66</v>
      </c>
      <c r="F39" s="103" t="s">
        <v>130</v>
      </c>
      <c r="G39" s="103" t="s">
        <v>131</v>
      </c>
      <c r="H39" s="113">
        <v>2024680010141</v>
      </c>
      <c r="I39" s="106" t="s">
        <v>166</v>
      </c>
      <c r="J39" s="114"/>
      <c r="K39" s="114"/>
      <c r="L39" s="106" t="s">
        <v>167</v>
      </c>
      <c r="M39" s="106" t="s">
        <v>168</v>
      </c>
      <c r="N39" s="106">
        <v>70000</v>
      </c>
      <c r="O39" s="106" t="s">
        <v>332</v>
      </c>
      <c r="P39" s="76">
        <v>150000000</v>
      </c>
      <c r="Q39" s="15"/>
      <c r="R39" s="15"/>
      <c r="S39" s="15"/>
      <c r="T39" s="15"/>
      <c r="U39" s="15"/>
      <c r="V39" s="15"/>
      <c r="W39" s="15"/>
      <c r="X39" s="15"/>
      <c r="Y39" s="15"/>
      <c r="Z39" s="15"/>
      <c r="AA39" s="15"/>
      <c r="AB39" s="15"/>
      <c r="AC39" s="15"/>
      <c r="AD39" s="136">
        <v>40000000</v>
      </c>
      <c r="AE39" s="142">
        <f>SUM(Tabla13[[#This Row],[Recursos propios 2025]:[Recursos del Balance]])</f>
        <v>190000000</v>
      </c>
      <c r="AF39" s="76">
        <v>137750692</v>
      </c>
      <c r="AG39" s="15"/>
      <c r="AH39" s="15"/>
      <c r="AI39" s="15"/>
      <c r="AJ39" s="15"/>
      <c r="AK39" s="15"/>
      <c r="AL39" s="15"/>
      <c r="AM39" s="15"/>
      <c r="AN39" s="15"/>
      <c r="AO39" s="15"/>
      <c r="AP39" s="15"/>
      <c r="AQ39" s="15"/>
      <c r="AR39" s="15"/>
      <c r="AS39" s="15"/>
      <c r="AT39" s="122">
        <v>0</v>
      </c>
      <c r="AU39" s="75">
        <f>SUM(Tabla13[[#This Row],[Recursos propios 20252]:[Recursos del Balance2]])</f>
        <v>137750692</v>
      </c>
      <c r="AV39" s="98">
        <v>76572107</v>
      </c>
      <c r="AW39" s="98">
        <v>76572107</v>
      </c>
      <c r="AX39" s="116">
        <f>+Tabla13[[#This Row],[Total Recursos Comprometido 2025]]/Tabla13[[#This Row],[Total 2025]]</f>
        <v>0.72500364210526314</v>
      </c>
      <c r="AY39" s="123">
        <f>+Tabla13[[#This Row],[Total Recursos Obligados]]/Tabla13[[#This Row],[Total 2025]]</f>
        <v>0.40301108947368419</v>
      </c>
      <c r="AZ39" s="132">
        <f>+Tabla13[[#This Row],[Total Recursos Pagados]]/Tabla13[[#This Row],[Total 2025]]</f>
        <v>0.40301108947368419</v>
      </c>
      <c r="BA39" s="135"/>
      <c r="BB39" s="75" t="str">
        <f>IF(Tabla13[[#This Row],[Total Recursos Gestionados2]]=0,"_",IF(Tabla13[[#This Row],[Ejecución Recursos Comprometidos]]=0,100%,Tabla13[[#This Row],[Total Recursos Gestionados2]]/Tabla13[[#This Row],[Ejecución Recursos Comprometidos]]))</f>
        <v>_</v>
      </c>
      <c r="BC39" s="65" t="s">
        <v>225</v>
      </c>
      <c r="BD39" s="65" t="s">
        <v>226</v>
      </c>
      <c r="BE39" s="65">
        <v>10</v>
      </c>
    </row>
    <row r="40" spans="1:57" ht="20.45" customHeight="1">
      <c r="A40" s="70">
        <v>222</v>
      </c>
      <c r="B40" s="99" t="s">
        <v>90</v>
      </c>
      <c r="C40" s="99" t="s">
        <v>64</v>
      </c>
      <c r="D40" s="99" t="s">
        <v>65</v>
      </c>
      <c r="E40" s="99" t="s">
        <v>66</v>
      </c>
      <c r="F40" s="99" t="s">
        <v>127</v>
      </c>
      <c r="G40" s="99" t="s">
        <v>132</v>
      </c>
      <c r="H40" s="113">
        <v>2024680010141</v>
      </c>
      <c r="I40" s="106" t="s">
        <v>166</v>
      </c>
      <c r="J40" s="114"/>
      <c r="K40" s="114"/>
      <c r="L40" s="106" t="s">
        <v>167</v>
      </c>
      <c r="M40" s="106" t="s">
        <v>168</v>
      </c>
      <c r="N40" s="106">
        <v>6718</v>
      </c>
      <c r="O40" s="106" t="s">
        <v>307</v>
      </c>
      <c r="P40" s="76">
        <v>130000000</v>
      </c>
      <c r="Q40" s="15"/>
      <c r="R40" s="15"/>
      <c r="S40" s="15"/>
      <c r="T40" s="15"/>
      <c r="U40" s="15"/>
      <c r="V40" s="15"/>
      <c r="W40" s="15"/>
      <c r="X40" s="15"/>
      <c r="Y40" s="15"/>
      <c r="Z40" s="15"/>
      <c r="AA40" s="15"/>
      <c r="AB40" s="15"/>
      <c r="AC40" s="15"/>
      <c r="AD40" s="136"/>
      <c r="AE40" s="142">
        <f>SUM(Tabla13[[#This Row],[Recursos propios 2025]:[Recursos del Balance]])</f>
        <v>130000000</v>
      </c>
      <c r="AF40" s="76">
        <v>129563000</v>
      </c>
      <c r="AG40" s="15"/>
      <c r="AH40" s="15"/>
      <c r="AI40" s="15"/>
      <c r="AJ40" s="15"/>
      <c r="AK40" s="15"/>
      <c r="AL40" s="15"/>
      <c r="AM40" s="15"/>
      <c r="AN40" s="15"/>
      <c r="AO40" s="15"/>
      <c r="AP40" s="15"/>
      <c r="AQ40" s="15"/>
      <c r="AR40" s="15"/>
      <c r="AS40" s="15"/>
      <c r="AT40" s="122">
        <v>0</v>
      </c>
      <c r="AU40" s="75">
        <f>SUM(Tabla13[[#This Row],[Recursos propios 20252]:[Recursos del Balance2]])</f>
        <v>129563000</v>
      </c>
      <c r="AV40" s="98">
        <v>129563000</v>
      </c>
      <c r="AW40" s="98">
        <v>129563000</v>
      </c>
      <c r="AX40" s="116">
        <f>+Tabla13[[#This Row],[Total Recursos Comprometido 2025]]/Tabla13[[#This Row],[Total 2025]]</f>
        <v>0.99663846153846158</v>
      </c>
      <c r="AY40" s="123">
        <f>+Tabla13[[#This Row],[Total Recursos Obligados]]/Tabla13[[#This Row],[Total 2025]]</f>
        <v>0.99663846153846158</v>
      </c>
      <c r="AZ40" s="132">
        <f>+Tabla13[[#This Row],[Total Recursos Pagados]]/Tabla13[[#This Row],[Total 2025]]</f>
        <v>0.99663846153846158</v>
      </c>
      <c r="BA40" s="135"/>
      <c r="BB40" s="75" t="str">
        <f>IF(Tabla13[[#This Row],[Total Recursos Gestionados2]]=0,"_",IF(Tabla13[[#This Row],[Ejecución Recursos Comprometidos]]=0,100%,Tabla13[[#This Row],[Total Recursos Gestionados2]]/Tabla13[[#This Row],[Ejecución Recursos Comprometidos]]))</f>
        <v>_</v>
      </c>
      <c r="BC40" s="71" t="s">
        <v>225</v>
      </c>
      <c r="BD40" s="71" t="s">
        <v>226</v>
      </c>
      <c r="BE40" s="71">
        <v>10</v>
      </c>
    </row>
    <row r="41" spans="1:57" ht="20.45" customHeight="1">
      <c r="A41" s="72">
        <v>223</v>
      </c>
      <c r="B41" s="103" t="s">
        <v>90</v>
      </c>
      <c r="C41" s="103" t="s">
        <v>91</v>
      </c>
      <c r="D41" s="103" t="s">
        <v>92</v>
      </c>
      <c r="E41" s="103" t="s">
        <v>93</v>
      </c>
      <c r="F41" s="103" t="s">
        <v>100</v>
      </c>
      <c r="G41" s="103" t="s">
        <v>133</v>
      </c>
      <c r="H41" s="113">
        <v>2024680010143</v>
      </c>
      <c r="I41" s="106" t="s">
        <v>181</v>
      </c>
      <c r="J41" s="114"/>
      <c r="K41" s="114"/>
      <c r="L41" s="106" t="s">
        <v>179</v>
      </c>
      <c r="M41" s="106" t="s">
        <v>180</v>
      </c>
      <c r="N41" s="106">
        <v>277938</v>
      </c>
      <c r="O41" s="106" t="s">
        <v>333</v>
      </c>
      <c r="P41" s="76">
        <v>40000000</v>
      </c>
      <c r="Q41" s="15"/>
      <c r="R41" s="15"/>
      <c r="S41" s="15"/>
      <c r="T41" s="15"/>
      <c r="U41" s="15"/>
      <c r="V41" s="15"/>
      <c r="W41" s="15"/>
      <c r="X41" s="15"/>
      <c r="Y41" s="15"/>
      <c r="Z41" s="15"/>
      <c r="AA41" s="15"/>
      <c r="AB41" s="15"/>
      <c r="AC41" s="15"/>
      <c r="AD41" s="136">
        <v>36000000</v>
      </c>
      <c r="AE41" s="142">
        <f>SUM(Tabla13[[#This Row],[Recursos propios 2025]:[Recursos del Balance]])</f>
        <v>76000000</v>
      </c>
      <c r="AF41" s="76">
        <v>40000000</v>
      </c>
      <c r="AG41" s="15"/>
      <c r="AH41" s="15"/>
      <c r="AI41" s="15"/>
      <c r="AJ41" s="15"/>
      <c r="AK41" s="15"/>
      <c r="AL41" s="15"/>
      <c r="AM41" s="15"/>
      <c r="AN41" s="15"/>
      <c r="AO41" s="15"/>
      <c r="AP41" s="15"/>
      <c r="AQ41" s="15"/>
      <c r="AR41" s="15"/>
      <c r="AS41" s="15"/>
      <c r="AT41" s="122">
        <v>29200000</v>
      </c>
      <c r="AU41" s="75">
        <f>SUM(Tabla13[[#This Row],[Recursos propios 20252]:[Recursos del Balance2]])</f>
        <v>69200000</v>
      </c>
      <c r="AV41" s="98">
        <v>54133333.329999998</v>
      </c>
      <c r="AW41" s="98">
        <v>50133333.329999998</v>
      </c>
      <c r="AX41" s="116">
        <f>+Tabla13[[#This Row],[Total Recursos Comprometido 2025]]/Tabla13[[#This Row],[Total 2025]]</f>
        <v>0.91052631578947374</v>
      </c>
      <c r="AY41" s="123">
        <f>+Tabla13[[#This Row],[Total Recursos Obligados]]/Tabla13[[#This Row],[Total 2025]]</f>
        <v>0.71228070171052627</v>
      </c>
      <c r="AZ41" s="132">
        <f>+Tabla13[[#This Row],[Total Recursos Pagados]]/Tabla13[[#This Row],[Total 2025]]</f>
        <v>0.6596491227631579</v>
      </c>
      <c r="BA41" s="135"/>
      <c r="BB41" s="75" t="str">
        <f>IF(Tabla13[[#This Row],[Total Recursos Gestionados2]]=0,"_",IF(Tabla13[[#This Row],[Ejecución Recursos Comprometidos]]=0,100%,Tabla13[[#This Row],[Total Recursos Gestionados2]]/Tabla13[[#This Row],[Ejecución Recursos Comprometidos]]))</f>
        <v>_</v>
      </c>
      <c r="BC41" s="65" t="s">
        <v>225</v>
      </c>
      <c r="BD41" s="71" t="s">
        <v>226</v>
      </c>
      <c r="BE41" s="65">
        <v>10</v>
      </c>
    </row>
    <row r="42" spans="1:57" ht="20.45" customHeight="1">
      <c r="A42" s="70">
        <v>224</v>
      </c>
      <c r="B42" s="99" t="s">
        <v>90</v>
      </c>
      <c r="C42" s="99" t="s">
        <v>91</v>
      </c>
      <c r="D42" s="99" t="s">
        <v>92</v>
      </c>
      <c r="E42" s="99" t="s">
        <v>93</v>
      </c>
      <c r="F42" s="99" t="s">
        <v>94</v>
      </c>
      <c r="G42" s="99" t="s">
        <v>134</v>
      </c>
      <c r="H42" s="113">
        <v>0</v>
      </c>
      <c r="I42" s="106"/>
      <c r="J42" s="114"/>
      <c r="K42" s="114"/>
      <c r="L42" s="106"/>
      <c r="M42" s="106"/>
      <c r="N42" s="106"/>
      <c r="O42" s="106"/>
      <c r="P42" s="76">
        <v>0</v>
      </c>
      <c r="Q42" s="15"/>
      <c r="R42" s="15"/>
      <c r="S42" s="15"/>
      <c r="T42" s="15"/>
      <c r="U42" s="15"/>
      <c r="V42" s="15"/>
      <c r="W42" s="15"/>
      <c r="X42" s="15"/>
      <c r="Y42" s="15"/>
      <c r="Z42" s="15"/>
      <c r="AA42" s="15"/>
      <c r="AB42" s="15"/>
      <c r="AC42" s="15"/>
      <c r="AD42" s="136"/>
      <c r="AE42" s="142">
        <f>SUM(Tabla13[[#This Row],[Recursos propios 2025]:[Recursos del Balance]])</f>
        <v>0</v>
      </c>
      <c r="AF42" s="76">
        <v>0</v>
      </c>
      <c r="AG42" s="15"/>
      <c r="AH42" s="15"/>
      <c r="AI42" s="15"/>
      <c r="AJ42" s="15"/>
      <c r="AK42" s="15"/>
      <c r="AL42" s="15"/>
      <c r="AM42" s="15"/>
      <c r="AN42" s="15"/>
      <c r="AO42" s="15"/>
      <c r="AP42" s="15"/>
      <c r="AQ42" s="15"/>
      <c r="AR42" s="15"/>
      <c r="AS42" s="15"/>
      <c r="AT42" s="122">
        <v>0</v>
      </c>
      <c r="AU42" s="75">
        <f>SUM(Tabla13[[#This Row],[Recursos propios 20252]:[Recursos del Balance2]])</f>
        <v>0</v>
      </c>
      <c r="AV42" s="98">
        <v>0</v>
      </c>
      <c r="AW42" s="98">
        <v>0</v>
      </c>
      <c r="AX42" s="116" t="e">
        <f>+Tabla13[[#This Row],[Total Recursos Comprometido 2025]]/Tabla13[[#This Row],[Total 2025]]</f>
        <v>#DIV/0!</v>
      </c>
      <c r="AY42" s="123" t="e">
        <f>+Tabla13[[#This Row],[Total Recursos Obligados]]/Tabla13[[#This Row],[Total 2025]]</f>
        <v>#DIV/0!</v>
      </c>
      <c r="AZ42" s="132" t="e">
        <f>+Tabla13[[#This Row],[Total Recursos Pagados]]/Tabla13[[#This Row],[Total 2025]]</f>
        <v>#DIV/0!</v>
      </c>
      <c r="BA42" s="135"/>
      <c r="BB42" s="75" t="str">
        <f>IF(Tabla13[[#This Row],[Total Recursos Gestionados2]]=0,"_",IF(Tabla13[[#This Row],[Ejecución Recursos Comprometidos]]=0,100%,Tabla13[[#This Row],[Total Recursos Gestionados2]]/Tabla13[[#This Row],[Ejecución Recursos Comprometidos]]))</f>
        <v>_</v>
      </c>
      <c r="BC42" s="71" t="s">
        <v>225</v>
      </c>
      <c r="BD42" s="71" t="s">
        <v>226</v>
      </c>
      <c r="BE42" s="71" t="s">
        <v>228</v>
      </c>
    </row>
    <row r="43" spans="1:57" ht="20.45" customHeight="1">
      <c r="A43" s="73">
        <v>254</v>
      </c>
      <c r="B43" s="99" t="s">
        <v>135</v>
      </c>
      <c r="C43" s="99" t="s">
        <v>91</v>
      </c>
      <c r="D43" s="99" t="s">
        <v>136</v>
      </c>
      <c r="E43" s="99" t="s">
        <v>137</v>
      </c>
      <c r="F43" s="99" t="s">
        <v>138</v>
      </c>
      <c r="G43" s="99" t="s">
        <v>139</v>
      </c>
      <c r="H43" s="113">
        <v>2024680010068</v>
      </c>
      <c r="I43" s="106" t="s">
        <v>209</v>
      </c>
      <c r="J43" s="114">
        <f>4585572732.8+687000000</f>
        <v>5272572732.8000002</v>
      </c>
      <c r="K43" s="114">
        <f>1250000000+687000000</f>
        <v>1937000000</v>
      </c>
      <c r="L43" s="106" t="s">
        <v>210</v>
      </c>
      <c r="M43" s="106" t="s">
        <v>211</v>
      </c>
      <c r="N43" s="106">
        <v>22000</v>
      </c>
      <c r="O43" s="106" t="s">
        <v>212</v>
      </c>
      <c r="P43" s="97">
        <v>1250000000</v>
      </c>
      <c r="Q43" s="91"/>
      <c r="R43" s="91"/>
      <c r="S43" s="91"/>
      <c r="T43" s="91"/>
      <c r="U43" s="91"/>
      <c r="V43" s="91"/>
      <c r="W43" s="91"/>
      <c r="X43" s="91"/>
      <c r="Y43" s="91"/>
      <c r="Z43" s="91"/>
      <c r="AA43" s="91"/>
      <c r="AB43" s="91"/>
      <c r="AC43" s="91"/>
      <c r="AD43" s="143">
        <v>687000000</v>
      </c>
      <c r="AE43" s="142">
        <f>SUM(Tabla13[[#This Row],[Recursos propios 2025]:[Recursos del Balance]])</f>
        <v>1937000000</v>
      </c>
      <c r="AF43" s="76">
        <v>1206366666.6599998</v>
      </c>
      <c r="AG43" s="91"/>
      <c r="AH43" s="91"/>
      <c r="AI43" s="91"/>
      <c r="AJ43" s="91"/>
      <c r="AK43" s="91"/>
      <c r="AL43" s="91"/>
      <c r="AM43" s="91"/>
      <c r="AN43" s="91"/>
      <c r="AO43" s="91"/>
      <c r="AP43" s="91"/>
      <c r="AQ43" s="91"/>
      <c r="AR43" s="91"/>
      <c r="AS43" s="91"/>
      <c r="AT43" s="122">
        <v>657773333.33000004</v>
      </c>
      <c r="AU43" s="75">
        <f>SUM(Tabla13[[#This Row],[Recursos propios 20252]:[Recursos del Balance2]])</f>
        <v>1864139999.9899998</v>
      </c>
      <c r="AV43" s="98">
        <v>1525779999.9799995</v>
      </c>
      <c r="AW43" s="98">
        <v>1498403333.3099995</v>
      </c>
      <c r="AX43" s="116">
        <f>+Tabla13[[#This Row],[Total Recursos Comprometido 2025]]/Tabla13[[#This Row],[Total 2025]]</f>
        <v>0.96238513164171391</v>
      </c>
      <c r="AY43" s="123">
        <f>+Tabla13[[#This Row],[Total Recursos Obligados]]/Tabla13[[#This Row],[Total 2025]]</f>
        <v>0.78770263292720677</v>
      </c>
      <c r="AZ43" s="132">
        <f>+Tabla13[[#This Row],[Total Recursos Pagados]]/Tabla13[[#This Row],[Total 2025]]</f>
        <v>0.77356909308724808</v>
      </c>
      <c r="BA43" s="135"/>
      <c r="BB43" s="75" t="str">
        <f>IF(Tabla13[[#This Row],[Total Recursos Gestionados2]]=0,"_",IF(Tabla13[[#This Row],[Ejecución Recursos Comprometidos]]=0,100%,Tabla13[[#This Row],[Total Recursos Gestionados2]]/Tabla13[[#This Row],[Ejecución Recursos Comprometidos]]))</f>
        <v>_</v>
      </c>
      <c r="BC43" s="71" t="s">
        <v>225</v>
      </c>
      <c r="BD43" s="65" t="s">
        <v>226</v>
      </c>
      <c r="BE43" s="71">
        <v>16</v>
      </c>
    </row>
    <row r="44" spans="1:57" ht="20.45" customHeight="1">
      <c r="A44" s="72">
        <v>256</v>
      </c>
      <c r="B44" s="99" t="s">
        <v>135</v>
      </c>
      <c r="C44" s="99" t="s">
        <v>91</v>
      </c>
      <c r="D44" s="99" t="s">
        <v>92</v>
      </c>
      <c r="E44" s="99" t="s">
        <v>93</v>
      </c>
      <c r="F44" s="99" t="s">
        <v>100</v>
      </c>
      <c r="G44" s="99" t="s">
        <v>140</v>
      </c>
      <c r="H44" s="113">
        <v>2024680010149</v>
      </c>
      <c r="I44" s="106" t="s">
        <v>213</v>
      </c>
      <c r="J44" s="114">
        <f>8052180056.67+834400000-30000000-130000000+256243445-159243445+33000000</f>
        <v>8856580056.6700001</v>
      </c>
      <c r="K44" s="114">
        <f>2245200000+834400000-30000000-130000000+256243445-159243445+33000000</f>
        <v>3049600000</v>
      </c>
      <c r="L44" s="106" t="s">
        <v>214</v>
      </c>
      <c r="M44" s="106" t="s">
        <v>215</v>
      </c>
      <c r="N44" s="106">
        <v>1290</v>
      </c>
      <c r="O44" s="106" t="s">
        <v>270</v>
      </c>
      <c r="P44" s="76">
        <f>1039200000-73085600</f>
        <v>966114400</v>
      </c>
      <c r="Q44" s="15"/>
      <c r="R44" s="15"/>
      <c r="S44" s="15"/>
      <c r="T44" s="15"/>
      <c r="U44" s="15"/>
      <c r="V44" s="15"/>
      <c r="W44" s="15"/>
      <c r="X44" s="15"/>
      <c r="Y44" s="15"/>
      <c r="Z44" s="15"/>
      <c r="AA44" s="15"/>
      <c r="AB44" s="15"/>
      <c r="AC44" s="144"/>
      <c r="AD44" s="136">
        <v>328400000</v>
      </c>
      <c r="AE44" s="142">
        <f>SUM(Tabla13[[#This Row],[Recursos propios 2025]:[Recursos del Balance]])</f>
        <v>1294514400</v>
      </c>
      <c r="AF44" s="76">
        <v>931918834.6700002</v>
      </c>
      <c r="AG44" s="15"/>
      <c r="AH44" s="15"/>
      <c r="AI44" s="15"/>
      <c r="AJ44" s="15"/>
      <c r="AK44" s="15"/>
      <c r="AL44" s="15"/>
      <c r="AM44" s="15"/>
      <c r="AN44" s="15"/>
      <c r="AO44" s="15"/>
      <c r="AP44" s="15"/>
      <c r="AQ44" s="15"/>
      <c r="AR44" s="15"/>
      <c r="AS44" s="15"/>
      <c r="AT44" s="122">
        <v>271506666.66999996</v>
      </c>
      <c r="AU44" s="75">
        <f>SUM(Tabla13[[#This Row],[Recursos propios 20252]:[Recursos del Balance2]])</f>
        <v>1203425501.3400002</v>
      </c>
      <c r="AV44" s="98">
        <v>921358878.87000012</v>
      </c>
      <c r="AW44" s="98">
        <v>921358878.87000012</v>
      </c>
      <c r="AX44" s="116">
        <f>+Tabla13[[#This Row],[Total Recursos Comprometido 2025]]/Tabla13[[#This Row],[Total 2025]]</f>
        <v>0.92963469648541586</v>
      </c>
      <c r="AY44" s="123">
        <f>+Tabla13[[#This Row],[Total Recursos Obligados]]/Tabla13[[#This Row],[Total 2025]]</f>
        <v>0.71174092684484636</v>
      </c>
      <c r="AZ44" s="132">
        <f>+Tabla13[[#This Row],[Total Recursos Pagados]]/Tabla13[[#This Row],[Total 2025]]</f>
        <v>0.71174092684484636</v>
      </c>
      <c r="BA44" s="135"/>
      <c r="BB44" s="75" t="str">
        <f>IF(Tabla13[[#This Row],[Total Recursos Gestionados2]]=0,"_",IF(Tabla13[[#This Row],[Ejecución Recursos Comprometidos]]=0,100%,Tabla13[[#This Row],[Total Recursos Gestionados2]]/Tabla13[[#This Row],[Ejecución Recursos Comprometidos]]))</f>
        <v>_</v>
      </c>
      <c r="BC44" s="71" t="s">
        <v>225</v>
      </c>
      <c r="BD44" s="71" t="s">
        <v>226</v>
      </c>
      <c r="BE44" s="71">
        <v>16</v>
      </c>
    </row>
    <row r="45" spans="1:57" ht="20.45" customHeight="1">
      <c r="A45" s="72">
        <v>257</v>
      </c>
      <c r="B45" s="103" t="s">
        <v>135</v>
      </c>
      <c r="C45" s="103" t="s">
        <v>91</v>
      </c>
      <c r="D45" s="103" t="s">
        <v>92</v>
      </c>
      <c r="E45" s="103" t="s">
        <v>93</v>
      </c>
      <c r="F45" s="103" t="s">
        <v>141</v>
      </c>
      <c r="G45" s="103" t="s">
        <v>142</v>
      </c>
      <c r="H45" s="113">
        <v>0</v>
      </c>
      <c r="I45" s="106"/>
      <c r="J45" s="114"/>
      <c r="K45" s="114"/>
      <c r="L45" s="106"/>
      <c r="M45" s="106"/>
      <c r="N45" s="106"/>
      <c r="O45" s="106"/>
      <c r="P45" s="76">
        <v>0</v>
      </c>
      <c r="Q45" s="15"/>
      <c r="R45" s="15"/>
      <c r="S45" s="15"/>
      <c r="T45" s="15"/>
      <c r="U45" s="15"/>
      <c r="V45" s="15"/>
      <c r="W45" s="15"/>
      <c r="X45" s="15"/>
      <c r="Y45" s="15"/>
      <c r="Z45" s="15"/>
      <c r="AA45" s="15"/>
      <c r="AB45" s="15"/>
      <c r="AC45" s="15"/>
      <c r="AD45" s="136"/>
      <c r="AE45" s="142">
        <f>SUM(Tabla13[[#This Row],[Recursos propios 2025]:[Recursos del Balance]])</f>
        <v>0</v>
      </c>
      <c r="AF45" s="76">
        <v>0</v>
      </c>
      <c r="AG45" s="15"/>
      <c r="AH45" s="15"/>
      <c r="AI45" s="15"/>
      <c r="AJ45" s="15"/>
      <c r="AK45" s="15"/>
      <c r="AL45" s="15"/>
      <c r="AM45" s="15"/>
      <c r="AN45" s="15"/>
      <c r="AO45" s="15"/>
      <c r="AP45" s="15"/>
      <c r="AQ45" s="15"/>
      <c r="AR45" s="15"/>
      <c r="AS45" s="15"/>
      <c r="AT45" s="122">
        <v>0</v>
      </c>
      <c r="AU45" s="75">
        <f>SUM(Tabla13[[#This Row],[Recursos propios 20252]:[Recursos del Balance2]])</f>
        <v>0</v>
      </c>
      <c r="AV45" s="98">
        <v>0</v>
      </c>
      <c r="AW45" s="98">
        <v>0</v>
      </c>
      <c r="AX45" s="116" t="e">
        <f>+Tabla13[[#This Row],[Total Recursos Comprometido 2025]]/Tabla13[[#This Row],[Total 2025]]</f>
        <v>#DIV/0!</v>
      </c>
      <c r="AY45" s="123" t="e">
        <f>+Tabla13[[#This Row],[Total Recursos Obligados]]/Tabla13[[#This Row],[Total 2025]]</f>
        <v>#DIV/0!</v>
      </c>
      <c r="AZ45" s="132" t="e">
        <f>+Tabla13[[#This Row],[Total Recursos Pagados]]/Tabla13[[#This Row],[Total 2025]]</f>
        <v>#DIV/0!</v>
      </c>
      <c r="BA45" s="135"/>
      <c r="BB45" s="75" t="str">
        <f>IF(Tabla13[[#This Row],[Total Recursos Gestionados2]]=0,"_",IF(Tabla13[[#This Row],[Ejecución Recursos Comprometidos]]=0,100%,Tabla13[[#This Row],[Total Recursos Gestionados2]]/Tabla13[[#This Row],[Ejecución Recursos Comprometidos]]))</f>
        <v>_</v>
      </c>
      <c r="BC45" s="65" t="s">
        <v>225</v>
      </c>
      <c r="BD45" s="65" t="s">
        <v>226</v>
      </c>
      <c r="BE45" s="65">
        <v>16</v>
      </c>
    </row>
    <row r="46" spans="1:57" ht="20.45" customHeight="1">
      <c r="A46" s="72">
        <v>258</v>
      </c>
      <c r="B46" s="99" t="s">
        <v>135</v>
      </c>
      <c r="C46" s="99" t="s">
        <v>91</v>
      </c>
      <c r="D46" s="99" t="s">
        <v>92</v>
      </c>
      <c r="E46" s="99" t="s">
        <v>93</v>
      </c>
      <c r="F46" s="99" t="s">
        <v>143</v>
      </c>
      <c r="G46" s="99" t="s">
        <v>144</v>
      </c>
      <c r="H46" s="113">
        <v>2024680010149</v>
      </c>
      <c r="I46" s="106" t="s">
        <v>213</v>
      </c>
      <c r="J46" s="114"/>
      <c r="K46" s="114"/>
      <c r="L46" s="106" t="s">
        <v>214</v>
      </c>
      <c r="M46" s="106" t="s">
        <v>216</v>
      </c>
      <c r="N46" s="106">
        <v>130</v>
      </c>
      <c r="O46" s="106" t="s">
        <v>308</v>
      </c>
      <c r="P46" s="96">
        <v>963085600</v>
      </c>
      <c r="Q46" s="15"/>
      <c r="R46" s="15"/>
      <c r="S46" s="15"/>
      <c r="T46" s="15"/>
      <c r="U46" s="15"/>
      <c r="V46" s="15"/>
      <c r="W46" s="15"/>
      <c r="X46" s="15"/>
      <c r="Y46" s="15"/>
      <c r="Z46" s="15"/>
      <c r="AA46" s="15"/>
      <c r="AB46" s="15"/>
      <c r="AC46" s="15"/>
      <c r="AD46" s="136">
        <v>256243445</v>
      </c>
      <c r="AE46" s="142">
        <f>SUM(Tabla13[[#This Row],[Recursos propios 2025]:[Recursos del Balance]])</f>
        <v>1219329045</v>
      </c>
      <c r="AF46" s="76">
        <v>949051190</v>
      </c>
      <c r="AG46" s="15"/>
      <c r="AH46" s="15"/>
      <c r="AI46" s="15"/>
      <c r="AJ46" s="15"/>
      <c r="AK46" s="15"/>
      <c r="AL46" s="15"/>
      <c r="AM46" s="15"/>
      <c r="AN46" s="15"/>
      <c r="AO46" s="15"/>
      <c r="AP46" s="15"/>
      <c r="AQ46" s="15"/>
      <c r="AR46" s="15"/>
      <c r="AS46" s="15"/>
      <c r="AT46" s="122">
        <v>241328445</v>
      </c>
      <c r="AU46" s="75">
        <f>SUM(Tabla13[[#This Row],[Recursos propios 20252]:[Recursos del Balance2]])</f>
        <v>1190379635</v>
      </c>
      <c r="AV46" s="98">
        <v>925929073.54999995</v>
      </c>
      <c r="AW46" s="98">
        <v>925929073.54999995</v>
      </c>
      <c r="AX46" s="116">
        <f>+Tabla13[[#This Row],[Total Recursos Comprometido 2025]]/Tabla13[[#This Row],[Total 2025]]</f>
        <v>0.97625791814054586</v>
      </c>
      <c r="AY46" s="123">
        <f>+Tabla13[[#This Row],[Total Recursos Obligados]]/Tabla13[[#This Row],[Total 2025]]</f>
        <v>0.75937588573558501</v>
      </c>
      <c r="AZ46" s="132">
        <f>+Tabla13[[#This Row],[Total Recursos Pagados]]/Tabla13[[#This Row],[Total 2025]]</f>
        <v>0.75937588573558501</v>
      </c>
      <c r="BA46" s="135"/>
      <c r="BB46" s="75" t="str">
        <f>IF(Tabla13[[#This Row],[Total Recursos Gestionados2]]=0,"_",IF(Tabla13[[#This Row],[Ejecución Recursos Comprometidos]]=0,100%,Tabla13[[#This Row],[Total Recursos Gestionados2]]/Tabla13[[#This Row],[Ejecución Recursos Comprometidos]]))</f>
        <v>_</v>
      </c>
      <c r="BC46" s="71" t="s">
        <v>225</v>
      </c>
      <c r="BD46" s="71" t="s">
        <v>226</v>
      </c>
      <c r="BE46" s="71">
        <v>16</v>
      </c>
    </row>
    <row r="47" spans="1:57" ht="20.45" customHeight="1">
      <c r="A47" s="72">
        <v>259</v>
      </c>
      <c r="B47" s="103" t="s">
        <v>135</v>
      </c>
      <c r="C47" s="103" t="s">
        <v>91</v>
      </c>
      <c r="D47" s="103" t="s">
        <v>92</v>
      </c>
      <c r="E47" s="103" t="s">
        <v>93</v>
      </c>
      <c r="F47" s="103" t="s">
        <v>143</v>
      </c>
      <c r="G47" s="103" t="s">
        <v>145</v>
      </c>
      <c r="H47" s="113">
        <v>2024680010149</v>
      </c>
      <c r="I47" s="106" t="s">
        <v>213</v>
      </c>
      <c r="J47" s="114"/>
      <c r="K47" s="114"/>
      <c r="L47" s="106" t="s">
        <v>214</v>
      </c>
      <c r="M47" s="106" t="s">
        <v>217</v>
      </c>
      <c r="N47" s="106">
        <v>1290</v>
      </c>
      <c r="O47" s="106" t="s">
        <v>334</v>
      </c>
      <c r="P47" s="76">
        <v>200000000</v>
      </c>
      <c r="Q47" s="15"/>
      <c r="R47" s="15"/>
      <c r="S47" s="15"/>
      <c r="T47" s="15"/>
      <c r="U47" s="15"/>
      <c r="V47" s="15"/>
      <c r="W47" s="15"/>
      <c r="X47" s="15"/>
      <c r="Y47" s="15"/>
      <c r="Z47" s="15"/>
      <c r="AA47" s="15"/>
      <c r="AB47" s="15"/>
      <c r="AC47" s="15"/>
      <c r="AD47" s="136">
        <v>140756555</v>
      </c>
      <c r="AE47" s="142">
        <f>SUM(Tabla13[[#This Row],[Recursos propios 2025]:[Recursos del Balance]])</f>
        <v>340756555</v>
      </c>
      <c r="AF47" s="76">
        <v>158454233</v>
      </c>
      <c r="AG47" s="15"/>
      <c r="AH47" s="15"/>
      <c r="AI47" s="15"/>
      <c r="AJ47" s="15"/>
      <c r="AK47" s="15"/>
      <c r="AL47" s="15"/>
      <c r="AM47" s="15"/>
      <c r="AN47" s="15"/>
      <c r="AO47" s="15"/>
      <c r="AP47" s="15"/>
      <c r="AQ47" s="15"/>
      <c r="AR47" s="15"/>
      <c r="AS47" s="15"/>
      <c r="AT47" s="122">
        <v>107552500</v>
      </c>
      <c r="AU47" s="75">
        <f>SUM(Tabla13[[#This Row],[Recursos propios 20252]:[Recursos del Balance2]])</f>
        <v>266006733</v>
      </c>
      <c r="AV47" s="98">
        <v>237106733</v>
      </c>
      <c r="AW47" s="98">
        <v>237106733</v>
      </c>
      <c r="AX47" s="116">
        <f>+Tabla13[[#This Row],[Total Recursos Comprometido 2025]]/Tabla13[[#This Row],[Total 2025]]</f>
        <v>0.78063570339828092</v>
      </c>
      <c r="AY47" s="123">
        <f>+Tabla13[[#This Row],[Total Recursos Obligados]]/Tabla13[[#This Row],[Total 2025]]</f>
        <v>0.69582442221837815</v>
      </c>
      <c r="AZ47" s="132">
        <f>+Tabla13[[#This Row],[Total Recursos Pagados]]/Tabla13[[#This Row],[Total 2025]]</f>
        <v>0.69582442221837815</v>
      </c>
      <c r="BA47" s="135"/>
      <c r="BB47" s="75" t="str">
        <f>IF(Tabla13[[#This Row],[Total Recursos Gestionados2]]=0,"_",IF(Tabla13[[#This Row],[Ejecución Recursos Comprometidos]]=0,100%,Tabla13[[#This Row],[Total Recursos Gestionados2]]/Tabla13[[#This Row],[Ejecución Recursos Comprometidos]]))</f>
        <v>_</v>
      </c>
      <c r="BC47" s="65" t="s">
        <v>225</v>
      </c>
      <c r="BD47" s="65" t="s">
        <v>226</v>
      </c>
      <c r="BE47" s="65">
        <v>16</v>
      </c>
    </row>
    <row r="48" spans="1:57" ht="20.45" customHeight="1">
      <c r="A48" s="72">
        <v>260</v>
      </c>
      <c r="B48" s="99" t="s">
        <v>135</v>
      </c>
      <c r="C48" s="99" t="s">
        <v>91</v>
      </c>
      <c r="D48" s="99" t="s">
        <v>92</v>
      </c>
      <c r="E48" s="99" t="s">
        <v>93</v>
      </c>
      <c r="F48" s="99" t="s">
        <v>143</v>
      </c>
      <c r="G48" s="99" t="s">
        <v>146</v>
      </c>
      <c r="H48" s="113">
        <v>2024680010149</v>
      </c>
      <c r="I48" s="106" t="s">
        <v>213</v>
      </c>
      <c r="J48" s="114"/>
      <c r="K48" s="114"/>
      <c r="L48" s="106" t="s">
        <v>214</v>
      </c>
      <c r="M48" s="106" t="s">
        <v>218</v>
      </c>
      <c r="N48" s="106">
        <v>400</v>
      </c>
      <c r="O48" s="106" t="s">
        <v>335</v>
      </c>
      <c r="P48" s="76">
        <v>56000000</v>
      </c>
      <c r="Q48" s="15"/>
      <c r="R48" s="15"/>
      <c r="S48" s="15"/>
      <c r="T48" s="15"/>
      <c r="U48" s="15"/>
      <c r="V48" s="15"/>
      <c r="W48" s="15"/>
      <c r="X48" s="15"/>
      <c r="Y48" s="15"/>
      <c r="Z48" s="15"/>
      <c r="AA48" s="15"/>
      <c r="AB48" s="15"/>
      <c r="AC48" s="15"/>
      <c r="AD48" s="136">
        <v>24000000</v>
      </c>
      <c r="AE48" s="142">
        <f>SUM(Tabla13[[#This Row],[Recursos propios 2025]:[Recursos del Balance]])</f>
        <v>80000000</v>
      </c>
      <c r="AF48" s="76">
        <v>50800000</v>
      </c>
      <c r="AG48" s="15"/>
      <c r="AH48" s="15"/>
      <c r="AI48" s="15"/>
      <c r="AJ48" s="15"/>
      <c r="AK48" s="15"/>
      <c r="AL48" s="15"/>
      <c r="AM48" s="15"/>
      <c r="AN48" s="15"/>
      <c r="AO48" s="15"/>
      <c r="AP48" s="15"/>
      <c r="AQ48" s="15"/>
      <c r="AR48" s="15"/>
      <c r="AS48" s="15"/>
      <c r="AT48" s="122">
        <v>0</v>
      </c>
      <c r="AU48" s="75">
        <f>SUM(Tabla13[[#This Row],[Recursos propios 20252]:[Recursos del Balance2]])</f>
        <v>50800000</v>
      </c>
      <c r="AV48" s="98">
        <v>22800000</v>
      </c>
      <c r="AW48" s="98">
        <v>22800000</v>
      </c>
      <c r="AX48" s="116">
        <f>+Tabla13[[#This Row],[Total Recursos Comprometido 2025]]/Tabla13[[#This Row],[Total 2025]]</f>
        <v>0.63500000000000001</v>
      </c>
      <c r="AY48" s="123">
        <f>+Tabla13[[#This Row],[Total Recursos Obligados]]/Tabla13[[#This Row],[Total 2025]]</f>
        <v>0.28499999999999998</v>
      </c>
      <c r="AZ48" s="132">
        <f>+Tabla13[[#This Row],[Total Recursos Pagados]]/Tabla13[[#This Row],[Total 2025]]</f>
        <v>0.28499999999999998</v>
      </c>
      <c r="BA48" s="135"/>
      <c r="BB48" s="75" t="str">
        <f>IF(Tabla13[[#This Row],[Total Recursos Gestionados2]]=0,"_",IF(Tabla13[[#This Row],[Ejecución Recursos Comprometidos]]=0,100%,Tabla13[[#This Row],[Total Recursos Gestionados2]]/Tabla13[[#This Row],[Ejecución Recursos Comprometidos]]))</f>
        <v>_</v>
      </c>
      <c r="BC48" s="71" t="s">
        <v>225</v>
      </c>
      <c r="BD48" s="71" t="s">
        <v>226</v>
      </c>
      <c r="BE48" s="71">
        <v>16</v>
      </c>
    </row>
    <row r="49" spans="1:57" ht="20.45" customHeight="1">
      <c r="A49" s="73">
        <v>261</v>
      </c>
      <c r="B49" s="103" t="s">
        <v>135</v>
      </c>
      <c r="C49" s="103" t="s">
        <v>91</v>
      </c>
      <c r="D49" s="103" t="s">
        <v>92</v>
      </c>
      <c r="E49" s="103" t="s">
        <v>93</v>
      </c>
      <c r="F49" s="103" t="s">
        <v>147</v>
      </c>
      <c r="G49" s="103" t="s">
        <v>148</v>
      </c>
      <c r="H49" s="113">
        <v>2024680010149</v>
      </c>
      <c r="I49" s="106" t="s">
        <v>213</v>
      </c>
      <c r="J49" s="114"/>
      <c r="K49" s="114"/>
      <c r="L49" s="106" t="s">
        <v>214</v>
      </c>
      <c r="M49" s="106" t="s">
        <v>218</v>
      </c>
      <c r="N49" s="106">
        <v>8000</v>
      </c>
      <c r="O49" s="106" t="s">
        <v>336</v>
      </c>
      <c r="P49" s="97">
        <v>60000000</v>
      </c>
      <c r="Q49" s="91"/>
      <c r="R49" s="91"/>
      <c r="S49" s="91"/>
      <c r="T49" s="91"/>
      <c r="U49" s="91"/>
      <c r="V49" s="91"/>
      <c r="W49" s="91"/>
      <c r="X49" s="91"/>
      <c r="Y49" s="91"/>
      <c r="Z49" s="91"/>
      <c r="AA49" s="91"/>
      <c r="AB49" s="91"/>
      <c r="AC49" s="91"/>
      <c r="AD49" s="143">
        <v>55000000</v>
      </c>
      <c r="AE49" s="142">
        <f>SUM(Tabla13[[#This Row],[Recursos propios 2025]:[Recursos del Balance]])</f>
        <v>115000000</v>
      </c>
      <c r="AF49" s="76">
        <v>57962815</v>
      </c>
      <c r="AG49" s="91"/>
      <c r="AH49" s="91"/>
      <c r="AI49" s="91"/>
      <c r="AJ49" s="91"/>
      <c r="AK49" s="91"/>
      <c r="AL49" s="91"/>
      <c r="AM49" s="91"/>
      <c r="AN49" s="91"/>
      <c r="AO49" s="91"/>
      <c r="AP49" s="91"/>
      <c r="AQ49" s="91"/>
      <c r="AR49" s="91"/>
      <c r="AS49" s="91"/>
      <c r="AT49" s="122">
        <v>23743333.329999998</v>
      </c>
      <c r="AU49" s="75">
        <f>SUM(Tabla13[[#This Row],[Recursos propios 20252]:[Recursos del Balance2]])</f>
        <v>81706148.329999998</v>
      </c>
      <c r="AV49" s="98">
        <v>68032008.329999998</v>
      </c>
      <c r="AW49" s="98">
        <v>68032008.329999998</v>
      </c>
      <c r="AX49" s="116">
        <f>+Tabla13[[#This Row],[Total Recursos Comprometido 2025]]/Tabla13[[#This Row],[Total 2025]]</f>
        <v>0.71048824634782604</v>
      </c>
      <c r="AY49" s="123">
        <f>+Tabla13[[#This Row],[Total Recursos Obligados]]/Tabla13[[#This Row],[Total 2025]]</f>
        <v>0.59158268113043477</v>
      </c>
      <c r="AZ49" s="132">
        <f>+Tabla13[[#This Row],[Total Recursos Pagados]]/Tabla13[[#This Row],[Total 2025]]</f>
        <v>0.59158268113043477</v>
      </c>
      <c r="BA49" s="135"/>
      <c r="BB49" s="75" t="str">
        <f>IF(Tabla13[[#This Row],[Total Recursos Gestionados2]]=0,"_",IF(Tabla13[[#This Row],[Ejecución Recursos Comprometidos]]=0,100%,Tabla13[[#This Row],[Total Recursos Gestionados2]]/Tabla13[[#This Row],[Ejecución Recursos Comprometidos]]))</f>
        <v>_</v>
      </c>
      <c r="BC49" s="65" t="s">
        <v>225</v>
      </c>
      <c r="BD49" s="65" t="s">
        <v>226</v>
      </c>
      <c r="BE49" s="65">
        <v>16</v>
      </c>
    </row>
    <row r="50" spans="1:57" ht="20.45" customHeight="1">
      <c r="A50" s="72">
        <v>270</v>
      </c>
      <c r="B50" s="99" t="s">
        <v>90</v>
      </c>
      <c r="C50" s="99" t="s">
        <v>64</v>
      </c>
      <c r="D50" s="99" t="s">
        <v>96</v>
      </c>
      <c r="E50" s="99" t="s">
        <v>97</v>
      </c>
      <c r="F50" s="99" t="s">
        <v>149</v>
      </c>
      <c r="G50" s="99" t="s">
        <v>150</v>
      </c>
      <c r="H50" s="113">
        <v>2024680010164</v>
      </c>
      <c r="I50" s="106" t="s">
        <v>207</v>
      </c>
      <c r="J50" s="114"/>
      <c r="K50" s="114"/>
      <c r="L50" s="106" t="s">
        <v>167</v>
      </c>
      <c r="M50" s="106" t="s">
        <v>208</v>
      </c>
      <c r="N50" s="106">
        <v>100</v>
      </c>
      <c r="O50" s="106" t="s">
        <v>310</v>
      </c>
      <c r="P50" s="75">
        <v>150000000</v>
      </c>
      <c r="Q50" s="75"/>
      <c r="R50" s="75"/>
      <c r="S50" s="75"/>
      <c r="T50" s="75"/>
      <c r="U50" s="75"/>
      <c r="V50" s="75"/>
      <c r="W50" s="75"/>
      <c r="X50" s="75"/>
      <c r="Y50" s="75"/>
      <c r="Z50" s="75"/>
      <c r="AA50" s="75"/>
      <c r="AB50" s="75"/>
      <c r="AC50" s="75"/>
      <c r="AD50" s="115"/>
      <c r="AE50" s="142">
        <f>SUM(Tabla13[[#This Row],[Recursos propios 2025]:[Recursos del Balance]])</f>
        <v>150000000</v>
      </c>
      <c r="AF50" s="76">
        <v>149850984</v>
      </c>
      <c r="AG50" s="75"/>
      <c r="AH50" s="75"/>
      <c r="AI50" s="75"/>
      <c r="AJ50" s="75"/>
      <c r="AK50" s="75"/>
      <c r="AL50" s="75"/>
      <c r="AM50" s="75"/>
      <c r="AN50" s="75"/>
      <c r="AO50" s="75"/>
      <c r="AP50" s="75"/>
      <c r="AQ50" s="75"/>
      <c r="AR50" s="75"/>
      <c r="AS50" s="75"/>
      <c r="AT50" s="17">
        <v>0</v>
      </c>
      <c r="AU50" s="75">
        <f>SUM(Tabla13[[#This Row],[Recursos propios 20252]:[Recursos del Balance2]])</f>
        <v>149850984</v>
      </c>
      <c r="AV50" s="17">
        <v>117251808</v>
      </c>
      <c r="AW50" s="66">
        <v>117251808</v>
      </c>
      <c r="AX50" s="116">
        <f>+Tabla13[[#This Row],[Total Recursos Comprometido 2025]]/Tabla13[[#This Row],[Total 2025]]</f>
        <v>0.99900655999999999</v>
      </c>
      <c r="AY50" s="123">
        <f>+Tabla13[[#This Row],[Total Recursos Obligados]]/Tabla13[[#This Row],[Total 2025]]</f>
        <v>0.78167872000000005</v>
      </c>
      <c r="AZ50" s="132">
        <f>+Tabla13[[#This Row],[Total Recursos Pagados]]/Tabla13[[#This Row],[Total 2025]]</f>
        <v>0.78167872000000005</v>
      </c>
      <c r="BA50" s="135"/>
      <c r="BB50" s="75" t="str">
        <f>IF(Tabla13[[#This Row],[Total Recursos Gestionados2]]=0,"_",IF(Tabla13[[#This Row],[Ejecución Recursos Comprometidos]]=0,100%,Tabla13[[#This Row],[Total Recursos Gestionados2]]/Tabla13[[#This Row],[Ejecución Recursos Comprometidos]]))</f>
        <v>_</v>
      </c>
      <c r="BC50" s="71" t="s">
        <v>225</v>
      </c>
      <c r="BD50" s="65" t="s">
        <v>226</v>
      </c>
      <c r="BE50" s="71">
        <v>10</v>
      </c>
    </row>
    <row r="51" spans="1:57" ht="20.45" customHeight="1">
      <c r="A51" s="72">
        <v>270</v>
      </c>
      <c r="B51" s="99" t="s">
        <v>90</v>
      </c>
      <c r="C51" s="99" t="s">
        <v>64</v>
      </c>
      <c r="D51" s="99" t="s">
        <v>96</v>
      </c>
      <c r="E51" s="99" t="s">
        <v>97</v>
      </c>
      <c r="F51" s="99" t="s">
        <v>149</v>
      </c>
      <c r="G51" s="99" t="s">
        <v>150</v>
      </c>
      <c r="H51" s="113">
        <v>2024680010127</v>
      </c>
      <c r="I51" s="106" t="s">
        <v>219</v>
      </c>
      <c r="J51" s="114"/>
      <c r="K51" s="114"/>
      <c r="L51" s="106" t="s">
        <v>186</v>
      </c>
      <c r="M51" s="106" t="s">
        <v>202</v>
      </c>
      <c r="N51" s="106">
        <v>200</v>
      </c>
      <c r="O51" s="106" t="s">
        <v>310</v>
      </c>
      <c r="P51" s="75">
        <v>410954693</v>
      </c>
      <c r="Q51" s="75"/>
      <c r="R51" s="75"/>
      <c r="S51" s="75"/>
      <c r="T51" s="75"/>
      <c r="U51" s="75"/>
      <c r="V51" s="75"/>
      <c r="W51" s="75"/>
      <c r="X51" s="75"/>
      <c r="Y51" s="75"/>
      <c r="Z51" s="75"/>
      <c r="AA51" s="75"/>
      <c r="AB51" s="75"/>
      <c r="AC51" s="75"/>
      <c r="AD51" s="115"/>
      <c r="AE51" s="142">
        <f>SUM(Tabla13[[#This Row],[Recursos propios 2025]:[Recursos del Balance]])</f>
        <v>410954693</v>
      </c>
      <c r="AF51" s="76">
        <v>410954693</v>
      </c>
      <c r="AG51" s="75"/>
      <c r="AH51" s="75"/>
      <c r="AI51" s="75"/>
      <c r="AJ51" s="75"/>
      <c r="AK51" s="75"/>
      <c r="AL51" s="75"/>
      <c r="AM51" s="75"/>
      <c r="AN51" s="75"/>
      <c r="AO51" s="75"/>
      <c r="AP51" s="75"/>
      <c r="AQ51" s="75"/>
      <c r="AR51" s="75"/>
      <c r="AS51" s="75"/>
      <c r="AT51" s="17">
        <v>0</v>
      </c>
      <c r="AU51" s="75">
        <f>SUM(Tabla13[[#This Row],[Recursos propios 20252]:[Recursos del Balance2]])</f>
        <v>410954693</v>
      </c>
      <c r="AV51" s="17">
        <v>315535064</v>
      </c>
      <c r="AW51" s="66">
        <v>315535064</v>
      </c>
      <c r="AX51" s="116">
        <f>+Tabla13[[#This Row],[Total Recursos Comprometido 2025]]/Tabla13[[#This Row],[Total 2025]]</f>
        <v>1</v>
      </c>
      <c r="AY51" s="123">
        <f>+Tabla13[[#This Row],[Total Recursos Obligados]]/Tabla13[[#This Row],[Total 2025]]</f>
        <v>0.76780985683986336</v>
      </c>
      <c r="AZ51" s="132">
        <f>+Tabla13[[#This Row],[Total Recursos Pagados]]/Tabla13[[#This Row],[Total 2025]]</f>
        <v>0.76780985683986336</v>
      </c>
      <c r="BA51" s="135"/>
      <c r="BB51" s="75" t="str">
        <f>IF(Tabla13[[#This Row],[Total Recursos Gestionados2]]=0,"_",IF(Tabla13[[#This Row],[Ejecución Recursos Comprometidos]]=0,100%,Tabla13[[#This Row],[Total Recursos Gestionados2]]/Tabla13[[#This Row],[Ejecución Recursos Comprometidos]]))</f>
        <v>_</v>
      </c>
      <c r="BC51" s="71" t="s">
        <v>225</v>
      </c>
      <c r="BD51" s="65" t="s">
        <v>226</v>
      </c>
      <c r="BE51" s="71">
        <v>10</v>
      </c>
    </row>
    <row r="52" spans="1:57" ht="20.45" customHeight="1">
      <c r="A52" s="72">
        <v>270</v>
      </c>
      <c r="B52" s="99" t="s">
        <v>90</v>
      </c>
      <c r="C52" s="99" t="s">
        <v>64</v>
      </c>
      <c r="D52" s="99" t="s">
        <v>96</v>
      </c>
      <c r="E52" s="99" t="s">
        <v>97</v>
      </c>
      <c r="F52" s="99" t="s">
        <v>149</v>
      </c>
      <c r="G52" s="99" t="s">
        <v>150</v>
      </c>
      <c r="H52" s="113">
        <v>2024680010126</v>
      </c>
      <c r="I52" s="106" t="s">
        <v>220</v>
      </c>
      <c r="J52" s="114"/>
      <c r="K52" s="114"/>
      <c r="L52" s="106" t="s">
        <v>186</v>
      </c>
      <c r="M52" s="106" t="s">
        <v>221</v>
      </c>
      <c r="N52" s="106">
        <v>3000</v>
      </c>
      <c r="O52" s="106" t="s">
        <v>337</v>
      </c>
      <c r="P52" s="75">
        <v>100000000</v>
      </c>
      <c r="Q52" s="75"/>
      <c r="R52" s="75"/>
      <c r="S52" s="75"/>
      <c r="T52" s="75"/>
      <c r="U52" s="75"/>
      <c r="V52" s="75"/>
      <c r="W52" s="75"/>
      <c r="X52" s="75"/>
      <c r="Y52" s="75"/>
      <c r="Z52" s="75"/>
      <c r="AA52" s="75"/>
      <c r="AB52" s="75"/>
      <c r="AC52" s="75">
        <v>1184725867</v>
      </c>
      <c r="AD52" s="115">
        <f>5081000000-1284683960</f>
        <v>3796316040</v>
      </c>
      <c r="AE52" s="142">
        <f>SUM(Tabla13[[#This Row],[Recursos propios 2025]:[Recursos del Balance]])</f>
        <v>5081041907</v>
      </c>
      <c r="AF52" s="76">
        <v>100000000</v>
      </c>
      <c r="AG52" s="75"/>
      <c r="AH52" s="75"/>
      <c r="AI52" s="75"/>
      <c r="AJ52" s="75"/>
      <c r="AK52" s="75"/>
      <c r="AL52" s="75"/>
      <c r="AM52" s="75"/>
      <c r="AN52" s="75"/>
      <c r="AO52" s="75"/>
      <c r="AP52" s="75"/>
      <c r="AQ52" s="75"/>
      <c r="AR52" s="75"/>
      <c r="AS52" s="75">
        <v>1184725867</v>
      </c>
      <c r="AT52" s="17">
        <v>3796294060</v>
      </c>
      <c r="AU52" s="75">
        <f>SUM(Tabla13[[#This Row],[Recursos propios 20252]:[Recursos del Balance2]])</f>
        <v>5081019927</v>
      </c>
      <c r="AV52" s="17">
        <v>3043471022.8800001</v>
      </c>
      <c r="AW52" s="66">
        <v>3043471022.8800001</v>
      </c>
      <c r="AX52" s="116">
        <f>+Tabla13[[#This Row],[Total Recursos Comprometido 2025]]/Tabla13[[#This Row],[Total 2025]]</f>
        <v>0.99999567411558454</v>
      </c>
      <c r="AY52" s="123">
        <f>+Tabla13[[#This Row],[Total Recursos Obligados]]/Tabla13[[#This Row],[Total 2025]]</f>
        <v>0.59898561723868105</v>
      </c>
      <c r="AZ52" s="132">
        <f>+Tabla13[[#This Row],[Total Recursos Pagados]]/Tabla13[[#This Row],[Total 2025]]</f>
        <v>0.59898561723868105</v>
      </c>
      <c r="BA52" s="135"/>
      <c r="BB52" s="75" t="str">
        <f>IF(Tabla13[[#This Row],[Total Recursos Gestionados2]]=0,"_",IF(Tabla13[[#This Row],[Ejecución Recursos Comprometidos]]=0,100%,Tabla13[[#This Row],[Total Recursos Gestionados2]]/Tabla13[[#This Row],[Ejecución Recursos Comprometidos]]))</f>
        <v>_</v>
      </c>
      <c r="BC52" s="71" t="s">
        <v>225</v>
      </c>
      <c r="BD52" s="65" t="s">
        <v>226</v>
      </c>
      <c r="BE52" s="71">
        <v>10</v>
      </c>
    </row>
    <row r="53" spans="1:57" ht="20.45" customHeight="1">
      <c r="A53" s="73">
        <v>271</v>
      </c>
      <c r="B53" s="103" t="s">
        <v>90</v>
      </c>
      <c r="C53" s="103" t="s">
        <v>64</v>
      </c>
      <c r="D53" s="103" t="s">
        <v>96</v>
      </c>
      <c r="E53" s="103" t="s">
        <v>97</v>
      </c>
      <c r="F53" s="103" t="s">
        <v>98</v>
      </c>
      <c r="G53" s="103" t="s">
        <v>151</v>
      </c>
      <c r="H53" s="113">
        <v>2024680010127</v>
      </c>
      <c r="I53" s="106" t="s">
        <v>201</v>
      </c>
      <c r="J53" s="114"/>
      <c r="K53" s="114"/>
      <c r="L53" s="106" t="s">
        <v>186</v>
      </c>
      <c r="M53" s="106" t="s">
        <v>202</v>
      </c>
      <c r="N53" s="106">
        <v>550</v>
      </c>
      <c r="O53" s="106" t="s">
        <v>338</v>
      </c>
      <c r="P53" s="97">
        <f>76800000</f>
        <v>76800000</v>
      </c>
      <c r="Q53" s="91"/>
      <c r="R53" s="91"/>
      <c r="S53" s="91"/>
      <c r="T53" s="91"/>
      <c r="U53" s="91"/>
      <c r="V53" s="91"/>
      <c r="W53" s="91"/>
      <c r="X53" s="91"/>
      <c r="Y53" s="91"/>
      <c r="Z53" s="91"/>
      <c r="AA53" s="91"/>
      <c r="AB53" s="91"/>
      <c r="AC53" s="91"/>
      <c r="AD53" s="143">
        <f>60000000+50000000</f>
        <v>110000000</v>
      </c>
      <c r="AE53" s="142">
        <f>SUM(Tabla13[[#This Row],[Recursos propios 2025]:[Recursos del Balance]])</f>
        <v>186800000</v>
      </c>
      <c r="AF53" s="76">
        <v>75000000</v>
      </c>
      <c r="AG53" s="91"/>
      <c r="AH53" s="91"/>
      <c r="AI53" s="91"/>
      <c r="AJ53" s="91"/>
      <c r="AK53" s="91"/>
      <c r="AL53" s="91"/>
      <c r="AM53" s="91"/>
      <c r="AN53" s="91"/>
      <c r="AO53" s="91"/>
      <c r="AP53" s="91"/>
      <c r="AQ53" s="91"/>
      <c r="AR53" s="91"/>
      <c r="AS53" s="91"/>
      <c r="AT53" s="122">
        <v>99180000</v>
      </c>
      <c r="AU53" s="75">
        <f>SUM(Tabla13[[#This Row],[Recursos propios 20252]:[Recursos del Balance2]])</f>
        <v>174180000</v>
      </c>
      <c r="AV53" s="17">
        <v>99896666.670000002</v>
      </c>
      <c r="AW53" s="66">
        <v>99896666.670000002</v>
      </c>
      <c r="AX53" s="116">
        <f>+Tabla13[[#This Row],[Total Recursos Comprometido 2025]]/Tabla13[[#This Row],[Total 2025]]</f>
        <v>0.93244111349036407</v>
      </c>
      <c r="AY53" s="123">
        <f>+Tabla13[[#This Row],[Total Recursos Obligados]]/Tabla13[[#This Row],[Total 2025]]</f>
        <v>0.53477872949678806</v>
      </c>
      <c r="AZ53" s="132">
        <f>+Tabla13[[#This Row],[Total Recursos Pagados]]/Tabla13[[#This Row],[Total 2025]]</f>
        <v>0.53477872949678806</v>
      </c>
      <c r="BA53" s="135"/>
      <c r="BB53" s="75" t="str">
        <f>IF(Tabla13[[#This Row],[Total Recursos Gestionados2]]=0,"_",IF(Tabla13[[#This Row],[Ejecución Recursos Comprometidos]]=0,100%,Tabla13[[#This Row],[Total Recursos Gestionados2]]/Tabla13[[#This Row],[Ejecución Recursos Comprometidos]]))</f>
        <v>_</v>
      </c>
      <c r="BC53" s="65" t="s">
        <v>225</v>
      </c>
      <c r="BD53" s="83" t="s">
        <v>226</v>
      </c>
      <c r="BE53" s="65">
        <v>10</v>
      </c>
    </row>
    <row r="54" spans="1:57" ht="20.45" customHeight="1">
      <c r="A54" s="73">
        <v>276</v>
      </c>
      <c r="B54" s="99" t="s">
        <v>90</v>
      </c>
      <c r="C54" s="99" t="s">
        <v>152</v>
      </c>
      <c r="D54" s="99" t="s">
        <v>153</v>
      </c>
      <c r="E54" s="99" t="s">
        <v>154</v>
      </c>
      <c r="F54" s="99" t="s">
        <v>155</v>
      </c>
      <c r="G54" s="99" t="s">
        <v>156</v>
      </c>
      <c r="H54" s="113">
        <v>2024680010236</v>
      </c>
      <c r="I54" s="106" t="s">
        <v>222</v>
      </c>
      <c r="J54" s="114">
        <v>400000000</v>
      </c>
      <c r="K54" s="114">
        <v>100000000</v>
      </c>
      <c r="L54" s="106"/>
      <c r="M54" s="106"/>
      <c r="N54" s="106"/>
      <c r="O54" s="106" t="s">
        <v>339</v>
      </c>
      <c r="P54" s="97">
        <v>100000000</v>
      </c>
      <c r="Q54" s="91"/>
      <c r="R54" s="91"/>
      <c r="S54" s="91"/>
      <c r="T54" s="91"/>
      <c r="U54" s="91"/>
      <c r="V54" s="91"/>
      <c r="W54" s="91"/>
      <c r="X54" s="91"/>
      <c r="Y54" s="91"/>
      <c r="Z54" s="91"/>
      <c r="AA54" s="91"/>
      <c r="AB54" s="91"/>
      <c r="AC54" s="91"/>
      <c r="AD54" s="143"/>
      <c r="AE54" s="142">
        <f>SUM(Tabla13[[#This Row],[Recursos propios 2025]:[Recursos del Balance]])</f>
        <v>100000000</v>
      </c>
      <c r="AF54" s="76">
        <v>64240000</v>
      </c>
      <c r="AG54" s="91"/>
      <c r="AH54" s="91"/>
      <c r="AI54" s="91"/>
      <c r="AJ54" s="91"/>
      <c r="AK54" s="91"/>
      <c r="AL54" s="91"/>
      <c r="AM54" s="91"/>
      <c r="AN54" s="91"/>
      <c r="AO54" s="91"/>
      <c r="AP54" s="91"/>
      <c r="AQ54" s="91"/>
      <c r="AR54" s="91"/>
      <c r="AS54" s="91"/>
      <c r="AT54" s="122">
        <v>0</v>
      </c>
      <c r="AU54" s="75">
        <f>SUM(Tabla13[[#This Row],[Recursos propios 20252]:[Recursos del Balance2]])</f>
        <v>64240000</v>
      </c>
      <c r="AV54" s="17">
        <v>47500000</v>
      </c>
      <c r="AW54" s="66">
        <v>47500000</v>
      </c>
      <c r="AX54" s="116">
        <f>+Tabla13[[#This Row],[Total Recursos Comprometido 2025]]/Tabla13[[#This Row],[Total 2025]]</f>
        <v>0.64239999999999997</v>
      </c>
      <c r="AY54" s="123">
        <f>+Tabla13[[#This Row],[Total Recursos Obligados]]/Tabla13[[#This Row],[Total 2025]]</f>
        <v>0.47499999999999998</v>
      </c>
      <c r="AZ54" s="132">
        <f>+Tabla13[[#This Row],[Total Recursos Pagados]]/Tabla13[[#This Row],[Total 2025]]</f>
        <v>0.47499999999999998</v>
      </c>
      <c r="BA54" s="135"/>
      <c r="BB54" s="75" t="str">
        <f>IF(Tabla13[[#This Row],[Total Recursos Gestionados2]]=0,"_",IF(Tabla13[[#This Row],[Ejecución Recursos Comprometidos]]=0,100%,Tabla13[[#This Row],[Total Recursos Gestionados2]]/Tabla13[[#This Row],[Ejecución Recursos Comprometidos]]))</f>
        <v>_</v>
      </c>
      <c r="BC54" s="71" t="s">
        <v>225</v>
      </c>
      <c r="BD54" s="83" t="s">
        <v>226</v>
      </c>
      <c r="BE54" s="71">
        <v>10</v>
      </c>
    </row>
    <row r="55" spans="1:57" ht="20.45" customHeight="1">
      <c r="A55" s="73">
        <v>278</v>
      </c>
      <c r="B55" s="99" t="s">
        <v>69</v>
      </c>
      <c r="C55" s="99" t="s">
        <v>70</v>
      </c>
      <c r="D55" s="99" t="s">
        <v>157</v>
      </c>
      <c r="E55" s="99" t="s">
        <v>158</v>
      </c>
      <c r="F55" s="99" t="s">
        <v>159</v>
      </c>
      <c r="G55" s="99" t="s">
        <v>160</v>
      </c>
      <c r="H55" s="113">
        <v>2024680010237</v>
      </c>
      <c r="I55" s="106" t="s">
        <v>223</v>
      </c>
      <c r="J55" s="114">
        <f>200000000-16000000</f>
        <v>184000000</v>
      </c>
      <c r="K55" s="114">
        <f>100000000-16000000</f>
        <v>84000000</v>
      </c>
      <c r="L55" s="106"/>
      <c r="M55" s="106"/>
      <c r="N55" s="106"/>
      <c r="O55" s="106" t="s">
        <v>340</v>
      </c>
      <c r="P55" s="97">
        <f>100000000-16000000</f>
        <v>84000000</v>
      </c>
      <c r="Q55" s="91"/>
      <c r="R55" s="91"/>
      <c r="S55" s="91"/>
      <c r="T55" s="91"/>
      <c r="U55" s="91"/>
      <c r="V55" s="91"/>
      <c r="W55" s="91"/>
      <c r="X55" s="91"/>
      <c r="Y55" s="91"/>
      <c r="Z55" s="91"/>
      <c r="AA55" s="91"/>
      <c r="AB55" s="91"/>
      <c r="AC55" s="91"/>
      <c r="AD55" s="143"/>
      <c r="AE55" s="142">
        <f>SUM(Tabla13[[#This Row],[Recursos propios 2025]:[Recursos del Balance]])</f>
        <v>84000000</v>
      </c>
      <c r="AF55" s="76">
        <v>83738000</v>
      </c>
      <c r="AG55" s="91"/>
      <c r="AH55" s="91"/>
      <c r="AI55" s="91"/>
      <c r="AJ55" s="91"/>
      <c r="AK55" s="91"/>
      <c r="AL55" s="91"/>
      <c r="AM55" s="91"/>
      <c r="AN55" s="91"/>
      <c r="AO55" s="91"/>
      <c r="AP55" s="91"/>
      <c r="AQ55" s="91"/>
      <c r="AR55" s="91"/>
      <c r="AS55" s="91"/>
      <c r="AT55" s="122">
        <v>0</v>
      </c>
      <c r="AU55" s="75">
        <f>SUM(Tabla13[[#This Row],[Recursos propios 20252]:[Recursos del Balance2]])</f>
        <v>83738000</v>
      </c>
      <c r="AV55" s="17">
        <v>0</v>
      </c>
      <c r="AW55" s="66">
        <v>0</v>
      </c>
      <c r="AX55" s="116">
        <f>+Tabla13[[#This Row],[Total Recursos Comprometido 2025]]/Tabla13[[#This Row],[Total 2025]]</f>
        <v>0.99688095238095242</v>
      </c>
      <c r="AY55" s="123">
        <f>+Tabla13[[#This Row],[Total Recursos Obligados]]/Tabla13[[#This Row],[Total 2025]]</f>
        <v>0</v>
      </c>
      <c r="AZ55" s="132">
        <f>+Tabla13[[#This Row],[Total Recursos Pagados]]/Tabla13[[#This Row],[Total 2025]]</f>
        <v>0</v>
      </c>
      <c r="BA55" s="135"/>
      <c r="BB55" s="75" t="str">
        <f>IF(Tabla13[[#This Row],[Total Recursos Gestionados2]]=0,"_",IF(Tabla13[[#This Row],[Ejecución Recursos Comprometidos]]=0,100%,Tabla13[[#This Row],[Total Recursos Gestionados2]]/Tabla13[[#This Row],[Ejecución Recursos Comprometidos]]))</f>
        <v>_</v>
      </c>
      <c r="BC55" s="65" t="s">
        <v>225</v>
      </c>
      <c r="BD55" s="65" t="s">
        <v>226</v>
      </c>
      <c r="BE55" s="65" t="s">
        <v>227</v>
      </c>
    </row>
    <row r="56" spans="1:57" ht="20.45" customHeight="1">
      <c r="A56" s="74">
        <v>280</v>
      </c>
      <c r="B56" s="99" t="s">
        <v>69</v>
      </c>
      <c r="C56" s="99" t="s">
        <v>161</v>
      </c>
      <c r="D56" s="99" t="s">
        <v>162</v>
      </c>
      <c r="E56" s="99" t="s">
        <v>163</v>
      </c>
      <c r="F56" s="99" t="s">
        <v>164</v>
      </c>
      <c r="G56" s="99" t="s">
        <v>165</v>
      </c>
      <c r="H56" s="113">
        <v>2024680010245</v>
      </c>
      <c r="I56" s="106" t="s">
        <v>224</v>
      </c>
      <c r="J56" s="114">
        <f>795600000+20000000</f>
        <v>815600000</v>
      </c>
      <c r="K56" s="114">
        <f>95600000+20000000</f>
        <v>115600000</v>
      </c>
      <c r="L56" s="106"/>
      <c r="M56" s="106"/>
      <c r="N56" s="106"/>
      <c r="O56" s="106" t="s">
        <v>341</v>
      </c>
      <c r="P56" s="97">
        <v>95600000</v>
      </c>
      <c r="Q56" s="91"/>
      <c r="R56" s="91"/>
      <c r="S56" s="91"/>
      <c r="T56" s="91"/>
      <c r="U56" s="91"/>
      <c r="V56" s="91"/>
      <c r="W56" s="91"/>
      <c r="X56" s="91"/>
      <c r="Y56" s="91"/>
      <c r="Z56" s="91"/>
      <c r="AA56" s="91"/>
      <c r="AB56" s="91"/>
      <c r="AC56" s="91"/>
      <c r="AD56" s="143">
        <v>20000000</v>
      </c>
      <c r="AE56" s="142">
        <f>SUM(Tabla13[[#This Row],[Recursos propios 2025]:[Recursos del Balance]])</f>
        <v>115600000</v>
      </c>
      <c r="AF56" s="76">
        <v>37200000</v>
      </c>
      <c r="AG56" s="91"/>
      <c r="AH56" s="91"/>
      <c r="AI56" s="91"/>
      <c r="AJ56" s="91"/>
      <c r="AK56" s="91"/>
      <c r="AL56" s="91"/>
      <c r="AM56" s="91"/>
      <c r="AN56" s="91"/>
      <c r="AO56" s="91"/>
      <c r="AP56" s="91"/>
      <c r="AQ56" s="91"/>
      <c r="AR56" s="91"/>
      <c r="AS56" s="91"/>
      <c r="AT56" s="122">
        <v>10513333.33</v>
      </c>
      <c r="AU56" s="75">
        <f>SUM(Tabla13[[#This Row],[Recursos propios 20252]:[Recursos del Balance2]])</f>
        <v>47713333.329999998</v>
      </c>
      <c r="AV56" s="17">
        <v>41506666.670000002</v>
      </c>
      <c r="AW56" s="66">
        <v>37706666.670000002</v>
      </c>
      <c r="AX56" s="116">
        <f>+Tabla13[[#This Row],[Total Recursos Comprometido 2025]]/Tabla13[[#This Row],[Total 2025]]</f>
        <v>0.41274509801038062</v>
      </c>
      <c r="AY56" s="123">
        <f>+Tabla13[[#This Row],[Total Recursos Obligados]]/Tabla13[[#This Row],[Total 2025]]</f>
        <v>0.35905420994809689</v>
      </c>
      <c r="AZ56" s="132">
        <f>+Tabla13[[#This Row],[Total Recursos Pagados]]/Tabla13[[#This Row],[Total 2025]]</f>
        <v>0.32618223762975779</v>
      </c>
      <c r="BA56" s="135"/>
      <c r="BB56" s="75" t="str">
        <f>IF(Tabla13[[#This Row],[Total Recursos Gestionados2]]=0,"_",IF(Tabla13[[#This Row],[Ejecución Recursos Comprometidos]]=0,100%,Tabla13[[#This Row],[Total Recursos Gestionados2]]/Tabla13[[#This Row],[Ejecución Recursos Comprometidos]]))</f>
        <v>_</v>
      </c>
      <c r="BC56" s="71" t="s">
        <v>225</v>
      </c>
      <c r="BD56" s="83" t="s">
        <v>226</v>
      </c>
      <c r="BE56" s="71">
        <v>10</v>
      </c>
    </row>
    <row r="57" spans="1:57">
      <c r="AD57" s="105"/>
    </row>
    <row r="58" spans="1:57">
      <c r="AD58" s="105"/>
    </row>
    <row r="59" spans="1:57">
      <c r="J59" s="105">
        <f>SUBTOTAL(109,Tabla13[Valor del Proyecto])</f>
        <v>105126037721.09001</v>
      </c>
      <c r="K59" s="105">
        <f>SUBTOTAL(109,Tabla13[Valor Vigencia Proyecto])</f>
        <v>37128983042.639999</v>
      </c>
      <c r="P59" s="105">
        <f>SUBTOTAL(109,Tabla13[Recursos propios 2025])</f>
        <v>14702345475</v>
      </c>
      <c r="Q59" s="105">
        <f>SUBTOTAL(109,Tabla13[SGP Educación 2025])</f>
        <v>0</v>
      </c>
      <c r="R59" s="105">
        <f>SUBTOTAL(109,Tabla13[SGP Salud 2025])</f>
        <v>0</v>
      </c>
      <c r="S59" s="105">
        <f>SUBTOTAL(109,Tabla13[SGP Deporte 2025])</f>
        <v>0</v>
      </c>
      <c r="T59" s="105">
        <f>SUBTOTAL(109,Tabla13[SGP Cultura 2025])</f>
        <v>0</v>
      </c>
      <c r="U59" s="105">
        <f>SUBTOTAL(109,Tabla13[SGP Libre inversión 2025])</f>
        <v>0</v>
      </c>
      <c r="V59" s="105">
        <f>SUBTOTAL(109,Tabla13[SGP Libre destinación 2025])</f>
        <v>0</v>
      </c>
      <c r="W59" s="105">
        <f>SUBTOTAL(109,Tabla13[SGP Alimentación escolar 2025])</f>
        <v>0</v>
      </c>
      <c r="X59" s="105">
        <f>SUBTOTAL(109,Tabla13[SGP Municipios río Magdalena 2025])</f>
        <v>0</v>
      </c>
      <c r="Y59" s="105">
        <f>SUBTOTAL(109,Tabla13[SGP APSB 2025])</f>
        <v>0</v>
      </c>
      <c r="Z59" s="105">
        <f>SUBTOTAL(109,Tabla13[Crédito 2025])</f>
        <v>0</v>
      </c>
      <c r="AA59" s="105">
        <f>SUBTOTAL(109,Tabla13[Transferencias de capital - cofinanciación departamento 2025])</f>
        <v>0</v>
      </c>
      <c r="AB59" s="105">
        <f>SUBTOTAL(109,Tabla13[Transferencias de capital - cofinanciación nación 2025])</f>
        <v>0</v>
      </c>
      <c r="AC59" s="105">
        <f>SUBTOTAL(109,Tabla13[Otros 2025])</f>
        <v>9954468838</v>
      </c>
      <c r="AD59" s="105">
        <f>SUBTOTAL(109,Tabla13[Recursos del Balance])</f>
        <v>12472168729.639999</v>
      </c>
      <c r="AE59" s="105">
        <f>SUBTOTAL(109,Tabla13[Total 2025])</f>
        <v>37128983042.639999</v>
      </c>
      <c r="AF59" s="105">
        <f>SUBTOTAL(109,Tabla13[Recursos propios 20252])</f>
        <v>13616746747.279999</v>
      </c>
      <c r="AG59" s="105">
        <f>SUM(Tabla13[SGP Educación 20252])</f>
        <v>0</v>
      </c>
      <c r="AH59" s="105">
        <f>SUM(Tabla13[SGP Salud 20252])</f>
        <v>0</v>
      </c>
      <c r="AI59" s="105">
        <f>SUM(Tabla13[SGP Deporte 20252])</f>
        <v>0</v>
      </c>
      <c r="AJ59" s="105">
        <f>SUM(Tabla13[SGP Cultura 20252])</f>
        <v>0</v>
      </c>
      <c r="AK59" s="105">
        <f>SUM(Tabla13[SGP Libre inversión 20252])</f>
        <v>0</v>
      </c>
      <c r="AL59" s="105">
        <f>SUM(Tabla13[SGP Libre destinación 20252])</f>
        <v>0</v>
      </c>
      <c r="AM59" s="105">
        <f>SUM(Tabla13[SGP Alimentación escolar 20252])</f>
        <v>0</v>
      </c>
      <c r="AN59" s="105">
        <f>SUM(Tabla13[SGP Municipios río Magdalena 20252])</f>
        <v>0</v>
      </c>
      <c r="AO59" s="105">
        <f>SUM(Tabla13[SGP APSB 20252])</f>
        <v>0</v>
      </c>
      <c r="AP59" s="105">
        <f>SUM(Tabla13[Crédito 20252])</f>
        <v>0</v>
      </c>
      <c r="AQ59" s="105">
        <f>SUM(Tabla13[Transferencias de capital - cofinanciación departamento 20252])</f>
        <v>0</v>
      </c>
      <c r="AR59" s="105">
        <f>SUM(Tabla13[Transferencias de capital - cofinanciación nación 20252])</f>
        <v>0</v>
      </c>
      <c r="AS59" s="105">
        <f>SUM(Tabla13[Otros 20252])</f>
        <v>9162978797.9799995</v>
      </c>
      <c r="AT59" s="105">
        <f>SUM(Tabla13[Recursos del Balance2])</f>
        <v>8996604892.9899998</v>
      </c>
      <c r="AU59" s="105">
        <f>SUBTOTAL(109,Tabla13[Total Recursos Comprometido 2025])</f>
        <v>31776330438.250004</v>
      </c>
      <c r="AV59" s="105">
        <f>SUBTOTAL(109,Tabla13[Total Recursos Obligados])</f>
        <v>23933738289.939999</v>
      </c>
      <c r="AW59" s="105">
        <f>SUBTOTAL(109,Tabla13[Total Recursos Pagados])</f>
        <v>23657404956.619999</v>
      </c>
    </row>
    <row r="60" spans="1:57">
      <c r="J60" s="105">
        <v>105126037721.09001</v>
      </c>
      <c r="K60" s="105">
        <v>37128983042.639999</v>
      </c>
      <c r="L60" s="105"/>
      <c r="M60" s="105"/>
      <c r="N60" s="105"/>
      <c r="O60" s="105"/>
      <c r="P60" s="105">
        <v>14702345475</v>
      </c>
      <c r="Q60" s="105"/>
      <c r="R60" s="105"/>
      <c r="S60" s="105"/>
      <c r="T60" s="105"/>
      <c r="U60" s="105"/>
      <c r="V60" s="105"/>
      <c r="W60" s="105"/>
      <c r="X60" s="105"/>
      <c r="Y60" s="105"/>
      <c r="Z60" s="105"/>
      <c r="AA60" s="105"/>
      <c r="AB60" s="105"/>
      <c r="AC60" s="105">
        <v>9954468838</v>
      </c>
      <c r="AD60" s="105">
        <v>12472168729.639999</v>
      </c>
      <c r="AE60" s="105">
        <v>37128983042.639999</v>
      </c>
      <c r="AF60" s="105">
        <v>13616746747.280001</v>
      </c>
      <c r="AG60" s="105"/>
      <c r="AH60" s="105"/>
      <c r="AI60" s="105"/>
      <c r="AJ60" s="105"/>
      <c r="AK60" s="105"/>
      <c r="AL60" s="105"/>
      <c r="AM60" s="105"/>
      <c r="AN60" s="105"/>
      <c r="AO60" s="105"/>
      <c r="AP60" s="105"/>
      <c r="AQ60" s="105"/>
      <c r="AR60" s="105"/>
      <c r="AS60" s="105">
        <v>9162978797.9799995</v>
      </c>
      <c r="AT60" s="105">
        <v>8996604892.9899998</v>
      </c>
      <c r="AU60" s="105">
        <v>31776330438.25</v>
      </c>
      <c r="AV60" s="105">
        <v>23933738289.940006</v>
      </c>
      <c r="AW60" s="105">
        <v>23657404956.620007</v>
      </c>
    </row>
    <row r="61" spans="1:57">
      <c r="J61" s="105">
        <f t="shared" ref="J61:K61" si="0">+J59-J60</f>
        <v>0</v>
      </c>
      <c r="K61" s="105">
        <f t="shared" si="0"/>
        <v>0</v>
      </c>
      <c r="L61" s="105"/>
      <c r="M61" s="105"/>
      <c r="N61" s="105"/>
      <c r="O61" s="105"/>
      <c r="P61" s="105">
        <f>+P59-P60</f>
        <v>0</v>
      </c>
      <c r="Q61" s="105"/>
      <c r="R61" s="105"/>
      <c r="S61" s="105"/>
      <c r="T61" s="105"/>
      <c r="U61" s="105"/>
      <c r="V61" s="105"/>
      <c r="W61" s="105"/>
      <c r="X61" s="105"/>
      <c r="Y61" s="105"/>
      <c r="Z61" s="105"/>
      <c r="AA61" s="105"/>
      <c r="AB61" s="105"/>
      <c r="AC61" s="105">
        <f t="shared" ref="AC61:AW61" si="1">+AC59-AC60</f>
        <v>0</v>
      </c>
      <c r="AD61" s="105">
        <f t="shared" si="1"/>
        <v>0</v>
      </c>
      <c r="AE61" s="105">
        <f t="shared" si="1"/>
        <v>0</v>
      </c>
      <c r="AF61" s="105">
        <f t="shared" si="1"/>
        <v>0</v>
      </c>
      <c r="AG61" s="105">
        <f t="shared" si="1"/>
        <v>0</v>
      </c>
      <c r="AH61" s="105">
        <f t="shared" si="1"/>
        <v>0</v>
      </c>
      <c r="AI61" s="105">
        <f t="shared" si="1"/>
        <v>0</v>
      </c>
      <c r="AJ61" s="105">
        <f t="shared" si="1"/>
        <v>0</v>
      </c>
      <c r="AK61" s="105">
        <f t="shared" si="1"/>
        <v>0</v>
      </c>
      <c r="AL61" s="105">
        <f t="shared" si="1"/>
        <v>0</v>
      </c>
      <c r="AM61" s="105">
        <f t="shared" si="1"/>
        <v>0</v>
      </c>
      <c r="AN61" s="105">
        <f t="shared" si="1"/>
        <v>0</v>
      </c>
      <c r="AO61" s="105">
        <f t="shared" si="1"/>
        <v>0</v>
      </c>
      <c r="AP61" s="105">
        <f t="shared" si="1"/>
        <v>0</v>
      </c>
      <c r="AQ61" s="105">
        <f t="shared" si="1"/>
        <v>0</v>
      </c>
      <c r="AR61" s="105">
        <f t="shared" si="1"/>
        <v>0</v>
      </c>
      <c r="AS61" s="105">
        <f t="shared" si="1"/>
        <v>0</v>
      </c>
      <c r="AT61" s="105">
        <f t="shared" si="1"/>
        <v>0</v>
      </c>
      <c r="AU61" s="105">
        <f t="shared" si="1"/>
        <v>0</v>
      </c>
      <c r="AV61" s="105">
        <f t="shared" si="1"/>
        <v>0</v>
      </c>
      <c r="AW61" s="105">
        <f t="shared" si="1"/>
        <v>0</v>
      </c>
    </row>
    <row r="64" spans="1:57">
      <c r="J64" s="104"/>
    </row>
    <row r="73" spans="12:12">
      <c r="L73" s="4" t="s">
        <v>342</v>
      </c>
    </row>
    <row r="74" spans="12:12">
      <c r="L74" s="4" t="s">
        <v>343</v>
      </c>
    </row>
    <row r="76" spans="12:12">
      <c r="L76" s="4">
        <v>10163</v>
      </c>
    </row>
  </sheetData>
  <sheetProtection formatCells="0" formatColumns="0" formatRows="0" insertRows="0" autoFilter="0"/>
  <mergeCells count="13">
    <mergeCell ref="A1:B4"/>
    <mergeCell ref="C1:BB4"/>
    <mergeCell ref="BC1:BE1"/>
    <mergeCell ref="BC2:BE2"/>
    <mergeCell ref="BC3:BE3"/>
    <mergeCell ref="BC4:BE4"/>
    <mergeCell ref="BC9:BD9"/>
    <mergeCell ref="A9:G9"/>
    <mergeCell ref="H9:O9"/>
    <mergeCell ref="P9:AE9"/>
    <mergeCell ref="AF9:AW9"/>
    <mergeCell ref="AX9:AZ9"/>
    <mergeCell ref="BA9:BB9"/>
  </mergeCells>
  <pageMargins left="0.7" right="0.7" top="0.75" bottom="0.75" header="0.3" footer="0.3"/>
  <pageSetup paperSize="9" orientation="portrait"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8" tint="-0.249977111117893"/>
  </sheetPr>
  <dimension ref="A1:BE54"/>
  <sheetViews>
    <sheetView showGridLines="0" tabSelected="1" zoomScale="60" zoomScaleNormal="60" workbookViewId="0">
      <pane xSplit="1" ySplit="10" topLeftCell="B11" activePane="bottomRight" state="frozen"/>
      <selection pane="topRight" activeCell="B1" sqref="B1"/>
      <selection pane="bottomLeft" activeCell="A11" sqref="A11"/>
      <selection pane="bottomRight" sqref="A1:B4"/>
    </sheetView>
  </sheetViews>
  <sheetFormatPr baseColWidth="10" defaultColWidth="11.125" defaultRowHeight="15"/>
  <cols>
    <col min="1" max="1" width="19" style="4" customWidth="1"/>
    <col min="2" max="2" width="26.875" style="4" customWidth="1"/>
    <col min="3" max="3" width="20.125" style="4" customWidth="1"/>
    <col min="4" max="4" width="19.125" style="4" customWidth="1"/>
    <col min="5" max="5" width="40.375" style="4" customWidth="1"/>
    <col min="6" max="6" width="19.125" style="4" customWidth="1"/>
    <col min="7" max="7" width="41.75" style="4" customWidth="1"/>
    <col min="8" max="8" width="19.125" style="4" customWidth="1"/>
    <col min="9" max="9" width="69" style="4" customWidth="1"/>
    <col min="10" max="10" width="12.375" style="4" customWidth="1"/>
    <col min="11" max="11" width="16.125" style="4" customWidth="1"/>
    <col min="12" max="12" width="20" style="4" customWidth="1"/>
    <col min="13" max="14" width="23.125" style="4" customWidth="1"/>
    <col min="15" max="16" width="18.875" style="4" customWidth="1"/>
    <col min="17" max="17" width="19.125" style="5" hidden="1" customWidth="1"/>
    <col min="18" max="46" width="27.125" style="4" customWidth="1"/>
    <col min="47" max="47" width="28.25" style="4" bestFit="1" customWidth="1"/>
    <col min="48" max="49" width="27.125" style="4" customWidth="1"/>
    <col min="50" max="50" width="24.25" style="32" bestFit="1" customWidth="1"/>
    <col min="51" max="52" width="22.875" style="32" customWidth="1"/>
    <col min="53" max="53" width="27.125" style="4" customWidth="1"/>
    <col min="54" max="54" width="16.125" style="4" customWidth="1"/>
    <col min="55" max="55" width="20.125" style="4" customWidth="1"/>
    <col min="56" max="56" width="19.875" style="4" customWidth="1"/>
    <col min="57" max="57" width="21.125" style="4" customWidth="1"/>
    <col min="58" max="58" width="22.875" style="1" bestFit="1" customWidth="1"/>
    <col min="59" max="59" width="33" style="1" bestFit="1" customWidth="1"/>
    <col min="60" max="60" width="28.875" style="1" bestFit="1" customWidth="1"/>
    <col min="61" max="61" width="58.125" style="1" bestFit="1" customWidth="1"/>
    <col min="62" max="62" width="26" style="1" bestFit="1" customWidth="1"/>
    <col min="63" max="63" width="24.125" style="1" bestFit="1" customWidth="1"/>
    <col min="64" max="64" width="35.125" style="1" bestFit="1" customWidth="1"/>
    <col min="65" max="65" width="30.125" style="1" bestFit="1" customWidth="1"/>
    <col min="66" max="66" width="31.125" style="1" bestFit="1" customWidth="1"/>
    <col min="67" max="67" width="38" style="1" bestFit="1" customWidth="1"/>
    <col min="68" max="68" width="40.125" style="1" bestFit="1" customWidth="1"/>
    <col min="69" max="69" width="43.125" style="1" bestFit="1" customWidth="1"/>
    <col min="70" max="70" width="48.875" style="1" bestFit="1" customWidth="1"/>
    <col min="71" max="71" width="39.125" style="1" bestFit="1" customWidth="1"/>
    <col min="72" max="72" width="26.875" style="1" bestFit="1" customWidth="1"/>
    <col min="73" max="73" width="47" style="1" bestFit="1" customWidth="1"/>
    <col min="74" max="74" width="40" style="1" bestFit="1" customWidth="1"/>
    <col min="75" max="75" width="83.875" style="1" bestFit="1" customWidth="1"/>
    <col min="76" max="76" width="21.125" style="1" bestFit="1" customWidth="1"/>
    <col min="77" max="77" width="31.125" style="1" bestFit="1" customWidth="1"/>
    <col min="78" max="78" width="27.125" style="1" bestFit="1" customWidth="1"/>
    <col min="79" max="79" width="56.875" style="1" bestFit="1" customWidth="1"/>
    <col min="80" max="80" width="24.125" style="1" bestFit="1" customWidth="1"/>
    <col min="81" max="81" width="22.875" style="1" bestFit="1" customWidth="1"/>
    <col min="82" max="82" width="33.875" style="1" bestFit="1" customWidth="1"/>
    <col min="83" max="83" width="29" style="1" bestFit="1" customWidth="1"/>
    <col min="84" max="84" width="29.875" style="1" bestFit="1" customWidth="1"/>
    <col min="85" max="85" width="36.125" style="1" bestFit="1" customWidth="1"/>
    <col min="86" max="86" width="38.875" style="1" bestFit="1" customWidth="1"/>
    <col min="87" max="87" width="42" style="1" bestFit="1" customWidth="1"/>
    <col min="88" max="88" width="47.125" style="1" bestFit="1" customWidth="1"/>
    <col min="89" max="89" width="37.875" style="1" bestFit="1" customWidth="1"/>
    <col min="90" max="90" width="25.125" style="1" bestFit="1" customWidth="1"/>
    <col min="91" max="91" width="45.125" style="1" bestFit="1" customWidth="1"/>
    <col min="92" max="92" width="38.125" style="1" bestFit="1" customWidth="1"/>
    <col min="93" max="93" width="82.125" style="1" bestFit="1" customWidth="1"/>
    <col min="94" max="94" width="22" style="1" bestFit="1" customWidth="1"/>
    <col min="95" max="95" width="32.125" style="1" bestFit="1" customWidth="1"/>
    <col min="96" max="96" width="28" style="1" bestFit="1" customWidth="1"/>
    <col min="97" max="97" width="57.125" style="1" bestFit="1" customWidth="1"/>
    <col min="98" max="98" width="25.125" style="1" bestFit="1" customWidth="1"/>
    <col min="99" max="99" width="23.125" style="1" bestFit="1" customWidth="1"/>
    <col min="100" max="100" width="34.125" style="1" bestFit="1" customWidth="1"/>
    <col min="101" max="101" width="29.125" style="1" bestFit="1" customWidth="1"/>
    <col min="102" max="102" width="30.125" style="1" bestFit="1" customWidth="1"/>
    <col min="103" max="103" width="37.125" style="1" bestFit="1" customWidth="1"/>
    <col min="104" max="104" width="39.125" style="1" bestFit="1" customWidth="1"/>
    <col min="105" max="105" width="42.125" style="1" bestFit="1" customWidth="1"/>
    <col min="106" max="106" width="48" style="1" bestFit="1" customWidth="1"/>
    <col min="107" max="107" width="38.125" style="1" bestFit="1" customWidth="1"/>
    <col min="108" max="108" width="25.875" style="1" bestFit="1" customWidth="1"/>
    <col min="109" max="109" width="46" style="1" bestFit="1" customWidth="1"/>
    <col min="110" max="110" width="39.125" style="1" bestFit="1" customWidth="1"/>
    <col min="111" max="111" width="82.875" style="1" bestFit="1" customWidth="1"/>
    <col min="112" max="112" width="20" style="1" bestFit="1" customWidth="1"/>
    <col min="113" max="113" width="30.125" style="1" bestFit="1" customWidth="1"/>
    <col min="114" max="114" width="26" style="1" bestFit="1" customWidth="1"/>
    <col min="115" max="115" width="55.125" style="1" bestFit="1" customWidth="1"/>
    <col min="116" max="116" width="23.125" style="1" bestFit="1" customWidth="1"/>
    <col min="117" max="117" width="21.125" style="1" bestFit="1" customWidth="1"/>
    <col min="118" max="118" width="32.125" style="1" bestFit="1" customWidth="1"/>
    <col min="119" max="119" width="27.875" style="1" bestFit="1" customWidth="1"/>
    <col min="120" max="120" width="28.125" style="1" bestFit="1" customWidth="1"/>
    <col min="121" max="121" width="35.125" style="1" bestFit="1" customWidth="1"/>
    <col min="122" max="122" width="37.125" style="1" bestFit="1" customWidth="1"/>
    <col min="123" max="123" width="40.125" style="1" bestFit="1" customWidth="1"/>
    <col min="124" max="124" width="46" style="1" bestFit="1" customWidth="1"/>
    <col min="125" max="125" width="36.125" style="1" bestFit="1" customWidth="1"/>
    <col min="126" max="126" width="24" style="1" bestFit="1" customWidth="1"/>
    <col min="127" max="127" width="44.125" style="1" bestFit="1" customWidth="1"/>
    <col min="128" max="128" width="37.125" style="1" bestFit="1" customWidth="1"/>
    <col min="129" max="129" width="80.875" style="1" bestFit="1" customWidth="1"/>
    <col min="130" max="130" width="37.125" style="1" bestFit="1" customWidth="1"/>
    <col min="131" max="131" width="22.875" style="1" bestFit="1" customWidth="1"/>
    <col min="132" max="132" width="33" style="1" bestFit="1" customWidth="1"/>
    <col min="133" max="133" width="28.875" style="1" bestFit="1" customWidth="1"/>
    <col min="134" max="134" width="58.125" style="1" bestFit="1" customWidth="1"/>
    <col min="135" max="135" width="26" style="1" bestFit="1" customWidth="1"/>
    <col min="136" max="136" width="24.125" style="1" bestFit="1" customWidth="1"/>
    <col min="137" max="137" width="35.125" style="1" bestFit="1" customWidth="1"/>
    <col min="138" max="138" width="30.125" style="1" bestFit="1" customWidth="1"/>
    <col min="139" max="139" width="31.125" style="1" bestFit="1" customWidth="1"/>
    <col min="140" max="140" width="38" style="1" bestFit="1" customWidth="1"/>
    <col min="141" max="141" width="40.125" style="1" bestFit="1" customWidth="1"/>
    <col min="142" max="142" width="43.125" style="1" bestFit="1" customWidth="1"/>
    <col min="143" max="143" width="48.875" style="1" bestFit="1" customWidth="1"/>
    <col min="144" max="144" width="39.125" style="1" bestFit="1" customWidth="1"/>
    <col min="145" max="145" width="26.875" style="1" bestFit="1" customWidth="1"/>
    <col min="146" max="146" width="47" style="1" bestFit="1" customWidth="1"/>
    <col min="147" max="147" width="40" style="1" bestFit="1" customWidth="1"/>
    <col min="148" max="148" width="83.875" style="1" bestFit="1" customWidth="1"/>
    <col min="149" max="149" width="21.125" style="1" bestFit="1" customWidth="1"/>
    <col min="150" max="150" width="31.125" style="1" bestFit="1" customWidth="1"/>
    <col min="151" max="151" width="27.125" style="1" bestFit="1" customWidth="1"/>
    <col min="152" max="152" width="56.875" style="1" bestFit="1" customWidth="1"/>
    <col min="153" max="153" width="24.125" style="1" bestFit="1" customWidth="1"/>
    <col min="154" max="154" width="22.875" style="1" bestFit="1" customWidth="1"/>
    <col min="155" max="155" width="33.875" style="1" bestFit="1" customWidth="1"/>
    <col min="156" max="156" width="29" style="1" bestFit="1" customWidth="1"/>
    <col min="157" max="157" width="29.875" style="1" bestFit="1" customWidth="1"/>
    <col min="158" max="158" width="36.125" style="1" bestFit="1" customWidth="1"/>
    <col min="159" max="159" width="38.875" style="1" bestFit="1" customWidth="1"/>
    <col min="160" max="160" width="42" style="1" bestFit="1" customWidth="1"/>
    <col min="161" max="161" width="47.125" style="1" bestFit="1" customWidth="1"/>
    <col min="162" max="162" width="37.875" style="1" bestFit="1" customWidth="1"/>
    <col min="163" max="163" width="25.125" style="1" bestFit="1" customWidth="1"/>
    <col min="164" max="164" width="45.125" style="1" bestFit="1" customWidth="1"/>
    <col min="165" max="165" width="38.125" style="1" bestFit="1" customWidth="1"/>
    <col min="166" max="166" width="82.125" style="1" bestFit="1" customWidth="1"/>
    <col min="167" max="167" width="22" style="1" bestFit="1" customWidth="1"/>
    <col min="168" max="168" width="32.125" style="1" bestFit="1" customWidth="1"/>
    <col min="169" max="169" width="28" style="1" bestFit="1" customWidth="1"/>
    <col min="170" max="170" width="57.125" style="1" bestFit="1" customWidth="1"/>
    <col min="171" max="171" width="25.125" style="1" bestFit="1" customWidth="1"/>
    <col min="172" max="172" width="23.125" style="1" bestFit="1" customWidth="1"/>
    <col min="173" max="173" width="34.125" style="1" bestFit="1" customWidth="1"/>
    <col min="174" max="174" width="29.125" style="1" bestFit="1" customWidth="1"/>
    <col min="175" max="175" width="30.125" style="1" bestFit="1" customWidth="1"/>
    <col min="176" max="176" width="37.125" style="1" bestFit="1" customWidth="1"/>
    <col min="177" max="177" width="39.125" style="1" bestFit="1" customWidth="1"/>
    <col min="178" max="178" width="42.125" style="1" bestFit="1" customWidth="1"/>
    <col min="179" max="179" width="48" style="1" bestFit="1" customWidth="1"/>
    <col min="180" max="180" width="38.125" style="1" bestFit="1" customWidth="1"/>
    <col min="181" max="181" width="25.875" style="1" bestFit="1" customWidth="1"/>
    <col min="182" max="182" width="46" style="1" bestFit="1" customWidth="1"/>
    <col min="183" max="183" width="39.125" style="1" bestFit="1" customWidth="1"/>
    <col min="184" max="184" width="82.875" style="1" bestFit="1" customWidth="1"/>
    <col min="185" max="185" width="20" style="1" bestFit="1" customWidth="1"/>
    <col min="186" max="186" width="30.125" style="1" bestFit="1" customWidth="1"/>
    <col min="187" max="187" width="26" style="1" bestFit="1" customWidth="1"/>
    <col min="188" max="188" width="55.125" style="1" bestFit="1" customWidth="1"/>
    <col min="189" max="189" width="23.125" style="1" bestFit="1" customWidth="1"/>
    <col min="190" max="190" width="21.125" style="1" bestFit="1" customWidth="1"/>
    <col min="191" max="191" width="32.125" style="1" bestFit="1" customWidth="1"/>
    <col min="192" max="192" width="27.875" style="1" bestFit="1" customWidth="1"/>
    <col min="193" max="193" width="28.125" style="1" bestFit="1" customWidth="1"/>
    <col min="194" max="194" width="35.125" style="1" bestFit="1" customWidth="1"/>
    <col min="195" max="195" width="37.125" style="1" bestFit="1" customWidth="1"/>
    <col min="196" max="196" width="40.125" style="1" bestFit="1" customWidth="1"/>
    <col min="197" max="197" width="46" style="1" bestFit="1" customWidth="1"/>
    <col min="198" max="198" width="36.125" style="1" bestFit="1" customWidth="1"/>
    <col min="199" max="199" width="24" style="1" bestFit="1" customWidth="1"/>
    <col min="200" max="200" width="44.125" style="1" bestFit="1" customWidth="1"/>
    <col min="201" max="201" width="37.125" style="1" bestFit="1" customWidth="1"/>
    <col min="202" max="202" width="80.875" style="1" bestFit="1" customWidth="1"/>
    <col min="203" max="203" width="37.125" style="1" bestFit="1" customWidth="1"/>
    <col min="204" max="204" width="22.875" style="1" bestFit="1" customWidth="1"/>
    <col min="205" max="205" width="33" style="1" bestFit="1" customWidth="1"/>
    <col min="206" max="206" width="28.875" style="1" bestFit="1" customWidth="1"/>
    <col min="207" max="207" width="58.125" style="1" bestFit="1" customWidth="1"/>
    <col min="208" max="208" width="26" style="1" bestFit="1" customWidth="1"/>
    <col min="209" max="209" width="24.125" style="1" bestFit="1" customWidth="1"/>
    <col min="210" max="210" width="35.125" style="1" bestFit="1" customWidth="1"/>
    <col min="211" max="211" width="30.125" style="1" bestFit="1" customWidth="1"/>
    <col min="212" max="212" width="31.125" style="1" bestFit="1" customWidth="1"/>
    <col min="213" max="213" width="38" style="1" bestFit="1" customWidth="1"/>
    <col min="214" max="214" width="40.125" style="1" bestFit="1" customWidth="1"/>
    <col min="215" max="215" width="43.125" style="1" bestFit="1" customWidth="1"/>
    <col min="216" max="216" width="48.875" style="1" bestFit="1" customWidth="1"/>
    <col min="217" max="217" width="39.125" style="1" bestFit="1" customWidth="1"/>
    <col min="218" max="218" width="26.875" style="1" bestFit="1" customWidth="1"/>
    <col min="219" max="219" width="47" style="1" bestFit="1" customWidth="1"/>
    <col min="220" max="220" width="40" style="1" bestFit="1" customWidth="1"/>
    <col min="221" max="221" width="83.875" style="1" bestFit="1" customWidth="1"/>
    <col min="222" max="222" width="21.125" style="1" bestFit="1" customWidth="1"/>
    <col min="223" max="223" width="31.125" style="1" bestFit="1" customWidth="1"/>
    <col min="224" max="224" width="27.125" style="1" bestFit="1" customWidth="1"/>
    <col min="225" max="225" width="56.875" style="1" bestFit="1" customWidth="1"/>
    <col min="226" max="226" width="24.125" style="1" bestFit="1" customWidth="1"/>
    <col min="227" max="227" width="22.875" style="1" bestFit="1" customWidth="1"/>
    <col min="228" max="228" width="33.875" style="1" bestFit="1" customWidth="1"/>
    <col min="229" max="229" width="29" style="1" bestFit="1" customWidth="1"/>
    <col min="230" max="230" width="29.875" style="1" bestFit="1" customWidth="1"/>
    <col min="231" max="231" width="36.125" style="1" bestFit="1" customWidth="1"/>
    <col min="232" max="232" width="38.875" style="1" bestFit="1" customWidth="1"/>
    <col min="233" max="233" width="42" style="1" bestFit="1" customWidth="1"/>
    <col min="234" max="234" width="47.125" style="1" bestFit="1" customWidth="1"/>
    <col min="235" max="235" width="37.875" style="1" bestFit="1" customWidth="1"/>
    <col min="236" max="236" width="25.125" style="1" bestFit="1" customWidth="1"/>
    <col min="237" max="237" width="45.125" style="1" bestFit="1" customWidth="1"/>
    <col min="238" max="238" width="38.125" style="1" bestFit="1" customWidth="1"/>
    <col min="239" max="239" width="82.125" style="1" bestFit="1" customWidth="1"/>
    <col min="240" max="240" width="22" style="1" bestFit="1" customWidth="1"/>
    <col min="241" max="241" width="32.125" style="1" bestFit="1" customWidth="1"/>
    <col min="242" max="242" width="28" style="1" bestFit="1" customWidth="1"/>
    <col min="243" max="243" width="57.125" style="1" bestFit="1" customWidth="1"/>
    <col min="244" max="244" width="25.125" style="1" bestFit="1" customWidth="1"/>
    <col min="245" max="245" width="23.125" style="1" bestFit="1" customWidth="1"/>
    <col min="246" max="246" width="34.125" style="1" bestFit="1" customWidth="1"/>
    <col min="247" max="247" width="29.125" style="1" bestFit="1" customWidth="1"/>
    <col min="248" max="248" width="30.125" style="1" bestFit="1" customWidth="1"/>
    <col min="249" max="249" width="37.125" style="1" bestFit="1" customWidth="1"/>
    <col min="250" max="250" width="39.125" style="1" bestFit="1" customWidth="1"/>
    <col min="251" max="251" width="42.125" style="1" bestFit="1" customWidth="1"/>
    <col min="252" max="252" width="48" style="1" bestFit="1" customWidth="1"/>
    <col min="253" max="253" width="38.125" style="1" bestFit="1" customWidth="1"/>
    <col min="254" max="254" width="25.875" style="1" bestFit="1" customWidth="1"/>
    <col min="255" max="255" width="46" style="1" bestFit="1" customWidth="1"/>
    <col min="256" max="256" width="39.125" style="1" bestFit="1" customWidth="1"/>
    <col min="257" max="257" width="82.875" style="1" bestFit="1" customWidth="1"/>
    <col min="258" max="258" width="20" style="1" bestFit="1" customWidth="1"/>
    <col min="259" max="259" width="30.125" style="1" bestFit="1" customWidth="1"/>
    <col min="260" max="260" width="26" style="1" bestFit="1" customWidth="1"/>
    <col min="261" max="261" width="55.125" style="1" bestFit="1" customWidth="1"/>
    <col min="262" max="262" width="23.125" style="1" bestFit="1" customWidth="1"/>
    <col min="263" max="263" width="21.125" style="1" bestFit="1" customWidth="1"/>
    <col min="264" max="264" width="32.125" style="1" bestFit="1" customWidth="1"/>
    <col min="265" max="265" width="27.875" style="1" bestFit="1" customWidth="1"/>
    <col min="266" max="266" width="28.125" style="1" bestFit="1" customWidth="1"/>
    <col min="267" max="267" width="35.125" style="1" bestFit="1" customWidth="1"/>
    <col min="268" max="268" width="37.125" style="1" bestFit="1" customWidth="1"/>
    <col min="269" max="269" width="40.125" style="1" bestFit="1" customWidth="1"/>
    <col min="270" max="270" width="46" style="1" bestFit="1" customWidth="1"/>
    <col min="271" max="271" width="36.125" style="1" bestFit="1" customWidth="1"/>
    <col min="272" max="272" width="24" style="1" bestFit="1" customWidth="1"/>
    <col min="273" max="273" width="44.125" style="1" bestFit="1" customWidth="1"/>
    <col min="274" max="274" width="37.125" style="1" bestFit="1" customWidth="1"/>
    <col min="275" max="275" width="80.875" style="1" bestFit="1" customWidth="1"/>
    <col min="276" max="276" width="37.125" style="1" bestFit="1" customWidth="1"/>
    <col min="277" max="277" width="22.875" style="1" bestFit="1" customWidth="1"/>
    <col min="278" max="278" width="33" style="1" bestFit="1" customWidth="1"/>
    <col min="279" max="279" width="28.875" style="1" bestFit="1" customWidth="1"/>
    <col min="280" max="280" width="58.125" style="1" bestFit="1" customWidth="1"/>
    <col min="281" max="281" width="26" style="1" bestFit="1" customWidth="1"/>
    <col min="282" max="282" width="24.125" style="1" bestFit="1" customWidth="1"/>
    <col min="283" max="283" width="35.125" style="1" bestFit="1" customWidth="1"/>
    <col min="284" max="284" width="30.125" style="1" bestFit="1" customWidth="1"/>
    <col min="285" max="285" width="31.125" style="1" bestFit="1" customWidth="1"/>
    <col min="286" max="286" width="38" style="1" bestFit="1" customWidth="1"/>
    <col min="287" max="287" width="40.125" style="1" bestFit="1" customWidth="1"/>
    <col min="288" max="288" width="43.125" style="1" bestFit="1" customWidth="1"/>
    <col min="289" max="289" width="48.875" style="1" bestFit="1" customWidth="1"/>
    <col min="290" max="290" width="39.125" style="1" bestFit="1" customWidth="1"/>
    <col min="291" max="291" width="26.875" style="1" bestFit="1" customWidth="1"/>
    <col min="292" max="292" width="47" style="1" bestFit="1" customWidth="1"/>
    <col min="293" max="293" width="40" style="1" bestFit="1" customWidth="1"/>
    <col min="294" max="294" width="83.875" style="1" bestFit="1" customWidth="1"/>
    <col min="295" max="295" width="21.125" style="1" bestFit="1" customWidth="1"/>
    <col min="296" max="296" width="31.125" style="1" bestFit="1" customWidth="1"/>
    <col min="297" max="297" width="27.125" style="1" bestFit="1" customWidth="1"/>
    <col min="298" max="298" width="56.875" style="1" bestFit="1" customWidth="1"/>
    <col min="299" max="299" width="24.125" style="1" bestFit="1" customWidth="1"/>
    <col min="300" max="300" width="22.875" style="1" bestFit="1" customWidth="1"/>
    <col min="301" max="301" width="33.875" style="1" bestFit="1" customWidth="1"/>
    <col min="302" max="302" width="29" style="1" bestFit="1" customWidth="1"/>
    <col min="303" max="303" width="29.875" style="1" bestFit="1" customWidth="1"/>
    <col min="304" max="304" width="36.125" style="1" bestFit="1" customWidth="1"/>
    <col min="305" max="305" width="38.875" style="1" bestFit="1" customWidth="1"/>
    <col min="306" max="306" width="42" style="1" bestFit="1" customWidth="1"/>
    <col min="307" max="307" width="47.125" style="1" bestFit="1" customWidth="1"/>
    <col min="308" max="308" width="37.875" style="1" bestFit="1" customWidth="1"/>
    <col min="309" max="309" width="25.125" style="1" bestFit="1" customWidth="1"/>
    <col min="310" max="310" width="45.125" style="1" bestFit="1" customWidth="1"/>
    <col min="311" max="311" width="38.125" style="1" bestFit="1" customWidth="1"/>
    <col min="312" max="312" width="82.125" style="1" bestFit="1" customWidth="1"/>
    <col min="313" max="313" width="22" style="1" bestFit="1" customWidth="1"/>
    <col min="314" max="314" width="32.125" style="1" bestFit="1" customWidth="1"/>
    <col min="315" max="315" width="28" style="1" bestFit="1" customWidth="1"/>
    <col min="316" max="316" width="57.125" style="1" bestFit="1" customWidth="1"/>
    <col min="317" max="317" width="25.125" style="1" bestFit="1" customWidth="1"/>
    <col min="318" max="318" width="23.125" style="1" bestFit="1" customWidth="1"/>
    <col min="319" max="319" width="34.125" style="1" bestFit="1" customWidth="1"/>
    <col min="320" max="320" width="29.125" style="1" bestFit="1" customWidth="1"/>
    <col min="321" max="321" width="30.125" style="1" bestFit="1" customWidth="1"/>
    <col min="322" max="322" width="37.125" style="1" bestFit="1" customWidth="1"/>
    <col min="323" max="323" width="39.125" style="1" bestFit="1" customWidth="1"/>
    <col min="324" max="324" width="42.125" style="1" bestFit="1" customWidth="1"/>
    <col min="325" max="325" width="48" style="1" bestFit="1" customWidth="1"/>
    <col min="326" max="326" width="38.125" style="1" bestFit="1" customWidth="1"/>
    <col min="327" max="327" width="25.875" style="1" bestFit="1" customWidth="1"/>
    <col min="328" max="328" width="46" style="1" bestFit="1" customWidth="1"/>
    <col min="329" max="329" width="39.125" style="1" bestFit="1" customWidth="1"/>
    <col min="330" max="330" width="82.875" style="1" bestFit="1" customWidth="1"/>
    <col min="331" max="331" width="20" style="1" bestFit="1" customWidth="1"/>
    <col min="332" max="332" width="30.125" style="1" bestFit="1" customWidth="1"/>
    <col min="333" max="333" width="26" style="1" bestFit="1" customWidth="1"/>
    <col min="334" max="334" width="55.125" style="1" bestFit="1" customWidth="1"/>
    <col min="335" max="335" width="23.125" style="1" bestFit="1" customWidth="1"/>
    <col min="336" max="336" width="21.125" style="1" bestFit="1" customWidth="1"/>
    <col min="337" max="337" width="32.125" style="1" bestFit="1" customWidth="1"/>
    <col min="338" max="338" width="27.875" style="1" bestFit="1" customWidth="1"/>
    <col min="339" max="339" width="28.125" style="1" bestFit="1" customWidth="1"/>
    <col min="340" max="340" width="35.125" style="1" bestFit="1" customWidth="1"/>
    <col min="341" max="341" width="37.125" style="1" bestFit="1" customWidth="1"/>
    <col min="342" max="342" width="40.125" style="1" bestFit="1" customWidth="1"/>
    <col min="343" max="343" width="46" style="1" bestFit="1" customWidth="1"/>
    <col min="344" max="344" width="36.125" style="1" bestFit="1" customWidth="1"/>
    <col min="345" max="345" width="24" style="1" bestFit="1" customWidth="1"/>
    <col min="346" max="346" width="44.125" style="1" bestFit="1" customWidth="1"/>
    <col min="347" max="347" width="37.125" style="1" bestFit="1" customWidth="1"/>
    <col min="348" max="348" width="80.875" style="1" bestFit="1" customWidth="1"/>
    <col min="349" max="349" width="37.125" style="1" bestFit="1" customWidth="1"/>
    <col min="350" max="16384" width="11.125" style="1"/>
  </cols>
  <sheetData>
    <row r="1" spans="1:57" ht="30" customHeight="1" thickTop="1">
      <c r="A1" s="155"/>
      <c r="B1" s="156"/>
      <c r="C1" s="161" t="s">
        <v>31</v>
      </c>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3"/>
      <c r="BC1" s="170" t="s">
        <v>32</v>
      </c>
      <c r="BD1" s="171"/>
      <c r="BE1" s="172"/>
    </row>
    <row r="2" spans="1:57" ht="30" customHeight="1">
      <c r="A2" s="157"/>
      <c r="B2" s="158"/>
      <c r="C2" s="164"/>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c r="AU2" s="165"/>
      <c r="AV2" s="165"/>
      <c r="AW2" s="165"/>
      <c r="AX2" s="165"/>
      <c r="AY2" s="165"/>
      <c r="AZ2" s="165"/>
      <c r="BA2" s="165"/>
      <c r="BB2" s="166"/>
      <c r="BC2" s="182" t="s">
        <v>266</v>
      </c>
      <c r="BD2" s="183"/>
      <c r="BE2" s="184"/>
    </row>
    <row r="3" spans="1:57" ht="30" customHeight="1">
      <c r="A3" s="157"/>
      <c r="B3" s="158"/>
      <c r="C3" s="164"/>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165"/>
      <c r="AU3" s="165"/>
      <c r="AV3" s="165"/>
      <c r="AW3" s="165"/>
      <c r="AX3" s="165"/>
      <c r="AY3" s="165"/>
      <c r="AZ3" s="165"/>
      <c r="BA3" s="165"/>
      <c r="BB3" s="166"/>
      <c r="BC3" s="173" t="s">
        <v>267</v>
      </c>
      <c r="BD3" s="174"/>
      <c r="BE3" s="175"/>
    </row>
    <row r="4" spans="1:57" ht="30" customHeight="1" thickBot="1">
      <c r="A4" s="159"/>
      <c r="B4" s="160"/>
      <c r="C4" s="167"/>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N4" s="168"/>
      <c r="AO4" s="168"/>
      <c r="AP4" s="168"/>
      <c r="AQ4" s="168"/>
      <c r="AR4" s="168"/>
      <c r="AS4" s="168"/>
      <c r="AT4" s="168"/>
      <c r="AU4" s="168"/>
      <c r="AV4" s="168"/>
      <c r="AW4" s="168"/>
      <c r="AX4" s="168"/>
      <c r="AY4" s="168"/>
      <c r="AZ4" s="168"/>
      <c r="BA4" s="168"/>
      <c r="BB4" s="169"/>
      <c r="BC4" s="176" t="s">
        <v>269</v>
      </c>
      <c r="BD4" s="177"/>
      <c r="BE4" s="178"/>
    </row>
    <row r="5" spans="1:57" ht="23.25" customHeight="1" thickTop="1">
      <c r="Q5" s="4"/>
      <c r="BE5" s="11"/>
    </row>
    <row r="6" spans="1:57" ht="28.5" customHeight="1" thickBot="1">
      <c r="B6" s="3" t="s">
        <v>28</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33"/>
      <c r="AY6" s="33"/>
      <c r="AZ6" s="33"/>
      <c r="BA6" s="6"/>
      <c r="BB6" s="6"/>
      <c r="BC6" s="12"/>
      <c r="BD6" s="12"/>
      <c r="BE6" s="13"/>
    </row>
    <row r="7" spans="1:57" ht="37.35" customHeight="1" thickBot="1">
      <c r="A7" s="1"/>
      <c r="B7" s="8">
        <v>2025</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33"/>
      <c r="AY7" s="33"/>
      <c r="AZ7" s="33"/>
      <c r="BA7" s="6"/>
      <c r="BB7" s="6"/>
      <c r="BC7" s="12"/>
      <c r="BD7" s="12"/>
      <c r="BE7" s="13"/>
    </row>
    <row r="8" spans="1:57" ht="8.85" customHeight="1" thickBot="1">
      <c r="A8" s="1"/>
      <c r="B8" s="1"/>
      <c r="C8" s="7"/>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33"/>
      <c r="AY8" s="33"/>
      <c r="AZ8" s="33"/>
      <c r="BA8" s="6"/>
      <c r="BB8" s="6"/>
      <c r="BC8" s="12"/>
      <c r="BD8" s="12"/>
      <c r="BE8" s="13"/>
    </row>
    <row r="9" spans="1:57" s="2" customFormat="1" ht="38.1" customHeight="1" thickBot="1">
      <c r="A9" s="147" t="s">
        <v>27</v>
      </c>
      <c r="B9" s="147"/>
      <c r="C9" s="147"/>
      <c r="D9" s="147"/>
      <c r="E9" s="147"/>
      <c r="F9" s="147"/>
      <c r="G9" s="147"/>
      <c r="H9" s="147"/>
      <c r="I9" s="147"/>
      <c r="J9" s="147"/>
      <c r="K9" s="147"/>
      <c r="L9" s="147"/>
      <c r="M9" s="147"/>
      <c r="N9" s="147"/>
      <c r="O9" s="148" t="s">
        <v>26</v>
      </c>
      <c r="P9" s="149"/>
      <c r="Q9" s="150"/>
      <c r="R9" s="151" t="s">
        <v>24</v>
      </c>
      <c r="S9" s="152"/>
      <c r="T9" s="152"/>
      <c r="U9" s="152"/>
      <c r="V9" s="152"/>
      <c r="W9" s="152"/>
      <c r="X9" s="152"/>
      <c r="Y9" s="152"/>
      <c r="Z9" s="152"/>
      <c r="AA9" s="152"/>
      <c r="AB9" s="152"/>
      <c r="AC9" s="152"/>
      <c r="AD9" s="152"/>
      <c r="AE9" s="153"/>
      <c r="AF9" s="154"/>
      <c r="AG9" s="148" t="s">
        <v>23</v>
      </c>
      <c r="AH9" s="149"/>
      <c r="AI9" s="149"/>
      <c r="AJ9" s="149"/>
      <c r="AK9" s="149"/>
      <c r="AL9" s="149"/>
      <c r="AM9" s="149"/>
      <c r="AN9" s="149"/>
      <c r="AO9" s="149"/>
      <c r="AP9" s="149"/>
      <c r="AQ9" s="149"/>
      <c r="AR9" s="149"/>
      <c r="AS9" s="149"/>
      <c r="AT9" s="149"/>
      <c r="AU9" s="149"/>
      <c r="AV9" s="149"/>
      <c r="AW9" s="150"/>
      <c r="AX9" s="179" t="s">
        <v>42</v>
      </c>
      <c r="AY9" s="180"/>
      <c r="AZ9" s="181"/>
      <c r="BA9" s="149" t="s">
        <v>44</v>
      </c>
      <c r="BB9" s="149"/>
      <c r="BC9" s="145" t="s">
        <v>22</v>
      </c>
      <c r="BD9" s="146"/>
      <c r="BE9" s="14"/>
    </row>
    <row r="10" spans="1:57" s="2" customFormat="1" ht="57" customHeight="1">
      <c r="A10" s="43" t="s">
        <v>20</v>
      </c>
      <c r="B10" s="43" t="s">
        <v>19</v>
      </c>
      <c r="C10" s="43" t="s">
        <v>18</v>
      </c>
      <c r="D10" s="43" t="s">
        <v>17</v>
      </c>
      <c r="E10" s="43" t="s">
        <v>16</v>
      </c>
      <c r="F10" s="43" t="s">
        <v>15</v>
      </c>
      <c r="G10" s="43" t="s">
        <v>14</v>
      </c>
      <c r="H10" s="43" t="s">
        <v>13</v>
      </c>
      <c r="I10" s="43" t="s">
        <v>12</v>
      </c>
      <c r="J10" s="43" t="s">
        <v>30</v>
      </c>
      <c r="K10" s="43" t="s">
        <v>29</v>
      </c>
      <c r="L10" s="43" t="s">
        <v>11</v>
      </c>
      <c r="M10" s="43" t="s">
        <v>33</v>
      </c>
      <c r="N10" s="43" t="s">
        <v>10</v>
      </c>
      <c r="O10" s="43" t="s">
        <v>37</v>
      </c>
      <c r="P10" s="43" t="s">
        <v>9</v>
      </c>
      <c r="Q10" s="43" t="s">
        <v>60</v>
      </c>
      <c r="R10" s="43" t="s">
        <v>45</v>
      </c>
      <c r="S10" s="43" t="s">
        <v>46</v>
      </c>
      <c r="T10" s="43" t="s">
        <v>47</v>
      </c>
      <c r="U10" s="43" t="s">
        <v>48</v>
      </c>
      <c r="V10" s="43" t="s">
        <v>49</v>
      </c>
      <c r="W10" s="43" t="s">
        <v>50</v>
      </c>
      <c r="X10" s="43" t="s">
        <v>51</v>
      </c>
      <c r="Y10" s="43" t="s">
        <v>52</v>
      </c>
      <c r="Z10" s="43" t="s">
        <v>53</v>
      </c>
      <c r="AA10" s="43" t="s">
        <v>54</v>
      </c>
      <c r="AB10" s="43" t="s">
        <v>55</v>
      </c>
      <c r="AC10" s="43" t="s">
        <v>56</v>
      </c>
      <c r="AD10" s="43" t="s">
        <v>57</v>
      </c>
      <c r="AE10" s="43" t="s">
        <v>61</v>
      </c>
      <c r="AF10" s="43" t="s">
        <v>271</v>
      </c>
      <c r="AG10" s="43" t="s">
        <v>58</v>
      </c>
      <c r="AH10" s="43" t="s">
        <v>59</v>
      </c>
      <c r="AI10" s="43" t="s">
        <v>290</v>
      </c>
      <c r="AJ10" s="43" t="s">
        <v>272</v>
      </c>
      <c r="AK10" s="43" t="s">
        <v>273</v>
      </c>
      <c r="AL10" s="43" t="s">
        <v>274</v>
      </c>
      <c r="AM10" s="43" t="s">
        <v>275</v>
      </c>
      <c r="AN10" s="43" t="s">
        <v>276</v>
      </c>
      <c r="AO10" s="43" t="s">
        <v>277</v>
      </c>
      <c r="AP10" s="43" t="s">
        <v>278</v>
      </c>
      <c r="AQ10" s="43" t="s">
        <v>311</v>
      </c>
      <c r="AR10" s="43" t="s">
        <v>279</v>
      </c>
      <c r="AS10" s="43" t="s">
        <v>280</v>
      </c>
      <c r="AT10" s="43" t="s">
        <v>62</v>
      </c>
      <c r="AU10" s="43" t="s">
        <v>281</v>
      </c>
      <c r="AV10" s="43" t="s">
        <v>35</v>
      </c>
      <c r="AW10" s="43" t="s">
        <v>36</v>
      </c>
      <c r="AX10" s="44" t="s">
        <v>41</v>
      </c>
      <c r="AY10" s="44" t="s">
        <v>39</v>
      </c>
      <c r="AZ10" s="44" t="s">
        <v>38</v>
      </c>
      <c r="BA10" s="48" t="s">
        <v>43</v>
      </c>
      <c r="BB10" s="23" t="s">
        <v>40</v>
      </c>
      <c r="BC10" s="43" t="s">
        <v>1</v>
      </c>
      <c r="BD10" s="43" t="s">
        <v>0</v>
      </c>
      <c r="BE10" s="45" t="s">
        <v>21</v>
      </c>
    </row>
    <row r="11" spans="1:57" s="9" customFormat="1" ht="57">
      <c r="A11" s="38">
        <v>1</v>
      </c>
      <c r="B11" s="24" t="s">
        <v>63</v>
      </c>
      <c r="C11" s="24" t="s">
        <v>64</v>
      </c>
      <c r="D11" s="24" t="s">
        <v>65</v>
      </c>
      <c r="E11" s="24" t="s">
        <v>66</v>
      </c>
      <c r="F11" s="24" t="s">
        <v>67</v>
      </c>
      <c r="G11" s="24" t="s">
        <v>68</v>
      </c>
      <c r="H11" s="24">
        <v>410203800</v>
      </c>
      <c r="I11" s="24" t="s">
        <v>230</v>
      </c>
      <c r="J11" s="84">
        <v>27311</v>
      </c>
      <c r="K11" s="24" t="s">
        <v>231</v>
      </c>
      <c r="L11" s="24" t="str">
        <f>+'[1]Plan Indicativo'!$AC$8</f>
        <v>Acumulativa</v>
      </c>
      <c r="M11" s="84">
        <f>+'[1]Plan Indicativo'!$T$8</f>
        <v>30000</v>
      </c>
      <c r="N11" s="39">
        <f>+'[1]Plan Indicativo'!$W$8</f>
        <v>7500</v>
      </c>
      <c r="O11" s="41">
        <v>14384</v>
      </c>
      <c r="P11" s="46">
        <f>+Tabla1[[#This Row],[Logro Vigencia]]/Tabla1[[#This Row],[Meta Programada Vigencia]]</f>
        <v>1.9178666666666666</v>
      </c>
      <c r="Q11" s="53"/>
      <c r="R11" s="77">
        <v>449395000</v>
      </c>
      <c r="S11" s="17"/>
      <c r="T11" s="17"/>
      <c r="U11" s="17"/>
      <c r="V11" s="17"/>
      <c r="W11" s="17"/>
      <c r="X11" s="17"/>
      <c r="Y11" s="17"/>
      <c r="Z11" s="17"/>
      <c r="AA11" s="17"/>
      <c r="AB11" s="17"/>
      <c r="AC11" s="17"/>
      <c r="AD11" s="17"/>
      <c r="AE11" s="17">
        <v>527625500</v>
      </c>
      <c r="AF11" s="57">
        <f>SUM(Tabla1[[#This Row],[Recursos propios]:[Recursos del Balance]])</f>
        <v>977020500</v>
      </c>
      <c r="AG11" s="76">
        <v>427920000.01000005</v>
      </c>
      <c r="AH11" s="17">
        <v>0</v>
      </c>
      <c r="AI11" s="17">
        <v>0</v>
      </c>
      <c r="AJ11" s="17">
        <v>0</v>
      </c>
      <c r="AK11" s="17">
        <v>0</v>
      </c>
      <c r="AL11" s="17">
        <v>0</v>
      </c>
      <c r="AM11" s="17">
        <v>0</v>
      </c>
      <c r="AN11" s="17">
        <v>0</v>
      </c>
      <c r="AO11" s="17">
        <v>0</v>
      </c>
      <c r="AP11" s="17">
        <v>0</v>
      </c>
      <c r="AQ11" s="17">
        <v>0</v>
      </c>
      <c r="AR11" s="17">
        <v>0</v>
      </c>
      <c r="AS11" s="17">
        <v>0</v>
      </c>
      <c r="AT11" s="17">
        <v>384299999.99000001</v>
      </c>
      <c r="AU11" s="31">
        <f>SUM(Tabla1[[#This Row],[Recursos propios2]:[Recursos del Balance2]])</f>
        <v>812220000</v>
      </c>
      <c r="AV11" s="98">
        <v>692220000.00000012</v>
      </c>
      <c r="AW11" s="98">
        <v>689286666.67000008</v>
      </c>
      <c r="AX11" s="21">
        <f>+Tabla1[[#This Row],[Total Recursos Comprometido 2025]]/Tabla1[[#This Row],[Total 2025]]</f>
        <v>0.83132339597787352</v>
      </c>
      <c r="AY11" s="18">
        <f>+Tabla1[[#This Row],[Total Recursos Obligados]]/Tabla1[[#This Row],[Total 2025]]</f>
        <v>0.70850099869961802</v>
      </c>
      <c r="AZ11" s="22">
        <f>+Tabla1[[#This Row],[Total Recursos Pagados]]/Tabla1[[#This Row],[Total 2025]]</f>
        <v>0.70549867343622785</v>
      </c>
      <c r="BA11" s="98"/>
      <c r="BB11" s="63">
        <f>+Tabla1[[#This Row],[Total Recursos Gestionados2]]/Tabla1[[#This Row],[Total Recursos Comprometido 2025]]</f>
        <v>0</v>
      </c>
      <c r="BC11" s="38" t="s">
        <v>225</v>
      </c>
      <c r="BD11" s="39" t="s">
        <v>226</v>
      </c>
      <c r="BE11" s="71">
        <v>10</v>
      </c>
    </row>
    <row r="12" spans="1:57" s="10" customFormat="1" ht="71.25">
      <c r="A12" s="34">
        <v>88</v>
      </c>
      <c r="B12" s="24" t="s">
        <v>69</v>
      </c>
      <c r="C12" s="24" t="s">
        <v>70</v>
      </c>
      <c r="D12" s="25" t="s">
        <v>71</v>
      </c>
      <c r="E12" s="24" t="s">
        <v>72</v>
      </c>
      <c r="F12" s="25" t="s">
        <v>73</v>
      </c>
      <c r="G12" s="24" t="s">
        <v>74</v>
      </c>
      <c r="H12" s="25">
        <v>170201400</v>
      </c>
      <c r="I12" s="24" t="s">
        <v>232</v>
      </c>
      <c r="J12" s="85">
        <v>5</v>
      </c>
      <c r="K12" s="25" t="s">
        <v>231</v>
      </c>
      <c r="L12" s="25" t="str">
        <f>+'[1]Plan Indicativo'!AC96</f>
        <v>Acumulativa</v>
      </c>
      <c r="M12" s="85">
        <f>+'[1]Plan Indicativo'!T96</f>
        <v>40</v>
      </c>
      <c r="N12" s="35">
        <f>+'[1]Plan Indicativo'!W96</f>
        <v>10</v>
      </c>
      <c r="O12" s="36">
        <v>78</v>
      </c>
      <c r="P12" s="37">
        <f>+Tabla1[[#This Row],[Logro Vigencia]]/Tabla1[[#This Row],[Meta Programada Vigencia]]</f>
        <v>7.8</v>
      </c>
      <c r="Q12" s="54"/>
      <c r="R12" s="76">
        <v>75000000</v>
      </c>
      <c r="S12" s="15"/>
      <c r="T12" s="15"/>
      <c r="U12" s="15"/>
      <c r="V12" s="15"/>
      <c r="W12" s="15"/>
      <c r="X12" s="15"/>
      <c r="Y12" s="15"/>
      <c r="Z12" s="15"/>
      <c r="AA12" s="15"/>
      <c r="AB12" s="15"/>
      <c r="AC12" s="15"/>
      <c r="AD12" s="15"/>
      <c r="AE12" s="15"/>
      <c r="AF12" s="58">
        <f>SUM(Tabla1[[#This Row],[Recursos propios]:[Recursos del Balance]])</f>
        <v>75000000</v>
      </c>
      <c r="AG12" s="76">
        <v>64964718</v>
      </c>
      <c r="AH12" s="15"/>
      <c r="AI12" s="15"/>
      <c r="AJ12" s="15"/>
      <c r="AK12" s="15"/>
      <c r="AL12" s="15"/>
      <c r="AM12" s="15"/>
      <c r="AN12" s="15"/>
      <c r="AO12" s="15"/>
      <c r="AP12" s="15"/>
      <c r="AQ12" s="15"/>
      <c r="AR12" s="15"/>
      <c r="AS12" s="15">
        <v>0</v>
      </c>
      <c r="AT12" s="15">
        <v>0</v>
      </c>
      <c r="AU12" s="31">
        <f>SUM(Tabla1[[#This Row],[Recursos propios2]:[Recursos del Balance2]])</f>
        <v>64964718</v>
      </c>
      <c r="AV12" s="98">
        <v>64964718</v>
      </c>
      <c r="AW12" s="98">
        <v>64964718</v>
      </c>
      <c r="AX12" s="61">
        <f>+Tabla1[[#This Row],[Total Recursos Comprometido 2025]]/Tabla1[[#This Row],[Total 2025]]</f>
        <v>0.86619623999999995</v>
      </c>
      <c r="AY12" s="19">
        <f>+Tabla1[[#This Row],[Total Recursos Obligados]]/Tabla1[[#This Row],[Total 2025]]</f>
        <v>0.86619623999999995</v>
      </c>
      <c r="AZ12" s="62">
        <f>+Tabla1[[#This Row],[Total Recursos Pagados]]/Tabla1[[#This Row],[Total 2025]]</f>
        <v>0.86619623999999995</v>
      </c>
      <c r="BA12" s="98"/>
      <c r="BB12" s="63">
        <f>+Tabla1[[#This Row],[Total Recursos Gestionados2]]/Tabla1[[#This Row],[Total Recursos Comprometido 2025]]</f>
        <v>0</v>
      </c>
      <c r="BC12" s="38" t="s">
        <v>225</v>
      </c>
      <c r="BD12" s="39" t="s">
        <v>226</v>
      </c>
      <c r="BE12" s="71" t="s">
        <v>227</v>
      </c>
    </row>
    <row r="13" spans="1:57" s="10" customFormat="1" ht="57">
      <c r="A13" s="34">
        <v>89</v>
      </c>
      <c r="B13" s="24" t="s">
        <v>69</v>
      </c>
      <c r="C13" s="24" t="s">
        <v>70</v>
      </c>
      <c r="D13" s="25" t="s">
        <v>71</v>
      </c>
      <c r="E13" s="24" t="s">
        <v>75</v>
      </c>
      <c r="F13" s="25" t="s">
        <v>76</v>
      </c>
      <c r="G13" s="24" t="s">
        <v>77</v>
      </c>
      <c r="H13" s="25">
        <v>170201600</v>
      </c>
      <c r="I13" s="24" t="s">
        <v>233</v>
      </c>
      <c r="J13" s="25">
        <v>0</v>
      </c>
      <c r="K13" s="25" t="s">
        <v>231</v>
      </c>
      <c r="L13" s="25" t="str">
        <f>+'[1]Plan Indicativo'!AC97</f>
        <v>Acumulativa</v>
      </c>
      <c r="M13" s="85">
        <f>+'[1]Plan Indicativo'!T97</f>
        <v>5</v>
      </c>
      <c r="N13" s="35">
        <f>+'[1]Plan Indicativo'!W97</f>
        <v>2</v>
      </c>
      <c r="O13" s="41">
        <v>2</v>
      </c>
      <c r="P13" s="37">
        <f>+Tabla1[[#This Row],[Logro Vigencia]]/Tabla1[[#This Row],[Meta Programada Vigencia]]</f>
        <v>1</v>
      </c>
      <c r="Q13" s="54"/>
      <c r="R13" s="76">
        <v>34000000</v>
      </c>
      <c r="S13" s="15"/>
      <c r="T13" s="15"/>
      <c r="U13" s="15"/>
      <c r="V13" s="15"/>
      <c r="W13" s="15"/>
      <c r="X13" s="15"/>
      <c r="Y13" s="15"/>
      <c r="Z13" s="15"/>
      <c r="AA13" s="15"/>
      <c r="AB13" s="15"/>
      <c r="AC13" s="15"/>
      <c r="AD13" s="15"/>
      <c r="AE13" s="15">
        <v>15000000</v>
      </c>
      <c r="AF13" s="58">
        <f>SUM(Tabla1[[#This Row],[Recursos propios]:[Recursos del Balance]])</f>
        <v>49000000</v>
      </c>
      <c r="AG13" s="76">
        <v>31758300</v>
      </c>
      <c r="AH13" s="15"/>
      <c r="AI13" s="15"/>
      <c r="AJ13" s="15"/>
      <c r="AK13" s="15"/>
      <c r="AL13" s="15"/>
      <c r="AM13" s="15"/>
      <c r="AN13" s="15"/>
      <c r="AO13" s="15"/>
      <c r="AP13" s="15"/>
      <c r="AQ13" s="15"/>
      <c r="AR13" s="15"/>
      <c r="AS13" s="15">
        <v>0</v>
      </c>
      <c r="AT13" s="15">
        <v>0</v>
      </c>
      <c r="AU13" s="31">
        <f>SUM(Tabla1[[#This Row],[Recursos propios2]:[Recursos del Balance2]])</f>
        <v>31758300</v>
      </c>
      <c r="AV13" s="98">
        <v>21765000</v>
      </c>
      <c r="AW13" s="98">
        <v>21765000</v>
      </c>
      <c r="AX13" s="21">
        <f>+Tabla1[[#This Row],[Total Recursos Comprometido 2025]]/Tabla1[[#This Row],[Total 2025]]</f>
        <v>0.64812857142857139</v>
      </c>
      <c r="AY13" s="18">
        <f>+Tabla1[[#This Row],[Total Recursos Obligados]]/Tabla1[[#This Row],[Total 2025]]</f>
        <v>0.44418367346938775</v>
      </c>
      <c r="AZ13" s="22">
        <f>+Tabla1[[#This Row],[Total Recursos Pagados]]/Tabla1[[#This Row],[Total 2025]]</f>
        <v>0.44418367346938775</v>
      </c>
      <c r="BA13" s="98"/>
      <c r="BB13" s="63">
        <f>+Tabla1[[#This Row],[Total Recursos Gestionados2]]/Tabla1[[#This Row],[Total Recursos Comprometido 2025]]</f>
        <v>0</v>
      </c>
      <c r="BC13" s="38" t="s">
        <v>225</v>
      </c>
      <c r="BD13" s="39" t="s">
        <v>226</v>
      </c>
      <c r="BE13" s="65" t="s">
        <v>227</v>
      </c>
    </row>
    <row r="14" spans="1:57" s="10" customFormat="1" ht="57">
      <c r="A14" s="34">
        <v>90</v>
      </c>
      <c r="B14" s="24" t="s">
        <v>69</v>
      </c>
      <c r="C14" s="24" t="s">
        <v>70</v>
      </c>
      <c r="D14" s="25" t="s">
        <v>71</v>
      </c>
      <c r="E14" s="24" t="s">
        <v>75</v>
      </c>
      <c r="F14" s="25" t="s">
        <v>78</v>
      </c>
      <c r="G14" s="24" t="s">
        <v>79</v>
      </c>
      <c r="H14" s="25">
        <v>170201700</v>
      </c>
      <c r="I14" s="24" t="s">
        <v>234</v>
      </c>
      <c r="J14" s="85">
        <v>130</v>
      </c>
      <c r="K14" s="25" t="s">
        <v>231</v>
      </c>
      <c r="L14" s="25" t="str">
        <f>+'[1]Plan Indicativo'!AC98</f>
        <v>No Acumulativa</v>
      </c>
      <c r="M14" s="85">
        <f>+'[1]Plan Indicativo'!T98</f>
        <v>150</v>
      </c>
      <c r="N14" s="35">
        <f>+'[1]Plan Indicativo'!W98</f>
        <v>150</v>
      </c>
      <c r="O14" s="41">
        <v>150</v>
      </c>
      <c r="P14" s="37">
        <f>+Tabla1[[#This Row],[Logro Vigencia]]/Tabla1[[#This Row],[Meta Programada Vigencia]]</f>
        <v>1</v>
      </c>
      <c r="Q14" s="54"/>
      <c r="R14" s="96">
        <v>70000000</v>
      </c>
      <c r="S14" s="15"/>
      <c r="T14" s="15"/>
      <c r="U14" s="15"/>
      <c r="V14" s="15"/>
      <c r="W14" s="15"/>
      <c r="X14" s="15"/>
      <c r="Y14" s="15"/>
      <c r="Z14" s="15"/>
      <c r="AA14" s="15"/>
      <c r="AB14" s="15"/>
      <c r="AC14" s="15"/>
      <c r="AD14" s="15"/>
      <c r="AE14" s="15">
        <v>51000000</v>
      </c>
      <c r="AF14" s="58">
        <f>SUM(Tabla1[[#This Row],[Recursos propios]:[Recursos del Balance]])</f>
        <v>121000000</v>
      </c>
      <c r="AG14" s="76">
        <v>66480000</v>
      </c>
      <c r="AH14" s="15"/>
      <c r="AI14" s="15"/>
      <c r="AJ14" s="15"/>
      <c r="AK14" s="15"/>
      <c r="AL14" s="15"/>
      <c r="AM14" s="15"/>
      <c r="AN14" s="15"/>
      <c r="AO14" s="15"/>
      <c r="AP14" s="15"/>
      <c r="AQ14" s="15"/>
      <c r="AR14" s="15"/>
      <c r="AS14" s="15">
        <v>0</v>
      </c>
      <c r="AT14" s="15">
        <v>35393333.329999998</v>
      </c>
      <c r="AU14" s="31">
        <f>SUM(Tabla1[[#This Row],[Recursos propios2]:[Recursos del Balance2]])</f>
        <v>101873333.33</v>
      </c>
      <c r="AV14" s="98">
        <v>101873333.33</v>
      </c>
      <c r="AW14" s="98">
        <v>101873333.33</v>
      </c>
      <c r="AX14" s="61">
        <f>+Tabla1[[#This Row],[Total Recursos Comprometido 2025]]/Tabla1[[#This Row],[Total 2025]]</f>
        <v>0.84192837462809911</v>
      </c>
      <c r="AY14" s="19">
        <f>+Tabla1[[#This Row],[Total Recursos Obligados]]/Tabla1[[#This Row],[Total 2025]]</f>
        <v>0.84192837462809911</v>
      </c>
      <c r="AZ14" s="62">
        <f>+Tabla1[[#This Row],[Total Recursos Pagados]]/Tabla1[[#This Row],[Total 2025]]</f>
        <v>0.84192837462809911</v>
      </c>
      <c r="BA14" s="98"/>
      <c r="BB14" s="63">
        <f>+Tabla1[[#This Row],[Total Recursos Gestionados2]]/Tabla1[[#This Row],[Total Recursos Comprometido 2025]]</f>
        <v>0</v>
      </c>
      <c r="BC14" s="38" t="s">
        <v>225</v>
      </c>
      <c r="BD14" s="39" t="s">
        <v>226</v>
      </c>
      <c r="BE14" s="71" t="s">
        <v>227</v>
      </c>
    </row>
    <row r="15" spans="1:57" s="10" customFormat="1" ht="36">
      <c r="A15" s="34">
        <v>91</v>
      </c>
      <c r="B15" s="24" t="s">
        <v>69</v>
      </c>
      <c r="C15" s="24" t="s">
        <v>70</v>
      </c>
      <c r="D15" s="25" t="s">
        <v>71</v>
      </c>
      <c r="E15" s="25" t="s">
        <v>75</v>
      </c>
      <c r="F15" s="25" t="s">
        <v>80</v>
      </c>
      <c r="G15" s="25" t="s">
        <v>81</v>
      </c>
      <c r="H15" s="25">
        <v>170201000</v>
      </c>
      <c r="I15" s="25" t="s">
        <v>235</v>
      </c>
      <c r="J15" s="25">
        <v>682</v>
      </c>
      <c r="K15" s="25" t="s">
        <v>231</v>
      </c>
      <c r="L15" s="25" t="str">
        <f>+'[1]Plan Indicativo'!AC99</f>
        <v>Acumulativa</v>
      </c>
      <c r="M15" s="85">
        <f>+'[1]Plan Indicativo'!T99</f>
        <v>1023</v>
      </c>
      <c r="N15" s="35">
        <f>+'[1]Plan Indicativo'!W99</f>
        <v>250</v>
      </c>
      <c r="O15" s="36">
        <v>403</v>
      </c>
      <c r="P15" s="40">
        <f>+Tabla1[[#This Row],[Logro Vigencia]]/Tabla1[[#This Row],[Meta Programada Vigencia]]</f>
        <v>1.6120000000000001</v>
      </c>
      <c r="Q15" s="55"/>
      <c r="R15" s="76">
        <v>749200000</v>
      </c>
      <c r="S15" s="15"/>
      <c r="T15" s="15"/>
      <c r="U15" s="15"/>
      <c r="V15" s="15"/>
      <c r="W15" s="15"/>
      <c r="X15" s="15"/>
      <c r="Y15" s="15"/>
      <c r="Z15" s="15"/>
      <c r="AA15" s="15"/>
      <c r="AB15" s="15"/>
      <c r="AC15" s="15"/>
      <c r="AD15" s="15"/>
      <c r="AE15" s="15">
        <v>132000000</v>
      </c>
      <c r="AF15" s="58">
        <f>SUM(Tabla1[[#This Row],[Recursos propios]:[Recursos del Balance]])</f>
        <v>881200000</v>
      </c>
      <c r="AG15" s="76">
        <v>744987300</v>
      </c>
      <c r="AH15" s="15"/>
      <c r="AI15" s="15"/>
      <c r="AJ15" s="15"/>
      <c r="AK15" s="15"/>
      <c r="AL15" s="15"/>
      <c r="AM15" s="15"/>
      <c r="AN15" s="15"/>
      <c r="AO15" s="15"/>
      <c r="AP15" s="15"/>
      <c r="AQ15" s="15"/>
      <c r="AR15" s="15"/>
      <c r="AS15" s="15">
        <v>0</v>
      </c>
      <c r="AT15" s="15">
        <v>116060000</v>
      </c>
      <c r="AU15" s="31">
        <f>SUM(Tabla1[[#This Row],[Recursos propios2]:[Recursos del Balance2]])</f>
        <v>861047300</v>
      </c>
      <c r="AV15" s="98">
        <v>759906102</v>
      </c>
      <c r="AW15" s="98">
        <v>756706102</v>
      </c>
      <c r="AX15" s="20">
        <f>+Tabla1[[#This Row],[Total Recursos Comprometido 2025]]/Tabla1[[#This Row],[Total 2025]]</f>
        <v>0.97713039037675897</v>
      </c>
      <c r="AY15" s="29">
        <f>+Tabla1[[#This Row],[Total Recursos Obligados]]/Tabla1[[#This Row],[Total 2025]]</f>
        <v>0.86235372446663638</v>
      </c>
      <c r="AZ15" s="30">
        <f>+Tabla1[[#This Row],[Total Recursos Pagados]]/Tabla1[[#This Row],[Total 2025]]</f>
        <v>0.85872231275533362</v>
      </c>
      <c r="BA15" s="98"/>
      <c r="BB15" s="63">
        <f>+Tabla1[[#This Row],[Total Recursos Gestionados2]]/Tabla1[[#This Row],[Total Recursos Comprometido 2025]]</f>
        <v>0</v>
      </c>
      <c r="BC15" s="38" t="s">
        <v>225</v>
      </c>
      <c r="BD15" s="39" t="s">
        <v>226</v>
      </c>
      <c r="BE15" s="65" t="s">
        <v>227</v>
      </c>
    </row>
    <row r="16" spans="1:57" s="10" customFormat="1" ht="71.25">
      <c r="A16" s="34">
        <v>92</v>
      </c>
      <c r="B16" s="24" t="s">
        <v>69</v>
      </c>
      <c r="C16" s="24" t="s">
        <v>70</v>
      </c>
      <c r="D16" s="24" t="s">
        <v>82</v>
      </c>
      <c r="E16" s="24" t="s">
        <v>83</v>
      </c>
      <c r="F16" s="24" t="s">
        <v>84</v>
      </c>
      <c r="G16" s="24" t="s">
        <v>85</v>
      </c>
      <c r="H16" s="24">
        <v>170704200</v>
      </c>
      <c r="I16" s="24" t="s">
        <v>236</v>
      </c>
      <c r="J16" s="84">
        <v>2400</v>
      </c>
      <c r="K16" s="24" t="s">
        <v>231</v>
      </c>
      <c r="L16" s="25" t="str">
        <f>+'[1]Plan Indicativo'!AC100</f>
        <v>No Acumulativa</v>
      </c>
      <c r="M16" s="85">
        <f>+'[1]Plan Indicativo'!T100</f>
        <v>2400</v>
      </c>
      <c r="N16" s="35">
        <f>+'[1]Plan Indicativo'!W100</f>
        <v>2400</v>
      </c>
      <c r="O16" s="41">
        <v>4199</v>
      </c>
      <c r="P16" s="42">
        <f>+Tabla1[[#This Row],[Logro Vigencia]]/Tabla1[[#This Row],[Meta Programada Vigencia]]</f>
        <v>1.7495833333333333</v>
      </c>
      <c r="Q16" s="56"/>
      <c r="R16" s="77">
        <v>65000000</v>
      </c>
      <c r="S16" s="17"/>
      <c r="T16" s="17"/>
      <c r="U16" s="17"/>
      <c r="V16" s="17"/>
      <c r="W16" s="17"/>
      <c r="X16" s="17"/>
      <c r="Y16" s="17"/>
      <c r="Z16" s="17"/>
      <c r="AA16" s="17"/>
      <c r="AB16" s="17"/>
      <c r="AC16" s="17"/>
      <c r="AD16" s="17"/>
      <c r="AE16" s="17"/>
      <c r="AF16" s="58">
        <f>SUM(Tabla1[[#This Row],[Recursos propios]:[Recursos del Balance]])</f>
        <v>65000000</v>
      </c>
      <c r="AG16" s="77">
        <v>57106400</v>
      </c>
      <c r="AH16" s="17"/>
      <c r="AI16" s="17"/>
      <c r="AJ16" s="17"/>
      <c r="AK16" s="17"/>
      <c r="AL16" s="17"/>
      <c r="AM16" s="17"/>
      <c r="AN16" s="17"/>
      <c r="AO16" s="17"/>
      <c r="AP16" s="17"/>
      <c r="AQ16" s="17"/>
      <c r="AR16" s="17"/>
      <c r="AS16" s="17">
        <v>0</v>
      </c>
      <c r="AT16" s="17">
        <v>0</v>
      </c>
      <c r="AU16" s="31">
        <f>SUM(Tabla1[[#This Row],[Recursos propios2]:[Recursos del Balance2]])</f>
        <v>57106400</v>
      </c>
      <c r="AV16" s="98">
        <v>57106400</v>
      </c>
      <c r="AW16" s="98">
        <v>57106400</v>
      </c>
      <c r="AX16" s="21">
        <f>+Tabla1[[#This Row],[Total Recursos Comprometido 2025]]/Tabla1[[#This Row],[Total 2025]]</f>
        <v>0.87856000000000001</v>
      </c>
      <c r="AY16" s="18">
        <f>+Tabla1[[#This Row],[Total Recursos Obligados]]/Tabla1[[#This Row],[Total 2025]]</f>
        <v>0.87856000000000001</v>
      </c>
      <c r="AZ16" s="22">
        <f>+Tabla1[[#This Row],[Total Recursos Pagados]]/Tabla1[[#This Row],[Total 2025]]</f>
        <v>0.87856000000000001</v>
      </c>
      <c r="BA16" s="98"/>
      <c r="BB16" s="63">
        <f>+Tabla1[[#This Row],[Total Recursos Gestionados2]]/Tabla1[[#This Row],[Total Recursos Comprometido 2025]]</f>
        <v>0</v>
      </c>
      <c r="BC16" s="38" t="s">
        <v>225</v>
      </c>
      <c r="BD16" s="39" t="s">
        <v>226</v>
      </c>
      <c r="BE16" s="71" t="s">
        <v>227</v>
      </c>
    </row>
    <row r="17" spans="1:57" s="10" customFormat="1" ht="42.75">
      <c r="A17" s="34">
        <v>94</v>
      </c>
      <c r="B17" s="24" t="s">
        <v>69</v>
      </c>
      <c r="C17" s="24" t="s">
        <v>70</v>
      </c>
      <c r="D17" s="25" t="s">
        <v>86</v>
      </c>
      <c r="E17" s="24" t="s">
        <v>87</v>
      </c>
      <c r="F17" s="25" t="s">
        <v>88</v>
      </c>
      <c r="G17" s="24" t="s">
        <v>89</v>
      </c>
      <c r="H17" s="25">
        <v>170910500</v>
      </c>
      <c r="I17" s="24" t="s">
        <v>237</v>
      </c>
      <c r="J17" s="85">
        <v>0</v>
      </c>
      <c r="K17" s="25" t="s">
        <v>231</v>
      </c>
      <c r="L17" s="25" t="str">
        <f>+'[1]Plan Indicativo'!$AC$102</f>
        <v>No Acumulativa</v>
      </c>
      <c r="M17" s="85">
        <f>+'[1]Plan Indicativo'!$T$102</f>
        <v>1</v>
      </c>
      <c r="N17" s="35">
        <f>+'[1]Plan Indicativo'!$W$102</f>
        <v>1</v>
      </c>
      <c r="O17" s="36">
        <v>1</v>
      </c>
      <c r="P17" s="37">
        <f>+Tabla1[[#This Row],[Logro Vigencia]]/Tabla1[[#This Row],[Meta Programada Vigencia]]</f>
        <v>1</v>
      </c>
      <c r="Q17" s="54"/>
      <c r="R17" s="76">
        <v>163000000</v>
      </c>
      <c r="S17" s="15"/>
      <c r="T17" s="15"/>
      <c r="U17" s="15"/>
      <c r="V17" s="15"/>
      <c r="W17" s="15"/>
      <c r="X17" s="15"/>
      <c r="Y17" s="15"/>
      <c r="Z17" s="15"/>
      <c r="AA17" s="15"/>
      <c r="AB17" s="15"/>
      <c r="AC17" s="15"/>
      <c r="AD17" s="15"/>
      <c r="AE17" s="15"/>
      <c r="AF17" s="58">
        <f>SUM(Tabla1[[#This Row],[Recursos propios]:[Recursos del Balance]])</f>
        <v>163000000</v>
      </c>
      <c r="AG17" s="76">
        <v>150000000</v>
      </c>
      <c r="AH17" s="15"/>
      <c r="AI17" s="15"/>
      <c r="AJ17" s="15"/>
      <c r="AK17" s="15"/>
      <c r="AL17" s="15"/>
      <c r="AM17" s="15"/>
      <c r="AN17" s="15"/>
      <c r="AO17" s="15"/>
      <c r="AP17" s="15"/>
      <c r="AQ17" s="15"/>
      <c r="AR17" s="15"/>
      <c r="AS17" s="15">
        <v>0</v>
      </c>
      <c r="AT17" s="15">
        <v>0</v>
      </c>
      <c r="AU17" s="31">
        <f>SUM(Tabla1[[#This Row],[Recursos propios2]:[Recursos del Balance2]])</f>
        <v>150000000</v>
      </c>
      <c r="AV17" s="98">
        <v>135000000</v>
      </c>
      <c r="AW17" s="98">
        <v>60000000</v>
      </c>
      <c r="AX17" s="61">
        <f>+Tabla1[[#This Row],[Total Recursos Comprometido 2025]]/Tabla1[[#This Row],[Total 2025]]</f>
        <v>0.92024539877300615</v>
      </c>
      <c r="AY17" s="19">
        <f>+Tabla1[[#This Row],[Total Recursos Obligados]]/Tabla1[[#This Row],[Total 2025]]</f>
        <v>0.82822085889570551</v>
      </c>
      <c r="AZ17" s="62">
        <f>+Tabla1[[#This Row],[Total Recursos Pagados]]/Tabla1[[#This Row],[Total 2025]]</f>
        <v>0.36809815950920244</v>
      </c>
      <c r="BA17" s="98"/>
      <c r="BB17" s="63">
        <f>+Tabla1[[#This Row],[Total Recursos Gestionados2]]/Tabla1[[#This Row],[Total Recursos Comprometido 2025]]</f>
        <v>0</v>
      </c>
      <c r="BC17" s="38" t="s">
        <v>225</v>
      </c>
      <c r="BD17" s="39" t="s">
        <v>226</v>
      </c>
      <c r="BE17" s="71" t="s">
        <v>227</v>
      </c>
    </row>
    <row r="18" spans="1:57" s="10" customFormat="1" ht="42.75">
      <c r="A18" s="34">
        <v>200</v>
      </c>
      <c r="B18" s="24" t="s">
        <v>90</v>
      </c>
      <c r="C18" s="24" t="s">
        <v>91</v>
      </c>
      <c r="D18" s="25" t="s">
        <v>92</v>
      </c>
      <c r="E18" s="24" t="s">
        <v>93</v>
      </c>
      <c r="F18" s="25" t="s">
        <v>94</v>
      </c>
      <c r="G18" s="24" t="s">
        <v>95</v>
      </c>
      <c r="H18" s="25">
        <v>450201500</v>
      </c>
      <c r="I18" s="24" t="s">
        <v>238</v>
      </c>
      <c r="J18" s="85">
        <v>0</v>
      </c>
      <c r="K18" s="25" t="s">
        <v>239</v>
      </c>
      <c r="L18" s="25" t="str">
        <f>+'[1]Plan Indicativo'!AC208</f>
        <v>Acumulativa</v>
      </c>
      <c r="M18" s="85">
        <f>+'[1]Plan Indicativo'!T208</f>
        <v>1</v>
      </c>
      <c r="N18" s="35">
        <f>+'[1]Plan Indicativo'!W208</f>
        <v>0</v>
      </c>
      <c r="O18" s="36">
        <v>0</v>
      </c>
      <c r="P18" s="37" t="e">
        <f>+Tabla1[[#This Row],[Logro Vigencia]]/Tabla1[[#This Row],[Meta Programada Vigencia]]</f>
        <v>#DIV/0!</v>
      </c>
      <c r="Q18" s="54"/>
      <c r="R18" s="76">
        <v>0</v>
      </c>
      <c r="S18" s="15"/>
      <c r="T18" s="15"/>
      <c r="U18" s="15"/>
      <c r="V18" s="15"/>
      <c r="W18" s="15"/>
      <c r="X18" s="15"/>
      <c r="Y18" s="15"/>
      <c r="Z18" s="15"/>
      <c r="AA18" s="15"/>
      <c r="AB18" s="15"/>
      <c r="AC18" s="15"/>
      <c r="AD18" s="15"/>
      <c r="AE18" s="15"/>
      <c r="AF18" s="58">
        <f>SUM(Tabla1[[#This Row],[Recursos propios]:[Recursos del Balance]])</f>
        <v>0</v>
      </c>
      <c r="AG18" s="76">
        <v>0</v>
      </c>
      <c r="AH18" s="15"/>
      <c r="AI18" s="15"/>
      <c r="AJ18" s="15"/>
      <c r="AK18" s="15"/>
      <c r="AL18" s="15"/>
      <c r="AM18" s="15"/>
      <c r="AN18" s="15"/>
      <c r="AO18" s="15"/>
      <c r="AP18" s="15"/>
      <c r="AQ18" s="15"/>
      <c r="AR18" s="15"/>
      <c r="AS18" s="15">
        <v>0</v>
      </c>
      <c r="AT18" s="15">
        <v>0</v>
      </c>
      <c r="AU18" s="31">
        <f>SUM(Tabla1[[#This Row],[Recursos propios2]:[Recursos del Balance2]])</f>
        <v>0</v>
      </c>
      <c r="AV18" s="98">
        <v>0</v>
      </c>
      <c r="AW18" s="98">
        <v>0</v>
      </c>
      <c r="AX18" s="61" t="e">
        <f>+Tabla1[[#This Row],[Total Recursos Comprometido 2025]]/Tabla1[[#This Row],[Total 2025]]</f>
        <v>#DIV/0!</v>
      </c>
      <c r="AY18" s="19" t="e">
        <f>+Tabla1[[#This Row],[Total Recursos Obligados]]/Tabla1[[#This Row],[Total 2025]]</f>
        <v>#DIV/0!</v>
      </c>
      <c r="AZ18" s="62" t="e">
        <f>+Tabla1[[#This Row],[Total Recursos Pagados]]/Tabla1[[#This Row],[Total 2025]]</f>
        <v>#DIV/0!</v>
      </c>
      <c r="BA18" s="98"/>
      <c r="BB18" s="63" t="e">
        <f>+Tabla1[[#This Row],[Total Recursos Gestionados2]]/Tabla1[[#This Row],[Total Recursos Comprometido 2025]]</f>
        <v>#DIV/0!</v>
      </c>
      <c r="BC18" s="38" t="s">
        <v>225</v>
      </c>
      <c r="BD18" s="39" t="s">
        <v>226</v>
      </c>
      <c r="BE18" s="71">
        <v>10</v>
      </c>
    </row>
    <row r="19" spans="1:57" s="10" customFormat="1" ht="42.75">
      <c r="A19" s="34">
        <v>201</v>
      </c>
      <c r="B19" s="24" t="s">
        <v>90</v>
      </c>
      <c r="C19" s="24" t="s">
        <v>64</v>
      </c>
      <c r="D19" s="25" t="s">
        <v>96</v>
      </c>
      <c r="E19" s="24" t="s">
        <v>97</v>
      </c>
      <c r="F19" s="25" t="s">
        <v>98</v>
      </c>
      <c r="G19" s="24" t="s">
        <v>99</v>
      </c>
      <c r="H19" s="25">
        <v>410305200</v>
      </c>
      <c r="I19" s="24" t="s">
        <v>240</v>
      </c>
      <c r="J19" s="25">
        <v>130</v>
      </c>
      <c r="K19" s="25" t="s">
        <v>239</v>
      </c>
      <c r="L19" s="25" t="str">
        <f>+'[1]Plan Indicativo'!AC209</f>
        <v>No Acumulativa</v>
      </c>
      <c r="M19" s="85">
        <f>+'[1]Plan Indicativo'!T209</f>
        <v>180</v>
      </c>
      <c r="N19" s="35">
        <f>+'[1]Plan Indicativo'!W209</f>
        <v>180</v>
      </c>
      <c r="O19" s="36">
        <v>103</v>
      </c>
      <c r="P19" s="37">
        <f>+Tabla1[[#This Row],[Logro Vigencia]]/Tabla1[[#This Row],[Meta Programada Vigencia]]</f>
        <v>0.57222222222222219</v>
      </c>
      <c r="Q19" s="54"/>
      <c r="R19" s="76">
        <v>460000000</v>
      </c>
      <c r="S19" s="15"/>
      <c r="T19" s="15"/>
      <c r="U19" s="15"/>
      <c r="V19" s="15"/>
      <c r="W19" s="15"/>
      <c r="X19" s="15"/>
      <c r="Y19" s="15"/>
      <c r="Z19" s="15"/>
      <c r="AA19" s="15"/>
      <c r="AB19" s="15"/>
      <c r="AC19" s="15"/>
      <c r="AD19" s="15"/>
      <c r="AE19" s="15"/>
      <c r="AF19" s="58">
        <f>SUM(Tabla1[[#This Row],[Recursos propios]:[Recursos del Balance]])</f>
        <v>460000000</v>
      </c>
      <c r="AG19" s="76">
        <v>326820000</v>
      </c>
      <c r="AH19" s="15"/>
      <c r="AI19" s="15"/>
      <c r="AJ19" s="15"/>
      <c r="AK19" s="15"/>
      <c r="AL19" s="15"/>
      <c r="AM19" s="15"/>
      <c r="AN19" s="15"/>
      <c r="AO19" s="15"/>
      <c r="AP19" s="15"/>
      <c r="AQ19" s="15"/>
      <c r="AR19" s="15"/>
      <c r="AS19" s="15">
        <v>0</v>
      </c>
      <c r="AT19" s="15">
        <v>0</v>
      </c>
      <c r="AU19" s="31">
        <f>SUM(Tabla1[[#This Row],[Recursos propios2]:[Recursos del Balance2]])</f>
        <v>326820000</v>
      </c>
      <c r="AV19" s="98">
        <v>276820000</v>
      </c>
      <c r="AW19" s="98">
        <v>276820000</v>
      </c>
      <c r="AX19" s="61">
        <f>+Tabla1[[#This Row],[Total Recursos Comprometido 2025]]/Tabla1[[#This Row],[Total 2025]]</f>
        <v>0.71047826086956523</v>
      </c>
      <c r="AY19" s="19">
        <f>+Tabla1[[#This Row],[Total Recursos Obligados]]/Tabla1[[#This Row],[Total 2025]]</f>
        <v>0.60178260869565214</v>
      </c>
      <c r="AZ19" s="62">
        <f>+Tabla1[[#This Row],[Total Recursos Pagados]]/Tabla1[[#This Row],[Total 2025]]</f>
        <v>0.60178260869565214</v>
      </c>
      <c r="BA19" s="98"/>
      <c r="BB19" s="63">
        <f>+Tabla1[[#This Row],[Total Recursos Gestionados2]]/Tabla1[[#This Row],[Total Recursos Comprometido 2025]]</f>
        <v>0</v>
      </c>
      <c r="BC19" s="38" t="s">
        <v>225</v>
      </c>
      <c r="BD19" s="39" t="s">
        <v>226</v>
      </c>
      <c r="BE19" s="65">
        <v>10</v>
      </c>
    </row>
    <row r="20" spans="1:57" s="10" customFormat="1" ht="71.25">
      <c r="A20" s="34">
        <v>202</v>
      </c>
      <c r="B20" s="24" t="s">
        <v>90</v>
      </c>
      <c r="C20" s="24" t="s">
        <v>91</v>
      </c>
      <c r="D20" s="25" t="s">
        <v>92</v>
      </c>
      <c r="E20" s="24" t="s">
        <v>93</v>
      </c>
      <c r="F20" s="25" t="s">
        <v>100</v>
      </c>
      <c r="G20" s="24" t="s">
        <v>101</v>
      </c>
      <c r="H20" s="25">
        <v>450203800</v>
      </c>
      <c r="I20" s="24" t="s">
        <v>241</v>
      </c>
      <c r="J20" s="85">
        <v>0</v>
      </c>
      <c r="K20" s="25" t="s">
        <v>239</v>
      </c>
      <c r="L20" s="25" t="str">
        <f>+'[1]Plan Indicativo'!AC210</f>
        <v>No Acumulativa</v>
      </c>
      <c r="M20" s="85">
        <f>+'[1]Plan Indicativo'!T210</f>
        <v>1</v>
      </c>
      <c r="N20" s="35">
        <f>+'[1]Plan Indicativo'!W210</f>
        <v>1</v>
      </c>
      <c r="O20" s="36">
        <v>1</v>
      </c>
      <c r="P20" s="37">
        <f>+Tabla1[[#This Row],[Logro Vigencia]]/Tabla1[[#This Row],[Meta Programada Vigencia]]</f>
        <v>1</v>
      </c>
      <c r="Q20" s="54"/>
      <c r="R20" s="76">
        <v>270000000</v>
      </c>
      <c r="S20" s="15"/>
      <c r="T20" s="15"/>
      <c r="U20" s="15"/>
      <c r="V20" s="15"/>
      <c r="W20" s="15"/>
      <c r="X20" s="15"/>
      <c r="Y20" s="15"/>
      <c r="Z20" s="15"/>
      <c r="AA20" s="15"/>
      <c r="AB20" s="15"/>
      <c r="AC20" s="15"/>
      <c r="AD20" s="15"/>
      <c r="AE20" s="15"/>
      <c r="AF20" s="58">
        <f>SUM(Tabla1[[#This Row],[Recursos propios]:[Recursos del Balance]])</f>
        <v>270000000</v>
      </c>
      <c r="AG20" s="76">
        <v>270000000</v>
      </c>
      <c r="AH20" s="15"/>
      <c r="AI20" s="15"/>
      <c r="AJ20" s="15"/>
      <c r="AK20" s="15"/>
      <c r="AL20" s="15"/>
      <c r="AM20" s="15"/>
      <c r="AN20" s="15"/>
      <c r="AO20" s="15"/>
      <c r="AP20" s="15"/>
      <c r="AQ20" s="15"/>
      <c r="AR20" s="15"/>
      <c r="AS20" s="15">
        <v>0</v>
      </c>
      <c r="AT20" s="15">
        <v>0</v>
      </c>
      <c r="AU20" s="31">
        <f>SUM(Tabla1[[#This Row],[Recursos propios2]:[Recursos del Balance2]])</f>
        <v>270000000</v>
      </c>
      <c r="AV20" s="98">
        <v>228989114</v>
      </c>
      <c r="AW20" s="98">
        <v>228989114</v>
      </c>
      <c r="AX20" s="61">
        <f>+Tabla1[[#This Row],[Total Recursos Comprometido 2025]]/Tabla1[[#This Row],[Total 2025]]</f>
        <v>1</v>
      </c>
      <c r="AY20" s="19">
        <f>+Tabla1[[#This Row],[Total Recursos Obligados]]/Tabla1[[#This Row],[Total 2025]]</f>
        <v>0.84810782962962961</v>
      </c>
      <c r="AZ20" s="62">
        <f>+Tabla1[[#This Row],[Total Recursos Pagados]]/Tabla1[[#This Row],[Total 2025]]</f>
        <v>0.84810782962962961</v>
      </c>
      <c r="BA20" s="98"/>
      <c r="BB20" s="63">
        <f>+Tabla1[[#This Row],[Total Recursos Gestionados2]]/Tabla1[[#This Row],[Total Recursos Comprometido 2025]]</f>
        <v>0</v>
      </c>
      <c r="BC20" s="38" t="s">
        <v>225</v>
      </c>
      <c r="BD20" s="39" t="s">
        <v>226</v>
      </c>
      <c r="BE20" s="71">
        <v>10</v>
      </c>
    </row>
    <row r="21" spans="1:57" s="10" customFormat="1" ht="99.75">
      <c r="A21" s="34">
        <v>203</v>
      </c>
      <c r="B21" s="24" t="s">
        <v>90</v>
      </c>
      <c r="C21" s="24" t="s">
        <v>64</v>
      </c>
      <c r="D21" s="25" t="s">
        <v>96</v>
      </c>
      <c r="E21" s="24" t="s">
        <v>97</v>
      </c>
      <c r="F21" s="25" t="s">
        <v>98</v>
      </c>
      <c r="G21" s="24" t="s">
        <v>102</v>
      </c>
      <c r="H21" s="25">
        <v>410305200</v>
      </c>
      <c r="I21" s="24" t="s">
        <v>242</v>
      </c>
      <c r="J21" s="25">
        <v>25881</v>
      </c>
      <c r="K21" s="25" t="s">
        <v>239</v>
      </c>
      <c r="L21" s="25" t="str">
        <f>+'[1]Plan Indicativo'!AC211</f>
        <v>No Acumulativa</v>
      </c>
      <c r="M21" s="85">
        <f>+'[1]Plan Indicativo'!T211</f>
        <v>31057</v>
      </c>
      <c r="N21" s="35">
        <f>+'[1]Plan Indicativo'!W211</f>
        <v>31057</v>
      </c>
      <c r="O21" s="36">
        <v>25449</v>
      </c>
      <c r="P21" s="37">
        <f>+Tabla1[[#This Row],[Logro Vigencia]]/Tabla1[[#This Row],[Meta Programada Vigencia]]</f>
        <v>0.81942879222075538</v>
      </c>
      <c r="Q21" s="54"/>
      <c r="R21" s="76">
        <v>83200000</v>
      </c>
      <c r="S21" s="15"/>
      <c r="T21" s="15"/>
      <c r="U21" s="15"/>
      <c r="V21" s="15"/>
      <c r="W21" s="15"/>
      <c r="X21" s="15"/>
      <c r="Y21" s="15"/>
      <c r="Z21" s="15"/>
      <c r="AA21" s="15"/>
      <c r="AB21" s="15"/>
      <c r="AC21" s="15"/>
      <c r="AD21" s="15"/>
      <c r="AE21" s="15">
        <v>75000000</v>
      </c>
      <c r="AF21" s="58">
        <f>SUM(Tabla1[[#This Row],[Recursos propios]:[Recursos del Balance]])</f>
        <v>158200000</v>
      </c>
      <c r="AG21" s="76">
        <v>82500000</v>
      </c>
      <c r="AH21" s="15"/>
      <c r="AI21" s="15"/>
      <c r="AJ21" s="15"/>
      <c r="AK21" s="15"/>
      <c r="AL21" s="15"/>
      <c r="AM21" s="15"/>
      <c r="AN21" s="15"/>
      <c r="AO21" s="15"/>
      <c r="AP21" s="15"/>
      <c r="AQ21" s="15"/>
      <c r="AR21" s="15"/>
      <c r="AS21" s="15">
        <v>0</v>
      </c>
      <c r="AT21" s="15">
        <v>72730000</v>
      </c>
      <c r="AU21" s="31">
        <f>SUM(Tabla1[[#This Row],[Recursos propios2]:[Recursos del Balance2]])</f>
        <v>155230000</v>
      </c>
      <c r="AV21" s="98">
        <v>155230000</v>
      </c>
      <c r="AW21" s="98">
        <v>155230000</v>
      </c>
      <c r="AX21" s="61">
        <f>+Tabla1[[#This Row],[Total Recursos Comprometido 2025]]/Tabla1[[#This Row],[Total 2025]]</f>
        <v>0.98122629582806575</v>
      </c>
      <c r="AY21" s="19">
        <f>+Tabla1[[#This Row],[Total Recursos Obligados]]/Tabla1[[#This Row],[Total 2025]]</f>
        <v>0.98122629582806575</v>
      </c>
      <c r="AZ21" s="62">
        <f>+Tabla1[[#This Row],[Total Recursos Pagados]]/Tabla1[[#This Row],[Total 2025]]</f>
        <v>0.98122629582806575</v>
      </c>
      <c r="BA21" s="98"/>
      <c r="BB21" s="63">
        <f>+Tabla1[[#This Row],[Total Recursos Gestionados2]]/Tabla1[[#This Row],[Total Recursos Comprometido 2025]]</f>
        <v>0</v>
      </c>
      <c r="BC21" s="38" t="s">
        <v>225</v>
      </c>
      <c r="BD21" s="39" t="s">
        <v>226</v>
      </c>
      <c r="BE21" s="65">
        <v>10</v>
      </c>
    </row>
    <row r="22" spans="1:57" s="10" customFormat="1" ht="71.25">
      <c r="A22" s="34">
        <v>204</v>
      </c>
      <c r="B22" s="24" t="s">
        <v>90</v>
      </c>
      <c r="C22" s="24" t="s">
        <v>64</v>
      </c>
      <c r="D22" s="25" t="s">
        <v>103</v>
      </c>
      <c r="E22" s="24" t="s">
        <v>104</v>
      </c>
      <c r="F22" s="25" t="s">
        <v>105</v>
      </c>
      <c r="G22" s="24" t="s">
        <v>106</v>
      </c>
      <c r="H22" s="25">
        <v>410402600</v>
      </c>
      <c r="I22" s="24" t="s">
        <v>243</v>
      </c>
      <c r="J22" s="85">
        <v>0</v>
      </c>
      <c r="K22" s="25" t="s">
        <v>239</v>
      </c>
      <c r="L22" s="25" t="str">
        <f>+'[1]Plan Indicativo'!AC212</f>
        <v>No Acumulativa</v>
      </c>
      <c r="M22" s="85">
        <f>+'[1]Plan Indicativo'!T212</f>
        <v>500</v>
      </c>
      <c r="N22" s="35">
        <f>+'[1]Plan Indicativo'!W212</f>
        <v>500</v>
      </c>
      <c r="O22" s="36">
        <v>606</v>
      </c>
      <c r="P22" s="37">
        <f>+Tabla1[[#This Row],[Logro Vigencia]]/Tabla1[[#This Row],[Meta Programada Vigencia]]</f>
        <v>1.212</v>
      </c>
      <c r="Q22" s="54"/>
      <c r="R22" s="76">
        <v>522000000</v>
      </c>
      <c r="S22" s="15"/>
      <c r="T22" s="15"/>
      <c r="U22" s="15"/>
      <c r="V22" s="15"/>
      <c r="W22" s="15"/>
      <c r="X22" s="15"/>
      <c r="Y22" s="15"/>
      <c r="Z22" s="15"/>
      <c r="AA22" s="15"/>
      <c r="AB22" s="15"/>
      <c r="AC22" s="15"/>
      <c r="AD22" s="15"/>
      <c r="AE22" s="15">
        <v>167000000</v>
      </c>
      <c r="AF22" s="58">
        <f>SUM(Tabla1[[#This Row],[Recursos propios]:[Recursos del Balance]])</f>
        <v>689000000</v>
      </c>
      <c r="AG22" s="76">
        <v>479471328.67000002</v>
      </c>
      <c r="AH22" s="15"/>
      <c r="AI22" s="15"/>
      <c r="AJ22" s="15"/>
      <c r="AK22" s="15"/>
      <c r="AL22" s="15"/>
      <c r="AM22" s="15"/>
      <c r="AN22" s="15"/>
      <c r="AO22" s="15"/>
      <c r="AP22" s="15"/>
      <c r="AQ22" s="15"/>
      <c r="AR22" s="15"/>
      <c r="AS22" s="15">
        <v>0</v>
      </c>
      <c r="AT22" s="15">
        <v>75373333.329999998</v>
      </c>
      <c r="AU22" s="31">
        <f>SUM(Tabla1[[#This Row],[Recursos propios2]:[Recursos del Balance2]])</f>
        <v>554844662</v>
      </c>
      <c r="AV22" s="98">
        <v>517787590.00000006</v>
      </c>
      <c r="AW22" s="98">
        <v>506260923.34000003</v>
      </c>
      <c r="AX22" s="61">
        <f>+Tabla1[[#This Row],[Total Recursos Comprometido 2025]]/Tabla1[[#This Row],[Total 2025]]</f>
        <v>0.80528978519593619</v>
      </c>
      <c r="AY22" s="19">
        <f>+Tabla1[[#This Row],[Total Recursos Obligados]]/Tabla1[[#This Row],[Total 2025]]</f>
        <v>0.75150593613933248</v>
      </c>
      <c r="AZ22" s="62">
        <f>+Tabla1[[#This Row],[Total Recursos Pagados]]/Tabla1[[#This Row],[Total 2025]]</f>
        <v>0.73477637640058058</v>
      </c>
      <c r="BA22" s="98"/>
      <c r="BB22" s="63">
        <f>+Tabla1[[#This Row],[Total Recursos Gestionados2]]/Tabla1[[#This Row],[Total Recursos Comprometido 2025]]</f>
        <v>0</v>
      </c>
      <c r="BC22" s="38" t="s">
        <v>225</v>
      </c>
      <c r="BD22" s="39" t="s">
        <v>226</v>
      </c>
      <c r="BE22" s="71">
        <v>10</v>
      </c>
    </row>
    <row r="23" spans="1:57" s="10" customFormat="1" ht="71.25">
      <c r="A23" s="34">
        <v>205</v>
      </c>
      <c r="B23" s="24" t="s">
        <v>90</v>
      </c>
      <c r="C23" s="24" t="s">
        <v>64</v>
      </c>
      <c r="D23" s="25" t="s">
        <v>103</v>
      </c>
      <c r="E23" s="24" t="s">
        <v>104</v>
      </c>
      <c r="F23" s="25" t="s">
        <v>107</v>
      </c>
      <c r="G23" s="24" t="s">
        <v>108</v>
      </c>
      <c r="H23" s="25">
        <v>410402700</v>
      </c>
      <c r="I23" s="24" t="s">
        <v>244</v>
      </c>
      <c r="J23" s="25">
        <v>284</v>
      </c>
      <c r="K23" s="25" t="s">
        <v>239</v>
      </c>
      <c r="L23" s="25" t="str">
        <f>+'[1]Plan Indicativo'!AC213</f>
        <v>No Acumulativa</v>
      </c>
      <c r="M23" s="85">
        <f>+'[1]Plan Indicativo'!T213</f>
        <v>500</v>
      </c>
      <c r="N23" s="35">
        <f>+'[1]Plan Indicativo'!W213</f>
        <v>500</v>
      </c>
      <c r="O23" s="36">
        <v>893</v>
      </c>
      <c r="P23" s="37">
        <f>+Tabla1[[#This Row],[Logro Vigencia]]/Tabla1[[#This Row],[Meta Programada Vigencia]]</f>
        <v>1.786</v>
      </c>
      <c r="Q23" s="54"/>
      <c r="R23" s="76">
        <v>1800000000</v>
      </c>
      <c r="S23" s="15"/>
      <c r="T23" s="15"/>
      <c r="U23" s="15"/>
      <c r="V23" s="15"/>
      <c r="W23" s="15"/>
      <c r="X23" s="15"/>
      <c r="Y23" s="15"/>
      <c r="Z23" s="15"/>
      <c r="AA23" s="15"/>
      <c r="AB23" s="15"/>
      <c r="AC23" s="15"/>
      <c r="AD23" s="15"/>
      <c r="AE23" s="15"/>
      <c r="AF23" s="58">
        <f>SUM(Tabla1[[#This Row],[Recursos propios]:[Recursos del Balance]])</f>
        <v>1800000000</v>
      </c>
      <c r="AG23" s="76">
        <v>1670422111.28</v>
      </c>
      <c r="AH23" s="15"/>
      <c r="AI23" s="15"/>
      <c r="AJ23" s="15"/>
      <c r="AK23" s="15"/>
      <c r="AL23" s="15"/>
      <c r="AM23" s="15"/>
      <c r="AN23" s="15"/>
      <c r="AO23" s="15"/>
      <c r="AP23" s="15"/>
      <c r="AQ23" s="15"/>
      <c r="AR23" s="15"/>
      <c r="AS23" s="15">
        <v>0</v>
      </c>
      <c r="AT23" s="15">
        <v>0</v>
      </c>
      <c r="AU23" s="31">
        <f>SUM(Tabla1[[#This Row],[Recursos propios2]:[Recursos del Balance2]])</f>
        <v>1670422111.28</v>
      </c>
      <c r="AV23" s="98">
        <v>1518177690.53</v>
      </c>
      <c r="AW23" s="98">
        <v>1518177690.53</v>
      </c>
      <c r="AX23" s="61">
        <f>+Tabla1[[#This Row],[Total Recursos Comprometido 2025]]/Tabla1[[#This Row],[Total 2025]]</f>
        <v>0.92801228404444447</v>
      </c>
      <c r="AY23" s="19">
        <f>+Tabla1[[#This Row],[Total Recursos Obligados]]/Tabla1[[#This Row],[Total 2025]]</f>
        <v>0.84343205029444446</v>
      </c>
      <c r="AZ23" s="62">
        <f>+Tabla1[[#This Row],[Total Recursos Pagados]]/Tabla1[[#This Row],[Total 2025]]</f>
        <v>0.84343205029444446</v>
      </c>
      <c r="BA23" s="98">
        <v>175967944</v>
      </c>
      <c r="BB23" s="63">
        <f>+Tabla1[[#This Row],[Total Recursos Gestionados2]]/Tabla1[[#This Row],[Total Recursos Comprometido 2025]]</f>
        <v>0.10534339961841169</v>
      </c>
      <c r="BC23" s="38" t="s">
        <v>225</v>
      </c>
      <c r="BD23" s="39" t="s">
        <v>226</v>
      </c>
      <c r="BE23" s="65">
        <v>10</v>
      </c>
    </row>
    <row r="24" spans="1:57" s="10" customFormat="1" ht="114">
      <c r="A24" s="34">
        <v>206</v>
      </c>
      <c r="B24" s="24" t="s">
        <v>90</v>
      </c>
      <c r="C24" s="24" t="s">
        <v>64</v>
      </c>
      <c r="D24" s="25" t="s">
        <v>96</v>
      </c>
      <c r="E24" s="24" t="s">
        <v>97</v>
      </c>
      <c r="F24" s="25" t="s">
        <v>98</v>
      </c>
      <c r="G24" s="24" t="s">
        <v>109</v>
      </c>
      <c r="H24" s="25">
        <v>410305200</v>
      </c>
      <c r="I24" s="24" t="s">
        <v>245</v>
      </c>
      <c r="J24" s="85">
        <v>15036</v>
      </c>
      <c r="K24" s="25" t="s">
        <v>239</v>
      </c>
      <c r="L24" s="25" t="str">
        <f>+'[1]Plan Indicativo'!AC214</f>
        <v>Acumulativa</v>
      </c>
      <c r="M24" s="85">
        <f>+'[1]Plan Indicativo'!T214</f>
        <v>25000</v>
      </c>
      <c r="N24" s="35">
        <f>+'[1]Plan Indicativo'!W214</f>
        <v>6250</v>
      </c>
      <c r="O24" s="36">
        <v>9085</v>
      </c>
      <c r="P24" s="37">
        <f>+Tabla1[[#This Row],[Logro Vigencia]]/Tabla1[[#This Row],[Meta Programada Vigencia]]</f>
        <v>1.4536</v>
      </c>
      <c r="Q24" s="54"/>
      <c r="R24" s="76">
        <v>60000000</v>
      </c>
      <c r="S24" s="15"/>
      <c r="T24" s="15"/>
      <c r="U24" s="15"/>
      <c r="V24" s="15"/>
      <c r="W24" s="15"/>
      <c r="X24" s="15"/>
      <c r="Y24" s="15"/>
      <c r="Z24" s="15"/>
      <c r="AA24" s="15"/>
      <c r="AB24" s="15"/>
      <c r="AC24" s="15"/>
      <c r="AD24" s="15"/>
      <c r="AE24" s="15">
        <v>15000000</v>
      </c>
      <c r="AF24" s="58">
        <f>SUM(Tabla1[[#This Row],[Recursos propios]:[Recursos del Balance]])</f>
        <v>75000000</v>
      </c>
      <c r="AG24" s="76">
        <v>55600000</v>
      </c>
      <c r="AH24" s="15"/>
      <c r="AI24" s="15"/>
      <c r="AJ24" s="15"/>
      <c r="AK24" s="15"/>
      <c r="AL24" s="15"/>
      <c r="AM24" s="15"/>
      <c r="AN24" s="15"/>
      <c r="AO24" s="15"/>
      <c r="AP24" s="15"/>
      <c r="AQ24" s="15"/>
      <c r="AR24" s="15"/>
      <c r="AS24" s="15">
        <v>0</v>
      </c>
      <c r="AT24" s="15">
        <v>13466666.67</v>
      </c>
      <c r="AU24" s="31">
        <f>SUM(Tabla1[[#This Row],[Recursos propios2]:[Recursos del Balance2]])</f>
        <v>69066666.670000002</v>
      </c>
      <c r="AV24" s="98">
        <v>69066666.670000002</v>
      </c>
      <c r="AW24" s="98">
        <v>69066666.670000002</v>
      </c>
      <c r="AX24" s="61">
        <f>+Tabla1[[#This Row],[Total Recursos Comprometido 2025]]/Tabla1[[#This Row],[Total 2025]]</f>
        <v>0.92088888893333332</v>
      </c>
      <c r="AY24" s="19">
        <f>+Tabla1[[#This Row],[Total Recursos Obligados]]/Tabla1[[#This Row],[Total 2025]]</f>
        <v>0.92088888893333332</v>
      </c>
      <c r="AZ24" s="62">
        <f>+Tabla1[[#This Row],[Total Recursos Pagados]]/Tabla1[[#This Row],[Total 2025]]</f>
        <v>0.92088888893333332</v>
      </c>
      <c r="BA24" s="98"/>
      <c r="BB24" s="63">
        <f>+Tabla1[[#This Row],[Total Recursos Gestionados2]]/Tabla1[[#This Row],[Total Recursos Comprometido 2025]]</f>
        <v>0</v>
      </c>
      <c r="BC24" s="38" t="s">
        <v>225</v>
      </c>
      <c r="BD24" s="39" t="s">
        <v>226</v>
      </c>
      <c r="BE24" s="71">
        <v>10</v>
      </c>
    </row>
    <row r="25" spans="1:57" s="10" customFormat="1" ht="85.5">
      <c r="A25" s="34">
        <v>207</v>
      </c>
      <c r="B25" s="24" t="s">
        <v>90</v>
      </c>
      <c r="C25" s="24" t="s">
        <v>64</v>
      </c>
      <c r="D25" s="25" t="s">
        <v>96</v>
      </c>
      <c r="E25" s="24" t="s">
        <v>97</v>
      </c>
      <c r="F25" s="25" t="s">
        <v>98</v>
      </c>
      <c r="G25" s="24" t="s">
        <v>110</v>
      </c>
      <c r="H25" s="25">
        <v>410305200</v>
      </c>
      <c r="I25" s="24" t="s">
        <v>245</v>
      </c>
      <c r="J25" s="25">
        <v>2400</v>
      </c>
      <c r="K25" s="25" t="s">
        <v>239</v>
      </c>
      <c r="L25" s="25" t="str">
        <f>+'[1]Plan Indicativo'!AC215</f>
        <v>Acumulativa</v>
      </c>
      <c r="M25" s="85">
        <f>+'[1]Plan Indicativo'!T215</f>
        <v>4800</v>
      </c>
      <c r="N25" s="35">
        <f>+'[1]Plan Indicativo'!W215</f>
        <v>1200</v>
      </c>
      <c r="O25" s="36">
        <v>6320</v>
      </c>
      <c r="P25" s="37">
        <f>+Tabla1[[#This Row],[Logro Vigencia]]/Tabla1[[#This Row],[Meta Programada Vigencia]]</f>
        <v>5.2666666666666666</v>
      </c>
      <c r="Q25" s="54"/>
      <c r="R25" s="76">
        <v>203400000</v>
      </c>
      <c r="S25" s="15"/>
      <c r="T25" s="15"/>
      <c r="U25" s="15"/>
      <c r="V25" s="15"/>
      <c r="W25" s="15"/>
      <c r="X25" s="15"/>
      <c r="Y25" s="15"/>
      <c r="Z25" s="15"/>
      <c r="AA25" s="15"/>
      <c r="AB25" s="15"/>
      <c r="AC25" s="15"/>
      <c r="AD25" s="15"/>
      <c r="AE25" s="15">
        <v>100000000</v>
      </c>
      <c r="AF25" s="58">
        <f>SUM(Tabla1[[#This Row],[Recursos propios]:[Recursos del Balance]])</f>
        <v>303400000</v>
      </c>
      <c r="AG25" s="76">
        <v>181800000</v>
      </c>
      <c r="AH25" s="15"/>
      <c r="AI25" s="15"/>
      <c r="AJ25" s="15"/>
      <c r="AK25" s="15"/>
      <c r="AL25" s="15"/>
      <c r="AM25" s="15"/>
      <c r="AN25" s="15"/>
      <c r="AO25" s="15"/>
      <c r="AP25" s="15"/>
      <c r="AQ25" s="15"/>
      <c r="AR25" s="15"/>
      <c r="AS25" s="15">
        <v>0</v>
      </c>
      <c r="AT25" s="15">
        <v>65500000.009999998</v>
      </c>
      <c r="AU25" s="31">
        <f>SUM(Tabla1[[#This Row],[Recursos propios2]:[Recursos del Balance2]])</f>
        <v>247300000.00999999</v>
      </c>
      <c r="AV25" s="98">
        <v>247300000.01000002</v>
      </c>
      <c r="AW25" s="98">
        <v>247300000.01000002</v>
      </c>
      <c r="AX25" s="61">
        <f>+Tabla1[[#This Row],[Total Recursos Comprometido 2025]]/Tabla1[[#This Row],[Total 2025]]</f>
        <v>0.81509558342122612</v>
      </c>
      <c r="AY25" s="19">
        <f>+Tabla1[[#This Row],[Total Recursos Obligados]]/Tabla1[[#This Row],[Total 2025]]</f>
        <v>0.81509558342122612</v>
      </c>
      <c r="AZ25" s="62">
        <f>+Tabla1[[#This Row],[Total Recursos Pagados]]/Tabla1[[#This Row],[Total 2025]]</f>
        <v>0.81509558342122612</v>
      </c>
      <c r="BA25" s="98"/>
      <c r="BB25" s="63">
        <f>+Tabla1[[#This Row],[Total Recursos Gestionados2]]/Tabla1[[#This Row],[Total Recursos Comprometido 2025]]</f>
        <v>0</v>
      </c>
      <c r="BC25" s="38" t="s">
        <v>225</v>
      </c>
      <c r="BD25" s="39" t="s">
        <v>226</v>
      </c>
      <c r="BE25" s="65" t="s">
        <v>228</v>
      </c>
    </row>
    <row r="26" spans="1:57" s="28" customFormat="1" ht="99.75">
      <c r="A26" s="34">
        <v>208</v>
      </c>
      <c r="B26" s="24" t="s">
        <v>90</v>
      </c>
      <c r="C26" s="24" t="s">
        <v>91</v>
      </c>
      <c r="D26" s="24" t="s">
        <v>92</v>
      </c>
      <c r="E26" s="24" t="s">
        <v>93</v>
      </c>
      <c r="F26" s="24" t="s">
        <v>100</v>
      </c>
      <c r="G26" s="24" t="s">
        <v>111</v>
      </c>
      <c r="H26" s="24">
        <v>450203800</v>
      </c>
      <c r="I26" s="24" t="s">
        <v>246</v>
      </c>
      <c r="J26" s="84">
        <v>0</v>
      </c>
      <c r="K26" s="24" t="s">
        <v>231</v>
      </c>
      <c r="L26" s="25" t="str">
        <f>+'[1]Plan Indicativo'!AC216</f>
        <v>No Acumulativa</v>
      </c>
      <c r="M26" s="85">
        <f>+'[1]Plan Indicativo'!T216</f>
        <v>1</v>
      </c>
      <c r="N26" s="35">
        <f>+'[1]Plan Indicativo'!W216</f>
        <v>1</v>
      </c>
      <c r="O26" s="41">
        <v>1</v>
      </c>
      <c r="P26" s="42">
        <f>+Tabla1[[#This Row],[Logro Vigencia]]/Tabla1[[#This Row],[Meta Programada Vigencia]]</f>
        <v>1</v>
      </c>
      <c r="Q26" s="56"/>
      <c r="R26" s="77">
        <v>568425500</v>
      </c>
      <c r="S26" s="17"/>
      <c r="T26" s="17"/>
      <c r="U26" s="17"/>
      <c r="V26" s="17"/>
      <c r="W26" s="17"/>
      <c r="X26" s="17"/>
      <c r="Y26" s="17"/>
      <c r="Z26" s="17"/>
      <c r="AA26" s="17"/>
      <c r="AB26" s="17"/>
      <c r="AC26" s="17"/>
      <c r="AD26" s="137"/>
      <c r="AE26" s="17">
        <v>159974500</v>
      </c>
      <c r="AF26" s="58">
        <f>SUM(Tabla1[[#This Row],[Recursos propios]:[Recursos del Balance]])</f>
        <v>728400000</v>
      </c>
      <c r="AG26" s="77">
        <v>534378358</v>
      </c>
      <c r="AH26" s="17"/>
      <c r="AI26" s="17"/>
      <c r="AJ26" s="17"/>
      <c r="AK26" s="17"/>
      <c r="AL26" s="17"/>
      <c r="AM26" s="17"/>
      <c r="AN26" s="17"/>
      <c r="AO26" s="17"/>
      <c r="AP26" s="17"/>
      <c r="AQ26" s="17"/>
      <c r="AR26" s="17"/>
      <c r="AS26" s="17">
        <v>0</v>
      </c>
      <c r="AT26" s="17">
        <v>69300000</v>
      </c>
      <c r="AU26" s="31">
        <f>SUM(Tabla1[[#This Row],[Recursos propios2]:[Recursos del Balance2]])</f>
        <v>603678358</v>
      </c>
      <c r="AV26" s="98">
        <v>573182943</v>
      </c>
      <c r="AW26" s="98">
        <v>454446543</v>
      </c>
      <c r="AX26" s="21">
        <f>+Tabla1[[#This Row],[Total Recursos Comprometido 2025]]/Tabla1[[#This Row],[Total 2025]]</f>
        <v>0.82877314387699064</v>
      </c>
      <c r="AY26" s="18">
        <f>+Tabla1[[#This Row],[Total Recursos Obligados]]/Tabla1[[#This Row],[Total 2025]]</f>
        <v>0.78690684102141684</v>
      </c>
      <c r="AZ26" s="22">
        <f>+Tabla1[[#This Row],[Total Recursos Pagados]]/Tabla1[[#This Row],[Total 2025]]</f>
        <v>0.62389695634266884</v>
      </c>
      <c r="BA26" s="98"/>
      <c r="BB26" s="63">
        <f>+Tabla1[[#This Row],[Total Recursos Gestionados2]]/Tabla1[[#This Row],[Total Recursos Comprometido 2025]]</f>
        <v>0</v>
      </c>
      <c r="BC26" s="38" t="s">
        <v>225</v>
      </c>
      <c r="BD26" s="39" t="s">
        <v>226</v>
      </c>
      <c r="BE26" s="71" t="s">
        <v>228</v>
      </c>
    </row>
    <row r="27" spans="1:57" s="10" customFormat="1" ht="85.5">
      <c r="A27" s="34">
        <v>209</v>
      </c>
      <c r="B27" s="24" t="s">
        <v>90</v>
      </c>
      <c r="C27" s="24" t="s">
        <v>64</v>
      </c>
      <c r="D27" s="24" t="s">
        <v>96</v>
      </c>
      <c r="E27" s="24" t="s">
        <v>97</v>
      </c>
      <c r="F27" s="24" t="s">
        <v>98</v>
      </c>
      <c r="G27" s="24" t="s">
        <v>112</v>
      </c>
      <c r="H27" s="24">
        <v>410305200</v>
      </c>
      <c r="I27" s="24" t="s">
        <v>242</v>
      </c>
      <c r="J27" s="24">
        <v>0</v>
      </c>
      <c r="K27" s="24" t="s">
        <v>231</v>
      </c>
      <c r="L27" s="25" t="str">
        <f>+'[1]Plan Indicativo'!AC217</f>
        <v>Acumulativa</v>
      </c>
      <c r="M27" s="85">
        <f>+'[1]Plan Indicativo'!T217</f>
        <v>1600</v>
      </c>
      <c r="N27" s="35">
        <f>+'[1]Plan Indicativo'!W217</f>
        <v>400</v>
      </c>
      <c r="O27" s="41">
        <v>649</v>
      </c>
      <c r="P27" s="47">
        <f>+Tabla1[[#This Row],[Logro Vigencia]]/Tabla1[[#This Row],[Meta Programada Vigencia]]</f>
        <v>1.6225000000000001</v>
      </c>
      <c r="Q27" s="47"/>
      <c r="R27" s="77">
        <v>99216000</v>
      </c>
      <c r="S27" s="17"/>
      <c r="T27" s="17"/>
      <c r="U27" s="17"/>
      <c r="V27" s="17"/>
      <c r="W27" s="17"/>
      <c r="X27" s="17"/>
      <c r="Y27" s="17"/>
      <c r="Z27" s="17"/>
      <c r="AA27" s="17"/>
      <c r="AB27" s="17"/>
      <c r="AC27" s="17"/>
      <c r="AD27" s="17"/>
      <c r="AE27" s="17">
        <v>173525565</v>
      </c>
      <c r="AF27" s="58">
        <f>SUM(Tabla1[[#This Row],[Recursos propios]:[Recursos del Balance]])</f>
        <v>272741565</v>
      </c>
      <c r="AG27" s="77">
        <v>77093333.329999998</v>
      </c>
      <c r="AH27" s="17"/>
      <c r="AI27" s="17"/>
      <c r="AJ27" s="17"/>
      <c r="AK27" s="17"/>
      <c r="AL27" s="17"/>
      <c r="AM27" s="17"/>
      <c r="AN27" s="17"/>
      <c r="AO27" s="17"/>
      <c r="AP27" s="17"/>
      <c r="AQ27" s="17"/>
      <c r="AR27" s="17"/>
      <c r="AS27" s="17">
        <v>0</v>
      </c>
      <c r="AT27" s="17">
        <v>154660000</v>
      </c>
      <c r="AU27" s="31">
        <f>SUM(Tabla1[[#This Row],[Recursos propios2]:[Recursos del Balance2]])</f>
        <v>231753333.32999998</v>
      </c>
      <c r="AV27" s="98">
        <v>231753333.32999998</v>
      </c>
      <c r="AW27" s="98">
        <v>225093333.32999998</v>
      </c>
      <c r="AX27" s="21">
        <f>+Tabla1[[#This Row],[Total Recursos Comprometido 2025]]/Tabla1[[#This Row],[Total 2025]]</f>
        <v>0.84971769275431119</v>
      </c>
      <c r="AY27" s="18">
        <f>+Tabla1[[#This Row],[Total Recursos Obligados]]/Tabla1[[#This Row],[Total 2025]]</f>
        <v>0.84971769275431119</v>
      </c>
      <c r="AZ27" s="22">
        <f>+Tabla1[[#This Row],[Total Recursos Pagados]]/Tabla1[[#This Row],[Total 2025]]</f>
        <v>0.8252989724173504</v>
      </c>
      <c r="BA27" s="98"/>
      <c r="BB27" s="63">
        <f>+Tabla1[[#This Row],[Total Recursos Gestionados2]]/Tabla1[[#This Row],[Total Recursos Comprometido 2025]]</f>
        <v>0</v>
      </c>
      <c r="BC27" s="38" t="s">
        <v>225</v>
      </c>
      <c r="BD27" s="39" t="s">
        <v>226</v>
      </c>
      <c r="BE27" s="65">
        <v>10</v>
      </c>
    </row>
    <row r="28" spans="1:57" ht="28.5">
      <c r="A28" s="34">
        <v>210</v>
      </c>
      <c r="B28" s="24" t="s">
        <v>90</v>
      </c>
      <c r="C28" s="25" t="s">
        <v>64</v>
      </c>
      <c r="D28" s="25" t="s">
        <v>103</v>
      </c>
      <c r="E28" s="25" t="s">
        <v>104</v>
      </c>
      <c r="F28" s="25" t="s">
        <v>113</v>
      </c>
      <c r="G28" s="25" t="s">
        <v>114</v>
      </c>
      <c r="H28" s="25">
        <v>410401400</v>
      </c>
      <c r="I28" s="25" t="s">
        <v>247</v>
      </c>
      <c r="J28" s="85">
        <v>3</v>
      </c>
      <c r="K28" s="25" t="s">
        <v>231</v>
      </c>
      <c r="L28" s="25" t="str">
        <f>+'[1]Plan Indicativo'!AC218</f>
        <v>Acumulativa</v>
      </c>
      <c r="M28" s="85">
        <f>+'[1]Plan Indicativo'!T218</f>
        <v>4</v>
      </c>
      <c r="N28" s="35">
        <f>+'[1]Plan Indicativo'!W218</f>
        <v>1</v>
      </c>
      <c r="O28" s="34">
        <v>1</v>
      </c>
      <c r="P28" s="68">
        <f>+Tabla1[[#This Row],[Logro Vigencia]]/Tabla1[[#This Row],[Meta Programada Vigencia]]</f>
        <v>1</v>
      </c>
      <c r="Q28" s="35"/>
      <c r="R28" s="76">
        <v>0</v>
      </c>
      <c r="S28" s="15"/>
      <c r="T28" s="15"/>
      <c r="U28" s="15"/>
      <c r="V28" s="15"/>
      <c r="W28" s="15"/>
      <c r="X28" s="15"/>
      <c r="Y28" s="15"/>
      <c r="Z28" s="15"/>
      <c r="AA28" s="15"/>
      <c r="AB28" s="15"/>
      <c r="AC28" s="15"/>
      <c r="AD28" s="15"/>
      <c r="AE28" s="108">
        <v>588807728.53999996</v>
      </c>
      <c r="AF28" s="58">
        <f>SUM(Tabla1[[#This Row],[Recursos propios]:[Recursos del Balance]])</f>
        <v>588807728.53999996</v>
      </c>
      <c r="AG28" s="76">
        <v>0</v>
      </c>
      <c r="AH28" s="15"/>
      <c r="AI28" s="15"/>
      <c r="AJ28" s="15"/>
      <c r="AK28" s="15"/>
      <c r="AL28" s="15"/>
      <c r="AM28" s="15"/>
      <c r="AN28" s="15"/>
      <c r="AO28" s="15"/>
      <c r="AP28" s="15"/>
      <c r="AQ28" s="15"/>
      <c r="AR28" s="15"/>
      <c r="AS28" s="15">
        <v>0</v>
      </c>
      <c r="AT28" s="136">
        <v>271476105</v>
      </c>
      <c r="AU28" s="31">
        <f>SUM(Tabla1[[#This Row],[Recursos propios2]:[Recursos del Balance2]])</f>
        <v>271476105</v>
      </c>
      <c r="AV28" s="98">
        <v>0</v>
      </c>
      <c r="AW28" s="98">
        <v>0</v>
      </c>
      <c r="AX28" s="61">
        <f>+Tabla1[[#This Row],[Total Recursos Comprometido 2025]]/Tabla1[[#This Row],[Total 2025]]</f>
        <v>0.46106070257119186</v>
      </c>
      <c r="AY28" s="19">
        <f>+Tabla1[[#This Row],[Total Recursos Obligados]]/Tabla1[[#This Row],[Total 2025]]</f>
        <v>0</v>
      </c>
      <c r="AZ28" s="62">
        <f>+Tabla1[[#This Row],[Total Recursos Pagados]]/Tabla1[[#This Row],[Total 2025]]</f>
        <v>0</v>
      </c>
      <c r="BA28" s="98"/>
      <c r="BB28" s="63">
        <f>+Tabla1[[#This Row],[Total Recursos Gestionados2]]/Tabla1[[#This Row],[Total Recursos Comprometido 2025]]</f>
        <v>0</v>
      </c>
      <c r="BC28" s="38" t="s">
        <v>225</v>
      </c>
      <c r="BD28" s="39" t="s">
        <v>226</v>
      </c>
      <c r="BE28" s="71">
        <v>10</v>
      </c>
    </row>
    <row r="29" spans="1:57" ht="29.25" thickBot="1">
      <c r="A29" s="49">
        <v>211</v>
      </c>
      <c r="B29" s="50" t="s">
        <v>90</v>
      </c>
      <c r="C29" s="51" t="s">
        <v>64</v>
      </c>
      <c r="D29" s="51" t="s">
        <v>103</v>
      </c>
      <c r="E29" s="51" t="s">
        <v>104</v>
      </c>
      <c r="F29" s="51" t="s">
        <v>115</v>
      </c>
      <c r="G29" s="51" t="s">
        <v>116</v>
      </c>
      <c r="H29" s="51">
        <v>410400800</v>
      </c>
      <c r="I29" s="51" t="s">
        <v>248</v>
      </c>
      <c r="J29" s="51">
        <v>7000</v>
      </c>
      <c r="K29" s="51" t="s">
        <v>231</v>
      </c>
      <c r="L29" s="25" t="str">
        <f>+'[1]Plan Indicativo'!AC219</f>
        <v>Acumulativa</v>
      </c>
      <c r="M29" s="85">
        <f>+'[1]Plan Indicativo'!T219</f>
        <v>8400</v>
      </c>
      <c r="N29" s="35">
        <f>+'[1]Plan Indicativo'!W219</f>
        <v>2100</v>
      </c>
      <c r="O29" s="49">
        <v>11873</v>
      </c>
      <c r="P29" s="69">
        <f>+Tabla1[[#This Row],[Logro Vigencia]]/Tabla1[[#This Row],[Meta Programada Vigencia]]</f>
        <v>5.6538095238095236</v>
      </c>
      <c r="Q29" s="52"/>
      <c r="R29" s="78">
        <v>1285684000</v>
      </c>
      <c r="S29" s="59"/>
      <c r="T29" s="59"/>
      <c r="U29" s="59"/>
      <c r="V29" s="59"/>
      <c r="W29" s="59"/>
      <c r="X29" s="59"/>
      <c r="Y29" s="59"/>
      <c r="Z29" s="59"/>
      <c r="AA29" s="59"/>
      <c r="AB29" s="59"/>
      <c r="AC29" s="59"/>
      <c r="AD29" s="59">
        <v>600000000</v>
      </c>
      <c r="AE29" s="109">
        <v>1210000000</v>
      </c>
      <c r="AF29" s="58">
        <f>SUM(Tabla1[[#This Row],[Recursos propios]:[Recursos del Balance]])</f>
        <v>3095684000</v>
      </c>
      <c r="AG29" s="78">
        <v>1144600000</v>
      </c>
      <c r="AH29" s="59"/>
      <c r="AI29" s="59"/>
      <c r="AJ29" s="59"/>
      <c r="AK29" s="59"/>
      <c r="AL29" s="59"/>
      <c r="AM29" s="59"/>
      <c r="AN29" s="59"/>
      <c r="AO29" s="59"/>
      <c r="AP29" s="59"/>
      <c r="AQ29" s="59"/>
      <c r="AR29" s="59"/>
      <c r="AS29" s="59">
        <v>505319999.9799999</v>
      </c>
      <c r="AT29" s="109">
        <v>601788711.43000007</v>
      </c>
      <c r="AU29" s="60">
        <f>SUM(Tabla1[[#This Row],[Recursos propios2]:[Recursos del Balance2]])</f>
        <v>2251708711.4099998</v>
      </c>
      <c r="AV29" s="98">
        <v>1690933751.9499993</v>
      </c>
      <c r="AW29" s="98">
        <v>1644550418.6299996</v>
      </c>
      <c r="AX29" s="61">
        <f>+Tabla1[[#This Row],[Total Recursos Comprometido 2025]]/Tabla1[[#This Row],[Total 2025]]</f>
        <v>0.72737033605820223</v>
      </c>
      <c r="AY29" s="19">
        <f>+Tabla1[[#This Row],[Total Recursos Obligados]]/Tabla1[[#This Row],[Total 2025]]</f>
        <v>0.5462229839835071</v>
      </c>
      <c r="AZ29" s="62">
        <f>+Tabla1[[#This Row],[Total Recursos Pagados]]/Tabla1[[#This Row],[Total 2025]]</f>
        <v>0.5312397578790341</v>
      </c>
      <c r="BA29" s="98"/>
      <c r="BB29" s="63">
        <f>+Tabla1[[#This Row],[Total Recursos Gestionados2]]/Tabla1[[#This Row],[Total Recursos Comprometido 2025]]</f>
        <v>0</v>
      </c>
      <c r="BC29" s="38" t="s">
        <v>225</v>
      </c>
      <c r="BD29" s="39" t="s">
        <v>226</v>
      </c>
      <c r="BE29" s="65">
        <v>10</v>
      </c>
    </row>
    <row r="30" spans="1:57" ht="28.5">
      <c r="A30" s="107">
        <v>212</v>
      </c>
      <c r="B30" s="24" t="s">
        <v>90</v>
      </c>
      <c r="C30" s="25" t="s">
        <v>64</v>
      </c>
      <c r="D30" s="25" t="s">
        <v>103</v>
      </c>
      <c r="E30" s="25" t="s">
        <v>104</v>
      </c>
      <c r="F30" s="25" t="s">
        <v>115</v>
      </c>
      <c r="G30" s="25" t="s">
        <v>117</v>
      </c>
      <c r="H30" s="25">
        <v>410400800</v>
      </c>
      <c r="I30" s="25" t="s">
        <v>248</v>
      </c>
      <c r="J30" s="85">
        <v>940</v>
      </c>
      <c r="K30" s="25" t="s">
        <v>231</v>
      </c>
      <c r="L30" s="25" t="str">
        <f>+'[1]Plan Indicativo'!AC220</f>
        <v>No Acumulativa</v>
      </c>
      <c r="M30" s="85">
        <f>+'[1]Plan Indicativo'!T220</f>
        <v>940</v>
      </c>
      <c r="N30" s="35">
        <f>+'[1]Plan Indicativo'!W220</f>
        <v>940</v>
      </c>
      <c r="O30" s="34">
        <v>865</v>
      </c>
      <c r="P30" s="86">
        <f>+Tabla1[[#This Row],[Logro Vigencia]]/Tabla1[[#This Row],[Meta Programada Vigencia]]</f>
        <v>0.92021276595744683</v>
      </c>
      <c r="Q30" s="25"/>
      <c r="R30" s="76">
        <v>0</v>
      </c>
      <c r="S30" s="15"/>
      <c r="T30" s="15"/>
      <c r="U30" s="15"/>
      <c r="V30" s="15"/>
      <c r="W30" s="15"/>
      <c r="X30" s="15"/>
      <c r="Y30" s="15"/>
      <c r="Z30" s="15"/>
      <c r="AA30" s="15"/>
      <c r="AB30" s="15"/>
      <c r="AC30" s="15"/>
      <c r="AD30" s="15">
        <v>5008402320</v>
      </c>
      <c r="AE30" s="108"/>
      <c r="AF30" s="15">
        <f>SUM(Tabla1[[#This Row],[Recursos propios]:[Recursos del Balance]])</f>
        <v>5008402320</v>
      </c>
      <c r="AG30" s="76">
        <v>0</v>
      </c>
      <c r="AH30" s="15"/>
      <c r="AI30" s="15"/>
      <c r="AJ30" s="15"/>
      <c r="AK30" s="15"/>
      <c r="AL30" s="15"/>
      <c r="AM30" s="15"/>
      <c r="AN30" s="15"/>
      <c r="AO30" s="15"/>
      <c r="AP30" s="15"/>
      <c r="AQ30" s="15"/>
      <c r="AR30" s="15"/>
      <c r="AS30" s="15">
        <v>4627088034</v>
      </c>
      <c r="AT30" s="108">
        <v>0</v>
      </c>
      <c r="AU30" s="31">
        <f>SUM(Tabla1[[#This Row],[Recursos propios2]:[Recursos del Balance2]])</f>
        <v>4627088034</v>
      </c>
      <c r="AV30" s="98">
        <v>4225586514</v>
      </c>
      <c r="AW30" s="98">
        <v>4199231276</v>
      </c>
      <c r="AX30" s="118">
        <f>+Tabla1[[#This Row],[Total Recursos Comprometido 2025]]/Tabla1[[#This Row],[Total 2025]]</f>
        <v>0.92386508478416329</v>
      </c>
      <c r="AY30" s="119">
        <f>+Tabla1[[#This Row],[Total Recursos Obligados]]/Tabla1[[#This Row],[Total 2025]]</f>
        <v>0.84369949616986839</v>
      </c>
      <c r="AZ30" s="62">
        <f>+Tabla1[[#This Row],[Total Recursos Pagados]]/Tabla1[[#This Row],[Total 2025]]</f>
        <v>0.83843729151535096</v>
      </c>
      <c r="BA30" s="120">
        <v>3421764060</v>
      </c>
      <c r="BB30" s="63">
        <f>+Tabla1[[#This Row],[Total Recursos Gestionados2]]/Tabla1[[#This Row],[Total Recursos Comprometido 2025]]</f>
        <v>0.73950701496421967</v>
      </c>
      <c r="BC30" s="38" t="s">
        <v>225</v>
      </c>
      <c r="BD30" s="39" t="s">
        <v>226</v>
      </c>
      <c r="BE30" s="71">
        <v>10</v>
      </c>
    </row>
    <row r="31" spans="1:57" ht="28.5">
      <c r="A31" s="107">
        <v>213</v>
      </c>
      <c r="B31" s="24" t="s">
        <v>90</v>
      </c>
      <c r="C31" s="25" t="s">
        <v>64</v>
      </c>
      <c r="D31" s="25" t="s">
        <v>103</v>
      </c>
      <c r="E31" s="25" t="s">
        <v>104</v>
      </c>
      <c r="F31" s="25" t="s">
        <v>115</v>
      </c>
      <c r="G31" s="25" t="s">
        <v>118</v>
      </c>
      <c r="H31" s="25">
        <v>410400800</v>
      </c>
      <c r="I31" s="25" t="s">
        <v>248</v>
      </c>
      <c r="J31" s="25">
        <v>670</v>
      </c>
      <c r="K31" s="25" t="s">
        <v>231</v>
      </c>
      <c r="L31" s="25" t="str">
        <f>+'[1]Plan Indicativo'!AC221</f>
        <v>No Acumulativa</v>
      </c>
      <c r="M31" s="85">
        <f>+'[1]Plan Indicativo'!T221</f>
        <v>700</v>
      </c>
      <c r="N31" s="35">
        <f>+'[1]Plan Indicativo'!W221</f>
        <v>700</v>
      </c>
      <c r="O31" s="34">
        <v>705</v>
      </c>
      <c r="P31" s="86">
        <f>+Tabla1[[#This Row],[Logro Vigencia]]/Tabla1[[#This Row],[Meta Programada Vigencia]]</f>
        <v>1.0071428571428571</v>
      </c>
      <c r="Q31" s="25"/>
      <c r="R31" s="76">
        <v>0</v>
      </c>
      <c r="S31" s="15"/>
      <c r="T31" s="15"/>
      <c r="U31" s="15"/>
      <c r="V31" s="15"/>
      <c r="W31" s="15"/>
      <c r="X31" s="15"/>
      <c r="Y31" s="15"/>
      <c r="Z31" s="15"/>
      <c r="AA31" s="15"/>
      <c r="AB31" s="15"/>
      <c r="AC31" s="15"/>
      <c r="AD31" s="15">
        <v>3705678710</v>
      </c>
      <c r="AE31" s="108">
        <v>2055785436.0999999</v>
      </c>
      <c r="AF31" s="15">
        <f>SUM(Tabla1[[#This Row],[Recursos propios]:[Recursos del Balance]])</f>
        <v>5761464146.1000004</v>
      </c>
      <c r="AG31" s="76">
        <v>0</v>
      </c>
      <c r="AH31" s="15"/>
      <c r="AI31" s="15"/>
      <c r="AJ31" s="15"/>
      <c r="AK31" s="15"/>
      <c r="AL31" s="15"/>
      <c r="AM31" s="15"/>
      <c r="AN31" s="15"/>
      <c r="AO31" s="15"/>
      <c r="AP31" s="15"/>
      <c r="AQ31" s="15"/>
      <c r="AR31" s="15"/>
      <c r="AS31" s="15">
        <v>3124576843</v>
      </c>
      <c r="AT31" s="108">
        <v>1809353186</v>
      </c>
      <c r="AU31" s="31">
        <f>SUM(Tabla1[[#This Row],[Recursos propios2]:[Recursos del Balance2]])</f>
        <v>4933930029</v>
      </c>
      <c r="AV31" s="98">
        <v>4485101649</v>
      </c>
      <c r="AW31" s="98">
        <v>4479199209</v>
      </c>
      <c r="AX31" s="61">
        <f>+Tabla1[[#This Row],[Total Recursos Comprometido 2025]]/Tabla1[[#This Row],[Total 2025]]</f>
        <v>0.85636739271211682</v>
      </c>
      <c r="AY31" s="19">
        <f>+Tabla1[[#This Row],[Total Recursos Obligados]]/Tabla1[[#This Row],[Total 2025]]</f>
        <v>0.77846560097679607</v>
      </c>
      <c r="AZ31" s="62">
        <f>+Tabla1[[#This Row],[Total Recursos Pagados]]/Tabla1[[#This Row],[Total 2025]]</f>
        <v>0.77744113222192313</v>
      </c>
      <c r="BA31" s="120">
        <v>2304903735</v>
      </c>
      <c r="BB31" s="63">
        <f>+Tabla1[[#This Row],[Total Recursos Gestionados2]]/Tabla1[[#This Row],[Total Recursos Comprometido 2025]]</f>
        <v>0.46715371346017115</v>
      </c>
      <c r="BC31" s="38" t="s">
        <v>225</v>
      </c>
      <c r="BD31" s="39" t="s">
        <v>226</v>
      </c>
      <c r="BE31" s="65">
        <v>10</v>
      </c>
    </row>
    <row r="32" spans="1:57" ht="28.5">
      <c r="A32" s="107">
        <v>214</v>
      </c>
      <c r="B32" s="24" t="s">
        <v>90</v>
      </c>
      <c r="C32" s="25" t="s">
        <v>64</v>
      </c>
      <c r="D32" s="25" t="s">
        <v>103</v>
      </c>
      <c r="E32" s="25" t="s">
        <v>104</v>
      </c>
      <c r="F32" s="25" t="s">
        <v>119</v>
      </c>
      <c r="G32" s="25" t="s">
        <v>120</v>
      </c>
      <c r="H32" s="25">
        <v>410402000</v>
      </c>
      <c r="I32" s="25" t="s">
        <v>249</v>
      </c>
      <c r="J32" s="85">
        <v>1707</v>
      </c>
      <c r="K32" s="25" t="s">
        <v>239</v>
      </c>
      <c r="L32" s="25" t="str">
        <f>+'[1]Plan Indicativo'!AC222</f>
        <v>Acumulativa</v>
      </c>
      <c r="M32" s="85">
        <f>+'[1]Plan Indicativo'!T222</f>
        <v>2200</v>
      </c>
      <c r="N32" s="35">
        <f>+'[1]Plan Indicativo'!W222</f>
        <v>550</v>
      </c>
      <c r="O32" s="34">
        <v>455</v>
      </c>
      <c r="P32" s="86">
        <f>+Tabla1[[#This Row],[Logro Vigencia]]/Tabla1[[#This Row],[Meta Programada Vigencia]]</f>
        <v>0.82727272727272727</v>
      </c>
      <c r="Q32" s="25"/>
      <c r="R32" s="76">
        <v>2001690782</v>
      </c>
      <c r="S32" s="15"/>
      <c r="T32" s="15"/>
      <c r="U32" s="15"/>
      <c r="V32" s="15"/>
      <c r="W32" s="15"/>
      <c r="X32" s="15"/>
      <c r="Y32" s="15"/>
      <c r="Z32" s="15"/>
      <c r="AA32" s="15"/>
      <c r="AB32" s="15"/>
      <c r="AC32" s="15"/>
      <c r="AD32" s="15"/>
      <c r="AE32" s="108">
        <v>1194683960</v>
      </c>
      <c r="AF32" s="15">
        <f>SUM(Tabla1[[#This Row],[Recursos propios]:[Recursos del Balance]])</f>
        <v>3196374742</v>
      </c>
      <c r="AG32" s="76">
        <v>1999798721.0499997</v>
      </c>
      <c r="AH32" s="15"/>
      <c r="AI32" s="15"/>
      <c r="AJ32" s="15"/>
      <c r="AK32" s="15"/>
      <c r="AL32" s="15"/>
      <c r="AM32" s="15"/>
      <c r="AN32" s="15"/>
      <c r="AO32" s="15"/>
      <c r="AP32" s="15"/>
      <c r="AQ32" s="15"/>
      <c r="AR32" s="15"/>
      <c r="AS32" s="15">
        <v>0</v>
      </c>
      <c r="AT32" s="108">
        <v>672358259.67000008</v>
      </c>
      <c r="AU32" s="31">
        <f>SUM(Tabla1[[#This Row],[Recursos propios2]:[Recursos del Balance2]])</f>
        <v>2672156980.7199998</v>
      </c>
      <c r="AV32" s="98">
        <v>2531818880.0900002</v>
      </c>
      <c r="AW32" s="98">
        <v>2407853122.6900001</v>
      </c>
      <c r="AX32" s="61">
        <f>+Tabla1[[#This Row],[Total Recursos Comprometido 2025]]/Tabla1[[#This Row],[Total 2025]]</f>
        <v>0.83599615076673006</v>
      </c>
      <c r="AY32" s="19">
        <f>+Tabla1[[#This Row],[Total Recursos Obligados]]/Tabla1[[#This Row],[Total 2025]]</f>
        <v>0.79209075419793196</v>
      </c>
      <c r="AZ32" s="62">
        <f>+Tabla1[[#This Row],[Total Recursos Pagados]]/Tabla1[[#This Row],[Total 2025]]</f>
        <v>0.75330751774849314</v>
      </c>
      <c r="BA32" s="120">
        <v>502564776</v>
      </c>
      <c r="BB32" s="63">
        <f>+Tabla1[[#This Row],[Total Recursos Gestionados2]]/Tabla1[[#This Row],[Total Recursos Comprometido 2025]]</f>
        <v>0.18807457032879346</v>
      </c>
      <c r="BC32" s="38" t="s">
        <v>225</v>
      </c>
      <c r="BD32" s="39" t="s">
        <v>226</v>
      </c>
      <c r="BE32" s="71">
        <v>10</v>
      </c>
    </row>
    <row r="33" spans="1:57" ht="28.5">
      <c r="A33" s="107">
        <v>215</v>
      </c>
      <c r="B33" s="24" t="s">
        <v>90</v>
      </c>
      <c r="C33" s="25" t="s">
        <v>64</v>
      </c>
      <c r="D33" s="25" t="s">
        <v>96</v>
      </c>
      <c r="E33" s="25" t="s">
        <v>97</v>
      </c>
      <c r="F33" s="25" t="s">
        <v>121</v>
      </c>
      <c r="G33" s="25" t="s">
        <v>122</v>
      </c>
      <c r="H33" s="25">
        <v>410306700</v>
      </c>
      <c r="I33" s="25" t="s">
        <v>250</v>
      </c>
      <c r="J33" s="25">
        <v>0</v>
      </c>
      <c r="K33" s="25" t="s">
        <v>239</v>
      </c>
      <c r="L33" s="25" t="str">
        <f>+'[1]Plan Indicativo'!AC223</f>
        <v>No Acumulativa</v>
      </c>
      <c r="M33" s="85">
        <f>+'[1]Plan Indicativo'!T223</f>
        <v>1</v>
      </c>
      <c r="N33" s="35">
        <f>+'[1]Plan Indicativo'!W223</f>
        <v>1</v>
      </c>
      <c r="O33" s="34">
        <v>1</v>
      </c>
      <c r="P33" s="86">
        <f>+Tabla1[[#This Row],[Logro Vigencia]]/Tabla1[[#This Row],[Meta Programada Vigencia]]</f>
        <v>1</v>
      </c>
      <c r="Q33" s="25"/>
      <c r="R33" s="76">
        <v>160000000</v>
      </c>
      <c r="S33" s="15"/>
      <c r="T33" s="15"/>
      <c r="U33" s="15"/>
      <c r="V33" s="15"/>
      <c r="W33" s="15"/>
      <c r="X33" s="15"/>
      <c r="Y33" s="15"/>
      <c r="Z33" s="15"/>
      <c r="AA33" s="15"/>
      <c r="AB33" s="15"/>
      <c r="AC33" s="15"/>
      <c r="AD33" s="15"/>
      <c r="AE33" s="108">
        <v>137050000</v>
      </c>
      <c r="AF33" s="15">
        <f>SUM(Tabla1[[#This Row],[Recursos propios]:[Recursos del Balance]])</f>
        <v>297050000</v>
      </c>
      <c r="AG33" s="76">
        <v>159400000</v>
      </c>
      <c r="AH33" s="15"/>
      <c r="AI33" s="15"/>
      <c r="AJ33" s="15"/>
      <c r="AK33" s="15"/>
      <c r="AL33" s="15"/>
      <c r="AM33" s="15"/>
      <c r="AN33" s="15"/>
      <c r="AO33" s="15"/>
      <c r="AP33" s="15"/>
      <c r="AQ33" s="15"/>
      <c r="AR33" s="15"/>
      <c r="AS33" s="15">
        <v>0</v>
      </c>
      <c r="AT33" s="108">
        <v>98740000</v>
      </c>
      <c r="AU33" s="31">
        <f>SUM(Tabla1[[#This Row],[Recursos propios2]:[Recursos del Balance2]])</f>
        <v>258140000</v>
      </c>
      <c r="AV33" s="98">
        <v>224121695</v>
      </c>
      <c r="AW33" s="98">
        <v>224121695</v>
      </c>
      <c r="AX33" s="61">
        <f>+Tabla1[[#This Row],[Total Recursos Comprometido 2025]]/Tabla1[[#This Row],[Total 2025]]</f>
        <v>0.86901195085002525</v>
      </c>
      <c r="AY33" s="19">
        <f>+Tabla1[[#This Row],[Total Recursos Obligados]]/Tabla1[[#This Row],[Total 2025]]</f>
        <v>0.75449148291533408</v>
      </c>
      <c r="AZ33" s="62">
        <f>+Tabla1[[#This Row],[Total Recursos Pagados]]/Tabla1[[#This Row],[Total 2025]]</f>
        <v>0.75449148291533408</v>
      </c>
      <c r="BA33" s="120"/>
      <c r="BB33" s="63">
        <f>+Tabla1[[#This Row],[Total Recursos Gestionados2]]/Tabla1[[#This Row],[Total Recursos Comprometido 2025]]</f>
        <v>0</v>
      </c>
      <c r="BC33" s="38" t="s">
        <v>225</v>
      </c>
      <c r="BD33" s="39" t="s">
        <v>226</v>
      </c>
      <c r="BE33" s="65">
        <v>10</v>
      </c>
    </row>
    <row r="34" spans="1:57" ht="36">
      <c r="A34" s="107">
        <v>216</v>
      </c>
      <c r="B34" s="24" t="s">
        <v>90</v>
      </c>
      <c r="C34" s="25" t="s">
        <v>91</v>
      </c>
      <c r="D34" s="25" t="s">
        <v>92</v>
      </c>
      <c r="E34" s="25" t="s">
        <v>93</v>
      </c>
      <c r="F34" s="25" t="s">
        <v>100</v>
      </c>
      <c r="G34" s="25" t="s">
        <v>123</v>
      </c>
      <c r="H34" s="25">
        <v>450203800</v>
      </c>
      <c r="I34" s="25" t="s">
        <v>251</v>
      </c>
      <c r="J34" s="85">
        <v>0</v>
      </c>
      <c r="K34" s="25" t="s">
        <v>231</v>
      </c>
      <c r="L34" s="25" t="str">
        <f>+'[1]Plan Indicativo'!AC224</f>
        <v>Acumulativa</v>
      </c>
      <c r="M34" s="85">
        <f>+'[1]Plan Indicativo'!T224</f>
        <v>12</v>
      </c>
      <c r="N34" s="35">
        <f>+'[1]Plan Indicativo'!W224</f>
        <v>3</v>
      </c>
      <c r="O34" s="34">
        <v>3</v>
      </c>
      <c r="P34" s="86">
        <f>+Tabla1[[#This Row],[Logro Vigencia]]/Tabla1[[#This Row],[Meta Programada Vigencia]]</f>
        <v>1</v>
      </c>
      <c r="Q34" s="25"/>
      <c r="R34" s="76">
        <v>211000000</v>
      </c>
      <c r="S34" s="15"/>
      <c r="T34" s="15"/>
      <c r="U34" s="15"/>
      <c r="V34" s="15"/>
      <c r="W34" s="15"/>
      <c r="X34" s="15"/>
      <c r="Y34" s="15"/>
      <c r="Z34" s="15"/>
      <c r="AA34" s="15"/>
      <c r="AB34" s="15"/>
      <c r="AC34" s="15"/>
      <c r="AD34" s="15"/>
      <c r="AE34" s="108">
        <v>81000000</v>
      </c>
      <c r="AF34" s="15">
        <f>SUM(Tabla1[[#This Row],[Recursos propios]:[Recursos del Balance]])</f>
        <v>292000000</v>
      </c>
      <c r="AG34" s="76">
        <v>211000000</v>
      </c>
      <c r="AH34" s="15"/>
      <c r="AI34" s="15"/>
      <c r="AJ34" s="15"/>
      <c r="AK34" s="15"/>
      <c r="AL34" s="15"/>
      <c r="AM34" s="15"/>
      <c r="AN34" s="15"/>
      <c r="AO34" s="15"/>
      <c r="AP34" s="15"/>
      <c r="AQ34" s="15"/>
      <c r="AR34" s="15"/>
      <c r="AS34" s="15">
        <v>0</v>
      </c>
      <c r="AT34" s="108">
        <v>25683333.329999998</v>
      </c>
      <c r="AU34" s="31">
        <f>SUM(Tabla1[[#This Row],[Recursos propios2]:[Recursos del Balance2]])</f>
        <v>236683333.32999998</v>
      </c>
      <c r="AV34" s="98">
        <v>224751140.33000001</v>
      </c>
      <c r="AW34" s="98">
        <v>224751140.33000001</v>
      </c>
      <c r="AX34" s="61">
        <f>+Tabla1[[#This Row],[Total Recursos Comprometido 2025]]/Tabla1[[#This Row],[Total 2025]]</f>
        <v>0.810559360719178</v>
      </c>
      <c r="AY34" s="19">
        <f>+Tabla1[[#This Row],[Total Recursos Obligados]]/Tabla1[[#This Row],[Total 2025]]</f>
        <v>0.76969568606164385</v>
      </c>
      <c r="AZ34" s="62">
        <f>+Tabla1[[#This Row],[Total Recursos Pagados]]/Tabla1[[#This Row],[Total 2025]]</f>
        <v>0.76969568606164385</v>
      </c>
      <c r="BA34" s="120"/>
      <c r="BB34" s="63">
        <f>+Tabla1[[#This Row],[Total Recursos Gestionados2]]/Tabla1[[#This Row],[Total Recursos Comprometido 2025]]</f>
        <v>0</v>
      </c>
      <c r="BC34" s="38" t="s">
        <v>225</v>
      </c>
      <c r="BD34" s="39" t="s">
        <v>226</v>
      </c>
      <c r="BE34" s="71" t="s">
        <v>229</v>
      </c>
    </row>
    <row r="35" spans="1:57" ht="28.5">
      <c r="A35" s="107">
        <v>217</v>
      </c>
      <c r="B35" s="24" t="s">
        <v>90</v>
      </c>
      <c r="C35" s="25" t="s">
        <v>91</v>
      </c>
      <c r="D35" s="25" t="s">
        <v>92</v>
      </c>
      <c r="E35" s="25" t="s">
        <v>93</v>
      </c>
      <c r="F35" s="25" t="s">
        <v>100</v>
      </c>
      <c r="G35" s="25" t="s">
        <v>124</v>
      </c>
      <c r="H35" s="25">
        <v>450203800</v>
      </c>
      <c r="I35" s="25" t="s">
        <v>252</v>
      </c>
      <c r="J35" s="25">
        <v>0</v>
      </c>
      <c r="K35" s="25" t="s">
        <v>239</v>
      </c>
      <c r="L35" s="25" t="str">
        <f>+'[1]Plan Indicativo'!AC225</f>
        <v>No Acumulativa</v>
      </c>
      <c r="M35" s="85">
        <f>+'[1]Plan Indicativo'!T225</f>
        <v>1</v>
      </c>
      <c r="N35" s="35">
        <f>+'[1]Plan Indicativo'!W225</f>
        <v>1</v>
      </c>
      <c r="O35" s="34">
        <v>1</v>
      </c>
      <c r="P35" s="86">
        <f>+Tabla1[[#This Row],[Logro Vigencia]]/Tabla1[[#This Row],[Meta Programada Vigencia]]</f>
        <v>1</v>
      </c>
      <c r="Q35" s="25"/>
      <c r="R35" s="76">
        <v>79800000</v>
      </c>
      <c r="S35" s="15"/>
      <c r="T35" s="15"/>
      <c r="U35" s="15"/>
      <c r="V35" s="15"/>
      <c r="W35" s="15"/>
      <c r="X35" s="15"/>
      <c r="Y35" s="15"/>
      <c r="Z35" s="15"/>
      <c r="AA35" s="15"/>
      <c r="AB35" s="15"/>
      <c r="AC35" s="15"/>
      <c r="AD35" s="15"/>
      <c r="AE35" s="108">
        <v>20000000</v>
      </c>
      <c r="AF35" s="15">
        <f>SUM(Tabla1[[#This Row],[Recursos propios]:[Recursos del Balance]])</f>
        <v>99800000</v>
      </c>
      <c r="AG35" s="76">
        <v>42923333.329999998</v>
      </c>
      <c r="AH35" s="15"/>
      <c r="AI35" s="15"/>
      <c r="AJ35" s="15"/>
      <c r="AK35" s="15"/>
      <c r="AL35" s="15"/>
      <c r="AM35" s="15"/>
      <c r="AN35" s="15"/>
      <c r="AO35" s="15"/>
      <c r="AP35" s="15"/>
      <c r="AQ35" s="15"/>
      <c r="AR35" s="15"/>
      <c r="AS35" s="15">
        <v>0</v>
      </c>
      <c r="AT35" s="108">
        <v>10000000</v>
      </c>
      <c r="AU35" s="31">
        <f>SUM(Tabla1[[#This Row],[Recursos propios2]:[Recursos del Balance2]])</f>
        <v>52923333.329999998</v>
      </c>
      <c r="AV35" s="98">
        <v>52923333.329999998</v>
      </c>
      <c r="AW35" s="98">
        <v>49053333.329999998</v>
      </c>
      <c r="AX35" s="61">
        <f>+Tabla1[[#This Row],[Total Recursos Comprometido 2025]]/Tabla1[[#This Row],[Total 2025]]</f>
        <v>0.53029392114228457</v>
      </c>
      <c r="AY35" s="19">
        <f>+Tabla1[[#This Row],[Total Recursos Obligados]]/Tabla1[[#This Row],[Total 2025]]</f>
        <v>0.53029392114228457</v>
      </c>
      <c r="AZ35" s="62">
        <f>+Tabla1[[#This Row],[Total Recursos Pagados]]/Tabla1[[#This Row],[Total 2025]]</f>
        <v>0.49151636603206411</v>
      </c>
      <c r="BA35" s="120"/>
      <c r="BB35" s="63">
        <f>+Tabla1[[#This Row],[Total Recursos Gestionados2]]/Tabla1[[#This Row],[Total Recursos Comprometido 2025]]</f>
        <v>0</v>
      </c>
      <c r="BC35" s="38" t="s">
        <v>225</v>
      </c>
      <c r="BD35" s="39" t="s">
        <v>226</v>
      </c>
      <c r="BE35" s="65">
        <v>10</v>
      </c>
    </row>
    <row r="36" spans="1:57" ht="28.5">
      <c r="A36" s="107">
        <v>218</v>
      </c>
      <c r="B36" s="24" t="s">
        <v>90</v>
      </c>
      <c r="C36" s="25" t="s">
        <v>64</v>
      </c>
      <c r="D36" s="25" t="s">
        <v>65</v>
      </c>
      <c r="E36" s="25" t="s">
        <v>66</v>
      </c>
      <c r="F36" s="25" t="s">
        <v>125</v>
      </c>
      <c r="G36" s="25" t="s">
        <v>126</v>
      </c>
      <c r="H36" s="25">
        <v>410200600</v>
      </c>
      <c r="I36" s="25" t="s">
        <v>253</v>
      </c>
      <c r="J36" s="85">
        <v>5</v>
      </c>
      <c r="K36" s="25" t="s">
        <v>231</v>
      </c>
      <c r="L36" s="25" t="str">
        <f>+'[1]Plan Indicativo'!AC226</f>
        <v>Acumulativa</v>
      </c>
      <c r="M36" s="85">
        <f>+'[1]Plan Indicativo'!T226</f>
        <v>5</v>
      </c>
      <c r="N36" s="35">
        <f>+'[1]Plan Indicativo'!W226</f>
        <v>2</v>
      </c>
      <c r="O36" s="34">
        <v>2</v>
      </c>
      <c r="P36" s="86">
        <f>+Tabla1[[#This Row],[Logro Vigencia]]/Tabla1[[#This Row],[Meta Programada Vigencia]]</f>
        <v>1</v>
      </c>
      <c r="Q36" s="25"/>
      <c r="R36" s="76">
        <v>119974500</v>
      </c>
      <c r="S36" s="15"/>
      <c r="T36" s="15"/>
      <c r="U36" s="15"/>
      <c r="V36" s="15"/>
      <c r="W36" s="15"/>
      <c r="X36" s="15"/>
      <c r="Y36" s="15"/>
      <c r="Z36" s="15"/>
      <c r="AA36" s="15"/>
      <c r="AB36" s="15"/>
      <c r="AC36" s="15"/>
      <c r="AD36" s="15"/>
      <c r="AE36" s="108"/>
      <c r="AF36" s="15">
        <f>SUM(Tabla1[[#This Row],[Recursos propios]:[Recursos del Balance]])</f>
        <v>119974500</v>
      </c>
      <c r="AG36" s="76">
        <v>117564546</v>
      </c>
      <c r="AH36" s="15"/>
      <c r="AI36" s="15"/>
      <c r="AJ36" s="15"/>
      <c r="AK36" s="15"/>
      <c r="AL36" s="15"/>
      <c r="AM36" s="15"/>
      <c r="AN36" s="15"/>
      <c r="AO36" s="15"/>
      <c r="AP36" s="15"/>
      <c r="AQ36" s="15"/>
      <c r="AR36" s="15"/>
      <c r="AS36" s="15">
        <v>0</v>
      </c>
      <c r="AT36" s="108">
        <v>0</v>
      </c>
      <c r="AU36" s="31">
        <f>SUM(Tabla1[[#This Row],[Recursos propios2]:[Recursos del Balance2]])</f>
        <v>117564546</v>
      </c>
      <c r="AV36" s="98">
        <v>0</v>
      </c>
      <c r="AW36" s="98">
        <v>0</v>
      </c>
      <c r="AX36" s="61">
        <f>+Tabla1[[#This Row],[Total Recursos Comprometido 2025]]/Tabla1[[#This Row],[Total 2025]]</f>
        <v>0.97991278146606153</v>
      </c>
      <c r="AY36" s="19">
        <f>+Tabla1[[#This Row],[Total Recursos Obligados]]/Tabla1[[#This Row],[Total 2025]]</f>
        <v>0</v>
      </c>
      <c r="AZ36" s="62">
        <f>+Tabla1[[#This Row],[Total Recursos Pagados]]/Tabla1[[#This Row],[Total 2025]]</f>
        <v>0</v>
      </c>
      <c r="BA36" s="120"/>
      <c r="BB36" s="63">
        <f>+Tabla1[[#This Row],[Total Recursos Gestionados2]]/Tabla1[[#This Row],[Total Recursos Comprometido 2025]]</f>
        <v>0</v>
      </c>
      <c r="BC36" s="38" t="s">
        <v>225</v>
      </c>
      <c r="BD36" s="39" t="s">
        <v>226</v>
      </c>
      <c r="BE36" s="71">
        <v>10</v>
      </c>
    </row>
    <row r="37" spans="1:57" ht="28.5">
      <c r="A37" s="107">
        <v>219</v>
      </c>
      <c r="B37" s="24" t="s">
        <v>90</v>
      </c>
      <c r="C37" s="25" t="s">
        <v>64</v>
      </c>
      <c r="D37" s="25" t="s">
        <v>65</v>
      </c>
      <c r="E37" s="25" t="s">
        <v>66</v>
      </c>
      <c r="F37" s="25" t="s">
        <v>127</v>
      </c>
      <c r="G37" s="25" t="s">
        <v>128</v>
      </c>
      <c r="H37" s="25">
        <v>410204600</v>
      </c>
      <c r="I37" s="25" t="s">
        <v>254</v>
      </c>
      <c r="J37" s="25">
        <v>10</v>
      </c>
      <c r="K37" s="25" t="s">
        <v>231</v>
      </c>
      <c r="L37" s="25" t="str">
        <f>+'[1]Plan Indicativo'!AC227</f>
        <v>Acumulativa</v>
      </c>
      <c r="M37" s="85">
        <f>+'[1]Plan Indicativo'!T227</f>
        <v>12</v>
      </c>
      <c r="N37" s="35">
        <f>+'[1]Plan Indicativo'!W227</f>
        <v>3</v>
      </c>
      <c r="O37" s="34">
        <v>3</v>
      </c>
      <c r="P37" s="86">
        <f>+Tabla1[[#This Row],[Logro Vigencia]]/Tabla1[[#This Row],[Meta Programada Vigencia]]</f>
        <v>1</v>
      </c>
      <c r="Q37" s="25"/>
      <c r="R37" s="76">
        <v>239805000</v>
      </c>
      <c r="S37" s="15"/>
      <c r="T37" s="15"/>
      <c r="U37" s="15"/>
      <c r="V37" s="15"/>
      <c r="W37" s="15"/>
      <c r="X37" s="15"/>
      <c r="Y37" s="15"/>
      <c r="Z37" s="15"/>
      <c r="AA37" s="15"/>
      <c r="AB37" s="15"/>
      <c r="AC37" s="15"/>
      <c r="AD37" s="15"/>
      <c r="AE37" s="108">
        <v>200000000</v>
      </c>
      <c r="AF37" s="15">
        <f>SUM(Tabla1[[#This Row],[Recursos propios]:[Recursos del Balance]])</f>
        <v>439805000</v>
      </c>
      <c r="AG37" s="76">
        <v>239436666.66999999</v>
      </c>
      <c r="AH37" s="15"/>
      <c r="AI37" s="15"/>
      <c r="AJ37" s="15"/>
      <c r="AK37" s="15"/>
      <c r="AL37" s="15"/>
      <c r="AM37" s="15"/>
      <c r="AN37" s="15"/>
      <c r="AO37" s="15"/>
      <c r="AP37" s="15"/>
      <c r="AQ37" s="15"/>
      <c r="AR37" s="15"/>
      <c r="AS37" s="15">
        <v>0</v>
      </c>
      <c r="AT37" s="108">
        <v>96833333.359999999</v>
      </c>
      <c r="AU37" s="31">
        <f>SUM(Tabla1[[#This Row],[Recursos propios2]:[Recursos del Balance2]])</f>
        <v>336270000.02999997</v>
      </c>
      <c r="AV37" s="98">
        <v>336270000.02999991</v>
      </c>
      <c r="AW37" s="98">
        <v>336270000.02999991</v>
      </c>
      <c r="AX37" s="61">
        <f>+Tabla1[[#This Row],[Total Recursos Comprometido 2025]]/Tabla1[[#This Row],[Total 2025]]</f>
        <v>0.76458885194574866</v>
      </c>
      <c r="AY37" s="19">
        <f>+Tabla1[[#This Row],[Total Recursos Obligados]]/Tabla1[[#This Row],[Total 2025]]</f>
        <v>0.76458885194574844</v>
      </c>
      <c r="AZ37" s="62">
        <f>+Tabla1[[#This Row],[Total Recursos Pagados]]/Tabla1[[#This Row],[Total 2025]]</f>
        <v>0.76458885194574844</v>
      </c>
      <c r="BA37" s="120"/>
      <c r="BB37" s="63">
        <f>+Tabla1[[#This Row],[Total Recursos Gestionados2]]/Tabla1[[#This Row],[Total Recursos Comprometido 2025]]</f>
        <v>0</v>
      </c>
      <c r="BC37" s="38" t="s">
        <v>225</v>
      </c>
      <c r="BD37" s="39" t="s">
        <v>226</v>
      </c>
      <c r="BE37" s="65">
        <v>10</v>
      </c>
    </row>
    <row r="38" spans="1:57" ht="28.5">
      <c r="A38" s="107">
        <v>220</v>
      </c>
      <c r="B38" s="24" t="s">
        <v>90</v>
      </c>
      <c r="C38" s="25" t="s">
        <v>64</v>
      </c>
      <c r="D38" s="25" t="s">
        <v>96</v>
      </c>
      <c r="E38" s="25" t="s">
        <v>97</v>
      </c>
      <c r="F38" s="25" t="s">
        <v>98</v>
      </c>
      <c r="G38" s="25" t="s">
        <v>129</v>
      </c>
      <c r="H38" s="25">
        <v>410305200</v>
      </c>
      <c r="I38" s="25" t="s">
        <v>242</v>
      </c>
      <c r="J38" s="85">
        <v>200</v>
      </c>
      <c r="K38" s="25" t="s">
        <v>231</v>
      </c>
      <c r="L38" s="25" t="str">
        <f>+'[1]Plan Indicativo'!AC228</f>
        <v>Acumulativa</v>
      </c>
      <c r="M38" s="85">
        <f>+'[1]Plan Indicativo'!T228</f>
        <v>1000</v>
      </c>
      <c r="N38" s="35">
        <f>+'[1]Plan Indicativo'!W228</f>
        <v>250</v>
      </c>
      <c r="O38" s="34">
        <v>400</v>
      </c>
      <c r="P38" s="86">
        <f>+Tabla1[[#This Row],[Logro Vigencia]]/Tabla1[[#This Row],[Meta Programada Vigencia]]</f>
        <v>1.6</v>
      </c>
      <c r="Q38" s="25"/>
      <c r="R38" s="76">
        <v>100000000</v>
      </c>
      <c r="S38" s="15"/>
      <c r="T38" s="15"/>
      <c r="U38" s="15"/>
      <c r="V38" s="15"/>
      <c r="W38" s="15"/>
      <c r="X38" s="15"/>
      <c r="Y38" s="15"/>
      <c r="Z38" s="15"/>
      <c r="AA38" s="15"/>
      <c r="AB38" s="15"/>
      <c r="AC38" s="15"/>
      <c r="AD38" s="15"/>
      <c r="AE38" s="108">
        <v>75000000</v>
      </c>
      <c r="AF38" s="15">
        <f>SUM(Tabla1[[#This Row],[Recursos propios]:[Recursos del Balance]])</f>
        <v>175000000</v>
      </c>
      <c r="AG38" s="76">
        <v>100000000</v>
      </c>
      <c r="AH38" s="15"/>
      <c r="AI38" s="15"/>
      <c r="AJ38" s="15"/>
      <c r="AK38" s="15"/>
      <c r="AL38" s="15"/>
      <c r="AM38" s="15"/>
      <c r="AN38" s="15"/>
      <c r="AO38" s="15"/>
      <c r="AP38" s="15"/>
      <c r="AQ38" s="15"/>
      <c r="AR38" s="15"/>
      <c r="AS38" s="15">
        <v>0</v>
      </c>
      <c r="AT38" s="108">
        <v>0</v>
      </c>
      <c r="AU38" s="31">
        <f>SUM(Tabla1[[#This Row],[Recursos propios2]:[Recursos del Balance2]])</f>
        <v>100000000</v>
      </c>
      <c r="AV38" s="98">
        <v>100000000</v>
      </c>
      <c r="AW38" s="98">
        <v>100000000</v>
      </c>
      <c r="AX38" s="61">
        <f>+Tabla1[[#This Row],[Total Recursos Comprometido 2025]]/Tabla1[[#This Row],[Total 2025]]</f>
        <v>0.5714285714285714</v>
      </c>
      <c r="AY38" s="19">
        <f>+Tabla1[[#This Row],[Total Recursos Obligados]]/Tabla1[[#This Row],[Total 2025]]</f>
        <v>0.5714285714285714</v>
      </c>
      <c r="AZ38" s="62">
        <f>+Tabla1[[#This Row],[Total Recursos Pagados]]/Tabla1[[#This Row],[Total 2025]]</f>
        <v>0.5714285714285714</v>
      </c>
      <c r="BA38" s="120"/>
      <c r="BB38" s="63">
        <f>+Tabla1[[#This Row],[Total Recursos Gestionados2]]/Tabla1[[#This Row],[Total Recursos Comprometido 2025]]</f>
        <v>0</v>
      </c>
      <c r="BC38" s="38" t="s">
        <v>225</v>
      </c>
      <c r="BD38" s="39" t="s">
        <v>226</v>
      </c>
      <c r="BE38" s="71">
        <v>10</v>
      </c>
    </row>
    <row r="39" spans="1:57" ht="28.5">
      <c r="A39" s="107">
        <v>221</v>
      </c>
      <c r="B39" s="24" t="s">
        <v>90</v>
      </c>
      <c r="C39" s="25" t="s">
        <v>64</v>
      </c>
      <c r="D39" s="25" t="s">
        <v>65</v>
      </c>
      <c r="E39" s="25" t="s">
        <v>66</v>
      </c>
      <c r="F39" s="25" t="s">
        <v>130</v>
      </c>
      <c r="G39" s="25" t="s">
        <v>131</v>
      </c>
      <c r="H39" s="25">
        <v>410205200</v>
      </c>
      <c r="I39" s="25" t="s">
        <v>255</v>
      </c>
      <c r="J39" s="25">
        <v>65000</v>
      </c>
      <c r="K39" s="25" t="s">
        <v>231</v>
      </c>
      <c r="L39" s="25" t="str">
        <f>+'[1]Plan Indicativo'!AC229</f>
        <v>Acumulativa</v>
      </c>
      <c r="M39" s="85">
        <f>+'[1]Plan Indicativo'!T229</f>
        <v>70000</v>
      </c>
      <c r="N39" s="35">
        <f>+'[1]Plan Indicativo'!W229</f>
        <v>17500</v>
      </c>
      <c r="O39" s="34">
        <v>20392</v>
      </c>
      <c r="P39" s="86">
        <f>+Tabla1[[#This Row],[Logro Vigencia]]/Tabla1[[#This Row],[Meta Programada Vigencia]]</f>
        <v>1.1652571428571428</v>
      </c>
      <c r="Q39" s="25"/>
      <c r="R39" s="76">
        <v>150000000</v>
      </c>
      <c r="S39" s="15"/>
      <c r="T39" s="15"/>
      <c r="U39" s="15"/>
      <c r="V39" s="15"/>
      <c r="W39" s="15"/>
      <c r="X39" s="15"/>
      <c r="Y39" s="15"/>
      <c r="Z39" s="15"/>
      <c r="AA39" s="15"/>
      <c r="AB39" s="15"/>
      <c r="AC39" s="15"/>
      <c r="AD39" s="15"/>
      <c r="AE39" s="108">
        <v>40000000</v>
      </c>
      <c r="AF39" s="15">
        <f>SUM(Tabla1[[#This Row],[Recursos propios]:[Recursos del Balance]])</f>
        <v>190000000</v>
      </c>
      <c r="AG39" s="76">
        <v>137750692</v>
      </c>
      <c r="AH39" s="15"/>
      <c r="AI39" s="15"/>
      <c r="AJ39" s="15"/>
      <c r="AK39" s="15"/>
      <c r="AL39" s="15"/>
      <c r="AM39" s="15"/>
      <c r="AN39" s="15"/>
      <c r="AO39" s="15"/>
      <c r="AP39" s="15"/>
      <c r="AQ39" s="15"/>
      <c r="AR39" s="15"/>
      <c r="AS39" s="15">
        <v>0</v>
      </c>
      <c r="AT39" s="108">
        <v>40000000</v>
      </c>
      <c r="AU39" s="31">
        <f>SUM(Tabla1[[#This Row],[Recursos propios2]:[Recursos del Balance2]])</f>
        <v>177750692</v>
      </c>
      <c r="AV39" s="98">
        <v>127026481</v>
      </c>
      <c r="AW39" s="98">
        <v>127026481</v>
      </c>
      <c r="AX39" s="61">
        <f>+Tabla1[[#This Row],[Total Recursos Comprometido 2025]]/Tabla1[[#This Row],[Total 2025]]</f>
        <v>0.93552995789473681</v>
      </c>
      <c r="AY39" s="19">
        <f>+Tabla1[[#This Row],[Total Recursos Obligados]]/Tabla1[[#This Row],[Total 2025]]</f>
        <v>0.66856042631578949</v>
      </c>
      <c r="AZ39" s="62">
        <f>+Tabla1[[#This Row],[Total Recursos Pagados]]/Tabla1[[#This Row],[Total 2025]]</f>
        <v>0.66856042631578949</v>
      </c>
      <c r="BA39" s="120"/>
      <c r="BB39" s="63">
        <f>+Tabla1[[#This Row],[Total Recursos Gestionados2]]/Tabla1[[#This Row],[Total Recursos Comprometido 2025]]</f>
        <v>0</v>
      </c>
      <c r="BC39" s="38" t="s">
        <v>225</v>
      </c>
      <c r="BD39" s="39" t="s">
        <v>226</v>
      </c>
      <c r="BE39" s="65">
        <v>10</v>
      </c>
    </row>
    <row r="40" spans="1:57" ht="28.5">
      <c r="A40" s="107">
        <v>222</v>
      </c>
      <c r="B40" s="24" t="s">
        <v>90</v>
      </c>
      <c r="C40" s="25" t="s">
        <v>64</v>
      </c>
      <c r="D40" s="25" t="s">
        <v>65</v>
      </c>
      <c r="E40" s="25" t="s">
        <v>66</v>
      </c>
      <c r="F40" s="25" t="s">
        <v>127</v>
      </c>
      <c r="G40" s="25" t="s">
        <v>132</v>
      </c>
      <c r="H40" s="25">
        <v>410204600</v>
      </c>
      <c r="I40" s="25" t="s">
        <v>254</v>
      </c>
      <c r="J40" s="85">
        <v>4</v>
      </c>
      <c r="K40" s="25" t="s">
        <v>231</v>
      </c>
      <c r="L40" s="25" t="str">
        <f>+'[1]Plan Indicativo'!AC230</f>
        <v>Acumulativa</v>
      </c>
      <c r="M40" s="85">
        <f>+'[1]Plan Indicativo'!T230</f>
        <v>4</v>
      </c>
      <c r="N40" s="35">
        <f>+'[1]Plan Indicativo'!W230</f>
        <v>1</v>
      </c>
      <c r="O40" s="34">
        <v>1</v>
      </c>
      <c r="P40" s="86">
        <f>+Tabla1[[#This Row],[Logro Vigencia]]/Tabla1[[#This Row],[Meta Programada Vigencia]]</f>
        <v>1</v>
      </c>
      <c r="Q40" s="25"/>
      <c r="R40" s="76">
        <v>130000000</v>
      </c>
      <c r="S40" s="15"/>
      <c r="T40" s="15"/>
      <c r="U40" s="15"/>
      <c r="V40" s="15"/>
      <c r="W40" s="15"/>
      <c r="X40" s="15"/>
      <c r="Y40" s="15"/>
      <c r="Z40" s="15"/>
      <c r="AA40" s="15"/>
      <c r="AB40" s="15"/>
      <c r="AC40" s="15"/>
      <c r="AD40" s="15"/>
      <c r="AE40" s="108"/>
      <c r="AF40" s="15">
        <f>SUM(Tabla1[[#This Row],[Recursos propios]:[Recursos del Balance]])</f>
        <v>130000000</v>
      </c>
      <c r="AG40" s="76">
        <v>129563000</v>
      </c>
      <c r="AH40" s="15"/>
      <c r="AI40" s="15"/>
      <c r="AJ40" s="15"/>
      <c r="AK40" s="15"/>
      <c r="AL40" s="15"/>
      <c r="AM40" s="15"/>
      <c r="AN40" s="15"/>
      <c r="AO40" s="15"/>
      <c r="AP40" s="15"/>
      <c r="AQ40" s="15"/>
      <c r="AR40" s="15"/>
      <c r="AS40" s="15">
        <v>0</v>
      </c>
      <c r="AT40" s="108">
        <v>0</v>
      </c>
      <c r="AU40" s="31">
        <f>SUM(Tabla1[[#This Row],[Recursos propios2]:[Recursos del Balance2]])</f>
        <v>129563000</v>
      </c>
      <c r="AV40" s="98">
        <v>129563000</v>
      </c>
      <c r="AW40" s="98">
        <v>129563000</v>
      </c>
      <c r="AX40" s="61">
        <f>+Tabla1[[#This Row],[Total Recursos Comprometido 2025]]/Tabla1[[#This Row],[Total 2025]]</f>
        <v>0.99663846153846158</v>
      </c>
      <c r="AY40" s="19">
        <f>+Tabla1[[#This Row],[Total Recursos Obligados]]/Tabla1[[#This Row],[Total 2025]]</f>
        <v>0.99663846153846158</v>
      </c>
      <c r="AZ40" s="62">
        <f>+Tabla1[[#This Row],[Total Recursos Pagados]]/Tabla1[[#This Row],[Total 2025]]</f>
        <v>0.99663846153846158</v>
      </c>
      <c r="BA40" s="120"/>
      <c r="BB40" s="63">
        <f>+Tabla1[[#This Row],[Total Recursos Gestionados2]]/Tabla1[[#This Row],[Total Recursos Comprometido 2025]]</f>
        <v>0</v>
      </c>
      <c r="BC40" s="38" t="s">
        <v>225</v>
      </c>
      <c r="BD40" s="39" t="s">
        <v>226</v>
      </c>
      <c r="BE40" s="71">
        <v>10</v>
      </c>
    </row>
    <row r="41" spans="1:57" ht="28.5">
      <c r="A41" s="107">
        <v>223</v>
      </c>
      <c r="B41" s="24" t="s">
        <v>90</v>
      </c>
      <c r="C41" s="25" t="s">
        <v>91</v>
      </c>
      <c r="D41" s="25" t="s">
        <v>92</v>
      </c>
      <c r="E41" s="25" t="s">
        <v>93</v>
      </c>
      <c r="F41" s="25" t="s">
        <v>100</v>
      </c>
      <c r="G41" s="25" t="s">
        <v>133</v>
      </c>
      <c r="H41" s="25">
        <v>450203800</v>
      </c>
      <c r="I41" s="25" t="s">
        <v>252</v>
      </c>
      <c r="J41" s="25">
        <v>0</v>
      </c>
      <c r="K41" s="25" t="s">
        <v>231</v>
      </c>
      <c r="L41" s="25" t="str">
        <f>+'[1]Plan Indicativo'!AC231</f>
        <v>No Acumulativa</v>
      </c>
      <c r="M41" s="85">
        <f>+'[1]Plan Indicativo'!T231</f>
        <v>1</v>
      </c>
      <c r="N41" s="35">
        <f>+'[1]Plan Indicativo'!W231</f>
        <v>1</v>
      </c>
      <c r="O41" s="34">
        <v>1</v>
      </c>
      <c r="P41" s="86">
        <f>+Tabla1[[#This Row],[Logro Vigencia]]/Tabla1[[#This Row],[Meta Programada Vigencia]]</f>
        <v>1</v>
      </c>
      <c r="Q41" s="25"/>
      <c r="R41" s="76">
        <v>40000000</v>
      </c>
      <c r="S41" s="15"/>
      <c r="T41" s="15"/>
      <c r="U41" s="15"/>
      <c r="V41" s="15"/>
      <c r="W41" s="15"/>
      <c r="X41" s="15"/>
      <c r="Y41" s="15"/>
      <c r="Z41" s="15"/>
      <c r="AA41" s="15"/>
      <c r="AB41" s="15"/>
      <c r="AC41" s="15"/>
      <c r="AD41" s="15"/>
      <c r="AE41" s="108">
        <v>36000000</v>
      </c>
      <c r="AF41" s="15">
        <f>SUM(Tabla1[[#This Row],[Recursos propios]:[Recursos del Balance]])</f>
        <v>76000000</v>
      </c>
      <c r="AG41" s="76">
        <v>40000000</v>
      </c>
      <c r="AH41" s="15"/>
      <c r="AI41" s="15"/>
      <c r="AJ41" s="15"/>
      <c r="AK41" s="15"/>
      <c r="AL41" s="15"/>
      <c r="AM41" s="15"/>
      <c r="AN41" s="15"/>
      <c r="AO41" s="15"/>
      <c r="AP41" s="15"/>
      <c r="AQ41" s="15"/>
      <c r="AR41" s="15"/>
      <c r="AS41" s="15">
        <v>0</v>
      </c>
      <c r="AT41" s="108">
        <v>29200000</v>
      </c>
      <c r="AU41" s="31">
        <f>SUM(Tabla1[[#This Row],[Recursos propios2]:[Recursos del Balance2]])</f>
        <v>69200000</v>
      </c>
      <c r="AV41" s="98">
        <v>69200000</v>
      </c>
      <c r="AW41" s="98">
        <v>69200000</v>
      </c>
      <c r="AX41" s="61">
        <f>+Tabla1[[#This Row],[Total Recursos Comprometido 2025]]/Tabla1[[#This Row],[Total 2025]]</f>
        <v>0.91052631578947374</v>
      </c>
      <c r="AY41" s="19">
        <f>+Tabla1[[#This Row],[Total Recursos Obligados]]/Tabla1[[#This Row],[Total 2025]]</f>
        <v>0.91052631578947374</v>
      </c>
      <c r="AZ41" s="62">
        <f>+Tabla1[[#This Row],[Total Recursos Pagados]]/Tabla1[[#This Row],[Total 2025]]</f>
        <v>0.91052631578947374</v>
      </c>
      <c r="BA41" s="120"/>
      <c r="BB41" s="63">
        <f>+Tabla1[[#This Row],[Total Recursos Gestionados2]]/Tabla1[[#This Row],[Total Recursos Comprometido 2025]]</f>
        <v>0</v>
      </c>
      <c r="BC41" s="38" t="s">
        <v>225</v>
      </c>
      <c r="BD41" s="39" t="s">
        <v>226</v>
      </c>
      <c r="BE41" s="65">
        <v>10</v>
      </c>
    </row>
    <row r="42" spans="1:57" ht="36">
      <c r="A42" s="107">
        <v>224</v>
      </c>
      <c r="B42" s="24" t="s">
        <v>90</v>
      </c>
      <c r="C42" s="25" t="s">
        <v>91</v>
      </c>
      <c r="D42" s="25" t="s">
        <v>92</v>
      </c>
      <c r="E42" s="25" t="s">
        <v>93</v>
      </c>
      <c r="F42" s="25" t="s">
        <v>94</v>
      </c>
      <c r="G42" s="25" t="s">
        <v>134</v>
      </c>
      <c r="H42" s="25">
        <v>450201500</v>
      </c>
      <c r="I42" s="25" t="s">
        <v>256</v>
      </c>
      <c r="J42" s="85">
        <v>0</v>
      </c>
      <c r="K42" s="25" t="s">
        <v>231</v>
      </c>
      <c r="L42" s="25" t="str">
        <f>+'[1]Plan Indicativo'!AC232</f>
        <v>Acumulativa</v>
      </c>
      <c r="M42" s="85">
        <f>+'[1]Plan Indicativo'!T232</f>
        <v>2</v>
      </c>
      <c r="N42" s="35">
        <f>+'[1]Plan Indicativo'!W232</f>
        <v>0</v>
      </c>
      <c r="O42" s="34">
        <v>0</v>
      </c>
      <c r="P42" s="86" t="e">
        <f>+Tabla1[[#This Row],[Logro Vigencia]]/Tabla1[[#This Row],[Meta Programada Vigencia]]</f>
        <v>#DIV/0!</v>
      </c>
      <c r="Q42" s="25"/>
      <c r="R42" s="76">
        <v>0</v>
      </c>
      <c r="S42" s="15"/>
      <c r="T42" s="15"/>
      <c r="U42" s="15"/>
      <c r="V42" s="15"/>
      <c r="W42" s="15"/>
      <c r="X42" s="15"/>
      <c r="Y42" s="15"/>
      <c r="Z42" s="15"/>
      <c r="AA42" s="15"/>
      <c r="AB42" s="15"/>
      <c r="AC42" s="15"/>
      <c r="AD42" s="15"/>
      <c r="AE42" s="108"/>
      <c r="AF42" s="15">
        <f>SUM(Tabla1[[#This Row],[Recursos propios]:[Recursos del Balance]])</f>
        <v>0</v>
      </c>
      <c r="AG42" s="76">
        <v>0</v>
      </c>
      <c r="AH42" s="15"/>
      <c r="AI42" s="15"/>
      <c r="AJ42" s="15"/>
      <c r="AK42" s="15"/>
      <c r="AL42" s="15"/>
      <c r="AM42" s="15"/>
      <c r="AN42" s="15"/>
      <c r="AO42" s="15"/>
      <c r="AP42" s="15"/>
      <c r="AQ42" s="15"/>
      <c r="AR42" s="15"/>
      <c r="AS42" s="15">
        <v>0</v>
      </c>
      <c r="AT42" s="108">
        <v>0</v>
      </c>
      <c r="AU42" s="31">
        <f>SUM(Tabla1[[#This Row],[Recursos propios2]:[Recursos del Balance2]])</f>
        <v>0</v>
      </c>
      <c r="AV42" s="98">
        <v>0</v>
      </c>
      <c r="AW42" s="98">
        <v>0</v>
      </c>
      <c r="AX42" s="61" t="e">
        <f>+Tabla1[[#This Row],[Total Recursos Comprometido 2025]]/Tabla1[[#This Row],[Total 2025]]</f>
        <v>#DIV/0!</v>
      </c>
      <c r="AY42" s="19" t="e">
        <f>+Tabla1[[#This Row],[Total Recursos Obligados]]/Tabla1[[#This Row],[Total 2025]]</f>
        <v>#DIV/0!</v>
      </c>
      <c r="AZ42" s="62" t="e">
        <f>+Tabla1[[#This Row],[Total Recursos Pagados]]/Tabla1[[#This Row],[Total 2025]]</f>
        <v>#DIV/0!</v>
      </c>
      <c r="BA42" s="120"/>
      <c r="BB42" s="63" t="e">
        <f>+Tabla1[[#This Row],[Total Recursos Gestionados2]]/Tabla1[[#This Row],[Total Recursos Comprometido 2025]]</f>
        <v>#DIV/0!</v>
      </c>
      <c r="BC42" s="38" t="s">
        <v>225</v>
      </c>
      <c r="BD42" s="39" t="s">
        <v>226</v>
      </c>
      <c r="BE42" s="71" t="s">
        <v>228</v>
      </c>
    </row>
    <row r="43" spans="1:57" ht="28.5">
      <c r="A43" s="87">
        <v>254</v>
      </c>
      <c r="B43" s="88" t="s">
        <v>135</v>
      </c>
      <c r="C43" s="89" t="s">
        <v>91</v>
      </c>
      <c r="D43" s="89" t="s">
        <v>136</v>
      </c>
      <c r="E43" s="89" t="s">
        <v>137</v>
      </c>
      <c r="F43" s="89" t="s">
        <v>138</v>
      </c>
      <c r="G43" s="89" t="s">
        <v>139</v>
      </c>
      <c r="H43" s="89">
        <v>459903100</v>
      </c>
      <c r="I43" s="89" t="s">
        <v>257</v>
      </c>
      <c r="J43" s="95">
        <v>1</v>
      </c>
      <c r="K43" s="89" t="s">
        <v>239</v>
      </c>
      <c r="L43" s="89" t="str">
        <f>+'[1]Plan Indicativo'!$AC$262</f>
        <v>No Acumulativa</v>
      </c>
      <c r="M43" s="95">
        <f>+'[1]Plan Indicativo'!$T$262</f>
        <v>1</v>
      </c>
      <c r="N43" s="89">
        <f>+'[1]Plan Indicativo'!$W$262</f>
        <v>1</v>
      </c>
      <c r="O43" s="87">
        <v>1</v>
      </c>
      <c r="P43" s="90">
        <f>+Tabla1[[#This Row],[Logro Vigencia]]/Tabla1[[#This Row],[Meta Programada Vigencia]]</f>
        <v>1</v>
      </c>
      <c r="Q43" s="89"/>
      <c r="R43" s="97">
        <v>1250000000</v>
      </c>
      <c r="S43" s="91"/>
      <c r="T43" s="91"/>
      <c r="U43" s="91"/>
      <c r="V43" s="91"/>
      <c r="W43" s="91"/>
      <c r="X43" s="91"/>
      <c r="Y43" s="91"/>
      <c r="Z43" s="91"/>
      <c r="AA43" s="91"/>
      <c r="AB43" s="91"/>
      <c r="AC43" s="91"/>
      <c r="AD43" s="91"/>
      <c r="AE43" s="110">
        <v>687000000</v>
      </c>
      <c r="AF43" s="91">
        <f>SUM(Tabla1[[#This Row],[Recursos propios]:[Recursos del Balance]])</f>
        <v>1937000000</v>
      </c>
      <c r="AG43" s="97">
        <v>1219366666.6599998</v>
      </c>
      <c r="AH43" s="91"/>
      <c r="AI43" s="91"/>
      <c r="AJ43" s="91"/>
      <c r="AK43" s="91"/>
      <c r="AL43" s="91"/>
      <c r="AM43" s="91"/>
      <c r="AN43" s="91"/>
      <c r="AO43" s="91"/>
      <c r="AP43" s="91"/>
      <c r="AQ43" s="91"/>
      <c r="AR43" s="91"/>
      <c r="AS43" s="91">
        <v>0</v>
      </c>
      <c r="AT43" s="110">
        <v>662106666.64999998</v>
      </c>
      <c r="AU43" s="92">
        <f>SUM(Tabla1[[#This Row],[Recursos propios2]:[Recursos del Balance2]])</f>
        <v>1881473333.3099999</v>
      </c>
      <c r="AV43" s="98">
        <v>1881473333.3100002</v>
      </c>
      <c r="AW43" s="98">
        <v>1864296666.6400001</v>
      </c>
      <c r="AX43" s="93">
        <f>+Tabla1[[#This Row],[Total Recursos Comprometido 2025]]/Tabla1[[#This Row],[Total 2025]]</f>
        <v>0.97133367749612798</v>
      </c>
      <c r="AY43" s="94">
        <f>+Tabla1[[#This Row],[Total Recursos Obligados]]/Tabla1[[#This Row],[Total 2025]]</f>
        <v>0.97133367749612809</v>
      </c>
      <c r="AZ43" s="121">
        <f>+Tabla1[[#This Row],[Total Recursos Pagados]]/Tabla1[[#This Row],[Total 2025]]</f>
        <v>0.9624660127207022</v>
      </c>
      <c r="BA43" s="120"/>
      <c r="BB43" s="63">
        <f>+Tabla1[[#This Row],[Total Recursos Gestionados2]]/Tabla1[[#This Row],[Total Recursos Comprometido 2025]]</f>
        <v>0</v>
      </c>
      <c r="BC43" s="38" t="s">
        <v>225</v>
      </c>
      <c r="BD43" s="39" t="s">
        <v>226</v>
      </c>
      <c r="BE43" s="71">
        <v>16</v>
      </c>
    </row>
    <row r="44" spans="1:57" ht="28.5">
      <c r="A44" s="34">
        <v>256</v>
      </c>
      <c r="B44" s="24" t="s">
        <v>135</v>
      </c>
      <c r="C44" s="25" t="s">
        <v>91</v>
      </c>
      <c r="D44" s="25" t="s">
        <v>92</v>
      </c>
      <c r="E44" s="25" t="s">
        <v>93</v>
      </c>
      <c r="F44" s="25" t="s">
        <v>100</v>
      </c>
      <c r="G44" s="25" t="s">
        <v>140</v>
      </c>
      <c r="H44" s="25">
        <v>450203800</v>
      </c>
      <c r="I44" s="25" t="s">
        <v>241</v>
      </c>
      <c r="J44" s="85">
        <v>1</v>
      </c>
      <c r="K44" s="25" t="s">
        <v>239</v>
      </c>
      <c r="L44" s="25" t="str">
        <f>+'[1]Plan Indicativo'!AC264</f>
        <v>No Acumulativa</v>
      </c>
      <c r="M44" s="85">
        <f>+'[1]Plan Indicativo'!T264</f>
        <v>1</v>
      </c>
      <c r="N44" s="25">
        <f>+'[1]Plan Indicativo'!W264</f>
        <v>1</v>
      </c>
      <c r="O44" s="34">
        <v>1</v>
      </c>
      <c r="P44" s="86">
        <f>+Tabla1[[#This Row],[Logro Vigencia]]/Tabla1[[#This Row],[Meta Programada Vigencia]]</f>
        <v>1</v>
      </c>
      <c r="Q44" s="25"/>
      <c r="R44" s="76">
        <v>966114400</v>
      </c>
      <c r="S44" s="15"/>
      <c r="T44" s="15"/>
      <c r="U44" s="15"/>
      <c r="V44" s="15"/>
      <c r="W44" s="15"/>
      <c r="X44" s="15"/>
      <c r="Y44" s="15"/>
      <c r="Z44" s="15"/>
      <c r="AA44" s="15"/>
      <c r="AB44" s="15"/>
      <c r="AC44" s="15"/>
      <c r="AD44" s="15"/>
      <c r="AE44" s="108">
        <v>328400000</v>
      </c>
      <c r="AF44" s="15">
        <f>SUM(Tabla1[[#This Row],[Recursos propios]:[Recursos del Balance]])</f>
        <v>1294514400</v>
      </c>
      <c r="AG44" s="76">
        <v>931918834.66999996</v>
      </c>
      <c r="AH44" s="15"/>
      <c r="AI44" s="15"/>
      <c r="AJ44" s="15"/>
      <c r="AK44" s="15"/>
      <c r="AL44" s="15"/>
      <c r="AM44" s="15"/>
      <c r="AN44" s="15"/>
      <c r="AO44" s="15"/>
      <c r="AP44" s="15"/>
      <c r="AQ44" s="15"/>
      <c r="AR44" s="15"/>
      <c r="AS44" s="15">
        <v>0</v>
      </c>
      <c r="AT44" s="108">
        <v>268783333.67000002</v>
      </c>
      <c r="AU44" s="31">
        <f>SUM(Tabla1[[#This Row],[Recursos propios2]:[Recursos del Balance2]])</f>
        <v>1200702168.3399999</v>
      </c>
      <c r="AV44" s="98">
        <v>1199589517.3400002</v>
      </c>
      <c r="AW44" s="98">
        <v>1199589517.3400002</v>
      </c>
      <c r="AX44" s="61">
        <f>+Tabla1[[#This Row],[Total Recursos Comprometido 2025]]/Tabla1[[#This Row],[Total 2025]]</f>
        <v>0.92753094777470213</v>
      </c>
      <c r="AY44" s="19">
        <f>+Tabla1[[#This Row],[Total Recursos Obligados]]/Tabla1[[#This Row],[Total 2025]]</f>
        <v>0.92667143551280706</v>
      </c>
      <c r="AZ44" s="62">
        <f>+Tabla1[[#This Row],[Total Recursos Pagados]]/Tabla1[[#This Row],[Total 2025]]</f>
        <v>0.92667143551280706</v>
      </c>
      <c r="BA44" s="120"/>
      <c r="BB44" s="63">
        <f>+Tabla1[[#This Row],[Total Recursos Gestionados2]]/Tabla1[[#This Row],[Total Recursos Comprometido 2025]]</f>
        <v>0</v>
      </c>
      <c r="BC44" s="38" t="s">
        <v>225</v>
      </c>
      <c r="BD44" s="39" t="s">
        <v>226</v>
      </c>
      <c r="BE44" s="71">
        <v>16</v>
      </c>
    </row>
    <row r="45" spans="1:57" ht="28.5">
      <c r="A45" s="34">
        <v>257</v>
      </c>
      <c r="B45" s="24" t="s">
        <v>135</v>
      </c>
      <c r="C45" s="25" t="s">
        <v>91</v>
      </c>
      <c r="D45" s="25" t="s">
        <v>92</v>
      </c>
      <c r="E45" s="25" t="s">
        <v>93</v>
      </c>
      <c r="F45" s="25" t="s">
        <v>141</v>
      </c>
      <c r="G45" s="25" t="s">
        <v>142</v>
      </c>
      <c r="H45" s="25">
        <v>450200200</v>
      </c>
      <c r="I45" s="25" t="s">
        <v>258</v>
      </c>
      <c r="J45" s="25">
        <v>13</v>
      </c>
      <c r="K45" s="25" t="s">
        <v>231</v>
      </c>
      <c r="L45" s="25" t="str">
        <f>+'[1]Plan Indicativo'!AC265</f>
        <v>Acumulativa</v>
      </c>
      <c r="M45" s="85">
        <f>+'[1]Plan Indicativo'!T265</f>
        <v>4</v>
      </c>
      <c r="N45" s="25">
        <f>+'[1]Plan Indicativo'!W265</f>
        <v>0</v>
      </c>
      <c r="O45" s="34">
        <v>0</v>
      </c>
      <c r="P45" s="86" t="e">
        <f>+Tabla1[[#This Row],[Logro Vigencia]]/Tabla1[[#This Row],[Meta Programada Vigencia]]</f>
        <v>#DIV/0!</v>
      </c>
      <c r="Q45" s="25"/>
      <c r="R45" s="76">
        <v>0</v>
      </c>
      <c r="S45" s="15"/>
      <c r="T45" s="15"/>
      <c r="U45" s="15"/>
      <c r="V45" s="15"/>
      <c r="W45" s="15"/>
      <c r="X45" s="15"/>
      <c r="Y45" s="15"/>
      <c r="Z45" s="15"/>
      <c r="AA45" s="15"/>
      <c r="AB45" s="15"/>
      <c r="AC45" s="15"/>
      <c r="AD45" s="15"/>
      <c r="AE45" s="108"/>
      <c r="AF45" s="15">
        <f>SUM(Tabla1[[#This Row],[Recursos propios]:[Recursos del Balance]])</f>
        <v>0</v>
      </c>
      <c r="AG45" s="76">
        <v>0</v>
      </c>
      <c r="AH45" s="15"/>
      <c r="AI45" s="15"/>
      <c r="AJ45" s="15"/>
      <c r="AK45" s="15"/>
      <c r="AL45" s="15"/>
      <c r="AM45" s="15"/>
      <c r="AN45" s="15"/>
      <c r="AO45" s="15"/>
      <c r="AP45" s="15"/>
      <c r="AQ45" s="15"/>
      <c r="AR45" s="15"/>
      <c r="AS45" s="15">
        <v>0</v>
      </c>
      <c r="AT45" s="108">
        <v>0</v>
      </c>
      <c r="AU45" s="31">
        <f>SUM(Tabla1[[#This Row],[Recursos propios2]:[Recursos del Balance2]])</f>
        <v>0</v>
      </c>
      <c r="AV45" s="98">
        <v>0</v>
      </c>
      <c r="AW45" s="98">
        <v>0</v>
      </c>
      <c r="AX45" s="61" t="e">
        <f>+Tabla1[[#This Row],[Total Recursos Comprometido 2025]]/Tabla1[[#This Row],[Total 2025]]</f>
        <v>#DIV/0!</v>
      </c>
      <c r="AY45" s="19" t="e">
        <f>+Tabla1[[#This Row],[Total Recursos Obligados]]/Tabla1[[#This Row],[Total 2025]]</f>
        <v>#DIV/0!</v>
      </c>
      <c r="AZ45" s="62" t="e">
        <f>+Tabla1[[#This Row],[Total Recursos Pagados]]/Tabla1[[#This Row],[Total 2025]]</f>
        <v>#DIV/0!</v>
      </c>
      <c r="BA45" s="120"/>
      <c r="BB45" s="63" t="e">
        <f>+Tabla1[[#This Row],[Total Recursos Gestionados2]]/Tabla1[[#This Row],[Total Recursos Comprometido 2025]]</f>
        <v>#DIV/0!</v>
      </c>
      <c r="BC45" s="38" t="s">
        <v>225</v>
      </c>
      <c r="BD45" s="39" t="s">
        <v>226</v>
      </c>
      <c r="BE45" s="65">
        <v>16</v>
      </c>
    </row>
    <row r="46" spans="1:57" ht="28.5">
      <c r="A46" s="34">
        <v>258</v>
      </c>
      <c r="B46" s="24" t="s">
        <v>135</v>
      </c>
      <c r="C46" s="25" t="s">
        <v>91</v>
      </c>
      <c r="D46" s="25" t="s">
        <v>92</v>
      </c>
      <c r="E46" s="25" t="s">
        <v>93</v>
      </c>
      <c r="F46" s="25" t="s">
        <v>143</v>
      </c>
      <c r="G46" s="25" t="s">
        <v>144</v>
      </c>
      <c r="H46" s="25">
        <v>450200100</v>
      </c>
      <c r="I46" s="25" t="s">
        <v>259</v>
      </c>
      <c r="J46" s="85">
        <v>130</v>
      </c>
      <c r="K46" s="25" t="s">
        <v>239</v>
      </c>
      <c r="L46" s="25" t="str">
        <f>+'[1]Plan Indicativo'!AC266</f>
        <v>No Acumulativa</v>
      </c>
      <c r="M46" s="85">
        <f>+'[1]Plan Indicativo'!T266</f>
        <v>130</v>
      </c>
      <c r="N46" s="25">
        <f>+'[1]Plan Indicativo'!W266</f>
        <v>130</v>
      </c>
      <c r="O46" s="34">
        <v>135</v>
      </c>
      <c r="P46" s="86">
        <f>+Tabla1[[#This Row],[Logro Vigencia]]/Tabla1[[#This Row],[Meta Programada Vigencia]]</f>
        <v>1.0384615384615385</v>
      </c>
      <c r="Q46" s="25"/>
      <c r="R46" s="76">
        <v>963085600</v>
      </c>
      <c r="S46" s="15"/>
      <c r="T46" s="15"/>
      <c r="U46" s="15"/>
      <c r="V46" s="15"/>
      <c r="W46" s="15"/>
      <c r="X46" s="15"/>
      <c r="Y46" s="15"/>
      <c r="Z46" s="15"/>
      <c r="AA46" s="15"/>
      <c r="AB46" s="15"/>
      <c r="AC46" s="15"/>
      <c r="AD46" s="15"/>
      <c r="AE46" s="108">
        <v>256243445</v>
      </c>
      <c r="AF46" s="15">
        <f>SUM(Tabla1[[#This Row],[Recursos propios]:[Recursos del Balance]])</f>
        <v>1219329045</v>
      </c>
      <c r="AG46" s="76">
        <v>959233973.54999995</v>
      </c>
      <c r="AH46" s="15"/>
      <c r="AI46" s="15"/>
      <c r="AJ46" s="15"/>
      <c r="AK46" s="15"/>
      <c r="AL46" s="15"/>
      <c r="AM46" s="15"/>
      <c r="AN46" s="15"/>
      <c r="AO46" s="15"/>
      <c r="AP46" s="15"/>
      <c r="AQ46" s="15"/>
      <c r="AR46" s="15"/>
      <c r="AS46" s="15">
        <v>0</v>
      </c>
      <c r="AT46" s="108">
        <v>256227445</v>
      </c>
      <c r="AU46" s="31">
        <f>SUM(Tabla1[[#This Row],[Recursos propios2]:[Recursos del Balance2]])</f>
        <v>1215461418.55</v>
      </c>
      <c r="AV46" s="98">
        <v>1215461418.55</v>
      </c>
      <c r="AW46" s="98">
        <v>1215461418.55</v>
      </c>
      <c r="AX46" s="61">
        <f>+Tabla1[[#This Row],[Total Recursos Comprometido 2025]]/Tabla1[[#This Row],[Total 2025]]</f>
        <v>0.99682806994071071</v>
      </c>
      <c r="AY46" s="19">
        <f>+Tabla1[[#This Row],[Total Recursos Obligados]]/Tabla1[[#This Row],[Total 2025]]</f>
        <v>0.99682806994071071</v>
      </c>
      <c r="AZ46" s="62">
        <f>+Tabla1[[#This Row],[Total Recursos Pagados]]/Tabla1[[#This Row],[Total 2025]]</f>
        <v>0.99682806994071071</v>
      </c>
      <c r="BA46" s="120"/>
      <c r="BB46" s="63">
        <f>+Tabla1[[#This Row],[Total Recursos Gestionados2]]/Tabla1[[#This Row],[Total Recursos Comprometido 2025]]</f>
        <v>0</v>
      </c>
      <c r="BC46" s="38" t="s">
        <v>225</v>
      </c>
      <c r="BD46" s="39" t="s">
        <v>226</v>
      </c>
      <c r="BE46" s="71">
        <v>16</v>
      </c>
    </row>
    <row r="47" spans="1:57" ht="28.5">
      <c r="A47" s="34">
        <v>259</v>
      </c>
      <c r="B47" s="24" t="s">
        <v>135</v>
      </c>
      <c r="C47" s="25" t="s">
        <v>91</v>
      </c>
      <c r="D47" s="25" t="s">
        <v>92</v>
      </c>
      <c r="E47" s="25" t="s">
        <v>93</v>
      </c>
      <c r="F47" s="25" t="s">
        <v>143</v>
      </c>
      <c r="G47" s="25" t="s">
        <v>145</v>
      </c>
      <c r="H47" s="25">
        <v>450200100</v>
      </c>
      <c r="I47" s="25" t="s">
        <v>259</v>
      </c>
      <c r="J47" s="25">
        <v>0</v>
      </c>
      <c r="K47" s="25" t="s">
        <v>239</v>
      </c>
      <c r="L47" s="25" t="str">
        <f>+'[1]Plan Indicativo'!AC267</f>
        <v>No Acumulativa</v>
      </c>
      <c r="M47" s="85">
        <f>+'[1]Plan Indicativo'!T267</f>
        <v>254</v>
      </c>
      <c r="N47" s="25">
        <f>+'[1]Plan Indicativo'!W267</f>
        <v>68</v>
      </c>
      <c r="O47" s="34">
        <v>393</v>
      </c>
      <c r="P47" s="86">
        <f>+Tabla1[[#This Row],[Logro Vigencia]]/Tabla1[[#This Row],[Meta Programada Vigencia]]</f>
        <v>5.7794117647058822</v>
      </c>
      <c r="Q47" s="25"/>
      <c r="R47" s="76">
        <v>200000000</v>
      </c>
      <c r="S47" s="15"/>
      <c r="T47" s="15"/>
      <c r="U47" s="15"/>
      <c r="V47" s="15"/>
      <c r="W47" s="15"/>
      <c r="X47" s="15"/>
      <c r="Y47" s="15"/>
      <c r="Z47" s="15"/>
      <c r="AA47" s="15"/>
      <c r="AB47" s="15"/>
      <c r="AC47" s="15"/>
      <c r="AD47" s="15"/>
      <c r="AE47" s="108">
        <v>140756555</v>
      </c>
      <c r="AF47" s="15">
        <f>SUM(Tabla1[[#This Row],[Recursos propios]:[Recursos del Balance]])</f>
        <v>340756555</v>
      </c>
      <c r="AG47" s="76">
        <v>156754233</v>
      </c>
      <c r="AH47" s="15"/>
      <c r="AI47" s="15"/>
      <c r="AJ47" s="15"/>
      <c r="AK47" s="15"/>
      <c r="AL47" s="15"/>
      <c r="AM47" s="15"/>
      <c r="AN47" s="15"/>
      <c r="AO47" s="15"/>
      <c r="AP47" s="15"/>
      <c r="AQ47" s="15"/>
      <c r="AR47" s="15"/>
      <c r="AS47" s="15">
        <v>0</v>
      </c>
      <c r="AT47" s="108">
        <v>107552500</v>
      </c>
      <c r="AU47" s="31">
        <f>SUM(Tabla1[[#This Row],[Recursos propios2]:[Recursos del Balance2]])</f>
        <v>264306733</v>
      </c>
      <c r="AV47" s="98">
        <v>264306733</v>
      </c>
      <c r="AW47" s="98">
        <v>237106733</v>
      </c>
      <c r="AX47" s="61">
        <f>+Tabla1[[#This Row],[Total Recursos Comprometido 2025]]/Tabla1[[#This Row],[Total 2025]]</f>
        <v>0.77564680450534551</v>
      </c>
      <c r="AY47" s="19">
        <f>+Tabla1[[#This Row],[Total Recursos Obligados]]/Tabla1[[#This Row],[Total 2025]]</f>
        <v>0.77564680450534551</v>
      </c>
      <c r="AZ47" s="62">
        <f>+Tabla1[[#This Row],[Total Recursos Pagados]]/Tabla1[[#This Row],[Total 2025]]</f>
        <v>0.69582442221837815</v>
      </c>
      <c r="BA47" s="120"/>
      <c r="BB47" s="63">
        <f>+Tabla1[[#This Row],[Total Recursos Gestionados2]]/Tabla1[[#This Row],[Total Recursos Comprometido 2025]]</f>
        <v>0</v>
      </c>
      <c r="BC47" s="38" t="s">
        <v>225</v>
      </c>
      <c r="BD47" s="39" t="s">
        <v>226</v>
      </c>
      <c r="BE47" s="65">
        <v>16</v>
      </c>
    </row>
    <row r="48" spans="1:57" ht="28.5">
      <c r="A48" s="34">
        <v>260</v>
      </c>
      <c r="B48" s="24" t="s">
        <v>135</v>
      </c>
      <c r="C48" s="25" t="s">
        <v>91</v>
      </c>
      <c r="D48" s="25" t="s">
        <v>92</v>
      </c>
      <c r="E48" s="25" t="s">
        <v>93</v>
      </c>
      <c r="F48" s="25" t="s">
        <v>143</v>
      </c>
      <c r="G48" s="25" t="s">
        <v>146</v>
      </c>
      <c r="H48" s="25">
        <v>450200100</v>
      </c>
      <c r="I48" s="25" t="s">
        <v>260</v>
      </c>
      <c r="J48" s="85">
        <v>0</v>
      </c>
      <c r="K48" s="25" t="s">
        <v>231</v>
      </c>
      <c r="L48" s="25" t="str">
        <f>+'[1]Plan Indicativo'!AC268</f>
        <v>No Acumulativa</v>
      </c>
      <c r="M48" s="85">
        <f>+'[1]Plan Indicativo'!T268</f>
        <v>1</v>
      </c>
      <c r="N48" s="25">
        <f>+'[1]Plan Indicativo'!W268</f>
        <v>1</v>
      </c>
      <c r="O48" s="34">
        <v>1</v>
      </c>
      <c r="P48" s="86">
        <f>+Tabla1[[#This Row],[Logro Vigencia]]/Tabla1[[#This Row],[Meta Programada Vigencia]]</f>
        <v>1</v>
      </c>
      <c r="Q48" s="25"/>
      <c r="R48" s="76">
        <v>56000000</v>
      </c>
      <c r="S48" s="15"/>
      <c r="T48" s="15"/>
      <c r="U48" s="15"/>
      <c r="V48" s="15"/>
      <c r="W48" s="15"/>
      <c r="X48" s="15"/>
      <c r="Y48" s="15"/>
      <c r="Z48" s="15"/>
      <c r="AA48" s="15"/>
      <c r="AB48" s="15"/>
      <c r="AC48" s="15"/>
      <c r="AD48" s="15"/>
      <c r="AE48" s="108">
        <v>24000000</v>
      </c>
      <c r="AF48" s="15">
        <f>SUM(Tabla1[[#This Row],[Recursos propios]:[Recursos del Balance]])</f>
        <v>80000000</v>
      </c>
      <c r="AG48" s="76">
        <v>41200000</v>
      </c>
      <c r="AH48" s="15"/>
      <c r="AI48" s="15"/>
      <c r="AJ48" s="15"/>
      <c r="AK48" s="15"/>
      <c r="AL48" s="15"/>
      <c r="AM48" s="15"/>
      <c r="AN48" s="15"/>
      <c r="AO48" s="15"/>
      <c r="AP48" s="15"/>
      <c r="AQ48" s="15"/>
      <c r="AR48" s="15"/>
      <c r="AS48" s="15">
        <v>0</v>
      </c>
      <c r="AT48" s="108">
        <v>0</v>
      </c>
      <c r="AU48" s="31">
        <f>SUM(Tabla1[[#This Row],[Recursos propios2]:[Recursos del Balance2]])</f>
        <v>41200000</v>
      </c>
      <c r="AV48" s="98">
        <v>41200000</v>
      </c>
      <c r="AW48" s="98">
        <v>22800000</v>
      </c>
      <c r="AX48" s="61">
        <f>+Tabla1[[#This Row],[Total Recursos Comprometido 2025]]/Tabla1[[#This Row],[Total 2025]]</f>
        <v>0.51500000000000001</v>
      </c>
      <c r="AY48" s="19">
        <f>+Tabla1[[#This Row],[Total Recursos Obligados]]/Tabla1[[#This Row],[Total 2025]]</f>
        <v>0.51500000000000001</v>
      </c>
      <c r="AZ48" s="62">
        <f>+Tabla1[[#This Row],[Total Recursos Pagados]]/Tabla1[[#This Row],[Total 2025]]</f>
        <v>0.28499999999999998</v>
      </c>
      <c r="BA48" s="120"/>
      <c r="BB48" s="63">
        <f>+Tabla1[[#This Row],[Total Recursos Gestionados2]]/Tabla1[[#This Row],[Total Recursos Comprometido 2025]]</f>
        <v>0</v>
      </c>
      <c r="BC48" s="38" t="s">
        <v>225</v>
      </c>
      <c r="BD48" s="39" t="s">
        <v>226</v>
      </c>
      <c r="BE48" s="71">
        <v>16</v>
      </c>
    </row>
    <row r="49" spans="1:57" ht="28.5">
      <c r="A49" s="87">
        <v>261</v>
      </c>
      <c r="B49" s="88" t="s">
        <v>135</v>
      </c>
      <c r="C49" s="89" t="s">
        <v>91</v>
      </c>
      <c r="D49" s="89" t="s">
        <v>92</v>
      </c>
      <c r="E49" s="89" t="s">
        <v>93</v>
      </c>
      <c r="F49" s="89" t="s">
        <v>147</v>
      </c>
      <c r="G49" s="89" t="s">
        <v>148</v>
      </c>
      <c r="H49" s="89">
        <v>450203400</v>
      </c>
      <c r="I49" s="89" t="s">
        <v>261</v>
      </c>
      <c r="J49" s="89">
        <v>5800</v>
      </c>
      <c r="K49" s="89" t="s">
        <v>239</v>
      </c>
      <c r="L49" s="25" t="str">
        <f>+'[1]Plan Indicativo'!AC269</f>
        <v>Acumulativa</v>
      </c>
      <c r="M49" s="85">
        <f>+'[1]Plan Indicativo'!T269</f>
        <v>8000</v>
      </c>
      <c r="N49" s="25">
        <f>+'[1]Plan Indicativo'!W269</f>
        <v>2000</v>
      </c>
      <c r="O49" s="87">
        <v>3883</v>
      </c>
      <c r="P49" s="90">
        <f>+Tabla1[[#This Row],[Logro Vigencia]]/Tabla1[[#This Row],[Meta Programada Vigencia]]</f>
        <v>1.9415</v>
      </c>
      <c r="Q49" s="89"/>
      <c r="R49" s="97">
        <v>60000000</v>
      </c>
      <c r="S49" s="91"/>
      <c r="T49" s="91"/>
      <c r="U49" s="91"/>
      <c r="V49" s="91"/>
      <c r="W49" s="91"/>
      <c r="X49" s="91"/>
      <c r="Y49" s="91"/>
      <c r="Z49" s="91"/>
      <c r="AA49" s="91"/>
      <c r="AB49" s="91"/>
      <c r="AC49" s="91"/>
      <c r="AD49" s="91"/>
      <c r="AE49" s="110">
        <v>55000000</v>
      </c>
      <c r="AF49" s="91">
        <f>SUM(Tabla1[[#This Row],[Recursos propios]:[Recursos del Balance]])</f>
        <v>115000000</v>
      </c>
      <c r="AG49" s="97">
        <v>57962815</v>
      </c>
      <c r="AH49" s="91"/>
      <c r="AI49" s="91"/>
      <c r="AJ49" s="91"/>
      <c r="AK49" s="91"/>
      <c r="AL49" s="91"/>
      <c r="AM49" s="91"/>
      <c r="AN49" s="91"/>
      <c r="AO49" s="91"/>
      <c r="AP49" s="91"/>
      <c r="AQ49" s="91"/>
      <c r="AR49" s="91"/>
      <c r="AS49" s="91">
        <v>0</v>
      </c>
      <c r="AT49" s="110">
        <v>23743333.329999998</v>
      </c>
      <c r="AU49" s="92">
        <f>SUM(Tabla1[[#This Row],[Recursos propios2]:[Recursos del Balance2]])</f>
        <v>81706148.329999998</v>
      </c>
      <c r="AV49" s="98">
        <v>81582008.329999998</v>
      </c>
      <c r="AW49" s="98">
        <v>81582008.329999998</v>
      </c>
      <c r="AX49" s="93">
        <f>+Tabla1[[#This Row],[Total Recursos Comprometido 2025]]/Tabla1[[#This Row],[Total 2025]]</f>
        <v>0.71048824634782604</v>
      </c>
      <c r="AY49" s="94">
        <f>+Tabla1[[#This Row],[Total Recursos Obligados]]/Tabla1[[#This Row],[Total 2025]]</f>
        <v>0.70940876808695652</v>
      </c>
      <c r="AZ49" s="121">
        <f>+Tabla1[[#This Row],[Total Recursos Pagados]]/Tabla1[[#This Row],[Total 2025]]</f>
        <v>0.70940876808695652</v>
      </c>
      <c r="BA49" s="120"/>
      <c r="BB49" s="63">
        <f>+Tabla1[[#This Row],[Total Recursos Gestionados2]]/Tabla1[[#This Row],[Total Recursos Comprometido 2025]]</f>
        <v>0</v>
      </c>
      <c r="BC49" s="38" t="s">
        <v>225</v>
      </c>
      <c r="BD49" s="39" t="s">
        <v>226</v>
      </c>
      <c r="BE49" s="65">
        <v>16</v>
      </c>
    </row>
    <row r="50" spans="1:57" ht="28.5">
      <c r="A50" s="34">
        <v>270</v>
      </c>
      <c r="B50" s="24" t="s">
        <v>90</v>
      </c>
      <c r="C50" s="25" t="s">
        <v>64</v>
      </c>
      <c r="D50" s="25" t="s">
        <v>96</v>
      </c>
      <c r="E50" s="25" t="s">
        <v>97</v>
      </c>
      <c r="F50" s="25" t="s">
        <v>149</v>
      </c>
      <c r="G50" s="25" t="s">
        <v>150</v>
      </c>
      <c r="H50" s="25">
        <v>410301700</v>
      </c>
      <c r="I50" s="25" t="s">
        <v>262</v>
      </c>
      <c r="J50" s="85">
        <v>0</v>
      </c>
      <c r="K50" s="25" t="s">
        <v>231</v>
      </c>
      <c r="L50" s="25" t="str">
        <f>+'[1]Plan Indicativo'!AC278</f>
        <v>No Acumulativa</v>
      </c>
      <c r="M50" s="85">
        <f>+'[1]Plan Indicativo'!T278</f>
        <v>3000</v>
      </c>
      <c r="N50" s="25">
        <f>+'[1]Plan Indicativo'!W278</f>
        <v>3000</v>
      </c>
      <c r="O50" s="34">
        <v>3717</v>
      </c>
      <c r="P50" s="86">
        <f>+Tabla1[[#This Row],[Logro Vigencia]]/Tabla1[[#This Row],[Meta Programada Vigencia]]</f>
        <v>1.2390000000000001</v>
      </c>
      <c r="Q50" s="25"/>
      <c r="R50" s="76">
        <v>660954693</v>
      </c>
      <c r="S50" s="15"/>
      <c r="T50" s="15"/>
      <c r="U50" s="15"/>
      <c r="V50" s="15"/>
      <c r="W50" s="15"/>
      <c r="X50" s="15"/>
      <c r="Y50" s="15"/>
      <c r="Z50" s="15"/>
      <c r="AA50" s="15"/>
      <c r="AB50" s="15"/>
      <c r="AC50" s="15"/>
      <c r="AD50" s="15">
        <v>1184725867</v>
      </c>
      <c r="AE50" s="108">
        <v>3796316040</v>
      </c>
      <c r="AF50" s="15">
        <f>SUM(Tabla1[[#This Row],[Recursos propios]:[Recursos del Balance]])</f>
        <v>5641996600</v>
      </c>
      <c r="AG50" s="76">
        <v>660665451.80999994</v>
      </c>
      <c r="AH50" s="15"/>
      <c r="AI50" s="15"/>
      <c r="AJ50" s="15"/>
      <c r="AK50" s="15"/>
      <c r="AL50" s="15"/>
      <c r="AM50" s="15"/>
      <c r="AN50" s="15"/>
      <c r="AO50" s="15"/>
      <c r="AP50" s="15"/>
      <c r="AQ50" s="15"/>
      <c r="AR50" s="15"/>
      <c r="AS50" s="15">
        <v>1184725867</v>
      </c>
      <c r="AT50" s="108">
        <v>3796194104.0700002</v>
      </c>
      <c r="AU50" s="31">
        <f>SUM(Tabla1[[#This Row],[Recursos propios2]:[Recursos del Balance2]])</f>
        <v>5641585422.8800001</v>
      </c>
      <c r="AV50" s="98">
        <v>5581037792.8800001</v>
      </c>
      <c r="AW50" s="98">
        <v>5581037792.8800001</v>
      </c>
      <c r="AX50" s="61">
        <f>+Tabla1[[#This Row],[Total Recursos Comprometido 2025]]/Tabla1[[#This Row],[Total 2025]]</f>
        <v>0.99992712205462875</v>
      </c>
      <c r="AY50" s="19">
        <f>+Tabla1[[#This Row],[Total Recursos Obligados]]/Tabla1[[#This Row],[Total 2025]]</f>
        <v>0.98919552572576885</v>
      </c>
      <c r="AZ50" s="62">
        <f>+Tabla1[[#This Row],[Total Recursos Pagados]]/Tabla1[[#This Row],[Total 2025]]</f>
        <v>0.98919552572576885</v>
      </c>
      <c r="BA50" s="120"/>
      <c r="BB50" s="63">
        <f>+Tabla1[[#This Row],[Total Recursos Gestionados2]]/Tabla1[[#This Row],[Total Recursos Comprometido 2025]]</f>
        <v>0</v>
      </c>
      <c r="BC50" s="38" t="s">
        <v>225</v>
      </c>
      <c r="BD50" s="39" t="s">
        <v>226</v>
      </c>
      <c r="BE50" s="71">
        <v>10</v>
      </c>
    </row>
    <row r="51" spans="1:57" ht="28.5">
      <c r="A51" s="87">
        <v>271</v>
      </c>
      <c r="B51" s="88" t="s">
        <v>90</v>
      </c>
      <c r="C51" s="89" t="s">
        <v>64</v>
      </c>
      <c r="D51" s="89" t="s">
        <v>96</v>
      </c>
      <c r="E51" s="89" t="s">
        <v>97</v>
      </c>
      <c r="F51" s="89" t="s">
        <v>98</v>
      </c>
      <c r="G51" s="89" t="s">
        <v>151</v>
      </c>
      <c r="H51" s="89">
        <v>410305200</v>
      </c>
      <c r="I51" s="89" t="s">
        <v>242</v>
      </c>
      <c r="J51" s="89">
        <v>0</v>
      </c>
      <c r="K51" s="89" t="s">
        <v>239</v>
      </c>
      <c r="L51" s="25" t="str">
        <f>+'[1]Plan Indicativo'!AC279</f>
        <v>Acumulativa</v>
      </c>
      <c r="M51" s="85">
        <f>+'[1]Plan Indicativo'!T279</f>
        <v>550</v>
      </c>
      <c r="N51" s="25">
        <f>+'[1]Plan Indicativo'!W279</f>
        <v>140</v>
      </c>
      <c r="O51" s="87">
        <v>427</v>
      </c>
      <c r="P51" s="90">
        <f>+Tabla1[[#This Row],[Logro Vigencia]]/Tabla1[[#This Row],[Meta Programada Vigencia]]</f>
        <v>3.05</v>
      </c>
      <c r="Q51" s="89"/>
      <c r="R51" s="97">
        <v>76800000</v>
      </c>
      <c r="S51" s="91"/>
      <c r="T51" s="91"/>
      <c r="U51" s="91"/>
      <c r="V51" s="91"/>
      <c r="W51" s="91"/>
      <c r="X51" s="91"/>
      <c r="Y51" s="91"/>
      <c r="Z51" s="91"/>
      <c r="AA51" s="91"/>
      <c r="AB51" s="91"/>
      <c r="AC51" s="91"/>
      <c r="AD51" s="91"/>
      <c r="AE51" s="110">
        <v>110000000</v>
      </c>
      <c r="AF51" s="91">
        <f>SUM(Tabla1[[#This Row],[Recursos propios]:[Recursos del Balance]])</f>
        <v>186800000</v>
      </c>
      <c r="AG51" s="97">
        <v>75000000</v>
      </c>
      <c r="AH51" s="91"/>
      <c r="AI51" s="91"/>
      <c r="AJ51" s="91"/>
      <c r="AK51" s="91"/>
      <c r="AL51" s="91"/>
      <c r="AM51" s="91"/>
      <c r="AN51" s="91"/>
      <c r="AO51" s="91"/>
      <c r="AP51" s="91"/>
      <c r="AQ51" s="91"/>
      <c r="AR51" s="91"/>
      <c r="AS51" s="91">
        <v>0</v>
      </c>
      <c r="AT51" s="110">
        <v>98633333.329999998</v>
      </c>
      <c r="AU51" s="92">
        <f>SUM(Tabla1[[#This Row],[Recursos propios2]:[Recursos del Balance2]])</f>
        <v>173633333.32999998</v>
      </c>
      <c r="AV51" s="98">
        <v>173633333.32999998</v>
      </c>
      <c r="AW51" s="98">
        <v>173633333.32999998</v>
      </c>
      <c r="AX51" s="93">
        <f>+Tabla1[[#This Row],[Total Recursos Comprometido 2025]]/Tabla1[[#This Row],[Total 2025]]</f>
        <v>0.92951463238758025</v>
      </c>
      <c r="AY51" s="94">
        <f>+Tabla1[[#This Row],[Total Recursos Obligados]]/Tabla1[[#This Row],[Total 2025]]</f>
        <v>0.92951463238758025</v>
      </c>
      <c r="AZ51" s="121">
        <f>+Tabla1[[#This Row],[Total Recursos Pagados]]/Tabla1[[#This Row],[Total 2025]]</f>
        <v>0.92951463238758025</v>
      </c>
      <c r="BA51" s="120"/>
      <c r="BB51" s="63">
        <f>+Tabla1[[#This Row],[Total Recursos Gestionados2]]/Tabla1[[#This Row],[Total Recursos Comprometido 2025]]</f>
        <v>0</v>
      </c>
      <c r="BC51" s="38" t="s">
        <v>225</v>
      </c>
      <c r="BD51" s="39" t="s">
        <v>226</v>
      </c>
      <c r="BE51" s="65">
        <v>10</v>
      </c>
    </row>
    <row r="52" spans="1:57" ht="28.5">
      <c r="A52" s="87">
        <v>276</v>
      </c>
      <c r="B52" s="88" t="s">
        <v>90</v>
      </c>
      <c r="C52" s="89" t="s">
        <v>152</v>
      </c>
      <c r="D52" s="89" t="s">
        <v>153</v>
      </c>
      <c r="E52" s="89" t="s">
        <v>154</v>
      </c>
      <c r="F52" s="89" t="s">
        <v>155</v>
      </c>
      <c r="G52" s="89" t="s">
        <v>156</v>
      </c>
      <c r="H52" s="89">
        <v>40600900</v>
      </c>
      <c r="I52" s="89" t="s">
        <v>263</v>
      </c>
      <c r="J52" s="95">
        <v>1</v>
      </c>
      <c r="K52" s="89" t="s">
        <v>239</v>
      </c>
      <c r="L52" s="89" t="str">
        <f>+'[1]Plan Indicativo'!$AC$284</f>
        <v>Acumulativa</v>
      </c>
      <c r="M52" s="95">
        <f>+'[1]Plan Indicativo'!$T$284</f>
        <v>1</v>
      </c>
      <c r="N52" s="89">
        <f>+'[1]Plan Indicativo'!$W$284</f>
        <v>0.33</v>
      </c>
      <c r="O52" s="87">
        <v>0.33</v>
      </c>
      <c r="P52" s="90">
        <f>+Tabla1[[#This Row],[Logro Vigencia]]/Tabla1[[#This Row],[Meta Programada Vigencia]]</f>
        <v>1</v>
      </c>
      <c r="Q52" s="89"/>
      <c r="R52" s="97">
        <v>100000000</v>
      </c>
      <c r="S52" s="91"/>
      <c r="T52" s="91"/>
      <c r="U52" s="91"/>
      <c r="V52" s="91"/>
      <c r="W52" s="91"/>
      <c r="X52" s="91"/>
      <c r="Y52" s="91"/>
      <c r="Z52" s="91"/>
      <c r="AA52" s="91"/>
      <c r="AB52" s="91"/>
      <c r="AC52" s="91"/>
      <c r="AD52" s="91"/>
      <c r="AE52" s="110"/>
      <c r="AF52" s="91">
        <f>SUM(Tabla1[[#This Row],[Recursos propios]:[Recursos del Balance]])</f>
        <v>100000000</v>
      </c>
      <c r="AG52" s="97">
        <v>61833333.329999998</v>
      </c>
      <c r="AH52" s="91"/>
      <c r="AI52" s="91"/>
      <c r="AJ52" s="91"/>
      <c r="AK52" s="91"/>
      <c r="AL52" s="91"/>
      <c r="AM52" s="91"/>
      <c r="AN52" s="91"/>
      <c r="AO52" s="91"/>
      <c r="AP52" s="91"/>
      <c r="AQ52" s="91"/>
      <c r="AR52" s="91"/>
      <c r="AS52" s="91">
        <v>0</v>
      </c>
      <c r="AT52" s="110">
        <v>0</v>
      </c>
      <c r="AU52" s="92">
        <f>SUM(Tabla1[[#This Row],[Recursos propios2]:[Recursos del Balance2]])</f>
        <v>61833333.329999998</v>
      </c>
      <c r="AV52" s="98">
        <v>61833333.329999998</v>
      </c>
      <c r="AW52" s="98">
        <v>61833333.329999998</v>
      </c>
      <c r="AX52" s="93">
        <f>+Tabla1[[#This Row],[Total Recursos Comprometido 2025]]/Tabla1[[#This Row],[Total 2025]]</f>
        <v>0.61833333329999995</v>
      </c>
      <c r="AY52" s="94">
        <f>+Tabla1[[#This Row],[Total Recursos Obligados]]/Tabla1[[#This Row],[Total 2025]]</f>
        <v>0.61833333329999995</v>
      </c>
      <c r="AZ52" s="121">
        <f>+Tabla1[[#This Row],[Total Recursos Pagados]]/Tabla1[[#This Row],[Total 2025]]</f>
        <v>0.61833333329999995</v>
      </c>
      <c r="BA52" s="120"/>
      <c r="BB52" s="63">
        <f>+Tabla1[[#This Row],[Total Recursos Gestionados2]]/Tabla1[[#This Row],[Total Recursos Comprometido 2025]]</f>
        <v>0</v>
      </c>
      <c r="BC52" s="38" t="s">
        <v>225</v>
      </c>
      <c r="BD52" s="39" t="s">
        <v>226</v>
      </c>
      <c r="BE52" s="71">
        <v>10</v>
      </c>
    </row>
    <row r="53" spans="1:57" ht="36">
      <c r="A53" s="87">
        <v>278</v>
      </c>
      <c r="B53" s="88" t="s">
        <v>69</v>
      </c>
      <c r="C53" s="89" t="s">
        <v>70</v>
      </c>
      <c r="D53" s="89" t="s">
        <v>157</v>
      </c>
      <c r="E53" s="89" t="s">
        <v>158</v>
      </c>
      <c r="F53" s="89" t="s">
        <v>159</v>
      </c>
      <c r="G53" s="89" t="s">
        <v>160</v>
      </c>
      <c r="H53" s="89">
        <v>170801800</v>
      </c>
      <c r="I53" s="89" t="s">
        <v>264</v>
      </c>
      <c r="J53" s="95">
        <v>0</v>
      </c>
      <c r="K53" s="89" t="s">
        <v>231</v>
      </c>
      <c r="L53" s="89" t="str">
        <f>+'[1]Plan Indicativo'!$AC$286</f>
        <v>Acumulativa</v>
      </c>
      <c r="M53" s="95">
        <f>+'[1]Plan Indicativo'!$T$286</f>
        <v>2</v>
      </c>
      <c r="N53" s="89">
        <f>+'[1]Plan Indicativo'!$W$286</f>
        <v>1</v>
      </c>
      <c r="O53" s="87">
        <v>1</v>
      </c>
      <c r="P53" s="90">
        <f>+Tabla1[[#This Row],[Logro Vigencia]]/Tabla1[[#This Row],[Meta Programada Vigencia]]</f>
        <v>1</v>
      </c>
      <c r="Q53" s="89"/>
      <c r="R53" s="97">
        <v>84000000</v>
      </c>
      <c r="S53" s="91"/>
      <c r="T53" s="91"/>
      <c r="U53" s="91"/>
      <c r="V53" s="91"/>
      <c r="W53" s="91"/>
      <c r="X53" s="91"/>
      <c r="Y53" s="91"/>
      <c r="Z53" s="91"/>
      <c r="AA53" s="91"/>
      <c r="AB53" s="91"/>
      <c r="AC53" s="91"/>
      <c r="AD53" s="91"/>
      <c r="AE53" s="110"/>
      <c r="AF53" s="91">
        <f>SUM(Tabla1[[#This Row],[Recursos propios]:[Recursos del Balance]])</f>
        <v>84000000</v>
      </c>
      <c r="AG53" s="97">
        <v>83738000</v>
      </c>
      <c r="AH53" s="91"/>
      <c r="AI53" s="91"/>
      <c r="AJ53" s="91"/>
      <c r="AK53" s="91"/>
      <c r="AL53" s="91"/>
      <c r="AM53" s="91"/>
      <c r="AN53" s="91"/>
      <c r="AO53" s="91"/>
      <c r="AP53" s="91"/>
      <c r="AQ53" s="91"/>
      <c r="AR53" s="91"/>
      <c r="AS53" s="91">
        <v>0</v>
      </c>
      <c r="AT53" s="110">
        <v>0</v>
      </c>
      <c r="AU53" s="92">
        <f>SUM(Tabla1[[#This Row],[Recursos propios2]:[Recursos del Balance2]])</f>
        <v>83738000</v>
      </c>
      <c r="AV53" s="98">
        <v>83738000</v>
      </c>
      <c r="AW53" s="98">
        <v>83738000</v>
      </c>
      <c r="AX53" s="93">
        <f>+Tabla1[[#This Row],[Total Recursos Comprometido 2025]]/Tabla1[[#This Row],[Total 2025]]</f>
        <v>0.99688095238095242</v>
      </c>
      <c r="AY53" s="94">
        <f>+Tabla1[[#This Row],[Total Recursos Obligados]]/Tabla1[[#This Row],[Total 2025]]</f>
        <v>0.99688095238095242</v>
      </c>
      <c r="AZ53" s="121">
        <f>+Tabla1[[#This Row],[Total Recursos Pagados]]/Tabla1[[#This Row],[Total 2025]]</f>
        <v>0.99688095238095242</v>
      </c>
      <c r="BA53" s="120"/>
      <c r="BB53" s="63">
        <f>+Tabla1[[#This Row],[Total Recursos Gestionados2]]/Tabla1[[#This Row],[Total Recursos Comprometido 2025]]</f>
        <v>0</v>
      </c>
      <c r="BC53" s="38" t="s">
        <v>225</v>
      </c>
      <c r="BD53" s="39" t="s">
        <v>226</v>
      </c>
      <c r="BE53" s="71" t="s">
        <v>227</v>
      </c>
    </row>
    <row r="54" spans="1:57" ht="28.5">
      <c r="A54" s="87">
        <v>280</v>
      </c>
      <c r="B54" s="88" t="s">
        <v>69</v>
      </c>
      <c r="C54" s="89" t="s">
        <v>161</v>
      </c>
      <c r="D54" s="89" t="s">
        <v>162</v>
      </c>
      <c r="E54" s="89" t="s">
        <v>163</v>
      </c>
      <c r="F54" s="89" t="s">
        <v>164</v>
      </c>
      <c r="G54" s="89" t="s">
        <v>165</v>
      </c>
      <c r="H54" s="89">
        <v>360501200</v>
      </c>
      <c r="I54" s="89" t="s">
        <v>265</v>
      </c>
      <c r="J54" s="95">
        <v>0</v>
      </c>
      <c r="K54" s="89" t="s">
        <v>239</v>
      </c>
      <c r="L54" s="89" t="str">
        <f>+'[1]Plan Indicativo'!$AC$288</f>
        <v>No Acumulativa</v>
      </c>
      <c r="M54" s="95">
        <f>+'[1]Plan Indicativo'!$T$288</f>
        <v>1</v>
      </c>
      <c r="N54" s="89">
        <f>+'[1]Plan Indicativo'!$W$288</f>
        <v>1</v>
      </c>
      <c r="O54" s="87">
        <v>1</v>
      </c>
      <c r="P54" s="90">
        <f>+Tabla1[[#This Row],[Logro Vigencia]]/Tabla1[[#This Row],[Meta Programada Vigencia]]</f>
        <v>1</v>
      </c>
      <c r="Q54" s="89"/>
      <c r="R54" s="97">
        <v>95600000</v>
      </c>
      <c r="S54" s="91"/>
      <c r="T54" s="91"/>
      <c r="U54" s="91"/>
      <c r="V54" s="91"/>
      <c r="W54" s="91"/>
      <c r="X54" s="91"/>
      <c r="Y54" s="91"/>
      <c r="Z54" s="91"/>
      <c r="AA54" s="91"/>
      <c r="AB54" s="91"/>
      <c r="AC54" s="91"/>
      <c r="AD54" s="91"/>
      <c r="AE54" s="110">
        <v>20000000</v>
      </c>
      <c r="AF54" s="91">
        <f>SUM(Tabla1[[#This Row],[Recursos propios]:[Recursos del Balance]])</f>
        <v>115600000</v>
      </c>
      <c r="AG54" s="97">
        <v>37200000</v>
      </c>
      <c r="AH54" s="91"/>
      <c r="AI54" s="91"/>
      <c r="AJ54" s="91"/>
      <c r="AK54" s="91"/>
      <c r="AL54" s="91"/>
      <c r="AM54" s="91"/>
      <c r="AN54" s="91"/>
      <c r="AO54" s="91"/>
      <c r="AP54" s="91"/>
      <c r="AQ54" s="91"/>
      <c r="AR54" s="91"/>
      <c r="AS54" s="91">
        <v>0</v>
      </c>
      <c r="AT54" s="110">
        <v>10513333.33</v>
      </c>
      <c r="AU54" s="92">
        <f>SUM(Tabla1[[#This Row],[Recursos propios2]:[Recursos del Balance2]])</f>
        <v>47713333.329999998</v>
      </c>
      <c r="AV54" s="98">
        <v>47713333.329999998</v>
      </c>
      <c r="AW54" s="98">
        <v>47713333.329999998</v>
      </c>
      <c r="AX54" s="93">
        <f>+Tabla1[[#This Row],[Total Recursos Comprometido 2025]]/Tabla1[[#This Row],[Total 2025]]</f>
        <v>0.41274509801038062</v>
      </c>
      <c r="AY54" s="94">
        <f>+Tabla1[[#This Row],[Total Recursos Obligados]]/Tabla1[[#This Row],[Total 2025]]</f>
        <v>0.41274509801038062</v>
      </c>
      <c r="AZ54" s="121">
        <f>+Tabla1[[#This Row],[Total Recursos Pagados]]/Tabla1[[#This Row],[Total 2025]]</f>
        <v>0.41274509801038062</v>
      </c>
      <c r="BA54" s="120"/>
      <c r="BB54" s="63">
        <f>+Tabla1[[#This Row],[Total Recursos Gestionados2]]/Tabla1[[#This Row],[Total Recursos Comprometido 2025]]</f>
        <v>0</v>
      </c>
      <c r="BC54" s="38" t="s">
        <v>225</v>
      </c>
      <c r="BD54" s="39" t="s">
        <v>226</v>
      </c>
      <c r="BE54" s="71">
        <v>10</v>
      </c>
    </row>
  </sheetData>
  <sheetProtection formatCells="0" formatColumns="0" formatRows="0" insertRows="0" autoFilter="0"/>
  <mergeCells count="13">
    <mergeCell ref="BC9:BD9"/>
    <mergeCell ref="A9:N9"/>
    <mergeCell ref="O9:Q9"/>
    <mergeCell ref="R9:AF9"/>
    <mergeCell ref="A1:B4"/>
    <mergeCell ref="AG9:AW9"/>
    <mergeCell ref="AX9:AZ9"/>
    <mergeCell ref="BA9:BB9"/>
    <mergeCell ref="C1:BB4"/>
    <mergeCell ref="BC1:BE1"/>
    <mergeCell ref="BC2:BE2"/>
    <mergeCell ref="BC3:BE3"/>
    <mergeCell ref="BC4:BE4"/>
  </mergeCells>
  <phoneticPr fontId="9" type="noConversion"/>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Plan de Acción-proyectos</vt:lpstr>
      <vt:lpstr>Plan de Acción-metas</vt:lpstr>
      <vt:lpstr>'Plan de Acción-proyectos'!PA</vt:lpstr>
      <vt:lpstr>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MORON</dc:creator>
  <cp:lastModifiedBy>MONICA</cp:lastModifiedBy>
  <dcterms:created xsi:type="dcterms:W3CDTF">2024-06-03T22:05:35Z</dcterms:created>
  <dcterms:modified xsi:type="dcterms:W3CDTF">2026-02-05T22:41:30Z</dcterms:modified>
</cp:coreProperties>
</file>