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Alcaldía Bga 2025\Seguimiento PDM 2024-2027\Planes de Acción\"/>
    </mc:Choice>
  </mc:AlternateContent>
  <xr:revisionPtr revIDLastSave="0" documentId="13_ncr:1_{C90D9EBF-B1BF-4C60-8FD2-8662A77CF07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lan de Acción-proyectos" sheetId="7" r:id="rId1"/>
    <sheet name="Plan de Acción-metas" sheetId="1" r:id="rId2"/>
  </sheets>
  <externalReferences>
    <externalReference r:id="rId3"/>
  </externalReferences>
  <definedNames>
    <definedName name="_xlnm._FilterDatabase" localSheetId="1" hidden="1">'Plan de Acción-metas'!$A$10:$BE$10</definedName>
    <definedName name="_xlnm._FilterDatabase" localSheetId="0" hidden="1">'Plan de Acción-proyectos'!$A$10:$BE$10</definedName>
    <definedName name="PA" localSheetId="0">'Plan de Acción-proyectos'!$A$9:$BE$17</definedName>
    <definedName name="PA">'Plan de Acción-metas'!$A$9:$BE$14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W18" i="7" l="1"/>
  <c r="AV18" i="7"/>
  <c r="AF18" i="7"/>
  <c r="AF20" i="7" s="1"/>
  <c r="BB17" i="7"/>
  <c r="AU17" i="7"/>
  <c r="AU18" i="7" s="1"/>
  <c r="L17" i="7"/>
  <c r="K17" i="7"/>
  <c r="P17" i="7" s="1"/>
  <c r="AE17" i="7" s="1"/>
  <c r="J17" i="7"/>
  <c r="BB16" i="7"/>
  <c r="P16" i="7"/>
  <c r="AE16" i="7" s="1"/>
  <c r="AZ16" i="7" s="1"/>
  <c r="K16" i="7"/>
  <c r="J16" i="7"/>
  <c r="BB15" i="7"/>
  <c r="AE15" i="7"/>
  <c r="AZ15" i="7" s="1"/>
  <c r="L15" i="7"/>
  <c r="BB14" i="7"/>
  <c r="AE14" i="7"/>
  <c r="AX14" i="7" s="1"/>
  <c r="BB13" i="7"/>
  <c r="AE13" i="7"/>
  <c r="AY13" i="7" s="1"/>
  <c r="BB12" i="7"/>
  <c r="K12" i="7"/>
  <c r="P12" i="7" s="1"/>
  <c r="AE12" i="7" s="1"/>
  <c r="J12" i="7"/>
  <c r="BB11" i="7"/>
  <c r="AE11" i="7"/>
  <c r="M11" i="7"/>
  <c r="L11" i="7"/>
  <c r="AY14" i="7" l="1"/>
  <c r="AZ13" i="7"/>
  <c r="AZ14" i="7"/>
  <c r="AZ12" i="7"/>
  <c r="AX12" i="7"/>
  <c r="AY12" i="7"/>
  <c r="AZ17" i="7"/>
  <c r="AY17" i="7"/>
  <c r="AE18" i="7"/>
  <c r="AE20" i="7" s="1"/>
  <c r="AX17" i="7"/>
  <c r="AX11" i="7"/>
  <c r="AY16" i="7"/>
  <c r="AX15" i="7"/>
  <c r="AX16" i="7"/>
  <c r="AY11" i="7"/>
  <c r="AX13" i="7"/>
  <c r="AY15" i="7"/>
  <c r="AZ11" i="7"/>
  <c r="N14" i="1"/>
  <c r="M14" i="1"/>
  <c r="L14" i="1"/>
  <c r="N13" i="1"/>
  <c r="M13" i="1"/>
  <c r="L13" i="1"/>
  <c r="N12" i="1"/>
  <c r="M12" i="1"/>
  <c r="L12" i="1"/>
  <c r="N11" i="1"/>
  <c r="M11" i="1"/>
  <c r="L11" i="1"/>
  <c r="Q11" i="1" l="1"/>
  <c r="P11" i="1" s="1"/>
  <c r="Q12" i="1"/>
  <c r="P12" i="1" s="1"/>
  <c r="Q13" i="1"/>
  <c r="P13" i="1" s="1"/>
  <c r="Q14" i="1"/>
  <c r="P14" i="1" s="1"/>
  <c r="AV15" i="1"/>
  <c r="AW15" i="1"/>
  <c r="P15" i="1" l="1"/>
  <c r="AU11" i="1" l="1"/>
  <c r="BB11" i="1" s="1"/>
  <c r="AU12" i="1" l="1"/>
  <c r="BB12" i="1" s="1"/>
  <c r="AU13" i="1"/>
  <c r="BB13" i="1" s="1"/>
  <c r="AU14" i="1"/>
  <c r="BB14" i="1" s="1"/>
  <c r="AF11" i="1"/>
  <c r="AF12" i="1"/>
  <c r="AY12" i="1" s="1"/>
  <c r="AF13" i="1"/>
  <c r="AF14" i="1"/>
  <c r="AY14" i="1" s="1"/>
  <c r="AU15" i="1" l="1"/>
  <c r="AF15" i="1"/>
  <c r="AX11" i="1"/>
  <c r="AX13" i="1"/>
  <c r="AZ14" i="1"/>
  <c r="AZ13" i="1"/>
  <c r="AZ12" i="1"/>
  <c r="AZ11" i="1"/>
  <c r="AX14" i="1"/>
  <c r="AY13" i="1"/>
  <c r="AX12" i="1"/>
  <c r="AY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  <author>Usuario</author>
  </authors>
  <commentList>
    <comment ref="J10" authorId="0" shapeId="0" xr:uid="{9E4A0659-7B30-41E5-990E-7DB72B49DAA8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total del proyecto</t>
        </r>
      </text>
    </comment>
    <comment ref="K10" authorId="0" shapeId="0" xr:uid="{B42E41E0-1911-47D3-A876-B4A795E1545F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vigencia 2024 del proyecto</t>
        </r>
      </text>
    </comment>
    <comment ref="L10" authorId="0" shapeId="0" xr:uid="{F89DF2B0-48D5-4BC1-B6C2-E34AE13C0E74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Si es todo el municipio diligenciar "Municipio de Bucaramanga".
De lo contratio relacionar la comuna o barrio específico.</t>
        </r>
      </text>
    </comment>
    <comment ref="M10" authorId="0" shapeId="0" xr:uid="{1E90E1A8-A602-4939-ABAD-28B4720D3055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Enfoque diferencial que apunte directamente el producto.</t>
        </r>
      </text>
    </comment>
    <comment ref="N10" authorId="0" shapeId="0" xr:uid="{94611A83-FF6A-42FE-9260-020A72F31A93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Cuantitativa</t>
        </r>
      </text>
    </comment>
    <comment ref="O10" authorId="0" shapeId="0" xr:uid="{8B7ED87C-158E-4627-B2F3-EBB6D72590F5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De forma general</t>
        </r>
      </text>
    </comment>
    <comment ref="AF12" authorId="1" shapeId="0" xr:uid="{A1418266-B13D-460F-94FB-722C595E7CDC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$66,600,000 Valor del mes de Junio + 18,500,000 valor mes de Julio 
+Valor  mes de Agosto11,100,000
</t>
        </r>
      </text>
    </comment>
  </commentList>
</comments>
</file>

<file path=xl/sharedStrings.xml><?xml version="1.0" encoding="utf-8"?>
<sst xmlns="http://schemas.openxmlformats.org/spreadsheetml/2006/main" count="259" uniqueCount="150">
  <si>
    <t>Responsable</t>
  </si>
  <si>
    <t>Dependencia</t>
  </si>
  <si>
    <t>Actividades Realizadas</t>
  </si>
  <si>
    <t>Número de Beneficiarios</t>
  </si>
  <si>
    <t>Población Beneficiada</t>
  </si>
  <si>
    <t>Comuna o Barrio Beneficiado</t>
  </si>
  <si>
    <t>Valor Vigencia Proyecto</t>
  </si>
  <si>
    <t>Valor del Proyecto</t>
  </si>
  <si>
    <t>Nombre del Proyecto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</si>
  <si>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</si>
  <si>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</si>
  <si>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</si>
  <si>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</si>
  <si>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</si>
  <si>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</si>
  <si>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</si>
  <si>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</si>
  <si>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</si>
  <si>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</si>
  <si>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</si>
  <si>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</si>
  <si>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</si>
  <si>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</si>
  <si>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</si>
  <si>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</si>
  <si>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PROYECTOS DE INVERSION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</si>
  <si>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</si>
  <si>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</si>
  <si>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</si>
  <si>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</si>
  <si>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</si>
  <si>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</si>
  <si>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</si>
  <si>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</si>
  <si>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Código BPIN</t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</si>
  <si>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</si>
  <si>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</si>
  <si>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</si>
  <si>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</si>
  <si>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</si>
  <si>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</si>
  <si>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</si>
  <si>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</si>
  <si>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</si>
  <si>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</si>
  <si>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</si>
  <si>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</si>
  <si>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</si>
  <si>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</si>
  <si>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</si>
  <si>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</si>
  <si>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</si>
  <si>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</si>
  <si>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</si>
  <si>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</si>
  <si>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</si>
  <si>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</si>
  <si>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</si>
  <si>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</si>
  <si>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</si>
  <si>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</si>
  <si>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</si>
  <si>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</si>
  <si>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y sostenible</t>
  </si>
  <si>
    <t>Gobierno territorial</t>
  </si>
  <si>
    <t>4503</t>
  </si>
  <si>
    <t>Gestión del riesgo de desastres y emergencias (4503).</t>
  </si>
  <si>
    <t>4503002</t>
  </si>
  <si>
    <t>Realizar 2 campañas de educación para la prevención y atención de desastres</t>
  </si>
  <si>
    <t>4503015</t>
  </si>
  <si>
    <t>Construir una (1) estación de Bomberos en el municipio.</t>
  </si>
  <si>
    <t>4503014</t>
  </si>
  <si>
    <t>Adecuar 3 estaciones de bomberos en el municipio.</t>
  </si>
  <si>
    <t>4503016</t>
  </si>
  <si>
    <t xml:space="preserve">Fortalecer un (1) cuerpo de bomberos en el municipio. </t>
  </si>
  <si>
    <t xml:space="preserve">FORMACIÓN DEL PERSONAL ADMINISTRATIVO Y OPERATIVO EN CUMPLIMIENTO AL PLAN INSTITUCIONAL DE CAPACITACIÓN DEL CUERPO OFICIAL DE BOMBEROS DE BUCARAMANGA. </t>
  </si>
  <si>
    <t>FORMACIÓN Y CONCIENTIZACIÓN EN PREVENCIÓN DEL RIESGO DIRIGIDO AL PROGRAMA BOMBERITOS Y BRIGADISTAS PARA LA CIUDAD DE BUCARAMANGA</t>
  </si>
  <si>
    <t>Zona Urbana y rural</t>
  </si>
  <si>
    <t>Infancia y adolescencia</t>
  </si>
  <si>
    <t>CONSTRUCCIÓN DE LA SUB ESTACIÓN EN LA ZONA NORTE DE BUCARAMANGA PARA EL CUERPO OFICIAL DE BOMBEROS DE BUCARAMANGA</t>
  </si>
  <si>
    <t>ADECUACIÓN DE LA PLANTA FÍSICA DE LA ESTACIÓN CENTRAL, EDIFICIO ADMINISTRATIVO Y SUB ESTACIONES DEL CUERPO OFICIAL DE BOMBEROS DE BUCARAMANGA</t>
  </si>
  <si>
    <t>FORTALECIMIENTO DEL COMPONENTE TECNOLÓGICO DEL CUERPO OFICIAL DE BOMBEROS DE BUCARAMANGA</t>
  </si>
  <si>
    <t>MODERNIZACIÓN INSTITUCIONAL DEL CUERPO OFICIAL DE BOMBEROS DE BUCARAMANGA</t>
  </si>
  <si>
    <t>MANTENIMIENTO Y ADQUISICIÓN DE EQUIPOS ESPECIALIZADOS, EQUIPOS, HERRAMIENTAS Y ACCESORIOS (HEAS) Y EQUIPOS DE  TELECOMUNICACIONES PARA EL CUERPO OFICIAL DE BOMBEROS DE BUCARAMANGA</t>
  </si>
  <si>
    <t>Bomberos de Bucaramanga</t>
  </si>
  <si>
    <t>DIEGO ORLANDO RODRIGUEZ ORTIZ</t>
  </si>
  <si>
    <t>Número de campañas de educación para la prevención y atención de desastres desarrolladas (450300201)</t>
  </si>
  <si>
    <t>Número</t>
  </si>
  <si>
    <t>Estaciones de bomberos construidas (450301500)</t>
  </si>
  <si>
    <t>Estaciones de bomberos adecuadas (450301400)</t>
  </si>
  <si>
    <t>Organismos de atención de emergencias fortalecidos (450301600)</t>
  </si>
  <si>
    <t>Versión:3.0</t>
  </si>
  <si>
    <t>Fecha aprobación: Abril 10 de 2025</t>
  </si>
  <si>
    <t>Página: 1 de 2</t>
  </si>
  <si>
    <t>Página: 2 de 2</t>
  </si>
  <si>
    <t>Recursos propios 2025</t>
  </si>
  <si>
    <t>Se realizo el proceso Contractual para la Adquisición de los equipos</t>
  </si>
  <si>
    <t>Se dio inicio a la etapa de Actulizacion de la definicion del alcance y la viabilidd-Etapa de alistamiento y Actualizacion del Diagnostico</t>
  </si>
  <si>
    <t>Area de Operaciones Bomberos</t>
  </si>
  <si>
    <t>Publicacion en la Tienda Virtual de las necesidades de la entidad</t>
  </si>
  <si>
    <t>Area Administrativa y Operativa</t>
  </si>
  <si>
    <t>Toda la poblacion de Bucaramanga</t>
  </si>
  <si>
    <t>Ciudad de Bucaramanga</t>
  </si>
  <si>
    <t>Toda la poblacion de las comunas 1 y 2</t>
  </si>
  <si>
    <t xml:space="preserve">Comuna 1 y 2 </t>
  </si>
  <si>
    <t>Se dio inicio a las capacitaciones del programa "Bomberitos" según cronograma de actividades estipulado para la vigencia</t>
  </si>
  <si>
    <t>Total Recursos Comprometido 2025</t>
  </si>
  <si>
    <t>Otros 20252</t>
  </si>
  <si>
    <t>Transferencias de capital - cofinanciación nación 20252</t>
  </si>
  <si>
    <t>Transferencias de capital - cofinanciación departamento 20252</t>
  </si>
  <si>
    <t>Crédito 20252</t>
  </si>
  <si>
    <t>SGP APSB 20252</t>
  </si>
  <si>
    <t>SGP Municipios río Magdalena 20252</t>
  </si>
  <si>
    <t>SGP Alimentación escolar 20252</t>
  </si>
  <si>
    <t>SGP Libre destinación 20252</t>
  </si>
  <si>
    <t>SGP Libre inversión 20252</t>
  </si>
  <si>
    <t>SGP Cultura 20252</t>
  </si>
  <si>
    <t>SGP Deporte 20252</t>
  </si>
  <si>
    <t>SGP Salud 20252</t>
  </si>
  <si>
    <t>SGP Educación 20252</t>
  </si>
  <si>
    <t>Recursos propios 2.025</t>
  </si>
  <si>
    <t>Otros 2025</t>
  </si>
  <si>
    <t>Transferencias de capital - cofinanciación nación 2025</t>
  </si>
  <si>
    <t>Transferencias de capital - cofinanciación departamento 2025</t>
  </si>
  <si>
    <t>Crédito 2025</t>
  </si>
  <si>
    <t>SGP APSB 2025</t>
  </si>
  <si>
    <t>SGP Municipios río Magdalena 2025</t>
  </si>
  <si>
    <t>SGP Alimentación escolar 2025</t>
  </si>
  <si>
    <t>SGP Libre destinación 2025</t>
  </si>
  <si>
    <t>SGP Libre inversión 2025</t>
  </si>
  <si>
    <t>SGP Cultura 2025</t>
  </si>
  <si>
    <t>SGP Deporte 2025</t>
  </si>
  <si>
    <t>SGP Salud 2025</t>
  </si>
  <si>
    <t>SGP Educación 2025</t>
  </si>
  <si>
    <t>(Control Interno)</t>
  </si>
  <si>
    <t>Total 2025 ( PPTO DEFINITIVO)</t>
  </si>
  <si>
    <t xml:space="preserve">Se efectuó firma de convenio con el Cuerpo de Bomberos Voluntarios de Cali para dar cumplimiento al PIC 2025, en donde capacitaran 130 unidades oeprativas </t>
  </si>
  <si>
    <t>JORGE EDUARDO VILLAREAL CAPACHO</t>
  </si>
  <si>
    <t>Total 2025</t>
  </si>
  <si>
    <t>SGP Salud 20254</t>
  </si>
  <si>
    <t>SGP Deporte 20255</t>
  </si>
  <si>
    <t>SGP Cultura 20256</t>
  </si>
  <si>
    <t>SGP Libre inversión 20257</t>
  </si>
  <si>
    <t>SGP Libre destinación 20258</t>
  </si>
  <si>
    <t>SGP Alimentación escolar 20259</t>
  </si>
  <si>
    <t>SGP APSB 202511</t>
  </si>
  <si>
    <t>Crédito 202512</t>
  </si>
  <si>
    <t>Transferencias de capital - cofinanciación departamento 202513</t>
  </si>
  <si>
    <t>Transferencias de capital - cofinanciación nación 202514</t>
  </si>
  <si>
    <t>Otros 202515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</si>
</sst>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5" formatCode="_-&quot;$&quot;\ * #,##0.00_-;\-&quot;$&quot;\ * #,##0.00_-;_-&quot;$&quot;\ * &quot;-&quot;??_-;_-@"/>
    <numFmt numFmtId="166" formatCode="_-[$$-240A]\ * #,##0.00_-;\-[$$-240A]\ * #,##0.00_-;_-[$$-240A]\ * &quot;-&quot;??_-;_-@"/>
    <numFmt numFmtId="167" formatCode="&quot;$&quot;#,##0.00_);[Red]\(&quot;$&quot;#,##0.00\)"/>
    <numFmt numFmtId="168" formatCode="&quot;$&quot;\ #,##0.00"/>
    <numFmt numFmtId="169" formatCode="_-&quot;$&quot;* #,##0_-;\-&quot;$&quot;* #,##0_-;_-&quot;$&quot;* &quot;-&quot;_-;_-@_-"/>
    <numFmt numFmtId="170" formatCode="_(&quot;$&quot;* #,##0_);_(&quot;$&quot;* \(#,##0\);_(&quot;$&quot;* &quot;-&quot;??_);_(@_)"/>
  </numFmts>
  <fonts count="1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9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9" fontId="13" fillId="0" borderId="1" xfId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 wrapText="1"/>
      <protection locked="0"/>
    </xf>
    <xf numFmtId="9" fontId="13" fillId="0" borderId="21" xfId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14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9" fontId="13" fillId="0" borderId="1" xfId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3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3" fillId="3" borderId="21" xfId="1" applyFont="1" applyFill="1" applyBorder="1" applyAlignment="1">
      <alignment horizontal="center" vertical="center" wrapText="1"/>
    </xf>
    <xf numFmtId="9" fontId="13" fillId="0" borderId="21" xfId="1" applyFont="1" applyBorder="1" applyAlignment="1">
      <alignment horizontal="center" vertical="center"/>
    </xf>
    <xf numFmtId="164" fontId="14" fillId="0" borderId="21" xfId="0" applyNumberFormat="1" applyFont="1" applyBorder="1" applyAlignment="1" applyProtection="1">
      <alignment horizontal="center" vertical="center" wrapText="1"/>
      <protection locked="0"/>
    </xf>
    <xf numFmtId="164" fontId="14" fillId="0" borderId="21" xfId="0" applyNumberFormat="1" applyFont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/>
      <protection locked="0"/>
    </xf>
    <xf numFmtId="9" fontId="13" fillId="0" borderId="21" xfId="1" applyFont="1" applyBorder="1" applyAlignment="1" applyProtection="1">
      <alignment horizontal="center" vertical="center"/>
      <protection locked="0"/>
    </xf>
    <xf numFmtId="9" fontId="13" fillId="0" borderId="8" xfId="1" applyFont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" fontId="16" fillId="0" borderId="20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" fontId="16" fillId="0" borderId="20" xfId="0" applyNumberFormat="1" applyFont="1" applyBorder="1" applyAlignment="1">
      <alignment horizontal="center" vertical="center"/>
    </xf>
    <xf numFmtId="164" fontId="13" fillId="0" borderId="8" xfId="0" applyNumberFormat="1" applyFont="1" applyBorder="1" applyAlignment="1" applyProtection="1">
      <alignment horizontal="center" vertical="center" wrapText="1"/>
      <protection locked="0"/>
    </xf>
    <xf numFmtId="164" fontId="13" fillId="0" borderId="8" xfId="0" applyNumberFormat="1" applyFont="1" applyBorder="1" applyAlignment="1" applyProtection="1">
      <alignment horizontal="center" vertical="center"/>
      <protection locked="0"/>
    </xf>
    <xf numFmtId="164" fontId="13" fillId="0" borderId="10" xfId="1" applyNumberFormat="1" applyFont="1" applyBorder="1" applyAlignment="1" applyProtection="1">
      <alignment horizontal="center" vertical="center" wrapText="1"/>
      <protection locked="0"/>
    </xf>
    <xf numFmtId="164" fontId="13" fillId="0" borderId="10" xfId="1" applyNumberFormat="1" applyFont="1" applyBorder="1" applyAlignment="1" applyProtection="1">
      <alignment horizontal="center" vertical="center"/>
      <protection locked="0"/>
    </xf>
    <xf numFmtId="164" fontId="13" fillId="0" borderId="10" xfId="1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/>
    </xf>
    <xf numFmtId="167" fontId="13" fillId="0" borderId="48" xfId="0" applyNumberFormat="1" applyFont="1" applyBorder="1" applyAlignment="1" applyProtection="1">
      <alignment horizontal="center" vertical="center"/>
      <protection locked="0"/>
    </xf>
    <xf numFmtId="164" fontId="13" fillId="0" borderId="49" xfId="0" applyNumberFormat="1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>
      <alignment horizontal="center" vertical="center"/>
    </xf>
    <xf numFmtId="0" fontId="13" fillId="0" borderId="48" xfId="0" applyFont="1" applyBorder="1" applyAlignment="1" applyProtection="1">
      <alignment horizontal="center" vertical="center"/>
      <protection locked="0"/>
    </xf>
    <xf numFmtId="9" fontId="13" fillId="0" borderId="49" xfId="0" applyNumberFormat="1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9" fontId="13" fillId="0" borderId="48" xfId="0" applyNumberFormat="1" applyFont="1" applyBorder="1" applyAlignment="1" applyProtection="1">
      <alignment horizontal="center" vertical="center"/>
      <protection locked="0"/>
    </xf>
    <xf numFmtId="9" fontId="14" fillId="4" borderId="49" xfId="0" applyNumberFormat="1" applyFont="1" applyFill="1" applyBorder="1" applyAlignment="1">
      <alignment horizontal="center" vertical="center"/>
    </xf>
    <xf numFmtId="164" fontId="14" fillId="4" borderId="49" xfId="0" applyNumberFormat="1" applyFont="1" applyFill="1" applyBorder="1" applyAlignment="1" applyProtection="1">
      <alignment horizontal="center" vertical="center"/>
      <protection locked="0"/>
    </xf>
    <xf numFmtId="164" fontId="16" fillId="0" borderId="1" xfId="2" applyFont="1" applyBorder="1" applyAlignment="1">
      <alignment horizontal="center" vertical="center"/>
    </xf>
    <xf numFmtId="168" fontId="13" fillId="0" borderId="1" xfId="0" applyNumberFormat="1" applyFont="1" applyBorder="1" applyAlignment="1" applyProtection="1">
      <alignment horizontal="center" vertical="center" wrapText="1"/>
      <protection locked="0"/>
    </xf>
    <xf numFmtId="10" fontId="13" fillId="0" borderId="21" xfId="1" applyNumberFormat="1" applyFont="1" applyBorder="1" applyAlignment="1" applyProtection="1">
      <alignment horizontal="center" vertical="center"/>
      <protection locked="0"/>
    </xf>
    <xf numFmtId="10" fontId="13" fillId="0" borderId="1" xfId="1" applyNumberFormat="1" applyFont="1" applyBorder="1" applyAlignment="1" applyProtection="1">
      <alignment horizontal="center" vertical="center"/>
      <protection locked="0"/>
    </xf>
    <xf numFmtId="10" fontId="13" fillId="0" borderId="20" xfId="1" applyNumberFormat="1" applyFont="1" applyBorder="1" applyAlignment="1" applyProtection="1">
      <alignment horizontal="center" vertical="center"/>
      <protection locked="0"/>
    </xf>
    <xf numFmtId="168" fontId="13" fillId="0" borderId="8" xfId="0" applyNumberFormat="1" applyFont="1" applyBorder="1" applyAlignment="1" applyProtection="1">
      <alignment horizontal="center" vertical="center"/>
      <protection locked="0"/>
    </xf>
    <xf numFmtId="168" fontId="13" fillId="0" borderId="21" xfId="0" applyNumberFormat="1" applyFont="1" applyBorder="1" applyAlignment="1" applyProtection="1">
      <alignment horizontal="center" vertical="center"/>
      <protection locked="0"/>
    </xf>
    <xf numFmtId="168" fontId="16" fillId="0" borderId="20" xfId="0" applyNumberFormat="1" applyFont="1" applyBorder="1" applyAlignment="1">
      <alignment horizontal="center" vertical="center" wrapText="1"/>
    </xf>
    <xf numFmtId="10" fontId="13" fillId="0" borderId="21" xfId="1" applyNumberFormat="1" applyFont="1" applyFill="1" applyBorder="1" applyAlignment="1" applyProtection="1">
      <alignment horizontal="center" vertical="center"/>
      <protection locked="0"/>
    </xf>
    <xf numFmtId="10" fontId="13" fillId="0" borderId="1" xfId="1" applyNumberFormat="1" applyFont="1" applyFill="1" applyBorder="1" applyAlignment="1" applyProtection="1">
      <alignment horizontal="center" vertical="center"/>
      <protection locked="0"/>
    </xf>
    <xf numFmtId="10" fontId="13" fillId="0" borderId="20" xfId="1" applyNumberFormat="1" applyFont="1" applyFill="1" applyBorder="1" applyAlignment="1" applyProtection="1">
      <alignment horizontal="center" vertical="center"/>
      <protection locked="0"/>
    </xf>
    <xf numFmtId="10" fontId="13" fillId="0" borderId="21" xfId="1" applyNumberFormat="1" applyFont="1" applyBorder="1" applyAlignment="1" applyProtection="1">
      <alignment horizontal="center" vertical="center" wrapText="1"/>
      <protection locked="0"/>
    </xf>
    <xf numFmtId="10" fontId="13" fillId="0" borderId="1" xfId="1" applyNumberFormat="1" applyFont="1" applyBorder="1" applyAlignment="1" applyProtection="1">
      <alignment horizontal="center" vertical="center" wrapText="1"/>
      <protection locked="0"/>
    </xf>
    <xf numFmtId="10" fontId="13" fillId="0" borderId="20" xfId="1" applyNumberFormat="1" applyFont="1" applyBorder="1" applyAlignment="1" applyProtection="1">
      <alignment horizontal="center" vertical="center" wrapText="1"/>
      <protection locked="0"/>
    </xf>
    <xf numFmtId="168" fontId="13" fillId="0" borderId="8" xfId="0" applyNumberFormat="1" applyFont="1" applyBorder="1" applyAlignment="1" applyProtection="1">
      <alignment horizontal="center" vertical="center" wrapText="1"/>
      <protection locked="0"/>
    </xf>
    <xf numFmtId="168" fontId="13" fillId="0" borderId="21" xfId="0" applyNumberFormat="1" applyFont="1" applyBorder="1" applyAlignment="1" applyProtection="1">
      <alignment horizontal="center" vertical="center" wrapText="1"/>
      <protection locked="0"/>
    </xf>
    <xf numFmtId="168" fontId="13" fillId="0" borderId="20" xfId="0" applyNumberFormat="1" applyFont="1" applyBorder="1" applyAlignment="1" applyProtection="1">
      <alignment horizontal="center" vertical="center" wrapText="1"/>
      <protection locked="0"/>
    </xf>
    <xf numFmtId="168" fontId="13" fillId="0" borderId="20" xfId="5" applyNumberFormat="1" applyFont="1" applyBorder="1" applyAlignment="1" applyProtection="1">
      <alignment horizontal="center" vertical="center"/>
      <protection locked="0"/>
    </xf>
    <xf numFmtId="168" fontId="13" fillId="0" borderId="20" xfId="0" applyNumberFormat="1" applyFont="1" applyBorder="1" applyAlignment="1" applyProtection="1">
      <alignment horizontal="center" vertical="center"/>
      <protection locked="0"/>
    </xf>
    <xf numFmtId="168" fontId="13" fillId="0" borderId="1" xfId="0" applyNumberFormat="1" applyFont="1" applyBorder="1" applyAlignment="1" applyProtection="1">
      <alignment horizontal="center" vertical="center"/>
      <protection locked="0"/>
    </xf>
    <xf numFmtId="168" fontId="3" fillId="0" borderId="1" xfId="0" applyNumberFormat="1" applyFont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168" fontId="3" fillId="0" borderId="49" xfId="0" applyNumberFormat="1" applyFont="1" applyBorder="1" applyAlignment="1" applyProtection="1">
      <alignment horizontal="center" vertical="center"/>
      <protection locked="0"/>
    </xf>
    <xf numFmtId="168" fontId="2" fillId="4" borderId="49" xfId="0" applyNumberFormat="1" applyFont="1" applyFill="1" applyBorder="1" applyAlignment="1" applyProtection="1">
      <alignment horizontal="center" vertical="center"/>
      <protection locked="0"/>
    </xf>
    <xf numFmtId="10" fontId="3" fillId="0" borderId="48" xfId="0" applyNumberFormat="1" applyFont="1" applyBorder="1" applyAlignment="1" applyProtection="1">
      <alignment horizontal="center" vertical="center"/>
      <protection locked="0"/>
    </xf>
    <xf numFmtId="10" fontId="3" fillId="0" borderId="49" xfId="0" applyNumberFormat="1" applyFont="1" applyBorder="1" applyAlignment="1" applyProtection="1">
      <alignment horizontal="center" vertical="center"/>
      <protection locked="0"/>
    </xf>
    <xf numFmtId="164" fontId="3" fillId="0" borderId="49" xfId="0" applyNumberFormat="1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>
      <alignment horizontal="center" vertical="center" wrapText="1"/>
    </xf>
    <xf numFmtId="170" fontId="2" fillId="0" borderId="0" xfId="2" applyNumberFormat="1" applyFont="1" applyFill="1" applyAlignment="1">
      <alignment horizontal="center" vertical="center"/>
    </xf>
    <xf numFmtId="170" fontId="2" fillId="0" borderId="0" xfId="2" applyNumberFormat="1" applyFont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168" fontId="16" fillId="5" borderId="20" xfId="0" applyNumberFormat="1" applyFont="1" applyFill="1" applyBorder="1" applyAlignment="1">
      <alignment horizontal="center" vertical="center" wrapText="1"/>
    </xf>
    <xf numFmtId="168" fontId="13" fillId="5" borderId="1" xfId="0" applyNumberFormat="1" applyFont="1" applyFill="1" applyBorder="1" applyAlignment="1" applyProtection="1">
      <alignment horizontal="center" vertical="center"/>
      <protection locked="0"/>
    </xf>
    <xf numFmtId="168" fontId="13" fillId="5" borderId="21" xfId="0" applyNumberFormat="1" applyFont="1" applyFill="1" applyBorder="1" applyAlignment="1" applyProtection="1">
      <alignment horizontal="center" vertical="center"/>
      <protection locked="0"/>
    </xf>
    <xf numFmtId="168" fontId="13" fillId="6" borderId="1" xfId="0" applyNumberFormat="1" applyFont="1" applyFill="1" applyBorder="1" applyAlignment="1" applyProtection="1">
      <alignment horizontal="center" vertical="center"/>
      <protection locked="0"/>
    </xf>
    <xf numFmtId="168" fontId="13" fillId="6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6" xfId="0" applyFont="1" applyBorder="1" applyAlignment="1">
      <alignment vertical="center"/>
    </xf>
  </cellXfs>
  <cellStyles count="8">
    <cellStyle name="Moneda" xfId="2" builtinId="4"/>
    <cellStyle name="Moneda [0] 2" xfId="4" xr:uid="{7AFF913C-E07A-451A-8BAE-67919123C77A}"/>
    <cellStyle name="Moneda 2" xfId="3" xr:uid="{D49BB9E8-EB84-4D74-9221-E36F791F60A4}"/>
    <cellStyle name="Moneda 3" xfId="5" xr:uid="{539FBF53-8DED-4159-827C-C4F1E7767E62}"/>
    <cellStyle name="Moneda 4" xfId="6" xr:uid="{B5FBC21D-61B9-4FBE-A79C-6D5F10280740}"/>
    <cellStyle name="Moneda 5" xfId="7" xr:uid="{E23932C7-8574-42B4-AC57-6E7E8ADC3AA8}"/>
    <cellStyle name="Normal" xfId="0" builtinId="0"/>
    <cellStyle name="Porcentaje" xfId="1" builtinId="5"/>
  </cellStyles>
  <dxfs count="2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&quot;$&quot;#,##0.00_);[Red]\(&quot;$&quot;#,##0.00\)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237"/>
    </tableStyle>
    <tableStyle name="Estilo de tabla 4" pivot="0" count="1" xr9:uid="{00000000-0011-0000-FFFF-FFFF03000000}">
      <tableStyleElement type="firstRowStripe" dxfId="2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1809750</xdr:colOff>
      <xdr:row>0</xdr:row>
      <xdr:rowOff>222249</xdr:rowOff>
    </xdr:from>
    <xdr:to>
      <xdr:col>1</xdr:col>
      <xdr:colOff>1111250</xdr:colOff>
      <xdr:row>3</xdr:row>
      <xdr:rowOff>146680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BB4692-054A-48D8-9974-FE0D4ED5D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22249"/>
          <a:ext cx="1130300" cy="1067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507313-7D77-4313-9CD8-9C2E3F03D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39">
          <cell r="T39">
            <v>2</v>
          </cell>
          <cell r="W39">
            <v>2</v>
          </cell>
          <cell r="AC39" t="str">
            <v>No Acumulativa</v>
          </cell>
        </row>
        <row r="295">
          <cell r="T295">
            <v>1</v>
          </cell>
          <cell r="W295">
            <v>0</v>
          </cell>
          <cell r="AC295" t="str">
            <v>Acumulativa</v>
          </cell>
        </row>
        <row r="296">
          <cell r="T296">
            <v>3</v>
          </cell>
          <cell r="W296">
            <v>1</v>
          </cell>
          <cell r="AC296" t="str">
            <v>Acumulativa</v>
          </cell>
        </row>
        <row r="297">
          <cell r="T297">
            <v>1</v>
          </cell>
          <cell r="W297">
            <v>1</v>
          </cell>
          <cell r="AC297" t="str">
            <v>No Acumulativa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15F0FC-2E5C-4A1A-8142-CD3CC5506055}" name="Tabla13" displayName="Tabla13" ref="A10:BE18" totalsRowCount="1" headerRowDxfId="235" dataDxfId="233" headerRowBorderDxfId="234" tableBorderDxfId="232">
  <autoFilter ref="A10:BE17" xr:uid="{00000000-0009-0000-0100-000002000000}"/>
  <tableColumns count="57">
    <tableColumn id="1" xr3:uid="{69479152-561F-42A8-98C2-60FE89D5B6A2}" name=" Consecutivo PDM" dataDxfId="231" totalsRowDxfId="230"/>
    <tableColumn id="2" xr3:uid="{455C1288-2829-4225-AE2E-8F0BA06495E6}" name="Linea Estratégica" dataDxfId="229" totalsRowDxfId="228"/>
    <tableColumn id="5" xr3:uid="{4ED7CD03-6D0B-42B4-817C-AC829ABFC3D8}" name="Sector" dataDxfId="227" totalsRowDxfId="226"/>
    <tableColumn id="14" xr3:uid="{82B495B9-C9A6-412B-B6EC-A30722A6FF3E}" name="Cod. Programa" dataDxfId="225" totalsRowDxfId="224"/>
    <tableColumn id="15" xr3:uid="{DFDE707D-8DFA-40F1-B624-E22AFFFBFEC8}" name="Programa" dataDxfId="223" totalsRowDxfId="222"/>
    <tableColumn id="16" xr3:uid="{A1699BBB-9B72-4495-B7D8-E4802FC470B5}" name="Cod. de Producto" dataDxfId="221" totalsRowDxfId="220"/>
    <tableColumn id="17" xr3:uid="{AB6309E2-FF0A-410D-9338-274D250CA141}" name="Meta de Producto" dataDxfId="219" totalsRowDxfId="218"/>
    <tableColumn id="28" xr3:uid="{EF3E14E4-CC98-4541-94D7-EEF1181AA6BD}" name="Código BPIN" dataDxfId="217" totalsRowDxfId="216"/>
    <tableColumn id="29" xr3:uid="{6690A9F5-3DD4-479A-A342-E2231FBD8D9B}" name="Nombre del Proyecto" dataDxfId="215" totalsRowDxfId="214"/>
    <tableColumn id="30" xr3:uid="{C1D9E3BA-D0D1-42CB-9944-0C94752277D9}" name="Valor del Proyecto" dataDxfId="213" totalsRowDxfId="212"/>
    <tableColumn id="31" xr3:uid="{7D3FD1C8-E8A3-4F44-986D-BDAD01A844DA}" name="Valor Vigencia Proyecto" dataDxfId="211" totalsRowDxfId="210"/>
    <tableColumn id="32" xr3:uid="{7FAD9BF3-3A89-4B71-9FE8-8180D37A9121}" name="Comuna o Barrio Beneficiado" dataDxfId="209" totalsRowDxfId="208"/>
    <tableColumn id="33" xr3:uid="{B77B5490-7000-4063-8C7D-C12D0746CB7A}" name="Población Beneficiada" dataDxfId="207" totalsRowDxfId="206"/>
    <tableColumn id="34" xr3:uid="{62DCC4DE-97EA-4384-A7ED-D5A1197C9E5E}" name="Número de Beneficiarios" dataDxfId="205" totalsRowDxfId="204"/>
    <tableColumn id="44" xr3:uid="{75BA4717-2A0F-40B3-83CC-EC3FA08FC76D}" name="Actividades Realizadas" dataDxfId="203" totalsRowDxfId="202"/>
    <tableColumn id="46" xr3:uid="{A5DFE6C1-CEDF-4782-B1C5-EA8DF13E699F}" name="Recursos propios 2025" dataDxfId="201" totalsRowDxfId="200"/>
    <tableColumn id="47" xr3:uid="{744A3398-FC3E-4C45-BF97-547909728392}" name="SGP Educación 2025" dataDxfId="199" totalsRowDxfId="198"/>
    <tableColumn id="48" xr3:uid="{68350077-C426-4630-917A-90F0ED80AE59}" name="SGP Salud 2025" dataDxfId="197" totalsRowDxfId="196"/>
    <tableColumn id="36" xr3:uid="{2C50505D-403B-471E-8DEF-507919286B5A}" name="SGP Deporte 2025" dataDxfId="195" totalsRowDxfId="194"/>
    <tableColumn id="35" xr3:uid="{91469A60-A3AF-4731-AB62-C5117FB78696}" name="SGP Cultura 2025" dataDxfId="193" totalsRowDxfId="192"/>
    <tableColumn id="13" xr3:uid="{801D12F5-F957-4D26-A6AE-38334A44A477}" name="SGP Libre inversión 2025" dataDxfId="191" totalsRowDxfId="190"/>
    <tableColumn id="12" xr3:uid="{634E5497-0314-4C65-996B-0387C557D2F0}" name="SGP Libre destinación 2025" dataDxfId="189" totalsRowDxfId="188"/>
    <tableColumn id="11" xr3:uid="{079F13E7-C077-459D-B2A9-94B3AA6CA294}" name="SGP Alimentación escolar 2025" dataDxfId="187" totalsRowDxfId="186"/>
    <tableColumn id="10" xr3:uid="{420EA32B-71C5-42FE-B60F-C256C2C01ACC}" name="SGP Municipios río Magdalena 2025" dataDxfId="185" totalsRowDxfId="184"/>
    <tableColumn id="9" xr3:uid="{2B9F410D-2042-4929-9CC5-06DCDB8BCAED}" name="SGP APSB 2025" dataDxfId="183" totalsRowDxfId="182"/>
    <tableColumn id="8" xr3:uid="{AC68CD87-E859-4C52-B443-03054FF3882F}" name="Crédito 2025" dataDxfId="181" totalsRowDxfId="180"/>
    <tableColumn id="7" xr3:uid="{3DAF7B04-D83E-404F-84E5-741674FC5565}" name="Transferencias de capital - cofinanciación departamento 2025" dataDxfId="179" totalsRowDxfId="178"/>
    <tableColumn id="6" xr3:uid="{DD879039-2275-4206-96F6-62AF73D64879}" name="Transferencias de capital - cofinanciación nación 2025" dataDxfId="177" totalsRowDxfId="176"/>
    <tableColumn id="49" xr3:uid="{9A04824A-1339-4EEC-95C3-68553EF1E4B9}" name="Otros 2025" dataDxfId="175" totalsRowDxfId="174"/>
    <tableColumn id="3" xr3:uid="{2FEC89E1-1155-4635-8EF6-CD6E8DA3F725}" name="Recursos del Balance" dataDxfId="173" totalsRowDxfId="172"/>
    <tableColumn id="50" xr3:uid="{7BC3B736-14F6-444D-BA37-680CA47D3FFE}" name="Total 2025 ( PPTO DEFINITIVO)" totalsRowFunction="sum" dataDxfId="171" totalsRowDxfId="170">
      <calculatedColumnFormula>SUM(Tabla13[[#This Row],[Recursos propios 2025]:[Recursos del Balance]])</calculatedColumnFormula>
    </tableColumn>
    <tableColumn id="51" xr3:uid="{59BEE581-1237-4D0F-9156-48080A013F5F}" name="Recursos propios 2.025" totalsRowFunction="sum" dataDxfId="169" totalsRowDxfId="168"/>
    <tableColumn id="52" xr3:uid="{755C8619-461A-41AE-8502-1B713D86F662}" name="SGP Educación 20252" dataDxfId="167" totalsRowDxfId="166"/>
    <tableColumn id="53" xr3:uid="{D3FFBD25-4F82-45B0-BFB8-279064C251CA}" name="SGP Salud 20252" dataDxfId="165" totalsRowDxfId="164"/>
    <tableColumn id="62" xr3:uid="{D8A01DFA-FC38-46E6-A1C3-9E2117493299}" name="SGP Deporte 20252" dataDxfId="163" totalsRowDxfId="162"/>
    <tableColumn id="61" xr3:uid="{7D4CF39A-A3CE-4619-9202-4CBFCD16575E}" name="SGP Cultura 20252" dataDxfId="161" totalsRowDxfId="160"/>
    <tableColumn id="45" xr3:uid="{8BF80C9A-79E9-4C3B-A15A-3AB35B53F91A}" name="SGP Libre inversión 20252" dataDxfId="159" totalsRowDxfId="158"/>
    <tableColumn id="43" xr3:uid="{A7B5F8E4-4120-4AAE-8798-446752010423}" name="SGP Libre destinación 20252" dataDxfId="157" totalsRowDxfId="156"/>
    <tableColumn id="42" xr3:uid="{F6B08CE5-C4B9-4121-A3CC-51777622564E}" name="SGP Alimentación escolar 20252" dataDxfId="155" totalsRowDxfId="154"/>
    <tableColumn id="41" xr3:uid="{87DEB538-77AF-4864-AFA7-1280825074C9}" name="SGP Municipios río Magdalena 20252" dataDxfId="153" totalsRowDxfId="152"/>
    <tableColumn id="40" xr3:uid="{E6C079B4-9D62-4952-80D2-C74D9F1E2D86}" name="SGP APSB 20252" dataDxfId="151" totalsRowDxfId="150"/>
    <tableColumn id="39" xr3:uid="{7FF9E72E-21AA-4F74-A9D8-D7B1FC406B6D}" name="Crédito 20252" dataDxfId="149" totalsRowDxfId="148"/>
    <tableColumn id="38" xr3:uid="{88E67CE5-4BB3-4D33-87FC-9A054B995646}" name="Transferencias de capital - cofinanciación departamento 20252" dataDxfId="147" totalsRowDxfId="146"/>
    <tableColumn id="37" xr3:uid="{1C292D5B-A9C2-4E96-B89A-487DF512818A}" name="Transferencias de capital - cofinanciación nación 20252" dataDxfId="145" totalsRowDxfId="144"/>
    <tableColumn id="54" xr3:uid="{6277F30A-EC6F-41F4-8CB3-F853440809E8}" name="Otros 20252" dataDxfId="143" totalsRowDxfId="142"/>
    <tableColumn id="4" xr3:uid="{B7208E84-0CFE-4EAC-9A65-54156E2590DA}" name="Recursos del Balance2" dataDxfId="141" totalsRowDxfId="140"/>
    <tableColumn id="55" xr3:uid="{4F30471F-1B9A-4FCE-99BD-0F05237ACF82}" name="Total Recursos Comprometido 2025" totalsRowFunction="sum" dataDxfId="139" totalsRowDxfId="138">
      <calculatedColumnFormula>SUM(Tabla13[[#This Row],[Recursos propios 2.025]:[Recursos del Balance2]])</calculatedColumnFormula>
    </tableColumn>
    <tableColumn id="20" xr3:uid="{11161D7A-5EB5-4864-855C-1222D0527515}" name="Total Recursos Obligados" totalsRowFunction="sum" dataDxfId="137" totalsRowDxfId="136"/>
    <tableColumn id="21" xr3:uid="{FEC0F1CF-1770-4BED-9366-216704B4B2C7}" name="Total Recursos Pagados" totalsRowFunction="sum" dataDxfId="135" totalsRowDxfId="134"/>
    <tableColumn id="56" xr3:uid="{9C884AB0-767C-426D-A33D-B7C3ED4ADE13}" name="Ejecución Recursos Comprometidos" dataDxfId="133" totalsRowDxfId="132">
      <calculatedColumnFormula>+Tabla13[[#This Row],[Total Recursos Comprometido 2025]]/Tabla13[[#This Row],[Total 2025 ( PPTO DEFINITIVO)]]</calculatedColumnFormula>
    </tableColumn>
    <tableColumn id="24" xr3:uid="{647CFA30-105B-4887-ABA1-70BBEB13D681}" name="Ejecución Recursos Obligados" dataDxfId="131" totalsRowDxfId="130">
      <calculatedColumnFormula>+Tabla13[[#This Row],[Total Recursos Obligados]]/Tabla13[[#This Row],[Total 2025 ( PPTO DEFINITIVO)]]</calculatedColumnFormula>
    </tableColumn>
    <tableColumn id="23" xr3:uid="{2ED2EE86-6A05-432E-991C-D068857F3FC7}" name="Ejecución Recursos Pagados" dataDxfId="129" totalsRowDxfId="128">
      <calculatedColumnFormula>+Tabla13[[#This Row],[Total Recursos Pagados]]/Tabla13[[#This Row],[Total 2025 ( PPTO DEFINITIVO)]]</calculatedColumnFormula>
    </tableColumn>
    <tableColumn id="18" xr3:uid="{8A8571E8-2914-40C8-897F-DF4DC982CFCF}" name="Total Recursos Gestionados2" dataDxfId="127" totalsRowDxfId="126"/>
    <tableColumn id="57" xr3:uid="{AE9DAD2F-FBA2-42F6-BCB8-5ED437B1B42E}" name="Nivel de Gestión" dataDxfId="125" totalsRowDxfId="124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3E6941B7-0629-4D26-949F-A9D039A2350C}" name="Dependencia" dataDxfId="123" totalsRowDxfId="122"/>
    <tableColumn id="59" xr3:uid="{835407B2-FD68-48D6-95A4-7154668B2E57}" name="Responsable" dataDxfId="121" totalsRowDxfId="120"/>
    <tableColumn id="60" xr3:uid="{2A5C065B-B154-47E3-8B02-2BE2E9394FCA}" name="ODS" dataDxfId="119" totalsRowDxfId="118"/>
  </tableColumns>
  <tableStyleInfo name="Estilo de tabla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5" totalsRowCount="1" headerRowDxfId="117" dataDxfId="115" headerRowBorderDxfId="116" tableBorderDxfId="114">
  <tableColumns count="57">
    <tableColumn id="1" xr3:uid="{00000000-0010-0000-0000-000001000000}" name=" Consecutivo PDM" dataDxfId="113" totalsRowDxfId="56"/>
    <tableColumn id="2" xr3:uid="{00000000-0010-0000-0000-000002000000}" name="Linea Estratégica" dataDxfId="112" totalsRowDxfId="55"/>
    <tableColumn id="5" xr3:uid="{00000000-0010-0000-0000-000005000000}" name="Sector" dataDxfId="111" totalsRowDxfId="54"/>
    <tableColumn id="14" xr3:uid="{00000000-0010-0000-0000-00000E000000}" name="Cod. Programa" dataDxfId="110" totalsRowDxfId="53"/>
    <tableColumn id="15" xr3:uid="{00000000-0010-0000-0000-00000F000000}" name="Programa" dataDxfId="109" totalsRowDxfId="52"/>
    <tableColumn id="16" xr3:uid="{00000000-0010-0000-0000-000010000000}" name="Cod. de Producto" dataDxfId="108" totalsRowDxfId="51"/>
    <tableColumn id="17" xr3:uid="{00000000-0010-0000-0000-000011000000}" name="Meta de Producto" dataDxfId="107" totalsRowDxfId="50"/>
    <tableColumn id="18" xr3:uid="{00000000-0010-0000-0000-000012000000}" name="Cod. Indicador de Producto" dataDxfId="106" totalsRowDxfId="49"/>
    <tableColumn id="19" xr3:uid="{00000000-0010-0000-0000-000013000000}" name="Indicador de Producto" dataDxfId="105" totalsRowDxfId="48"/>
    <tableColumn id="20" xr3:uid="{00000000-0010-0000-0000-000014000000}" name="LÍnea Base" dataDxfId="104" totalsRowDxfId="47"/>
    <tableColumn id="21" xr3:uid="{00000000-0010-0000-0000-000015000000}" name="Unidad de Medida2" dataDxfId="103" totalsRowDxfId="46"/>
    <tableColumn id="22" xr3:uid="{00000000-0010-0000-0000-000016000000}" name="Tipo de Meta" dataDxfId="102" totalsRowDxfId="45"/>
    <tableColumn id="23" xr3:uid="{00000000-0010-0000-0000-000017000000}" name="Meta Programada Cuatrienio3" dataDxfId="101" totalsRowDxfId="44"/>
    <tableColumn id="24" xr3:uid="{00000000-0010-0000-0000-000018000000}" name="Meta Programada Vigencia" dataDxfId="100" totalsRowDxfId="43"/>
    <tableColumn id="25" xr3:uid="{00000000-0010-0000-0000-000019000000}" name="Logro Vigencia" dataDxfId="99" totalsRowDxfId="42"/>
    <tableColumn id="41" xr3:uid="{948C74B7-9F8F-43C1-93AB-EE07E4D2D27B}" name="Porcentaje Avance Vigencia" totalsRowFunction="custom" dataDxfId="98" totalsRowDxfId="41">
      <calculatedColumnFormula>IF(N11=0," -",IF(Q11&gt;100%,100%,Q11))</calculatedColumnFormula>
      <totalsRowFormula>+AVERAGE(Tabla1[Porcentaje Avance Vigencia])</totalsRowFormula>
    </tableColumn>
    <tableColumn id="26" xr3:uid="{00000000-0010-0000-0000-00001A000000}" name="Porcentaje Avance VigenciaR" dataDxfId="97" totalsRowDxfId="40">
      <calculatedColumnFormula>+Tabla1[[#This Row],[Logro Vigencia]]/Tabla1[[#This Row],[Meta Programada Vigencia]]</calculatedColumnFormula>
    </tableColumn>
    <tableColumn id="46" xr3:uid="{00000000-0010-0000-0000-00002E000000}" name="Recursos propios" dataDxfId="96" totalsRowDxfId="39"/>
    <tableColumn id="47" xr3:uid="{00000000-0010-0000-0000-00002F000000}" name="SGP Educación" dataDxfId="95" totalsRowDxfId="38"/>
    <tableColumn id="48" xr3:uid="{00000000-0010-0000-0000-000030000000}" name="SGP Salud" dataDxfId="94" totalsRowDxfId="37"/>
    <tableColumn id="36" xr3:uid="{9F9AF3B5-9302-4098-86C2-F3751C61856C}" name="SGP Deporte" dataDxfId="93" totalsRowDxfId="36"/>
    <tableColumn id="35" xr3:uid="{C5C853CA-0E38-42F1-B617-F223698DFB1E}" name="SGP Cultura" dataDxfId="92" totalsRowDxfId="35"/>
    <tableColumn id="13" xr3:uid="{D6B586E6-694C-47D3-A512-D9CFE88B0A7F}" name="SGP Libre inversión" dataDxfId="91" totalsRowDxfId="34"/>
    <tableColumn id="12" xr3:uid="{C6702C45-B7D4-4947-B509-EA37B6998105}" name="SGP Libre destinación" dataDxfId="90" totalsRowDxfId="33"/>
    <tableColumn id="11" xr3:uid="{6017F25B-848D-457C-9FE3-AA60351408C4}" name="SGP Alimentación escolar" dataDxfId="89" totalsRowDxfId="32"/>
    <tableColumn id="9" xr3:uid="{09919044-DCEC-4B52-92EE-B073D02DC126}" name="SGP APSB" dataDxfId="88" totalsRowDxfId="31"/>
    <tableColumn id="8" xr3:uid="{DB23BA9E-ECC6-40CB-BD89-0D2B86F37CB6}" name="Crédito" dataDxfId="87" totalsRowDxfId="30"/>
    <tableColumn id="7" xr3:uid="{D5A630DF-3B56-46D1-9753-5E0368C63EC6}" name="Transferencias de capital - cofinanciación departamento" dataDxfId="86" totalsRowDxfId="29"/>
    <tableColumn id="6" xr3:uid="{412FCA12-6813-443B-B6C2-123BED9F85F9}" name="Transferencias de capital - cofinanciación nación" dataDxfId="85" totalsRowDxfId="28"/>
    <tableColumn id="49" xr3:uid="{00000000-0010-0000-0000-000031000000}" name="Otros" dataDxfId="84" totalsRowDxfId="27"/>
    <tableColumn id="27" xr3:uid="{7DD93E19-2832-4A51-8A0C-E61BADE2EBF2}" name="Recursos del Balance" dataDxfId="83" totalsRowDxfId="26"/>
    <tableColumn id="50" xr3:uid="{00000000-0010-0000-0000-000032000000}" name="Total 2025" totalsRowFunction="custom" dataDxfId="82" totalsRowDxfId="25">
      <calculatedColumnFormula>SUM(Tabla1[[#This Row],[Recursos propios]:[Recursos del Balance]])</calculatedColumnFormula>
      <totalsRowFormula>+SUM(Tabla1[Total 2025])</totalsRowFormula>
    </tableColumn>
    <tableColumn id="51" xr3:uid="{00000000-0010-0000-0000-000033000000}" name="Recursos propios2" dataDxfId="81" totalsRowDxfId="24"/>
    <tableColumn id="52" xr3:uid="{00000000-0010-0000-0000-000034000000}" name="SGP Educación2" dataDxfId="80" totalsRowDxfId="23"/>
    <tableColumn id="53" xr3:uid="{00000000-0010-0000-0000-000035000000}" name="SGP Salud 20254" dataDxfId="79" totalsRowDxfId="22"/>
    <tableColumn id="62" xr3:uid="{7C7CEB6E-F374-4CFE-9734-C5F0F9CACDEF}" name="SGP Deporte 20255" dataDxfId="78" totalsRowDxfId="21"/>
    <tableColumn id="61" xr3:uid="{3FADCE38-626D-4D04-8E80-59C4EF4A26E2}" name="SGP Cultura 20256" dataDxfId="77" totalsRowDxfId="20"/>
    <tableColumn id="45" xr3:uid="{6E60DE39-5E5F-42D9-8EA9-092D48DC1C96}" name="SGP Libre inversión 20257" dataDxfId="76" totalsRowDxfId="19"/>
    <tableColumn id="43" xr3:uid="{2BAC0D89-AF4D-42C7-B398-E355E1723AC0}" name="SGP Libre destinación 20258" dataDxfId="75" totalsRowDxfId="18"/>
    <tableColumn id="42" xr3:uid="{26B92485-4124-4A13-AFC5-F2B525B9055F}" name="SGP Alimentación escolar 20259" dataDxfId="74" totalsRowDxfId="17"/>
    <tableColumn id="40" xr3:uid="{1BEDA122-5557-4D48-AF95-BCC1CDE51394}" name="SGP APSB 202511" dataDxfId="73" totalsRowDxfId="16"/>
    <tableColumn id="39" xr3:uid="{08579477-3F83-4D37-83BA-A19DF09AE01D}" name="Crédito 202512" dataDxfId="72" totalsRowDxfId="15"/>
    <tableColumn id="38" xr3:uid="{A6A070B1-2233-4449-B2F2-3342ACF65D94}" name="Transferencias de capital - cofinanciación departamento 202513" dataDxfId="71" totalsRowDxfId="14"/>
    <tableColumn id="37" xr3:uid="{81D561A4-3CB9-4C97-9B09-8163BD53EE55}" name="Transferencias de capital - cofinanciación nación 202514" dataDxfId="70" totalsRowDxfId="13"/>
    <tableColumn id="54" xr3:uid="{00000000-0010-0000-0000-000036000000}" name="Otros 202515" dataDxfId="69" totalsRowDxfId="12"/>
    <tableColumn id="10" xr3:uid="{6E2474FE-BE7F-4145-9A73-37EE37601765}" name="Recursos del Balance2" dataDxfId="68" totalsRowDxfId="11"/>
    <tableColumn id="55" xr3:uid="{00000000-0010-0000-0000-000037000000}" name="Total Recursos Comprometido 2025" totalsRowFunction="custom" dataDxfId="67" totalsRowDxfId="10">
      <calculatedColumnFormula>SUM(Tabla1[[#This Row],[Recursos propios2]:[Recursos del Balance2]])</calculatedColumnFormula>
      <totalsRowFormula>+SUM(Tabla1[Total Recursos Comprometido 2025])</totalsRowFormula>
    </tableColumn>
    <tableColumn id="3" xr3:uid="{97D6E022-C782-4FF3-9460-66988DC9E046}" name="Total Recursos Obligados" totalsRowFunction="custom" dataDxfId="58" totalsRowDxfId="9">
      <totalsRowFormula>+SUM(Tabla1[Total Recursos Obligados])</totalsRowFormula>
    </tableColumn>
    <tableColumn id="4" xr3:uid="{FACF9905-9C80-4C0B-AA93-96434C5C0E89}" name="Total Recursos Pagados" totalsRowFunction="custom" dataDxfId="57" totalsRowDxfId="8">
      <totalsRowFormula>+SUM(Tabla1[Total Recursos Pagados])</totalsRowFormula>
    </tableColumn>
    <tableColumn id="30" xr3:uid="{222F91FD-F5ED-4EEE-9A8F-E86D76F6FD1C}" name="Ejecución Recursos Comprometidos" dataDxfId="66" totalsRowDxfId="7" dataCellStyle="Porcentaje">
      <calculatedColumnFormula>+Tabla1[[#This Row],[Total Recursos Comprometido 2025]]/Tabla1[[#This Row],[Total 2025]]</calculatedColumnFormula>
    </tableColumn>
    <tableColumn id="44" xr3:uid="{7DBE1784-C877-4957-91C7-B1BADAEDDC3F}" name="Ejecución Recursos Obligados" dataDxfId="65" totalsRowDxfId="6" dataCellStyle="Porcentaje">
      <calculatedColumnFormula>+Tabla1[[#This Row],[Total Recursos Obligados]]/Tabla1[[#This Row],[Total 2025]]</calculatedColumnFormula>
    </tableColumn>
    <tableColumn id="34" xr3:uid="{F07761C5-914C-41B3-B942-83BA8CBE6BCC}" name="Ejecución Recursos Pagados" dataDxfId="64" totalsRowDxfId="5" dataCellStyle="Porcentaje">
      <calculatedColumnFormula>+Tabla1[[#This Row],[Total Recursos Pagados]]/Tabla1[[#This Row],[Total 2025]]</calculatedColumnFormula>
    </tableColumn>
    <tableColumn id="31" xr3:uid="{425B0788-0421-4008-BBBD-C96BE816DACB}" name="Total Recursos Gestionados2" dataDxfId="63" totalsRowDxfId="4"/>
    <tableColumn id="33" xr3:uid="{DC8E6CD1-31C8-440A-AC48-81F7B88607CF}" name="Nivel de Gestión" dataDxfId="62" totalsRowDxfId="3" dataCellStyle="Porcentaje">
      <calculatedColumnFormula>+Tabla1[[#This Row],[Total Recursos Gestionados2]]/Tabla1[[#This Row],[Total Recursos Comprometido 2025]]</calculatedColumnFormula>
    </tableColumn>
    <tableColumn id="58" xr3:uid="{00000000-0010-0000-0000-00003A000000}" name="Dependencia" dataDxfId="61" totalsRowDxfId="2"/>
    <tableColumn id="59" xr3:uid="{00000000-0010-0000-0000-00003B000000}" name="Responsable" dataDxfId="60" totalsRowDxfId="1"/>
    <tableColumn id="60" xr3:uid="{00000000-0010-0000-0000-00003C000000}" name="ODS" dataDxfId="59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D5A9-3339-4D03-BEEC-36EA344BE903}">
  <sheetPr>
    <tabColor theme="8" tint="-0.249977111117893"/>
  </sheetPr>
  <dimension ref="A1:BE20"/>
  <sheetViews>
    <sheetView showGridLines="0" zoomScale="50" zoomScaleNormal="50" workbookViewId="0">
      <selection activeCell="AV18" sqref="AV18"/>
    </sheetView>
  </sheetViews>
  <sheetFormatPr baseColWidth="10" defaultColWidth="11.25" defaultRowHeight="15"/>
  <cols>
    <col min="1" max="1" width="24" style="4" customWidth="1"/>
    <col min="2" max="2" width="36.25" style="4" customWidth="1"/>
    <col min="3" max="3" width="20.25" style="4" customWidth="1"/>
    <col min="4" max="4" width="19.25" style="4" customWidth="1"/>
    <col min="5" max="5" width="25.75" style="4" customWidth="1"/>
    <col min="6" max="6" width="21.75" style="4" customWidth="1"/>
    <col min="7" max="7" width="33.75" style="4" customWidth="1"/>
    <col min="8" max="8" width="20.25" style="4" bestFit="1" customWidth="1"/>
    <col min="9" max="9" width="25.25" style="4" customWidth="1"/>
    <col min="10" max="10" width="26.25" style="4" bestFit="1" customWidth="1"/>
    <col min="11" max="11" width="28.25" style="4" customWidth="1"/>
    <col min="12" max="12" width="34.25" style="4" customWidth="1"/>
    <col min="13" max="13" width="26.75" style="4" customWidth="1"/>
    <col min="14" max="14" width="28.75" style="4" customWidth="1"/>
    <col min="15" max="15" width="27.25" style="4" customWidth="1"/>
    <col min="16" max="16" width="23.875" style="4" bestFit="1" customWidth="1"/>
    <col min="17" max="17" width="17.75" style="4" customWidth="1"/>
    <col min="18" max="30" width="18.25" style="4" customWidth="1"/>
    <col min="31" max="32" width="24.25" style="4" customWidth="1"/>
    <col min="33" max="42" width="19" style="4" customWidth="1"/>
    <col min="43" max="43" width="26.75" style="4" customWidth="1"/>
    <col min="44" max="44" width="25.25" style="4" customWidth="1"/>
    <col min="45" max="46" width="19" style="4" customWidth="1"/>
    <col min="47" max="47" width="26.125" style="4" customWidth="1"/>
    <col min="48" max="49" width="29.75" style="4" bestFit="1" customWidth="1"/>
    <col min="50" max="53" width="27.25" style="4" customWidth="1"/>
    <col min="54" max="54" width="25.75" style="4" customWidth="1"/>
    <col min="55" max="55" width="17.75" style="4" customWidth="1"/>
    <col min="56" max="56" width="19.75" style="23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122"/>
      <c r="B1" s="123"/>
      <c r="C1" s="128" t="s">
        <v>31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30"/>
      <c r="BC1" s="137" t="s">
        <v>32</v>
      </c>
      <c r="BD1" s="138"/>
      <c r="BE1" s="139"/>
    </row>
    <row r="2" spans="1:57" ht="30" customHeight="1">
      <c r="A2" s="124"/>
      <c r="B2" s="125"/>
      <c r="C2" s="131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3"/>
      <c r="BC2" s="140" t="s">
        <v>91</v>
      </c>
      <c r="BD2" s="141"/>
      <c r="BE2" s="142"/>
    </row>
    <row r="3" spans="1:57" ht="30" customHeight="1">
      <c r="A3" s="124"/>
      <c r="B3" s="125"/>
      <c r="C3" s="131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3"/>
      <c r="BC3" s="140" t="s">
        <v>92</v>
      </c>
      <c r="BD3" s="141"/>
      <c r="BE3" s="142"/>
    </row>
    <row r="4" spans="1:57" ht="30" customHeight="1" thickBot="1">
      <c r="A4" s="126"/>
      <c r="B4" s="127"/>
      <c r="C4" s="134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6"/>
      <c r="BC4" s="143" t="s">
        <v>93</v>
      </c>
      <c r="BD4" s="144"/>
      <c r="BE4" s="145"/>
    </row>
    <row r="5" spans="1:57" ht="23.25" customHeight="1" thickTop="1">
      <c r="BE5" s="11"/>
    </row>
    <row r="6" spans="1:57" ht="28.5" customHeight="1" thickBot="1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12"/>
      <c r="BD6" s="24"/>
      <c r="BE6" s="13"/>
    </row>
    <row r="7" spans="1:57" ht="37.1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104"/>
      <c r="AV7" s="104" t="s">
        <v>134</v>
      </c>
      <c r="AW7" s="6"/>
      <c r="AX7" s="6"/>
      <c r="AY7" s="6"/>
      <c r="AZ7" s="6"/>
      <c r="BA7" s="6"/>
      <c r="BB7" s="6"/>
      <c r="BC7" s="12"/>
      <c r="BD7" s="24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12"/>
      <c r="BD8" s="24"/>
      <c r="BE8" s="13"/>
    </row>
    <row r="9" spans="1:57" s="2" customFormat="1" ht="37.9" customHeight="1" thickBot="1">
      <c r="A9" s="148" t="s">
        <v>27</v>
      </c>
      <c r="B9" s="148"/>
      <c r="C9" s="148"/>
      <c r="D9" s="148"/>
      <c r="E9" s="148"/>
      <c r="F9" s="148"/>
      <c r="G9" s="148"/>
      <c r="H9" s="149" t="s">
        <v>25</v>
      </c>
      <c r="I9" s="150"/>
      <c r="J9" s="150"/>
      <c r="K9" s="150"/>
      <c r="L9" s="150"/>
      <c r="M9" s="150"/>
      <c r="N9" s="150"/>
      <c r="O9" s="151"/>
      <c r="P9" s="152" t="s">
        <v>24</v>
      </c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4"/>
      <c r="AE9" s="155"/>
      <c r="AF9" s="149" t="s">
        <v>23</v>
      </c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49" t="s">
        <v>42</v>
      </c>
      <c r="AY9" s="150"/>
      <c r="AZ9" s="151"/>
      <c r="BA9" s="150" t="s">
        <v>44</v>
      </c>
      <c r="BB9" s="150"/>
      <c r="BC9" s="146" t="s">
        <v>22</v>
      </c>
      <c r="BD9" s="147"/>
      <c r="BE9" s="14"/>
    </row>
    <row r="10" spans="1:57" s="2" customFormat="1" ht="57" customHeight="1">
      <c r="A10" s="34" t="s">
        <v>20</v>
      </c>
      <c r="B10" s="34" t="s">
        <v>19</v>
      </c>
      <c r="C10" s="34" t="s">
        <v>18</v>
      </c>
      <c r="D10" s="34" t="s">
        <v>17</v>
      </c>
      <c r="E10" s="34" t="s">
        <v>16</v>
      </c>
      <c r="F10" s="34" t="s">
        <v>15</v>
      </c>
      <c r="G10" s="34" t="s">
        <v>14</v>
      </c>
      <c r="H10" s="34" t="s">
        <v>34</v>
      </c>
      <c r="I10" s="34" t="s">
        <v>8</v>
      </c>
      <c r="J10" s="34" t="s">
        <v>7</v>
      </c>
      <c r="K10" s="34" t="s">
        <v>6</v>
      </c>
      <c r="L10" s="34" t="s">
        <v>5</v>
      </c>
      <c r="M10" s="34" t="s">
        <v>4</v>
      </c>
      <c r="N10" s="34" t="s">
        <v>3</v>
      </c>
      <c r="O10" s="46" t="s">
        <v>2</v>
      </c>
      <c r="P10" s="34" t="s">
        <v>95</v>
      </c>
      <c r="Q10" s="34" t="s">
        <v>133</v>
      </c>
      <c r="R10" s="34" t="s">
        <v>132</v>
      </c>
      <c r="S10" s="34" t="s">
        <v>131</v>
      </c>
      <c r="T10" s="34" t="s">
        <v>130</v>
      </c>
      <c r="U10" s="34" t="s">
        <v>129</v>
      </c>
      <c r="V10" s="34" t="s">
        <v>128</v>
      </c>
      <c r="W10" s="34" t="s">
        <v>127</v>
      </c>
      <c r="X10" s="34" t="s">
        <v>126</v>
      </c>
      <c r="Y10" s="34" t="s">
        <v>125</v>
      </c>
      <c r="Z10" s="34" t="s">
        <v>124</v>
      </c>
      <c r="AA10" s="34" t="s">
        <v>123</v>
      </c>
      <c r="AB10" s="34" t="s">
        <v>122</v>
      </c>
      <c r="AC10" s="34" t="s">
        <v>121</v>
      </c>
      <c r="AD10" s="34" t="s">
        <v>61</v>
      </c>
      <c r="AE10" s="34" t="s">
        <v>135</v>
      </c>
      <c r="AF10" s="34" t="s">
        <v>120</v>
      </c>
      <c r="AG10" s="34" t="s">
        <v>119</v>
      </c>
      <c r="AH10" s="34" t="s">
        <v>118</v>
      </c>
      <c r="AI10" s="34" t="s">
        <v>117</v>
      </c>
      <c r="AJ10" s="34" t="s">
        <v>116</v>
      </c>
      <c r="AK10" s="34" t="s">
        <v>115</v>
      </c>
      <c r="AL10" s="34" t="s">
        <v>114</v>
      </c>
      <c r="AM10" s="34" t="s">
        <v>113</v>
      </c>
      <c r="AN10" s="34" t="s">
        <v>112</v>
      </c>
      <c r="AO10" s="34" t="s">
        <v>111</v>
      </c>
      <c r="AP10" s="34" t="s">
        <v>110</v>
      </c>
      <c r="AQ10" s="34" t="s">
        <v>109</v>
      </c>
      <c r="AR10" s="34" t="s">
        <v>108</v>
      </c>
      <c r="AS10" s="34" t="s">
        <v>107</v>
      </c>
      <c r="AT10" s="34" t="s">
        <v>62</v>
      </c>
      <c r="AU10" s="34" t="s">
        <v>106</v>
      </c>
      <c r="AV10" s="34" t="s">
        <v>35</v>
      </c>
      <c r="AW10" s="47" t="s">
        <v>36</v>
      </c>
      <c r="AX10" s="34" t="s">
        <v>41</v>
      </c>
      <c r="AY10" s="34" t="s">
        <v>39</v>
      </c>
      <c r="AZ10" s="34" t="s">
        <v>38</v>
      </c>
      <c r="BA10" s="38" t="s">
        <v>43</v>
      </c>
      <c r="BB10" s="47" t="s">
        <v>40</v>
      </c>
      <c r="BC10" s="34" t="s">
        <v>1</v>
      </c>
      <c r="BD10" s="34" t="s">
        <v>0</v>
      </c>
      <c r="BE10" s="36" t="s">
        <v>21</v>
      </c>
    </row>
    <row r="11" spans="1:57" s="9" customFormat="1" ht="150">
      <c r="A11" s="55">
        <v>32</v>
      </c>
      <c r="B11" s="48" t="s">
        <v>63</v>
      </c>
      <c r="C11" s="48" t="s">
        <v>64</v>
      </c>
      <c r="D11" s="48" t="s">
        <v>65</v>
      </c>
      <c r="E11" s="48" t="s">
        <v>66</v>
      </c>
      <c r="F11" s="48" t="s">
        <v>67</v>
      </c>
      <c r="G11" s="56" t="s">
        <v>68</v>
      </c>
      <c r="H11" s="57">
        <v>2024680010057</v>
      </c>
      <c r="I11" s="49" t="s">
        <v>75</v>
      </c>
      <c r="J11" s="50">
        <v>4425000001</v>
      </c>
      <c r="K11" s="50">
        <v>2175000001</v>
      </c>
      <c r="L11" s="51" t="str">
        <f>+L16</f>
        <v>Bomberos de Bucaramanga</v>
      </c>
      <c r="M11" s="49" t="str">
        <f>+M16</f>
        <v>Area de Operaciones Bomberos</v>
      </c>
      <c r="N11" s="52">
        <v>95</v>
      </c>
      <c r="O11" s="116" t="s">
        <v>136</v>
      </c>
      <c r="P11" s="89">
        <v>2175000001</v>
      </c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97">
        <f>Tabla13[[#This Row],[Recursos propios 2025]]</f>
        <v>2175000001</v>
      </c>
      <c r="AF11" s="100">
        <v>1078716600</v>
      </c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>
        <v>1078716600</v>
      </c>
      <c r="AV11" s="83">
        <v>0</v>
      </c>
      <c r="AW11" s="83">
        <v>0</v>
      </c>
      <c r="AX11" s="95">
        <f>+Tabla13[[#This Row],[Total Recursos Comprometido 2025]]/Tabla13[[#This Row],[Total 2025 ( PPTO DEFINITIVO)]]</f>
        <v>0.49596165494438543</v>
      </c>
      <c r="AY11" s="94">
        <f>+Tabla13[[#This Row],[Total Recursos Obligados]]/Tabla13[[#This Row],[Total 2025 ( PPTO DEFINITIVO)]]</f>
        <v>0</v>
      </c>
      <c r="AZ11" s="93">
        <f>+Tabla13[[#This Row],[Total Recursos Pagados]]/Tabla13[[#This Row],[Total 2025 ( PPTO DEFINITIVO)]]</f>
        <v>0</v>
      </c>
      <c r="BA11" s="62">
        <v>0</v>
      </c>
      <c r="BB11" s="6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31" t="s">
        <v>84</v>
      </c>
      <c r="BD11" s="32" t="s">
        <v>137</v>
      </c>
      <c r="BE11" s="33">
        <v>11</v>
      </c>
    </row>
    <row r="12" spans="1:57" s="10" customFormat="1" ht="135">
      <c r="A12" s="55">
        <v>32</v>
      </c>
      <c r="B12" s="48" t="s">
        <v>63</v>
      </c>
      <c r="C12" s="48" t="s">
        <v>64</v>
      </c>
      <c r="D12" s="48" t="s">
        <v>65</v>
      </c>
      <c r="E12" s="48" t="s">
        <v>66</v>
      </c>
      <c r="F12" s="48" t="s">
        <v>67</v>
      </c>
      <c r="G12" s="56" t="s">
        <v>68</v>
      </c>
      <c r="H12" s="59">
        <v>2024680010117</v>
      </c>
      <c r="I12" s="49" t="s">
        <v>76</v>
      </c>
      <c r="J12" s="53">
        <f>2281249104.93+248000000</f>
        <v>2529249104.9299998</v>
      </c>
      <c r="K12" s="54">
        <f>500000000+248000000</f>
        <v>748000000</v>
      </c>
      <c r="L12" s="51" t="s">
        <v>77</v>
      </c>
      <c r="M12" s="51" t="s">
        <v>78</v>
      </c>
      <c r="N12" s="52">
        <v>1000</v>
      </c>
      <c r="O12" s="58" t="s">
        <v>105</v>
      </c>
      <c r="P12" s="89">
        <f>Tabla13[[#This Row],[Valor Vigencia Proyecto]]</f>
        <v>748000000</v>
      </c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88">
        <f>Tabla13[[#This Row],[Recursos propios 2025]]</f>
        <v>748000000</v>
      </c>
      <c r="AF12" s="100">
        <v>589380665</v>
      </c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>
        <v>589380665</v>
      </c>
      <c r="AV12" s="101">
        <v>203165403</v>
      </c>
      <c r="AW12" s="101">
        <v>203165403</v>
      </c>
      <c r="AX12" s="86">
        <f>+Tabla13[[#This Row],[Total Recursos Comprometido 2025]]/Tabla13[[#This Row],[Total 2025 ( PPTO DEFINITIVO)]]</f>
        <v>0.78794206550802137</v>
      </c>
      <c r="AY12" s="85">
        <f>+Tabla13[[#This Row],[Total Recursos Obligados]]/Tabla13[[#This Row],[Total 2025 ( PPTO DEFINITIVO)]]</f>
        <v>0.27161150133689838</v>
      </c>
      <c r="AZ12" s="84">
        <f>+Tabla13[[#This Row],[Total Recursos Pagados]]/Tabla13[[#This Row],[Total 2025 ( PPTO DEFINITIVO)]]</f>
        <v>0.27161150133689838</v>
      </c>
      <c r="BA12" s="63">
        <v>0</v>
      </c>
      <c r="BB12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31" t="s">
        <v>84</v>
      </c>
      <c r="BD12" s="32" t="s">
        <v>137</v>
      </c>
      <c r="BE12" s="20">
        <v>11</v>
      </c>
    </row>
    <row r="13" spans="1:57" s="10" customFormat="1" ht="105">
      <c r="A13" s="55">
        <v>287</v>
      </c>
      <c r="B13" s="48" t="s">
        <v>63</v>
      </c>
      <c r="C13" s="48" t="s">
        <v>64</v>
      </c>
      <c r="D13" s="48" t="s">
        <v>65</v>
      </c>
      <c r="E13" s="48" t="s">
        <v>66</v>
      </c>
      <c r="F13" s="48" t="s">
        <v>69</v>
      </c>
      <c r="G13" s="56" t="s">
        <v>70</v>
      </c>
      <c r="H13" s="59">
        <v>2024680010060</v>
      </c>
      <c r="I13" s="49" t="s">
        <v>79</v>
      </c>
      <c r="J13" s="53">
        <v>1700000000</v>
      </c>
      <c r="K13" s="82">
        <v>1000000000</v>
      </c>
      <c r="L13" s="51" t="s">
        <v>104</v>
      </c>
      <c r="M13" s="49" t="s">
        <v>103</v>
      </c>
      <c r="N13" s="52">
        <v>106430</v>
      </c>
      <c r="O13" s="58"/>
      <c r="P13" s="89">
        <v>1000000000</v>
      </c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88">
        <f>SUM(Tabla13[[#This Row],[Recursos propios 2025]:[Recursos del Balance]])</f>
        <v>1000000000</v>
      </c>
      <c r="AF13" s="100">
        <v>0</v>
      </c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>
        <v>0</v>
      </c>
      <c r="AV13" s="101">
        <v>0</v>
      </c>
      <c r="AW13" s="87">
        <v>0</v>
      </c>
      <c r="AX13" s="92">
        <f>+Tabla13[[#This Row],[Total Recursos Comprometido 2025]]/Tabla13[[#This Row],[Total 2025 ( PPTO DEFINITIVO)]]</f>
        <v>0</v>
      </c>
      <c r="AY13" s="91">
        <f>+Tabla13[[#This Row],[Total Recursos Obligados]]/Tabla13[[#This Row],[Total 2025 ( PPTO DEFINITIVO)]]</f>
        <v>0</v>
      </c>
      <c r="AZ13" s="90">
        <f>+Tabla13[[#This Row],[Total Recursos Pagados]]/Tabla13[[#This Row],[Total 2025 ( PPTO DEFINITIVO)]]</f>
        <v>0</v>
      </c>
      <c r="BA13" s="64">
        <v>0</v>
      </c>
      <c r="BB13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28" t="s">
        <v>84</v>
      </c>
      <c r="BD13" s="32" t="s">
        <v>137</v>
      </c>
      <c r="BE13" s="20">
        <v>11</v>
      </c>
    </row>
    <row r="14" spans="1:57" s="10" customFormat="1" ht="135">
      <c r="A14" s="55">
        <v>288</v>
      </c>
      <c r="B14" s="48" t="s">
        <v>63</v>
      </c>
      <c r="C14" s="48" t="s">
        <v>64</v>
      </c>
      <c r="D14" s="48" t="s">
        <v>65</v>
      </c>
      <c r="E14" s="48" t="s">
        <v>66</v>
      </c>
      <c r="F14" s="48" t="s">
        <v>71</v>
      </c>
      <c r="G14" s="56" t="s">
        <v>72</v>
      </c>
      <c r="H14" s="59">
        <v>2024680010233</v>
      </c>
      <c r="I14" s="49" t="s">
        <v>80</v>
      </c>
      <c r="J14" s="53">
        <v>2636309697.98</v>
      </c>
      <c r="K14" s="82">
        <v>1219162759</v>
      </c>
      <c r="L14" s="51" t="s">
        <v>102</v>
      </c>
      <c r="M14" s="49" t="s">
        <v>101</v>
      </c>
      <c r="N14" s="52">
        <v>619703</v>
      </c>
      <c r="O14" s="58"/>
      <c r="P14" s="117">
        <v>261162759</v>
      </c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18">
        <v>958000000</v>
      </c>
      <c r="AE14" s="119">
        <f>SUM(Tabla13[[#This Row],[Recursos propios 2025]:[Recursos del Balance]])</f>
        <v>1219162759</v>
      </c>
      <c r="AF14" s="88">
        <v>0</v>
      </c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>
        <v>0</v>
      </c>
      <c r="AV14" s="83">
        <v>0</v>
      </c>
      <c r="AW14" s="96">
        <v>0</v>
      </c>
      <c r="AX14" s="95">
        <f>+Tabla13[[#This Row],[Total Recursos Comprometido 2025]]/Tabla13[[#This Row],[Total 2025 ( PPTO DEFINITIVO)]]</f>
        <v>0</v>
      </c>
      <c r="AY14" s="94">
        <f>+Tabla13[[#This Row],[Total Recursos Obligados]]/Tabla13[[#This Row],[Total 2025 ( PPTO DEFINITIVO)]]</f>
        <v>0</v>
      </c>
      <c r="AZ14" s="93">
        <f>+Tabla13[[#This Row],[Total Recursos Pagados]]/Tabla13[[#This Row],[Total 2025 ( PPTO DEFINITIVO)]]</f>
        <v>0</v>
      </c>
      <c r="BA14" s="62">
        <v>0</v>
      </c>
      <c r="BB14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31" t="s">
        <v>84</v>
      </c>
      <c r="BD14" s="32" t="s">
        <v>137</v>
      </c>
      <c r="BE14" s="20">
        <v>11</v>
      </c>
    </row>
    <row r="15" spans="1:57" s="10" customFormat="1" ht="90">
      <c r="A15" s="55">
        <v>289</v>
      </c>
      <c r="B15" s="48" t="s">
        <v>63</v>
      </c>
      <c r="C15" s="48" t="s">
        <v>64</v>
      </c>
      <c r="D15" s="48" t="s">
        <v>65</v>
      </c>
      <c r="E15" s="48" t="s">
        <v>66</v>
      </c>
      <c r="F15" s="48" t="s">
        <v>73</v>
      </c>
      <c r="G15" s="56" t="s">
        <v>74</v>
      </c>
      <c r="H15" s="59">
        <v>2024680010055</v>
      </c>
      <c r="I15" s="49" t="s">
        <v>81</v>
      </c>
      <c r="J15" s="53">
        <v>899900786.67000008</v>
      </c>
      <c r="K15" s="53">
        <v>200000000</v>
      </c>
      <c r="L15" s="51" t="str">
        <f>+L16</f>
        <v>Bomberos de Bucaramanga</v>
      </c>
      <c r="M15" s="49" t="s">
        <v>100</v>
      </c>
      <c r="N15" s="52">
        <v>95</v>
      </c>
      <c r="O15" s="58" t="s">
        <v>99</v>
      </c>
      <c r="P15" s="89">
        <v>200000000</v>
      </c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20">
        <v>449000000</v>
      </c>
      <c r="AE15" s="88">
        <f>SUM(Tabla13[[#This Row],[Recursos propios 2025]:[Recursos del Balance]])</f>
        <v>649000000</v>
      </c>
      <c r="AF15" s="101">
        <v>52380230</v>
      </c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>
        <v>52380230</v>
      </c>
      <c r="AV15" s="101">
        <v>0</v>
      </c>
      <c r="AW15" s="87">
        <v>0</v>
      </c>
      <c r="AX15" s="92">
        <f>+Tabla13[[#This Row],[Total Recursos Comprometido 2025]]/Tabla13[[#This Row],[Total 2025 ( PPTO DEFINITIVO)]]</f>
        <v>8.0709137134052394E-2</v>
      </c>
      <c r="AY15" s="91">
        <f>+Tabla13[[#This Row],[Total Recursos Obligados]]/Tabla13[[#This Row],[Total 2025 ( PPTO DEFINITIVO)]]</f>
        <v>0</v>
      </c>
      <c r="AZ15" s="90">
        <f>+Tabla13[[#This Row],[Total Recursos Pagados]]/Tabla13[[#This Row],[Total 2025 ( PPTO DEFINITIVO)]]</f>
        <v>0</v>
      </c>
      <c r="BA15" s="64">
        <v>0</v>
      </c>
      <c r="BB15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28" t="s">
        <v>84</v>
      </c>
      <c r="BD15" s="32" t="s">
        <v>137</v>
      </c>
      <c r="BE15" s="20">
        <v>11</v>
      </c>
    </row>
    <row r="16" spans="1:57" s="10" customFormat="1" ht="90">
      <c r="A16" s="55">
        <v>289</v>
      </c>
      <c r="B16" s="48" t="s">
        <v>63</v>
      </c>
      <c r="C16" s="48" t="s">
        <v>64</v>
      </c>
      <c r="D16" s="48" t="s">
        <v>65</v>
      </c>
      <c r="E16" s="48" t="s">
        <v>66</v>
      </c>
      <c r="F16" s="48" t="s">
        <v>73</v>
      </c>
      <c r="G16" s="56" t="s">
        <v>74</v>
      </c>
      <c r="H16" s="59">
        <v>2024680010056</v>
      </c>
      <c r="I16" s="49" t="s">
        <v>82</v>
      </c>
      <c r="J16" s="54">
        <f>300000000+50000000</f>
        <v>350000000</v>
      </c>
      <c r="K16" s="54">
        <f>100000000+50000000</f>
        <v>150000000</v>
      </c>
      <c r="L16" s="51" t="s">
        <v>84</v>
      </c>
      <c r="M16" s="49" t="s">
        <v>98</v>
      </c>
      <c r="N16" s="52">
        <v>95</v>
      </c>
      <c r="O16" s="58" t="s">
        <v>97</v>
      </c>
      <c r="P16" s="89">
        <f>100000000+50000000</f>
        <v>150000000</v>
      </c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88">
        <f>SUM(Tabla13[[#This Row],[Recursos propios 2025]:[Recursos del Balance]])</f>
        <v>150000000</v>
      </c>
      <c r="AF16" s="100">
        <v>80700000</v>
      </c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83">
        <v>80700000</v>
      </c>
      <c r="AV16" s="83">
        <v>67126667</v>
      </c>
      <c r="AW16" s="83">
        <v>67126667</v>
      </c>
      <c r="AX16" s="92">
        <f>+Tabla13[[#This Row],[Total Recursos Comprometido 2025]]/Tabla13[[#This Row],[Total 2025 ( PPTO DEFINITIVO)]]</f>
        <v>0.53800000000000003</v>
      </c>
      <c r="AY16" s="91">
        <f>+Tabla13[[#This Row],[Total Recursos Obligados]]/Tabla13[[#This Row],[Total 2025 ( PPTO DEFINITIVO)]]</f>
        <v>0.44751111333333332</v>
      </c>
      <c r="AZ16" s="90">
        <f>+Tabla13[[#This Row],[Total Recursos Pagados]]/Tabla13[[#This Row],[Total 2025 ( PPTO DEFINITIVO)]]</f>
        <v>0.44751111333333332</v>
      </c>
      <c r="BA16" s="64">
        <v>0</v>
      </c>
      <c r="BB16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28" t="s">
        <v>84</v>
      </c>
      <c r="BD16" s="32" t="s">
        <v>137</v>
      </c>
      <c r="BE16" s="20">
        <v>11</v>
      </c>
    </row>
    <row r="17" spans="1:57" s="10" customFormat="1" ht="180">
      <c r="A17" s="55">
        <v>289</v>
      </c>
      <c r="B17" s="48" t="s">
        <v>63</v>
      </c>
      <c r="C17" s="48" t="s">
        <v>64</v>
      </c>
      <c r="D17" s="48" t="s">
        <v>65</v>
      </c>
      <c r="E17" s="48" t="s">
        <v>66</v>
      </c>
      <c r="F17" s="48" t="s">
        <v>73</v>
      </c>
      <c r="G17" s="56" t="s">
        <v>74</v>
      </c>
      <c r="H17" s="57">
        <v>2024680010059</v>
      </c>
      <c r="I17" s="49" t="s">
        <v>83</v>
      </c>
      <c r="J17" s="50">
        <f>6921158492+3460000000</f>
        <v>10381158492</v>
      </c>
      <c r="K17" s="50">
        <f>1100000000+3460000000</f>
        <v>4560000000</v>
      </c>
      <c r="L17" s="51" t="str">
        <f>+L16</f>
        <v>Bomberos de Bucaramanga</v>
      </c>
      <c r="M17" s="49" t="s">
        <v>84</v>
      </c>
      <c r="N17" s="52">
        <v>84</v>
      </c>
      <c r="O17" s="58" t="s">
        <v>96</v>
      </c>
      <c r="P17" s="89">
        <f>Tabla13[[#This Row],[Valor Vigencia Proyecto]]</f>
        <v>4560000000</v>
      </c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88">
        <f>Tabla13[[#This Row],[Recursos propios 2025]]</f>
        <v>4560000000</v>
      </c>
      <c r="AF17" s="121">
        <v>4559230179</v>
      </c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>
        <f>4611610979-AU15</f>
        <v>4559230749</v>
      </c>
      <c r="AV17" s="101">
        <v>2568163079</v>
      </c>
      <c r="AW17" s="87">
        <v>2568163079</v>
      </c>
      <c r="AX17" s="86">
        <f>+Tabla13[[#This Row],[Total Recursos Comprometido 2025]]/Tabla13[[#This Row],[Total 2025 ( PPTO DEFINITIVO)]]</f>
        <v>0.99983130460526315</v>
      </c>
      <c r="AY17" s="85">
        <f>+Tabla13[[#This Row],[Total Recursos Obligados]]/Tabla13[[#This Row],[Total 2025 ( PPTO DEFINITIVO)]]</f>
        <v>0.56319365767543861</v>
      </c>
      <c r="AZ17" s="84">
        <f>+Tabla13[[#This Row],[Total Recursos Pagados]]/Tabla13[[#This Row],[Total 2025 ( PPTO DEFINITIVO)]]</f>
        <v>0.56319365767543861</v>
      </c>
      <c r="BA17" s="63">
        <v>0</v>
      </c>
      <c r="BB17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31" t="s">
        <v>84</v>
      </c>
      <c r="BD17" s="32" t="s">
        <v>137</v>
      </c>
      <c r="BE17" s="20">
        <v>11</v>
      </c>
    </row>
    <row r="18" spans="1:57">
      <c r="A18" s="105"/>
      <c r="B18" s="105"/>
      <c r="C18" s="105"/>
      <c r="D18" s="105"/>
      <c r="E18" s="105"/>
      <c r="F18" s="105"/>
      <c r="G18" s="105"/>
      <c r="H18" s="106"/>
      <c r="I18" s="106"/>
      <c r="J18" s="106"/>
      <c r="K18" s="106"/>
      <c r="L18" s="106"/>
      <c r="M18" s="106"/>
      <c r="N18" s="106"/>
      <c r="O18" s="106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8">
        <f>SUBTOTAL(109,Tabla13[Total 2025 ( PPTO DEFINITIVO)])</f>
        <v>10501162760</v>
      </c>
      <c r="AF18" s="108">
        <f>SUBTOTAL(109,Tabla13[Recursos propios 2.025])</f>
        <v>6360407674</v>
      </c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8">
        <f>SUBTOTAL(109,Tabla13[Total Recursos Comprometido 2025])</f>
        <v>6360408244</v>
      </c>
      <c r="AV18" s="108">
        <f>SUBTOTAL(109,Tabla13[Total Recursos Obligados])</f>
        <v>2838455149</v>
      </c>
      <c r="AW18" s="108">
        <f>SUBTOTAL(109,Tabla13[Total Recursos Pagados])</f>
        <v>2838455149</v>
      </c>
      <c r="AX18" s="109"/>
      <c r="AY18" s="110"/>
      <c r="AZ18" s="110"/>
      <c r="BA18" s="106"/>
      <c r="BB18" s="111"/>
      <c r="BC18" s="105"/>
      <c r="BD18" s="112"/>
      <c r="BE18" s="105"/>
    </row>
    <row r="19" spans="1:57">
      <c r="P19" s="103"/>
      <c r="AE19" s="113">
        <v>10052162760</v>
      </c>
      <c r="AF19" s="114">
        <v>8856012867</v>
      </c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</row>
    <row r="20" spans="1:57">
      <c r="AE20" s="115">
        <f>AE19-Tabla13[[#Totals],[Total 2025 ( PPTO DEFINITIVO)]]</f>
        <v>-449000000</v>
      </c>
      <c r="AF20" s="115">
        <f>+Tabla13[[#Totals],[Recursos propios 2.025]]-AF19</f>
        <v>-2495605193</v>
      </c>
    </row>
  </sheetData>
  <sheetProtection formatCells="0" formatColumns="0" formatRows="0" insertRows="0" autoFilter="0"/>
  <mergeCells count="13">
    <mergeCell ref="BC9:BD9"/>
    <mergeCell ref="A9:G9"/>
    <mergeCell ref="H9:O9"/>
    <mergeCell ref="P9:AE9"/>
    <mergeCell ref="AF9:AW9"/>
    <mergeCell ref="AX9:AZ9"/>
    <mergeCell ref="BA9:BB9"/>
    <mergeCell ref="A1:B4"/>
    <mergeCell ref="C1:BB4"/>
    <mergeCell ref="BC1:BE1"/>
    <mergeCell ref="BC2:BE2"/>
    <mergeCell ref="BC3:BE3"/>
    <mergeCell ref="BC4:BE4"/>
  </mergeCell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15"/>
  <sheetViews>
    <sheetView showGridLines="0" tabSelected="1" topLeftCell="AU1" zoomScale="70" zoomScaleNormal="70" workbookViewId="0">
      <selection activeCell="BA10" sqref="BA10"/>
    </sheetView>
  </sheetViews>
  <sheetFormatPr baseColWidth="10" defaultColWidth="11.25" defaultRowHeight="15"/>
  <cols>
    <col min="1" max="1" width="19" style="4" customWidth="1"/>
    <col min="2" max="2" width="26.75" style="4" customWidth="1"/>
    <col min="3" max="3" width="20.25" style="4" customWidth="1"/>
    <col min="4" max="4" width="19.25" style="4" customWidth="1"/>
    <col min="5" max="5" width="40.375" style="4" customWidth="1"/>
    <col min="6" max="6" width="19.25" style="4" customWidth="1"/>
    <col min="7" max="7" width="69" style="4" customWidth="1"/>
    <col min="8" max="8" width="19.25" style="4" customWidth="1"/>
    <col min="9" max="9" width="69" style="4" customWidth="1"/>
    <col min="10" max="10" width="12.375" style="4" customWidth="1"/>
    <col min="11" max="11" width="16.25" style="4" customWidth="1"/>
    <col min="12" max="12" width="20" style="4" customWidth="1"/>
    <col min="13" max="14" width="23.25" style="4" customWidth="1"/>
    <col min="15" max="16" width="18.75" style="4" customWidth="1"/>
    <col min="17" max="17" width="19.25" style="5" hidden="1" customWidth="1"/>
    <col min="18" max="49" width="27.25" style="4" customWidth="1"/>
    <col min="50" max="52" width="22.75" style="26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156"/>
      <c r="B1" s="157"/>
      <c r="C1" s="128" t="s">
        <v>31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30"/>
      <c r="BC1" s="137" t="s">
        <v>32</v>
      </c>
      <c r="BD1" s="138"/>
      <c r="BE1" s="139"/>
    </row>
    <row r="2" spans="1:57" ht="30" customHeight="1">
      <c r="A2" s="158"/>
      <c r="B2" s="159"/>
      <c r="C2" s="131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3"/>
      <c r="BC2" s="165" t="s">
        <v>91</v>
      </c>
      <c r="BD2" s="166"/>
      <c r="BE2" s="167"/>
    </row>
    <row r="3" spans="1:57" ht="30" customHeight="1">
      <c r="A3" s="158"/>
      <c r="B3" s="159"/>
      <c r="C3" s="131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3"/>
      <c r="BC3" s="140" t="s">
        <v>92</v>
      </c>
      <c r="BD3" s="141"/>
      <c r="BE3" s="142"/>
    </row>
    <row r="4" spans="1:57" ht="30" customHeight="1" thickBot="1">
      <c r="A4" s="160"/>
      <c r="B4" s="161"/>
      <c r="C4" s="134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6"/>
      <c r="BC4" s="143" t="s">
        <v>94</v>
      </c>
      <c r="BD4" s="144"/>
      <c r="BE4" s="145"/>
    </row>
    <row r="5" spans="1:57" ht="23.25" customHeight="1" thickTop="1">
      <c r="Q5" s="4"/>
      <c r="BE5" s="11"/>
    </row>
    <row r="6" spans="1:57" ht="28.5" customHeight="1" thickBot="1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27"/>
      <c r="AY6" s="27"/>
      <c r="AZ6" s="27"/>
      <c r="BA6" s="6"/>
      <c r="BB6" s="6"/>
      <c r="BC6" s="12"/>
      <c r="BD6" s="12"/>
      <c r="BE6" s="13"/>
    </row>
    <row r="7" spans="1:57" ht="37.1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27"/>
      <c r="AY7" s="27"/>
      <c r="AZ7" s="27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27"/>
      <c r="AY8" s="27"/>
      <c r="AZ8" s="27"/>
      <c r="BA8" s="6"/>
      <c r="BB8" s="6"/>
      <c r="BC8" s="12"/>
      <c r="BD8" s="12"/>
      <c r="BE8" s="13"/>
    </row>
    <row r="9" spans="1:57" s="2" customFormat="1" ht="37.9" customHeight="1" thickBot="1">
      <c r="A9" s="148" t="s">
        <v>27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9" t="s">
        <v>26</v>
      </c>
      <c r="P9" s="150"/>
      <c r="Q9" s="151"/>
      <c r="R9" s="152" t="s">
        <v>24</v>
      </c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4"/>
      <c r="AF9" s="155"/>
      <c r="AG9" s="149" t="s">
        <v>23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1"/>
      <c r="AX9" s="162" t="s">
        <v>42</v>
      </c>
      <c r="AY9" s="163"/>
      <c r="AZ9" s="164"/>
      <c r="BA9" s="150" t="s">
        <v>44</v>
      </c>
      <c r="BB9" s="150"/>
      <c r="BC9" s="146" t="s">
        <v>22</v>
      </c>
      <c r="BD9" s="147"/>
      <c r="BE9" s="14"/>
    </row>
    <row r="10" spans="1:57" s="2" customFormat="1" ht="57" customHeight="1">
      <c r="A10" s="34" t="s">
        <v>20</v>
      </c>
      <c r="B10" s="34" t="s">
        <v>19</v>
      </c>
      <c r="C10" s="34" t="s">
        <v>18</v>
      </c>
      <c r="D10" s="34" t="s">
        <v>17</v>
      </c>
      <c r="E10" s="34" t="s">
        <v>16</v>
      </c>
      <c r="F10" s="34" t="s">
        <v>15</v>
      </c>
      <c r="G10" s="34" t="s">
        <v>14</v>
      </c>
      <c r="H10" s="34" t="s">
        <v>13</v>
      </c>
      <c r="I10" s="34" t="s">
        <v>12</v>
      </c>
      <c r="J10" s="34" t="s">
        <v>30</v>
      </c>
      <c r="K10" s="34" t="s">
        <v>29</v>
      </c>
      <c r="L10" s="34" t="s">
        <v>11</v>
      </c>
      <c r="M10" s="34" t="s">
        <v>33</v>
      </c>
      <c r="N10" s="34" t="s">
        <v>10</v>
      </c>
      <c r="O10" s="34" t="s">
        <v>37</v>
      </c>
      <c r="P10" s="34" t="s">
        <v>9</v>
      </c>
      <c r="Q10" s="34" t="s">
        <v>60</v>
      </c>
      <c r="R10" s="34" t="s">
        <v>45</v>
      </c>
      <c r="S10" s="34" t="s">
        <v>46</v>
      </c>
      <c r="T10" s="34" t="s">
        <v>47</v>
      </c>
      <c r="U10" s="34" t="s">
        <v>48</v>
      </c>
      <c r="V10" s="34" t="s">
        <v>49</v>
      </c>
      <c r="W10" s="34" t="s">
        <v>50</v>
      </c>
      <c r="X10" s="34" t="s">
        <v>51</v>
      </c>
      <c r="Y10" s="34" t="s">
        <v>52</v>
      </c>
      <c r="Z10" s="34" t="s">
        <v>53</v>
      </c>
      <c r="AA10" s="34" t="s">
        <v>54</v>
      </c>
      <c r="AB10" s="34" t="s">
        <v>55</v>
      </c>
      <c r="AC10" s="34" t="s">
        <v>56</v>
      </c>
      <c r="AD10" s="34" t="s">
        <v>57</v>
      </c>
      <c r="AE10" s="34" t="s">
        <v>61</v>
      </c>
      <c r="AF10" s="34" t="s">
        <v>138</v>
      </c>
      <c r="AG10" s="34" t="s">
        <v>58</v>
      </c>
      <c r="AH10" s="34" t="s">
        <v>59</v>
      </c>
      <c r="AI10" s="34" t="s">
        <v>139</v>
      </c>
      <c r="AJ10" s="34" t="s">
        <v>140</v>
      </c>
      <c r="AK10" s="34" t="s">
        <v>141</v>
      </c>
      <c r="AL10" s="34" t="s">
        <v>142</v>
      </c>
      <c r="AM10" s="34" t="s">
        <v>143</v>
      </c>
      <c r="AN10" s="34" t="s">
        <v>144</v>
      </c>
      <c r="AO10" s="34" t="s">
        <v>145</v>
      </c>
      <c r="AP10" s="34" t="s">
        <v>146</v>
      </c>
      <c r="AQ10" s="34" t="s">
        <v>147</v>
      </c>
      <c r="AR10" s="34" t="s">
        <v>148</v>
      </c>
      <c r="AS10" s="34" t="s">
        <v>149</v>
      </c>
      <c r="AT10" s="34" t="s">
        <v>62</v>
      </c>
      <c r="AU10" s="34" t="s">
        <v>106</v>
      </c>
      <c r="AV10" s="34" t="s">
        <v>35</v>
      </c>
      <c r="AW10" s="34" t="s">
        <v>36</v>
      </c>
      <c r="AX10" s="35" t="s">
        <v>41</v>
      </c>
      <c r="AY10" s="35" t="s">
        <v>39</v>
      </c>
      <c r="AZ10" s="35" t="s">
        <v>38</v>
      </c>
      <c r="BA10" s="38" t="s">
        <v>43</v>
      </c>
      <c r="BB10" s="19" t="s">
        <v>40</v>
      </c>
      <c r="BC10" s="34" t="s">
        <v>1</v>
      </c>
      <c r="BD10" s="34" t="s">
        <v>0</v>
      </c>
      <c r="BE10" s="36" t="s">
        <v>21</v>
      </c>
    </row>
    <row r="11" spans="1:57" s="9" customFormat="1" ht="28.5">
      <c r="A11" s="31">
        <v>32</v>
      </c>
      <c r="B11" s="21" t="s">
        <v>63</v>
      </c>
      <c r="C11" s="21" t="s">
        <v>64</v>
      </c>
      <c r="D11" s="21" t="s">
        <v>65</v>
      </c>
      <c r="E11" s="21" t="s">
        <v>66</v>
      </c>
      <c r="F11" s="21" t="s">
        <v>67</v>
      </c>
      <c r="G11" s="21" t="s">
        <v>68</v>
      </c>
      <c r="H11" s="21">
        <v>450300201</v>
      </c>
      <c r="I11" s="21" t="s">
        <v>86</v>
      </c>
      <c r="J11" s="21">
        <v>2</v>
      </c>
      <c r="K11" s="21" t="s">
        <v>87</v>
      </c>
      <c r="L11" s="21" t="str">
        <f>+'[1]Plan Indicativo'!$AC$39</f>
        <v>No Acumulativa</v>
      </c>
      <c r="M11" s="21">
        <f>+'[1]Plan Indicativo'!$T$39</f>
        <v>2</v>
      </c>
      <c r="N11" s="32">
        <f>+'[1]Plan Indicativo'!$W$39</f>
        <v>2</v>
      </c>
      <c r="O11" s="66">
        <v>2</v>
      </c>
      <c r="P11" s="37">
        <f t="shared" ref="P11:P14" si="0">IF(N11=0," -",IF(Q11&gt;100%,100%,Q11))</f>
        <v>1</v>
      </c>
      <c r="Q11" s="39">
        <f>+Tabla1[[#This Row],[Logro Vigencia]]/Tabla1[[#This Row],[Meta Programada Vigencia]]</f>
        <v>1</v>
      </c>
      <c r="R11" s="98">
        <v>2923000001</v>
      </c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41">
        <f>SUM(Tabla1[[#This Row],[Recursos propios]:[Recursos del Balance]])</f>
        <v>2923000001</v>
      </c>
      <c r="AG11" s="100">
        <v>1656997265</v>
      </c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25">
        <f>SUM(Tabla1[[#This Row],[Recursos propios2]:[Recursos del Balance2]])</f>
        <v>1656997265</v>
      </c>
      <c r="AV11" s="101">
        <v>1591541036</v>
      </c>
      <c r="AW11" s="102">
        <v>1591541036</v>
      </c>
      <c r="AX11" s="17">
        <f>+Tabla1[[#This Row],[Total Recursos Comprometido 2025]]/Tabla1[[#This Row],[Total 2025]]</f>
        <v>0.56688240315878125</v>
      </c>
      <c r="AY11" s="15">
        <f>+Tabla1[[#This Row],[Total Recursos Obligados]]/Tabla1[[#This Row],[Total 2025]]</f>
        <v>0.54448889341618578</v>
      </c>
      <c r="AZ11" s="18">
        <f>+Tabla1[[#This Row],[Total Recursos Pagados]]/Tabla1[[#This Row],[Total 2025]]</f>
        <v>0.54448889341618578</v>
      </c>
      <c r="BA11" s="67">
        <v>0</v>
      </c>
      <c r="BB11" s="45">
        <f>+Tabla1[[#This Row],[Total Recursos Gestionados2]]/Tabla1[[#This Row],[Total Recursos Comprometido 2025]]</f>
        <v>0</v>
      </c>
      <c r="BC11" s="31" t="s">
        <v>84</v>
      </c>
      <c r="BD11" s="32" t="s">
        <v>85</v>
      </c>
      <c r="BE11" s="33">
        <v>11</v>
      </c>
    </row>
    <row r="12" spans="1:57" s="10" customFormat="1" ht="28.5">
      <c r="A12" s="28">
        <v>287</v>
      </c>
      <c r="B12" s="21" t="s">
        <v>63</v>
      </c>
      <c r="C12" s="21" t="s">
        <v>64</v>
      </c>
      <c r="D12" s="22" t="s">
        <v>65</v>
      </c>
      <c r="E12" s="21" t="s">
        <v>66</v>
      </c>
      <c r="F12" s="22" t="s">
        <v>69</v>
      </c>
      <c r="G12" s="21" t="s">
        <v>70</v>
      </c>
      <c r="H12" s="22">
        <v>450301500</v>
      </c>
      <c r="I12" s="21" t="s">
        <v>88</v>
      </c>
      <c r="J12" s="22">
        <v>4</v>
      </c>
      <c r="K12" s="22" t="s">
        <v>87</v>
      </c>
      <c r="L12" s="22" t="str">
        <f>+'[1]Plan Indicativo'!AC295</f>
        <v>Acumulativa</v>
      </c>
      <c r="M12" s="22">
        <f>+'[1]Plan Indicativo'!T295</f>
        <v>1</v>
      </c>
      <c r="N12" s="29">
        <f>+'[1]Plan Indicativo'!W295</f>
        <v>0</v>
      </c>
      <c r="O12" s="66">
        <v>0</v>
      </c>
      <c r="P12" s="30" t="str">
        <f t="shared" si="0"/>
        <v xml:space="preserve"> -</v>
      </c>
      <c r="Q12" s="40" t="e">
        <f>+Tabla1[[#This Row],[Logro Vigencia]]/Tabla1[[#This Row],[Meta Programada Vigencia]]</f>
        <v>#DIV/0!</v>
      </c>
      <c r="R12" s="100">
        <v>1000000000</v>
      </c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42">
        <f>SUM(Tabla1[[#This Row],[Recursos propios]:[Recursos del Balance]])</f>
        <v>1000000000</v>
      </c>
      <c r="AG12" s="100">
        <v>0</v>
      </c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25">
        <f>SUM(Tabla1[[#This Row],[Recursos propios2]:[Recursos del Balance2]])</f>
        <v>0</v>
      </c>
      <c r="AV12" s="102">
        <v>0</v>
      </c>
      <c r="AW12" s="102">
        <v>0</v>
      </c>
      <c r="AX12" s="43">
        <f>+Tabla1[[#This Row],[Total Recursos Comprometido 2025]]/Tabla1[[#This Row],[Total 2025]]</f>
        <v>0</v>
      </c>
      <c r="AY12" s="16">
        <f>+Tabla1[[#This Row],[Total Recursos Obligados]]/Tabla1[[#This Row],[Total 2025]]</f>
        <v>0</v>
      </c>
      <c r="AZ12" s="44">
        <f>+Tabla1[[#This Row],[Total Recursos Pagados]]/Tabla1[[#This Row],[Total 2025]]</f>
        <v>0</v>
      </c>
      <c r="BA12" s="67">
        <v>0</v>
      </c>
      <c r="BB12" s="45" t="e">
        <f>+Tabla1[[#This Row],[Total Recursos Gestionados2]]/Tabla1[[#This Row],[Total Recursos Comprometido 2025]]</f>
        <v>#DIV/0!</v>
      </c>
      <c r="BC12" s="31" t="s">
        <v>84</v>
      </c>
      <c r="BD12" s="32" t="s">
        <v>85</v>
      </c>
      <c r="BE12" s="33">
        <v>11</v>
      </c>
    </row>
    <row r="13" spans="1:57" s="10" customFormat="1" ht="28.5">
      <c r="A13" s="28">
        <v>288</v>
      </c>
      <c r="B13" s="21" t="s">
        <v>63</v>
      </c>
      <c r="C13" s="21" t="s">
        <v>64</v>
      </c>
      <c r="D13" s="22" t="s">
        <v>65</v>
      </c>
      <c r="E13" s="21" t="s">
        <v>66</v>
      </c>
      <c r="F13" s="22" t="s">
        <v>71</v>
      </c>
      <c r="G13" s="21" t="s">
        <v>72</v>
      </c>
      <c r="H13" s="22">
        <v>450301400</v>
      </c>
      <c r="I13" s="21" t="s">
        <v>89</v>
      </c>
      <c r="J13" s="65">
        <v>3</v>
      </c>
      <c r="K13" s="22" t="s">
        <v>87</v>
      </c>
      <c r="L13" s="22" t="str">
        <f>+'[1]Plan Indicativo'!AC296</f>
        <v>Acumulativa</v>
      </c>
      <c r="M13" s="22">
        <f>+'[1]Plan Indicativo'!T296</f>
        <v>3</v>
      </c>
      <c r="N13" s="29">
        <f>+'[1]Plan Indicativo'!W296</f>
        <v>1</v>
      </c>
      <c r="O13" s="66">
        <v>0</v>
      </c>
      <c r="P13" s="30">
        <f t="shared" si="0"/>
        <v>0</v>
      </c>
      <c r="Q13" s="40">
        <f>+Tabla1[[#This Row],[Logro Vigencia]]/Tabla1[[#This Row],[Meta Programada Vigencia]]</f>
        <v>0</v>
      </c>
      <c r="R13" s="100">
        <v>261162759</v>
      </c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>
        <v>958000000</v>
      </c>
      <c r="AF13" s="42">
        <f>SUM(Tabla1[[#This Row],[Recursos propios]:[Recursos del Balance]])</f>
        <v>1219162759</v>
      </c>
      <c r="AG13" s="100">
        <v>0</v>
      </c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25">
        <f>SUM(Tabla1[[#This Row],[Recursos propios2]:[Recursos del Balance2]])</f>
        <v>0</v>
      </c>
      <c r="AV13" s="102">
        <v>0</v>
      </c>
      <c r="AW13" s="102">
        <v>0</v>
      </c>
      <c r="AX13" s="17">
        <f>+Tabla1[[#This Row],[Total Recursos Comprometido 2025]]/Tabla1[[#This Row],[Total 2025]]</f>
        <v>0</v>
      </c>
      <c r="AY13" s="15">
        <f>+Tabla1[[#This Row],[Total Recursos Obligados]]/Tabla1[[#This Row],[Total 2025]]</f>
        <v>0</v>
      </c>
      <c r="AZ13" s="18">
        <f>+Tabla1[[#This Row],[Total Recursos Pagados]]/Tabla1[[#This Row],[Total 2025]]</f>
        <v>0</v>
      </c>
      <c r="BA13" s="67">
        <v>0</v>
      </c>
      <c r="BB13" s="45" t="e">
        <f>+Tabla1[[#This Row],[Total Recursos Gestionados2]]/Tabla1[[#This Row],[Total Recursos Comprometido 2025]]</f>
        <v>#DIV/0!</v>
      </c>
      <c r="BC13" s="31" t="s">
        <v>84</v>
      </c>
      <c r="BD13" s="32" t="s">
        <v>85</v>
      </c>
      <c r="BE13" s="33">
        <v>11</v>
      </c>
    </row>
    <row r="14" spans="1:57" s="10" customFormat="1" ht="28.5">
      <c r="A14" s="28">
        <v>289</v>
      </c>
      <c r="B14" s="21" t="s">
        <v>63</v>
      </c>
      <c r="C14" s="21" t="s">
        <v>64</v>
      </c>
      <c r="D14" s="22" t="s">
        <v>65</v>
      </c>
      <c r="E14" s="21" t="s">
        <v>66</v>
      </c>
      <c r="F14" s="22" t="s">
        <v>73</v>
      </c>
      <c r="G14" s="21" t="s">
        <v>74</v>
      </c>
      <c r="H14" s="22">
        <v>450301600</v>
      </c>
      <c r="I14" s="21" t="s">
        <v>90</v>
      </c>
      <c r="J14" s="22">
        <v>1</v>
      </c>
      <c r="K14" s="22" t="s">
        <v>87</v>
      </c>
      <c r="L14" s="22" t="str">
        <f>+'[1]Plan Indicativo'!AC297</f>
        <v>No Acumulativa</v>
      </c>
      <c r="M14" s="22">
        <f>+'[1]Plan Indicativo'!T297</f>
        <v>1</v>
      </c>
      <c r="N14" s="29">
        <f>+'[1]Plan Indicativo'!W297</f>
        <v>1</v>
      </c>
      <c r="O14" s="66">
        <v>0.76100000000000001</v>
      </c>
      <c r="P14" s="30">
        <f t="shared" si="0"/>
        <v>0.76100000000000001</v>
      </c>
      <c r="Q14" s="40">
        <f>+Tabla1[[#This Row],[Logro Vigencia]]/Tabla1[[#This Row],[Meta Programada Vigencia]]</f>
        <v>0.76100000000000001</v>
      </c>
      <c r="R14" s="99">
        <v>4910000000</v>
      </c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>
        <v>449000000</v>
      </c>
      <c r="AF14" s="42">
        <f>SUM(Tabla1[[#This Row],[Recursos propios]:[Recursos del Balance]])</f>
        <v>5359000000</v>
      </c>
      <c r="AG14" s="100">
        <v>4703410979</v>
      </c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25">
        <f>SUM(Tabla1[[#This Row],[Recursos propios2]:[Recursos del Balance2]])</f>
        <v>4703410979</v>
      </c>
      <c r="AV14" s="102">
        <v>2973660979</v>
      </c>
      <c r="AW14" s="102">
        <v>2910060991</v>
      </c>
      <c r="AX14" s="43">
        <f>+Tabla1[[#This Row],[Total Recursos Comprometido 2025]]/Tabla1[[#This Row],[Total 2025]]</f>
        <v>0.87766579193879457</v>
      </c>
      <c r="AY14" s="16">
        <f>+Tabla1[[#This Row],[Total Recursos Obligados]]/Tabla1[[#This Row],[Total 2025]]</f>
        <v>0.55489102052621753</v>
      </c>
      <c r="AZ14" s="44">
        <f>+Tabla1[[#This Row],[Total Recursos Pagados]]/Tabla1[[#This Row],[Total 2025]]</f>
        <v>0.5430231369658518</v>
      </c>
      <c r="BA14" s="67">
        <v>0</v>
      </c>
      <c r="BB14" s="45">
        <f>+Tabla1[[#This Row],[Total Recursos Gestionados2]]/Tabla1[[#This Row],[Total Recursos Comprometido 2025]]</f>
        <v>0</v>
      </c>
      <c r="BC14" s="31" t="s">
        <v>84</v>
      </c>
      <c r="BD14" s="32" t="s">
        <v>85</v>
      </c>
      <c r="BE14" s="33">
        <v>11</v>
      </c>
    </row>
    <row r="15" spans="1:57">
      <c r="A15" s="68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68"/>
      <c r="P15" s="80">
        <f>+AVERAGE(Tabla1[Porcentaje Avance Vigencia])</f>
        <v>0.58700000000000008</v>
      </c>
      <c r="Q15" s="70"/>
      <c r="R15" s="71"/>
      <c r="S15" s="72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4"/>
      <c r="AF15" s="81">
        <f>+SUM(Tabla1[Total 2025])</f>
        <v>10501162760</v>
      </c>
      <c r="AG15" s="75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4"/>
      <c r="AU15" s="81">
        <f>+SUM(Tabla1[Total Recursos Comprometido 2025])</f>
        <v>6360408244</v>
      </c>
      <c r="AV15" s="81">
        <f>+SUM(Tabla1[Total Recursos Obligados])</f>
        <v>4565202015</v>
      </c>
      <c r="AW15" s="81">
        <f>+SUM(Tabla1[Total Recursos Pagados])</f>
        <v>4501602027</v>
      </c>
      <c r="AX15" s="79"/>
      <c r="AY15" s="76"/>
      <c r="AZ15" s="76"/>
      <c r="BA15" s="76"/>
      <c r="BB15" s="76"/>
      <c r="BC15" s="77"/>
      <c r="BD15" s="69"/>
      <c r="BE15" s="78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de Acción-proyectos</vt:lpstr>
      <vt:lpstr>Plan de Acción-metas</vt:lpstr>
      <vt:lpstr>'Plan de Acción-proyectos'!PA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2026-02-05T19:08:27Z</dcterms:modified>
</cp:coreProperties>
</file>