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768AA415-60D1-4CD1-A6F0-96A3F508F4D7}"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7" r:id="rId1"/>
    <sheet name="Plan de Acción-metas" sheetId="1" r:id="rId2"/>
  </sheets>
  <externalReferences>
    <externalReference r:id="rId3"/>
    <externalReference r:id="rId4"/>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Acción-proyectos'!$A$9:$BE$30</definedName>
    <definedName name="PA">'Plan de Acción-metas'!$A$9:$BE$27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2" i="1" l="1"/>
  <c r="AF13" i="1"/>
  <c r="AF14" i="1"/>
  <c r="AF15" i="1"/>
  <c r="AF16" i="1"/>
  <c r="AF17" i="1"/>
  <c r="AF18" i="1"/>
  <c r="AF19" i="1"/>
  <c r="AF20" i="1"/>
  <c r="AF21" i="1"/>
  <c r="AF22" i="1"/>
  <c r="AF23" i="1"/>
  <c r="AF24" i="1"/>
  <c r="AF25" i="1"/>
  <c r="AF26" i="1"/>
  <c r="AF27" i="1"/>
  <c r="AF28" i="1"/>
  <c r="AF29" i="1"/>
  <c r="AF30" i="1"/>
  <c r="AF11" i="1"/>
  <c r="AF31" i="1"/>
  <c r="AW31" i="1" l="1"/>
  <c r="AV31" i="1"/>
  <c r="AU30" i="1"/>
  <c r="AV31" i="7" l="1"/>
  <c r="AV33" i="7" s="1"/>
  <c r="BB30" i="7"/>
  <c r="AW30" i="7"/>
  <c r="AU30" i="7"/>
  <c r="AX30" i="7" s="1"/>
  <c r="AE30" i="7"/>
  <c r="AY30" i="7" s="1"/>
  <c r="BB29" i="7"/>
  <c r="AU29" i="7"/>
  <c r="AD29" i="7"/>
  <c r="AE29" i="7" s="1"/>
  <c r="AY29" i="7" s="1"/>
  <c r="BB28" i="7"/>
  <c r="AU28" i="7"/>
  <c r="AE28" i="7"/>
  <c r="AZ28" i="7" s="1"/>
  <c r="BB27" i="7"/>
  <c r="AU27" i="7"/>
  <c r="AE27" i="7"/>
  <c r="AZ27" i="7" s="1"/>
  <c r="BB26" i="7"/>
  <c r="AU26" i="7"/>
  <c r="AE26" i="7"/>
  <c r="AZ26" i="7" s="1"/>
  <c r="BB25" i="7"/>
  <c r="AU25" i="7"/>
  <c r="AE25" i="7"/>
  <c r="AZ25" i="7" s="1"/>
  <c r="BB24" i="7"/>
  <c r="AW24" i="7"/>
  <c r="AU24" i="7"/>
  <c r="AE24" i="7"/>
  <c r="AZ24" i="7" s="1"/>
  <c r="BB23" i="7"/>
  <c r="AW23" i="7"/>
  <c r="AU23" i="7"/>
  <c r="AX23" i="7" s="1"/>
  <c r="AE23" i="7"/>
  <c r="AY23" i="7" s="1"/>
  <c r="BB22" i="7"/>
  <c r="AU22" i="7"/>
  <c r="AE22" i="7"/>
  <c r="AZ22" i="7" s="1"/>
  <c r="BB21" i="7"/>
  <c r="AU21" i="7"/>
  <c r="AX21" i="7" s="1"/>
  <c r="AE21" i="7"/>
  <c r="AZ21" i="7" s="1"/>
  <c r="BB20" i="7"/>
  <c r="AU20" i="7"/>
  <c r="AE20" i="7"/>
  <c r="AZ20" i="7" s="1"/>
  <c r="BB19" i="7"/>
  <c r="AW19" i="7"/>
  <c r="AU19" i="7"/>
  <c r="AE19" i="7"/>
  <c r="AX19" i="7" s="1"/>
  <c r="BB18" i="7"/>
  <c r="AW18" i="7"/>
  <c r="AU18" i="7"/>
  <c r="AX18" i="7" s="1"/>
  <c r="AE18" i="7"/>
  <c r="AY18" i="7" s="1"/>
  <c r="BB17" i="7"/>
  <c r="AU17" i="7"/>
  <c r="AD17" i="7"/>
  <c r="AE17" i="7" s="1"/>
  <c r="AZ17" i="7" s="1"/>
  <c r="BB16" i="7"/>
  <c r="AU16" i="7"/>
  <c r="P16" i="7"/>
  <c r="AE16" i="7" s="1"/>
  <c r="AY16" i="7" s="1"/>
  <c r="BB15" i="7"/>
  <c r="AU15" i="7"/>
  <c r="AX15" i="7" s="1"/>
  <c r="AE15" i="7"/>
  <c r="AZ15" i="7" s="1"/>
  <c r="BB14" i="7"/>
  <c r="AU14" i="7"/>
  <c r="AE14" i="7"/>
  <c r="AZ14" i="7" s="1"/>
  <c r="P14" i="7"/>
  <c r="BB13" i="7"/>
  <c r="AU13" i="7"/>
  <c r="AE13" i="7"/>
  <c r="AY13" i="7" s="1"/>
  <c r="P13" i="7"/>
  <c r="BB12" i="7"/>
  <c r="AU12" i="7"/>
  <c r="P12" i="7"/>
  <c r="AE12" i="7" s="1"/>
  <c r="BB11" i="7"/>
  <c r="AU11" i="7"/>
  <c r="P11" i="7"/>
  <c r="AE11" i="7" s="1"/>
  <c r="AX13" i="7" l="1"/>
  <c r="AU31" i="7"/>
  <c r="AU33" i="7" s="1"/>
  <c r="AY21" i="7"/>
  <c r="AY25" i="7"/>
  <c r="AY26" i="7"/>
  <c r="AY27" i="7"/>
  <c r="AY28" i="7"/>
  <c r="AX29" i="7"/>
  <c r="AZ30" i="7"/>
  <c r="AX14" i="7"/>
  <c r="AY15" i="7"/>
  <c r="AX16" i="7"/>
  <c r="AX17" i="7"/>
  <c r="AW31" i="7"/>
  <c r="AW33" i="7" s="1"/>
  <c r="AX20" i="7"/>
  <c r="AX22" i="7"/>
  <c r="AZ23" i="7"/>
  <c r="AX24" i="7"/>
  <c r="AX25" i="7"/>
  <c r="AX26" i="7"/>
  <c r="AX27" i="7"/>
  <c r="AX28" i="7"/>
  <c r="AX12" i="7"/>
  <c r="AZ12" i="7"/>
  <c r="AY12" i="7"/>
  <c r="AZ11" i="7"/>
  <c r="AX11" i="7"/>
  <c r="AE31" i="7"/>
  <c r="AE33" i="7" s="1"/>
  <c r="AY11" i="7"/>
  <c r="AY19" i="7"/>
  <c r="AY24" i="7"/>
  <c r="AZ19" i="7"/>
  <c r="AZ16" i="7"/>
  <c r="AZ29" i="7"/>
  <c r="AY14" i="7"/>
  <c r="AY17" i="7"/>
  <c r="AZ18" i="7"/>
  <c r="AY20" i="7"/>
  <c r="AY22" i="7"/>
  <c r="AZ13" i="7"/>
  <c r="AU27" i="1" l="1"/>
  <c r="N29" i="1" l="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P29" i="1" l="1"/>
  <c r="P24" i="1"/>
  <c r="P22" i="1"/>
  <c r="P13" i="1"/>
  <c r="P17" i="1"/>
  <c r="P18" i="1"/>
  <c r="P19" i="1"/>
  <c r="P11" i="1"/>
  <c r="P28" i="1"/>
  <c r="P27" i="1"/>
  <c r="AU11" i="1"/>
  <c r="AU12" i="1"/>
  <c r="AU13" i="1"/>
  <c r="AU14" i="1"/>
  <c r="AU15" i="1"/>
  <c r="AU16" i="1"/>
  <c r="AU17" i="1"/>
  <c r="AU18" i="1"/>
  <c r="AU19" i="1"/>
  <c r="AU20" i="1"/>
  <c r="AU21" i="1"/>
  <c r="AU22" i="1"/>
  <c r="AU23" i="1"/>
  <c r="AU24" i="1"/>
  <c r="AU25" i="1"/>
  <c r="AU26" i="1"/>
  <c r="AU28" i="1"/>
  <c r="AU29" i="1"/>
  <c r="AY12" i="1"/>
  <c r="AY14" i="1"/>
  <c r="AY16" i="1"/>
  <c r="AY18" i="1"/>
  <c r="AY20" i="1"/>
  <c r="AY22" i="1"/>
  <c r="AY24" i="1"/>
  <c r="AY26" i="1"/>
  <c r="AY28" i="1"/>
  <c r="P12" i="1"/>
  <c r="P14" i="1"/>
  <c r="P15" i="1"/>
  <c r="P16" i="1"/>
  <c r="P20" i="1"/>
  <c r="P21" i="1"/>
  <c r="P23" i="1"/>
  <c r="P25" i="1"/>
  <c r="P26" i="1"/>
  <c r="AU31" i="1" l="1"/>
  <c r="AX27" i="1"/>
  <c r="BB27" i="1" s="1"/>
  <c r="AX19" i="1"/>
  <c r="BB19" i="1" s="1"/>
  <c r="AX11" i="1"/>
  <c r="BB11" i="1" s="1"/>
  <c r="AX23" i="1"/>
  <c r="BB23" i="1" s="1"/>
  <c r="AX15" i="1"/>
  <c r="BB15" i="1" s="1"/>
  <c r="AX29" i="1"/>
  <c r="BB29" i="1" s="1"/>
  <c r="AX25" i="1"/>
  <c r="BB25" i="1" s="1"/>
  <c r="AX21" i="1"/>
  <c r="BB21" i="1" s="1"/>
  <c r="AX17" i="1"/>
  <c r="BB17" i="1" s="1"/>
  <c r="AX13" i="1"/>
  <c r="BB13" i="1" s="1"/>
  <c r="AZ26" i="1"/>
  <c r="AZ22" i="1"/>
  <c r="AZ18" i="1"/>
  <c r="AZ14" i="1"/>
  <c r="AX26" i="1"/>
  <c r="BB26" i="1" s="1"/>
  <c r="AX22" i="1"/>
  <c r="BB22" i="1" s="1"/>
  <c r="AZ29" i="1"/>
  <c r="AZ25" i="1"/>
  <c r="AZ21" i="1"/>
  <c r="AZ17" i="1"/>
  <c r="AZ13" i="1"/>
  <c r="AZ28" i="1"/>
  <c r="AZ24" i="1"/>
  <c r="AZ20" i="1"/>
  <c r="AZ16" i="1"/>
  <c r="AZ12" i="1"/>
  <c r="AX28" i="1"/>
  <c r="BB28" i="1" s="1"/>
  <c r="AX24" i="1"/>
  <c r="BB24" i="1" s="1"/>
  <c r="AZ27" i="1"/>
  <c r="AZ23" i="1"/>
  <c r="AZ19" i="1"/>
  <c r="AZ15" i="1"/>
  <c r="AZ11" i="1"/>
  <c r="AX18" i="1"/>
  <c r="BB18" i="1" s="1"/>
  <c r="AX14" i="1"/>
  <c r="BB14" i="1" s="1"/>
  <c r="AY29" i="1"/>
  <c r="AY25" i="1"/>
  <c r="AY21" i="1"/>
  <c r="AY17" i="1"/>
  <c r="AY13" i="1"/>
  <c r="AX20" i="1"/>
  <c r="BB20" i="1" s="1"/>
  <c r="AX16" i="1"/>
  <c r="BB16" i="1" s="1"/>
  <c r="AX12" i="1"/>
  <c r="BB12" i="1" s="1"/>
  <c r="AY27" i="1"/>
  <c r="AY23" i="1"/>
  <c r="AY19" i="1"/>
  <c r="AY15" i="1"/>
  <c r="A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D3B26FBA-CE2E-4882-B76F-2DDFD0E689A6}">
      <text>
        <r>
          <rPr>
            <b/>
            <sz val="9"/>
            <color indexed="81"/>
            <rFont val="Tahoma"/>
            <family val="2"/>
          </rPr>
          <t>MONICA:</t>
        </r>
        <r>
          <rPr>
            <sz val="9"/>
            <color indexed="81"/>
            <rFont val="Tahoma"/>
            <family val="2"/>
          </rPr>
          <t xml:space="preserve">
Valor total del proyecto</t>
        </r>
      </text>
    </comment>
    <comment ref="K10" authorId="0" shapeId="0" xr:uid="{D16EFCB7-3E9D-4A3D-8950-BFAA317EA8B8}">
      <text>
        <r>
          <rPr>
            <b/>
            <sz val="9"/>
            <color indexed="81"/>
            <rFont val="Tahoma"/>
            <family val="2"/>
          </rPr>
          <t>MONICA:</t>
        </r>
        <r>
          <rPr>
            <sz val="9"/>
            <color indexed="81"/>
            <rFont val="Tahoma"/>
            <family val="2"/>
          </rPr>
          <t xml:space="preserve">
Valor vigencia 2024 del proyecto</t>
        </r>
      </text>
    </comment>
    <comment ref="L10" authorId="0" shapeId="0" xr:uid="{C0ED3A7C-2020-4CB1-A5FF-8AE346E8A2F8}">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1BA73DD4-0370-46B5-84EC-E00117FAE81B}">
      <text>
        <r>
          <rPr>
            <b/>
            <sz val="9"/>
            <color indexed="81"/>
            <rFont val="Tahoma"/>
            <family val="2"/>
          </rPr>
          <t>MONICA:</t>
        </r>
        <r>
          <rPr>
            <sz val="9"/>
            <color indexed="81"/>
            <rFont val="Tahoma"/>
            <family val="2"/>
          </rPr>
          <t xml:space="preserve">
Enfoque diferencial que apunte directamente el producto.</t>
        </r>
      </text>
    </comment>
    <comment ref="N10" authorId="0" shapeId="0" xr:uid="{EF5EA630-FF05-4B28-A17E-80D8A60EE2B6}">
      <text>
        <r>
          <rPr>
            <b/>
            <sz val="9"/>
            <color indexed="81"/>
            <rFont val="Tahoma"/>
            <family val="2"/>
          </rPr>
          <t>MONICA:</t>
        </r>
        <r>
          <rPr>
            <sz val="9"/>
            <color indexed="81"/>
            <rFont val="Tahoma"/>
            <family val="2"/>
          </rPr>
          <t xml:space="preserve">
Cuantitativa</t>
        </r>
      </text>
    </comment>
    <comment ref="O10" authorId="0" shapeId="0" xr:uid="{07B782C0-B930-4EDB-8B17-A39944B45CED}">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<sst xmlns="http://schemas.openxmlformats.org/spreadsheetml/2006/main" count="601" uniqueCount="237">
  <si>
    <t>PLAN DE ACCION</t>
  </si>
  <si>
    <t>Código:  F-DPM-10100-238,37-060</t>
  </si>
  <si>
    <t>Versión:3.0</t>
  </si>
  <si>
    <t>Fecha aprobación: Abril 10 de 2025</t>
  </si>
  <si>
    <t>Página: 1 de 2</t>
  </si>
  <si>
    <t>VIGENCIA</t>
  </si>
  <si>
    <t>PDM 2024-2027</t>
  </si>
  <si>
    <t>PROYECTOS DE INVERSION</t>
  </si>
  <si>
    <t>RECURSOS PROGRAMADOS</t>
  </si>
  <si>
    <t>RECURSOS EJECUTADOS</t>
  </si>
  <si>
    <t>EJECUCIÓN PRESUPUESTAL</t>
  </si>
  <si>
    <t>GESTIÓN DE RECURSOS</t>
  </si>
  <si>
    <t>RESPONSABLES</t>
  </si>
  <si>
    <t xml:space="preserve"> Consecutivo PDM</t>
  </si>
  <si>
    <t>Linea Estratégica</t>
  </si>
  <si>
    <t>Sector</t>
  </si>
  <si>
    <t>Cod. Programa</t>
  </si>
  <si>
    <t>Programa</t>
  </si>
  <si>
    <t>Cod. de Producto</t>
  </si>
  <si>
    <t>Meta de Producto</t>
  </si>
  <si>
    <t>Código BPIN</t>
  </si>
  <si>
    <t>Nombre del Proyecto</t>
  </si>
  <si>
    <t>Valor del Proyecto</t>
  </si>
  <si>
    <t>Valor Vigencia Proyecto</t>
  </si>
  <si>
    <t>Comuna o Barrio Beneficiado</t>
  </si>
  <si>
    <t>Población Beneficiada</t>
  </si>
  <si>
    <t>Número de Beneficiarios</t>
  </si>
  <si>
    <t>Actividades Realizadas</t>
  </si>
  <si>
    <t>Recursos del Balance</t>
  </si>
  <si>
    <t>Recursos del Balance2</t>
  </si>
  <si>
    <t>Total Recursos Obligados</t>
  </si>
  <si>
    <t>Total Recursos Pagados</t>
  </si>
  <si>
    <t>Ejecución Recursos Comprometidos</t>
  </si>
  <si>
    <t>Ejecución Recursos Obligados</t>
  </si>
  <si>
    <t>Ejecución Recursos Pagados</t>
  </si>
  <si>
    <t>Total Recursos Gestionados2</t>
  </si>
  <si>
    <t>Nivel de Gestión</t>
  </si>
  <si>
    <t>Dependencia</t>
  </si>
  <si>
    <t>Responsable</t>
  </si>
  <si>
    <t>ODS</t>
  </si>
  <si>
    <t>Territorio seguro que progresa</t>
  </si>
  <si>
    <t>Ciencia, tecnología e innovación.</t>
  </si>
  <si>
    <t>3906</t>
  </si>
  <si>
    <t>Fomento a vocaciones y formación, generación, uso y apropiación social del conocimiento de la ciencia, tecnología e innovación (3906)</t>
  </si>
  <si>
    <t>3906015</t>
  </si>
  <si>
    <t>Elaborar un documento técnico que permita ejecutar la visión Territorial de ciencia tecnología e innovación para el municipio de Bucaramanga.</t>
  </si>
  <si>
    <t>FORMULACIÓN DEL PLAN ESTRATÉGICO DE CIENCIA, TECNOLOGÍA E INNOVACIÓN PARA EL MUNICIPIO DE BUCARAMANGA</t>
  </si>
  <si>
    <t>Todas</t>
  </si>
  <si>
    <t>Bucaramanga</t>
  </si>
  <si>
    <t>Secretaria Administrativa -TIC</t>
  </si>
  <si>
    <t>Ana María Vargas Sepúlveda</t>
  </si>
  <si>
    <t>3906011</t>
  </si>
  <si>
    <t>Generar 4 estrategias a través de proyectos, iniciativas o actividades que fomenten las vocaciones científicas, conciencia pública, capacitación, educación, investigación y participación a nivel local, regional y nacional.</t>
  </si>
  <si>
    <t>FORTALECIMIENTO DE LAS CAPACIDADES Y VOCACIONES CIENTÍFICAS EN EL MUNICIPIO DE   BUCARAMANGA</t>
  </si>
  <si>
    <t>3906003</t>
  </si>
  <si>
    <t>Otorgar 20 becas de estudios de posgrados (Maestría) dirigido a los profesionales de la ciudad</t>
  </si>
  <si>
    <t>3906005</t>
  </si>
  <si>
    <t xml:space="preserve">Financiar un (1) programa y/o proyecto de Ciencia, Tecnología e Innovación (CTI) para la generación de conocimiento, desarrollo tecnológico e innovación. (I+D+i). </t>
  </si>
  <si>
    <t>3906018</t>
  </si>
  <si>
    <t xml:space="preserve">Construir un Centro o laboratorio para la I+D+i, de conformidad con lo establecido en las políticas, normatividad y lineamientos técnicos. Incluye la dotación. </t>
  </si>
  <si>
    <t>Tecnologías de la información y las comunicaciones.</t>
  </si>
  <si>
    <t>2301</t>
  </si>
  <si>
    <t>Facilitar el acceso y uso de las tecnologías de la información y las comunicaciones en todo el territorio (2301).</t>
  </si>
  <si>
    <t>2301076</t>
  </si>
  <si>
    <t>Habilitar 24 Espacios publicos para el acceso, uso, apropiacion y promocion de las TIC en el municipio de Bucaramanga.</t>
  </si>
  <si>
    <t>IMPLEMENTACION DE UNA ESTRATEGIA INTEGRAL PARA EL ACCESO, USO Y APROPIACION DE LAS TECNOLOGÍAS DE LA INFORMACIÓN Y LAS COMUNICACIONES, INCORPORADO A UN ESQUEMA DE CONECTIVIDAD COMUNITARIA EN EL MUNICIPIO DE BUCARAMANGA</t>
  </si>
  <si>
    <t>10, 17</t>
  </si>
  <si>
    <t>2302</t>
  </si>
  <si>
    <t>Fomento del desarrollo de aplicaciones, software y contenidos para impulsar la apropiación de las tecnologías de la información y las comunicaciones (tic) (2302).</t>
  </si>
  <si>
    <t>2302086</t>
  </si>
  <si>
    <t>Desarrollar e implementar tres (3) herramientas o servicio tecnologico en el marco de la Estrategia de Gobierno digital.</t>
  </si>
  <si>
    <t xml:space="preserve">FORTALECIMIENTO DE LA POLITICA DE GOBIERNO DIGITAL EN EL MUNICIPIO DE BUCARAMANGA </t>
  </si>
  <si>
    <t>2302036</t>
  </si>
  <si>
    <t>Desarrollar un (1) Proyecto para fortalecimiento, análisis y prospectiva del sector TIC.</t>
  </si>
  <si>
    <t>2301004</t>
  </si>
  <si>
    <t>Elaborar 12 Documentos de planeación como plan de medios, para informar a la ciudadanía, sobre proyectos, políticas, programas, oferta institucional en los diferentes medios de comunicación (radio, prensa, televisión, digital, impresos)</t>
  </si>
  <si>
    <t>DISEÑO, ELABORACIÓN Y EJECUCIÓN DE LOS DIFERENTES PLANES DE MEDIOS ESTRATÉGICOS PARA LA ALCALDÍA DE BUCARAMANGA</t>
  </si>
  <si>
    <t>Secretaria Administrativa-Prensa y Comunicaciones</t>
  </si>
  <si>
    <t>2302002</t>
  </si>
  <si>
    <t>Publicar 83 contenidos digitales de campañas sobre posicionamiento de ciudad.</t>
  </si>
  <si>
    <t>IMPLEMENTACIÓN DE ESTRATEGIAS DE COMUNICACIÓN Y PUBLICIDAD EN LA ALCALDÍA DE BUCARAMANGA</t>
  </si>
  <si>
    <t>2302041</t>
  </si>
  <si>
    <t>Realizar 150 Ejercicios de participación ciudadana, oferta institucional y de interés de la ciudadanía del Municipio de Bucaramanga, publicados en las diferentes redes sociales y página web.</t>
  </si>
  <si>
    <t>Territorio seguro que genera valor</t>
  </si>
  <si>
    <t>Gobierno territorial</t>
  </si>
  <si>
    <t>4599</t>
  </si>
  <si>
    <t>Fortalecimiento a la gestión y dirección de la administración pública territorial (4599)</t>
  </si>
  <si>
    <t>4599020</t>
  </si>
  <si>
    <t xml:space="preserve">Realizar un (01) documento metodológico de actualización de un estudio para la modernización de la estructura administrativa de la Alcaldía de Bucaramanga (incluye administración central, descentralizados y empresas de servicios)
</t>
  </si>
  <si>
    <t>ACTUALIZACION DEL DOCUMENTO METODOLOGICO PARA LA MODERNIZACION DE LA ESTRUCTURA ADMINISTRATIVA DE LA ALCALDIA DE BUCARAMANGA</t>
  </si>
  <si>
    <t>Secretaría Administrativa</t>
  </si>
  <si>
    <t>4599038</t>
  </si>
  <si>
    <t>Apoyar financieramente 658 funcionarios de la entidad a través del Plan Institucional de Capacitación y Plan Institucional de Bienestar e Incentivos (4599038).</t>
  </si>
  <si>
    <t>FORTALECIMIENTO DE LAS ACCIONES DEL PLAN INSTITUCIONAL DE CAPACITACIÓN Y PLAN INSTITUCIONAL DE BIENESTAR SOCIAL E INCENTIVOS PARA LOS SERVIDORES PÚBLICOS DEL MUNICIPIO DE BUCARAMANGA</t>
  </si>
  <si>
    <t>Realizar un (01) documento metodológico para la formulación y adopción del programa “Cultura Organizacional 2.0 - Plan Estratégico de Servicio al Ciudadano”</t>
  </si>
  <si>
    <t>FORTALECIMIENTO A LA GESTIÓN INSTITUCIONAL Y ATENCIÓN AL CIUDADANO A TRAVÉS DE LA ESTRATEGIA CULTURA ORGANIZACIONAL 2.0 EN EL MUNICIPIO DE BUCARAMANGA SANTANDER</t>
  </si>
  <si>
    <t>4599034</t>
  </si>
  <si>
    <t>Dotar  una (01) sede del Centro Administrativo Municipal - CAM  por medio de la adquisición de mobiliario y equipos tecnológicos</t>
  </si>
  <si>
    <t>DOTACIÓN DE ESPACIOS EN LAS INSTALACIONES DEL CENTRO ADMINISTRATIVO MUNICIPAL - CAM PARA LA HABILITACIÓN Y/O MEJORAMIENTO DE ESPACIOS DE TRABAJO EN EL MUNICIPIO DE BUCARAMANGA</t>
  </si>
  <si>
    <t>4599023</t>
  </si>
  <si>
    <t>Implementar dos (02) Sistemas de Gestión en la administración municipal</t>
  </si>
  <si>
    <t>FORTALECIMIENTO DE LOS SISTEMAS INTEGRADOS DE GESTIÓN DEL MUNICIPIO DE BUCARAMANGA</t>
  </si>
  <si>
    <t>4599017</t>
  </si>
  <si>
    <t>Implementar una (01) estrategias para el sistema de Gestión documental de la administración municipal</t>
  </si>
  <si>
    <t>FORTALECIMIENTO DE LOS PROCESOS DE GESTIÓN DOCUMENTAL Y ARCHIVO EN EL MUNICIPIO DE BUCARAMANGA</t>
  </si>
  <si>
    <t>Realizar un (01) documento metodológico para la actualización de la caracterización de los vendedores informales del municipio de Bucaramanga</t>
  </si>
  <si>
    <t>ACTUALIZACIÓN DE LA CARACTERIZACIÓN DE LOS VENDEDORES INFORMALES PARA LA GOBERNANZA DE DATOS Y TOMA DE DECISIONES EN EL MUNICIPIO DE BUCARAMANGA</t>
  </si>
  <si>
    <t>Secretaria Administrativa-DADEP</t>
  </si>
  <si>
    <t xml:space="preserve"> Facilitar el acceso y uso de las Tecnologías de la Información y las Comunicaciones (TIC) en todo el territorio nacional (2301)</t>
  </si>
  <si>
    <t>2301075</t>
  </si>
  <si>
    <t>Implementar un Sistema de Informacion integrado que garantice la gobernanza de datos y disponibilidad de informacion, de manera accesible, confiable y oportuna que permita la interaccion con los ciudadanos, la gestion territorial y la toma de decisiones informada.</t>
  </si>
  <si>
    <t>IMPLEMENTACIÓN DE UN SISTEMA MAESTRO INTEGRADO DE INFORMACIÓN, GESTIÓN TERRITORIAL Y TOMA DE DECISIONES EN EL MUNICIPIO DE BUCARAMANGA</t>
  </si>
  <si>
    <t>Secretaria Administrativa OATIC</t>
  </si>
  <si>
    <t>10,11, 17</t>
  </si>
  <si>
    <t>Página: 2 de 2</t>
  </si>
  <si>
    <t>CUMPLIMIENTO DE LA META</t>
  </si>
  <si>
    <t>Cod. Indicador de Producto</t>
  </si>
  <si>
    <t>Indicador de Producto</t>
  </si>
  <si>
    <t>LÍnea Base</t>
  </si>
  <si>
    <r>
      <t>Unidad de Medida</t>
    </r>
    <r>
      <rPr>
        <b/>
        <sz val="12"/>
        <color rgb="FF002060"/>
        <rFont val="Arial"/>
        <family val="2"/>
      </rPr>
      <t>2</t>
    </r>
  </si>
  <si>
    <t>Tipo de Meta</t>
  </si>
  <si>
    <r>
      <t>Meta Programada Cuatrienio</t>
    </r>
    <r>
      <rPr>
        <b/>
        <sz val="12"/>
        <color rgb="FF002060"/>
        <rFont val="Arial"/>
        <family val="2"/>
      </rPr>
      <t>3</t>
    </r>
  </si>
  <si>
    <t>Meta Programada Vigencia</t>
  </si>
  <si>
    <t>Logro Vigencia</t>
  </si>
  <si>
    <t>Porcentaje Avance Vigencia</t>
  </si>
  <si>
    <t>Porcentaje Avance VigenciaR</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</si>
  <si>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</si>
  <si>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</si>
  <si>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</si>
  <si>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</si>
  <si>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</si>
  <si>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</si>
  <si>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</si>
  <si>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</si>
  <si>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</si>
  <si>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</si>
  <si>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</si>
  <si>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</si>
  <si>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</si>
  <si>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</si>
  <si>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</si>
  <si>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Documentos de planeación elaborados. (390601500)</t>
  </si>
  <si>
    <t>Número</t>
  </si>
  <si>
    <t>Estrategias de apropiación realizadas. (390601100)</t>
  </si>
  <si>
    <t>Becas de maestría otorgadas (390600300)</t>
  </si>
  <si>
    <t>Programas y proyectos financiados (390600500)</t>
  </si>
  <si>
    <t>Centros o laboratorios construidos y dotados (390601800)</t>
  </si>
  <si>
    <t>Espacios públicos para la promoción de las TIC habilitados. (230107600)</t>
  </si>
  <si>
    <t>Herramientas tecnológicas de Gobierno digital implemetadas. (230208600)</t>
  </si>
  <si>
    <t>Proyecto para fortalecimiento, análisis y prospectiva del sector TIC desarrollados. (230203600)</t>
  </si>
  <si>
    <t>Documentos de planeación elaborados 
  (230100400)</t>
  </si>
  <si>
    <t>Contenidos digitales publicados 
  (230200200)</t>
  </si>
  <si>
    <t>Ejercicios de participación ciudadana realizados 
  (230204100)</t>
  </si>
  <si>
    <t>Documentos metodológicos realizados (459902000). </t>
  </si>
  <si>
    <t>Funcionarios apoyados (459903800). </t>
  </si>
  <si>
    <t>0 </t>
  </si>
  <si>
    <t>Sedes dotadas (459903400). </t>
  </si>
  <si>
    <t>Sistema de Gestión implementado (459902300). </t>
  </si>
  <si>
    <t>1 </t>
  </si>
  <si>
    <t>Sistema de gestión documental implementado (459901700). </t>
  </si>
  <si>
    <t>Sistema de Informacion Implementado. (230107500)</t>
  </si>
  <si>
    <t>Total 2025</t>
  </si>
  <si>
    <t>Total Recursos Comprometido</t>
  </si>
  <si>
    <t>Otros2</t>
  </si>
  <si>
    <r>
      <t>Transferencias de capital - cofinanciación nación</t>
    </r>
    <r>
      <rPr>
        <b/>
        <sz val="12"/>
        <color rgb="FF002060"/>
        <rFont val="Arial"/>
        <family val="2"/>
      </rPr>
      <t>14</t>
    </r>
  </si>
  <si>
    <r>
      <t>Transferencias de capital - cofinanciación departamento</t>
    </r>
    <r>
      <rPr>
        <b/>
        <sz val="12"/>
        <color rgb="FF002060"/>
        <rFont val="Arial"/>
        <family val="2"/>
      </rPr>
      <t>13</t>
    </r>
  </si>
  <si>
    <r>
      <t>Crédito</t>
    </r>
    <r>
      <rPr>
        <b/>
        <sz val="12"/>
        <color rgb="FF002060"/>
        <rFont val="Arial"/>
        <family val="2"/>
      </rPr>
      <t>12</t>
    </r>
  </si>
  <si>
    <r>
      <t>SGP APSB</t>
    </r>
    <r>
      <rPr>
        <b/>
        <sz val="12"/>
        <color rgb="FF002060"/>
        <rFont val="Arial"/>
        <family val="2"/>
      </rPr>
      <t>11</t>
    </r>
  </si>
  <si>
    <r>
      <t>SGP Cultura</t>
    </r>
    <r>
      <rPr>
        <b/>
        <sz val="12"/>
        <color rgb="FF002060"/>
        <rFont val="Arial"/>
        <family val="2"/>
      </rPr>
      <t>6</t>
    </r>
  </si>
  <si>
    <r>
      <t>SGP Deporte</t>
    </r>
    <r>
      <rPr>
        <b/>
        <sz val="12"/>
        <color rgb="FF002060"/>
        <rFont val="Arial"/>
        <family val="2"/>
      </rPr>
      <t>5</t>
    </r>
  </si>
  <si>
    <r>
      <t>SGP Salud</t>
    </r>
    <r>
      <rPr>
        <b/>
        <sz val="12"/>
        <color rgb="FF002060"/>
        <rFont val="Arial"/>
        <family val="2"/>
      </rPr>
      <t>4</t>
    </r>
  </si>
  <si>
    <r>
      <t>SGP Libre destinación</t>
    </r>
    <r>
      <rPr>
        <b/>
        <sz val="12"/>
        <color rgb="FF002060"/>
        <rFont val="Arial"/>
        <family val="2"/>
      </rPr>
      <t>8</t>
    </r>
  </si>
  <si>
    <r>
      <t>SGP Alimentación escolar</t>
    </r>
    <r>
      <rPr>
        <b/>
        <sz val="12"/>
        <color rgb="FF002060"/>
        <rFont val="Arial"/>
        <family val="2"/>
      </rPr>
      <t>9</t>
    </r>
  </si>
  <si>
    <t>Total Recursos Gestionados</t>
  </si>
  <si>
    <t>Recursos propios 2025</t>
  </si>
  <si>
    <t>SGP Educación 2025</t>
  </si>
  <si>
    <t>SGP Salud 2025</t>
  </si>
  <si>
    <t>SGP Deporte 2025</t>
  </si>
  <si>
    <t>SGP Cultura 2025</t>
  </si>
  <si>
    <t>SGP Libre inversión 2025</t>
  </si>
  <si>
    <t>SGP Libre destinación 2025</t>
  </si>
  <si>
    <t>SGP Alimentación escolar 2025</t>
  </si>
  <si>
    <t>SGP Municipios río Magdalena 2025</t>
  </si>
  <si>
    <t>SGP APSB 2025</t>
  </si>
  <si>
    <t>Crédito 2025</t>
  </si>
  <si>
    <t>Transferencias de capital - cofinanciación departamento 2025</t>
  </si>
  <si>
    <t>Transferencias de capital - cofinanciación nación 2025</t>
  </si>
  <si>
    <t>Otros 2025</t>
  </si>
  <si>
    <r>
      <t>Recursos propios 2025</t>
    </r>
    <r>
      <rPr>
        <b/>
        <sz val="12"/>
        <color rgb="FF002060"/>
        <rFont val="Arial"/>
        <family val="2"/>
      </rPr>
      <t>2</t>
    </r>
  </si>
  <si>
    <r>
      <t>SGP Educación 2025</t>
    </r>
    <r>
      <rPr>
        <b/>
        <sz val="12"/>
        <color rgb="FF002060"/>
        <rFont val="Arial"/>
        <family val="2"/>
      </rPr>
      <t>3</t>
    </r>
  </si>
  <si>
    <r>
      <t>SGP Salud 2025</t>
    </r>
    <r>
      <rPr>
        <b/>
        <sz val="12"/>
        <color rgb="FF002060"/>
        <rFont val="Arial"/>
        <family val="2"/>
      </rPr>
      <t>4</t>
    </r>
  </si>
  <si>
    <r>
      <t>SGP Deporte 2025</t>
    </r>
    <r>
      <rPr>
        <b/>
        <sz val="12"/>
        <color rgb="FF002060"/>
        <rFont val="Arial"/>
        <family val="2"/>
      </rPr>
      <t>5</t>
    </r>
  </si>
  <si>
    <r>
      <t>SGP Cultura 2025</t>
    </r>
    <r>
      <rPr>
        <b/>
        <sz val="12"/>
        <color rgb="FF002060"/>
        <rFont val="Arial"/>
        <family val="2"/>
      </rPr>
      <t>6</t>
    </r>
  </si>
  <si>
    <r>
      <t>SGP Libre inversión 2025</t>
    </r>
    <r>
      <rPr>
        <b/>
        <sz val="12"/>
        <color rgb="FF002060"/>
        <rFont val="Arial"/>
        <family val="2"/>
      </rPr>
      <t>7</t>
    </r>
  </si>
  <si>
    <r>
      <t>SGP Libre destinación 2025</t>
    </r>
    <r>
      <rPr>
        <b/>
        <sz val="12"/>
        <color rgb="FF002060"/>
        <rFont val="Arial"/>
        <family val="2"/>
      </rPr>
      <t>8</t>
    </r>
  </si>
  <si>
    <r>
      <t>SGP Alimentación escolar 2025</t>
    </r>
    <r>
      <rPr>
        <b/>
        <sz val="12"/>
        <color rgb="FF002060"/>
        <rFont val="Arial"/>
        <family val="2"/>
      </rPr>
      <t>9</t>
    </r>
  </si>
  <si>
    <r>
      <t>SGP Municipios río Magdalena 2025</t>
    </r>
    <r>
      <rPr>
        <b/>
        <sz val="12"/>
        <color rgb="FF002060"/>
        <rFont val="Arial"/>
        <family val="2"/>
      </rPr>
      <t>10</t>
    </r>
  </si>
  <si>
    <r>
      <t>SGP APSB 2025</t>
    </r>
    <r>
      <rPr>
        <b/>
        <sz val="12"/>
        <color rgb="FF002060"/>
        <rFont val="Arial"/>
        <family val="2"/>
      </rPr>
      <t>11</t>
    </r>
  </si>
  <si>
    <r>
      <t>Crédito 2025</t>
    </r>
    <r>
      <rPr>
        <b/>
        <sz val="12"/>
        <color rgb="FF002060"/>
        <rFont val="Arial"/>
        <family val="2"/>
      </rPr>
      <t>12</t>
    </r>
  </si>
  <si>
    <r>
      <t>Transferencias de capital - cofinanciación departamento 2025</t>
    </r>
    <r>
      <rPr>
        <b/>
        <sz val="12"/>
        <color rgb="FF002060"/>
        <rFont val="Arial"/>
        <family val="2"/>
      </rPr>
      <t>13</t>
    </r>
  </si>
  <si>
    <r>
      <t>Transferencias de capital - cofinanciación nación 2025</t>
    </r>
    <r>
      <rPr>
        <b/>
        <sz val="12"/>
        <color rgb="FF002060"/>
        <rFont val="Arial"/>
        <family val="2"/>
      </rPr>
      <t>14</t>
    </r>
  </si>
  <si>
    <r>
      <t>Otros 2025</t>
    </r>
    <r>
      <rPr>
        <b/>
        <sz val="12"/>
        <color rgb="FF002060"/>
        <rFont val="Arial"/>
        <family val="2"/>
      </rPr>
      <t>15</t>
    </r>
  </si>
  <si>
    <t>Total Recursos Comprometido 2025</t>
  </si>
  <si>
    <r>
      <t>SGP Libre inversión</t>
    </r>
    <r>
      <rPr>
        <b/>
        <sz val="12"/>
        <color rgb="FF002060"/>
        <rFont val="Arial"/>
        <family val="2"/>
      </rPr>
      <t>7</t>
    </r>
  </si>
  <si>
    <t>Se contrataron en total 22 profesionales lo cuales ejecutaron el plan de acción encaminado al cumplimiento de la meta, por medio de la ejecución de actividades de soporte de sistemas de información y soluciones digitales relacionadas al cumplimiento de la política de Gobierno Digital en la entidad.</t>
  </si>
  <si>
    <t>Se contrataron en total 3 profesionales lo cuales ejecutaron el plan de acción encaminado al cumplimiento de la meta, por medio de la ejecución de actividades de identificación y caracterización de actores claves de la economía digital, sus roles y su integración en el ecosistema de economía digital de la entidad</t>
  </si>
  <si>
    <t>Esta meta tiene reprogramacion de cumplimiento para la vigencia 2026</t>
  </si>
  <si>
    <t>Esta meta tiene programacion de cumplimiento para la vigencia 2026</t>
  </si>
  <si>
    <t>Este proyecto  inicio en el mes de mayo del 2025</t>
  </si>
  <si>
    <t>A la fecha el proyecto no ha iniciado su ejecución</t>
  </si>
  <si>
    <t>Meta reprogramada para el 2026</t>
  </si>
  <si>
    <t>Este proyecto inicio a corte del 31 de agosto del 2025 y esta a corte de noviembre se encuentra en ejecucion</t>
  </si>
  <si>
    <t>Al corte del 30 de noviembre de 2025, el proyecto “Diseño, elaboración y ejecución de los diferentes planes de medios estratégicos para la Alcaldía de Bucaramanga” (BPIN 2024680010243) evidenció un avance significativo en la formulación, ajuste y validación de los documentos metodológicos dirigidos a las poblaciones General, con Enfoque Diferencial y Rural. Durante el periodo, se realizaron reuniones con el área de calidad, se ajustaron los formatos institucionales y se consolidaron estrategias de comunicación y cooperación alineadas con la campaña de imagen de ciudad y la rendición de cuentas. Asimismo, se adjudicó el contrato N.° 55 de 2025 con la UT Plan Libre Fuento 2025, registrando un avance financiero coherente con la ejecución técnica del proyecto. Estos resultados reflejan el cumplimiento progresivo de la Meta 237, orientada a fortalecer la comunicación institucional y la planeación estratégica de la Alcaldía de Bucaramanga</t>
  </si>
  <si>
    <t>Al corte del 30 de noviembre de 2025, la Meta 86: Publicar 83 contenidos digitales de campañas sobre posicionamiento de ciudad presentó un avance sostenido y verificable, evidenciado en la ejecución de múltiples estrategias comunicacionales impulsadas por el área de Prensa y Comunicaciones de la Alcaldía de Bucaramanga. Durante el periodo, se desarrollaron y difundieron campañas digitales como “Contigo, Bucaramanga Avanza”, “Sistema Transitorio de Transporte Masivo”, “Contigo Cuidamos a Bucaramanga”, “Pintatón por la Bonita”, “Denuncia Ciudadana – Caza Infractores” y “Qué Bonita la Bonita”, todas orientadas a fortalecer la identidad institucional, promover la cultura ciudadana y visibilizar las acciones del gobierno local.
Las campañas se difundieron a través de Facebook e Instagram, utilizando formatos diversos —videos, piezas gráficas y galerías— que alcanzaron miles de visualizaciones, reacciones y niveles de interacción superiores a los promedios institucionales, consolidando el cumplimiento progresivo de la meta y fortaleciendo el posicionamiento de Bucaramanga como una ciudad moderna, participativa y comprometida con la transformación social y ambiental.</t>
  </si>
  <si>
    <t>Al corte del 30 de noviembre, la Meta de realizar 150 publicaciones de ejercicios de participación ciudadana, oferta institucional y de interés para la ciudadanía del Municipio de Bucaramanga evidencia un avance significativo en la gestión comunicacional y de interacción ciudadana, mediante la difusión constante de contenidos en redes sociales y la página web institucional.
Durante el periodo, se realizaron publicaciones de alto impacto relacionadas con espacios de diálogo como “Diálogo con Sindicatos”, convocatorias de procesos contractuales, el Foro Normatividad y Legalidad, la Encuesta de percepción sobre Rendición de Cuentas, la Socialización del Plan Estratégico de Participación Ciudadana, y programas de inclusión y equidad como “Mujeres al Aire”, “Asegurarte” y el Consejo Consultivo de Mujeres y Equidad de Género.
Estas acciones fortalecen la transparencia, participación ciudadana y visibilidad institucional, consolidando canales efectivos de comunicación entre la administración municipal y la comunidad, en cumplimiento de los objetivos del Plan de Desarrollo “Bucaramanga Avanza Segura 2024–2027”.</t>
  </si>
  <si>
    <t>Al corte del 30 de noviembre de 2025, el proyecto orientado a la actualización del documento metodológico para la modernización de la estructura administrativa de la Alcaldía de Bucaramanga refleja un avance técnico y operativo del 100%, sustentado en la gestión articulada de un equipo profesional altamente idóneo y comprometido con los objetivos institucionales. Durante el periodo reportado, se fortalecieron los procesos de revisión técnica, validación institucional y coordinación intersectorial, evidenciando un trabajo planificado y verificable conforme a los lineamientos contractuales. La participación activa de las distintas dependencias municipales, órganos de control y actores estratégicos permitió consolidar productos clave como la validación del manual de funciones y del nuevo organigrama, la formulación de actos administrativos asociados a la modernización y la radicación de documentos técnicos ante el DAFP y la CNSC, garantizando la trazabilidad, transparencia y coherencia del proceso. En conjunto, estos avances confirman el cumplimiento integral de las metas establecidas y el aporte sustantivo del proyecto al fortalecimiento institucional y a la eficiencia administrativa del gobierno municipal.</t>
  </si>
  <si>
    <t>Para el mes de noviembre respecto a los apoyos y auxilios para
empleados públicos e hijos incluidos en el acuerdo sindical vigente (Resolución
0359 de 2024 y Resolución 0259 de 2025), al cierre de las tres convocatorias
realizadas en la vigencia 2025, se observa lo siguiente:
• Apoyo educativo para empleados públicos e hijos en educación
superior: 59 beneficiarios de la primera convocatoria (28 para hijos y 41 para
funcionarios), de la segunda convocatoria 76 beneficiarios (38 para
funcionarios y 38 para hijos)
• Apoyo educativo para hijos de empleados públicos de grado cero a
grado once: 84 empleados públicos beneficiarios de la primera
convocatoria. De la segunda convocatoria 35 funcionarios públicos
beneficiarios.
• Auxilio de lentes y monturas: De la primera convocatoria se beneficiaron
50 empleados públicos, de la segunda convocatoria se beneficiaron 52
funcionarios públicos.</t>
  </si>
  <si>
    <t>Durante el mes de noviembre se realizaron las siguientes actividades:
*Cuarto café de conocimiento con el tema: Los roles del servicio público y la pertinencia del conocimiento del
MOP para mejor el IDI en la alcaldía de Bucaramanga.
Para este mes se diseñó y se socializó 1 cápsula documental con el tema: Valor de la
información: "Convierte tus documentos en un activo estratégico"
Para el mes de julio la meta fue el diseño del certificado de aprobación del curso y el cargue de
la información completa de los 2 módulos en la plataforma Moodle.</t>
  </si>
  <si>
    <t>Se celebró contrato de Compraventa No. 219 del 11 de septiembre cuyo objeto es Adquisición e Instalación de Mobiliario para las Diferentes Dependencias de la Alcaldía de Bucaramanga, por un valor de $545.590.000 y un plazo de 2 meses. Con la ejecución del mencionado contrato se intervinieron los puestos de trabajo de oficinas como la Secretaría de Desarrollo Social y la Oficina de Salud y Seguridad en el Trabajo, contribuyendo de esta manera en el mejoramiento de las condiciones laborales de los funcionarios y contratistas que a diario trabajan en la entidad. A la fecha el contrato se encuentra ejecutado al 100%.</t>
  </si>
  <si>
    <t>En noviembre de 2025, la Alcaldía de Bucaramanga mostró un fuerte avance en la gestión de calidad (ISO 9001) y la Seguridad y Salud en el Trabajo (ISO 45001). En el ámbito de ISO 9001, las actividades se centraron en la medición y consolidación de indicadores para los tres primeros trimestres, la definición y elaboración de acciones de mejora para subsanar las oportunidades de la auditoría externa del ICONTEC, y el mantenimiento del control documental según la Cláusula 7.5.3. Simultáneamente, el proyecto ISO 45001 se enfocó en realizar ajustes y correcciones a la documentación y procedimientos (especialmente en respuesta a emergencias) en preparación para la auditoría externa de certificación (24-27 de noviembre), la cual concluyó con el reconocimiento de los avances del sistema, aunque se identificó una (1) no conformidad que requiere un plan de acción para formalizar la certificación.</t>
  </si>
  <si>
    <t>Durante el mes de noviembre se realizó avance en la ejecución de las diferentes actividades a cargo del proceso de Gestión Documental; tales como busquedas documentales, invetarios documentales, eliminación documental  entre otros.</t>
  </si>
  <si>
    <t>En noviembre, a pesar de la suspensión del comité de defensa del espacio público por cambios en las secretarías, se lograron avances significativos en la gestión del espacio público y la oferta institucional para vendedores informales. Destaca la reunión del 21 de noviembre del director del DADEP para hacer seguimiento a las acciones, que incluyeron el saneamiento, recuperación y entrega de locales en centros comerciales a nuevos beneficiarios (como Feghali y San Bazar), logrando formalizar más de 30 locales e incrementando la disponibilidad de oferta. Además, se realizó la caracterización de vendedores informales, alcanzando un total de 3137 registros (un aumento de 153), se llevaron a cabo jornadas de socialización de la Resolución 00011 de 2025 y sobre el uso adecuado del espacio público, y se superó la meta de 500 personas sensibilizadas a través de jornadas de participación ciudadana, todo lo cual contribuyó a la recuperación del espacio público.</t>
  </si>
  <si>
    <t xml:space="preserve">Al corte del 30 de noviembre de octubre de 2025, la ejecución de la Meta 267 refleja un avance técnico y operativo satisfactorio en los sistemas misionales de la Alcaldía de Bucaramanga, evidenciando la consolidación de los procesos de modernización tecnológica, fortalecimiento institucional y actualización de los sistemas financieros y tributarios municipales.
En el marco del Contrato No. 034 de 2025, se destacan avances significativos en la implementación de nuevos módulos y componentes del Sistema Integrado Financiero (SIF), incluyendo el desarrollo del módulo de liquidación de impuestos municipales, la fase II del tablero de control del Plan de Desarrollo, y el sistema de gestión de solicitudes de devolución del impuesto predial, con integraciones funcionales a los sistemas de contabilidad, tesorería y PQRS institucional.
De igual forma, bajo el Contrato No. 08 de 2025, se fortaleció el Sistema de Valorización (SGV) mediante la ejecución de requerimientos de mejora orientados a la gestión de cartera, procesos de cobro coactivo, digitalización documental y conciliaciones contables, garantizando la interoperabilidad con los sistemas predial y contable y el mantenimiento de la plataforma web operativa 24/7.
Estas acciones consolidan la estrategia de transformación digital municipal y contribuyen al cumplimiento de los objetivos del Plan de Desarrollo “Bucaramanga Avanza Segura 2024–2027”, fortaleciendo la transparencia, la eficiencia administrativa y la gestión integral de la información financiera del municipio.
</t>
  </si>
  <si>
    <t>0</t>
  </si>
  <si>
    <t>0,00</t>
  </si>
  <si>
    <t>Ejecutar el 100% del Programa de Saneamiento Fiscal y Financiero para el Fortalecimiento de las Finanzas del Municipio.</t>
  </si>
  <si>
    <t>Programa de sanemiento fiscal y financiero ejecutado (459900200).</t>
  </si>
  <si>
    <t>Porcentaje</t>
  </si>
  <si>
    <t>Acumulativa</t>
  </si>
  <si>
    <t>_</t>
  </si>
  <si>
    <t>245</t>
  </si>
  <si>
    <t>4599002</t>
  </si>
  <si>
    <t>459900200</t>
  </si>
  <si>
    <t>1</t>
  </si>
  <si>
    <t>100%</t>
  </si>
  <si>
    <t>30%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</si>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</sst>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 #,##0;[Red]\-&quot;$&quot;\ #,##0"/>
    <numFmt numFmtId="44" formatCode="_-&quot;$&quot;\ * #,##0.00_-;\-&quot;$&quot;\ * #,##0.00_-;_-&quot;$&quot;\ * &quot;-&quot;??_-;_-@_-"/>
    <numFmt numFmtId="164" formatCode="_-&quot;$&quot;\ * #,##0.00_-;\-&quot;$&quot;\ * #,##0.00_-;_-&quot;$&quot;\ * &quot;-&quot;??_-;_-@"/>
    <numFmt numFmtId="165" formatCode="_-[$$-240A]\ * #,##0.00_-;\-[$$-240A]\ * #,##0.00_-;_-[$$-240A]\ * &quot;-&quot;??_-;_-@"/>
    <numFmt numFmtId="166" formatCode="[$$-240A]\ #,##0.00"/>
    <numFmt numFmtId="167" formatCode="&quot;$&quot;\ #,##0.00"/>
    <numFmt numFmtId="168" formatCode="_-[$$-240A]\ * #,##0.00_-;\-[$$-240A]\ * #,##0.00_-;_-[$$-240A]\ * &quot;-&quot;??_-;_-@_-"/>
  </numFmts>
  <fonts count="22">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sz val="12"/>
      <name val="Arial"/>
      <family val="2"/>
    </font>
    <font>
      <b/>
      <sz val="14"/>
      <color theme="1"/>
      <name val="Arial"/>
      <family val="2"/>
    </font>
    <font>
      <sz val="12"/>
      <color theme="1"/>
      <name val="Arial"/>
      <family val="2"/>
      <charset val="1"/>
    </font>
    <font>
      <sz val="12"/>
      <color rgb="FF000000"/>
      <name val="Arial"/>
      <family val="2"/>
    </font>
    <font>
      <sz val="11"/>
      <color theme="1"/>
      <name val="Arial"/>
    </font>
  </fonts>
  <fills count="5">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9"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21" xfId="1" applyFont="1" applyFill="1" applyBorder="1" applyAlignment="1" applyProtection="1">
      <alignment horizontal="center" vertical="center"/>
      <protection locked="0"/>
    </xf>
    <xf numFmtId="9" fontId="13" fillId="0" borderId="21" xfId="1" applyFont="1" applyBorder="1" applyAlignment="1" applyProtection="1">
      <alignment horizontal="center" vertical="center" wrapText="1"/>
      <protection locked="0"/>
    </xf>
    <xf numFmtId="9" fontId="13" fillId="0" borderId="22" xfId="1" applyFont="1" applyBorder="1" applyAlignment="1" applyProtection="1">
      <alignment horizontal="center" vertical="center" wrapText="1"/>
      <protection locked="0"/>
    </xf>
    <xf numFmtId="0" fontId="5" fillId="2" borderId="18" xfId="0" applyFont="1" applyFill="1" applyBorder="1" applyAlignment="1">
      <alignment horizontal="center" vertical="center" wrapText="1"/>
    </xf>
    <xf numFmtId="0" fontId="13" fillId="0" borderId="23" xfId="0" applyFont="1" applyBorder="1" applyAlignment="1">
      <alignment horizontal="center" vertical="center"/>
    </xf>
    <xf numFmtId="6" fontId="13" fillId="0" borderId="1"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wrapText="1"/>
      <protection locked="0"/>
    </xf>
    <xf numFmtId="0" fontId="13" fillId="0" borderId="24"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0" fillId="0" borderId="11" xfId="0" applyBorder="1" applyAlignment="1">
      <alignment horizontal="center" vertical="center"/>
    </xf>
    <xf numFmtId="9" fontId="13" fillId="0" borderId="1" xfId="1" applyFont="1" applyFill="1" applyBorder="1" applyAlignment="1" applyProtection="1">
      <alignment horizontal="center" vertical="center"/>
      <protection locked="0"/>
    </xf>
    <xf numFmtId="9" fontId="13" fillId="0" borderId="22" xfId="1" applyFont="1" applyFill="1" applyBorder="1" applyAlignment="1" applyProtection="1">
      <alignment horizontal="center" vertical="center"/>
      <protection locked="0"/>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9" fontId="13" fillId="0" borderId="1" xfId="1"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5" fillId="2" borderId="19" xfId="0" applyFont="1" applyFill="1" applyBorder="1" applyAlignment="1">
      <alignment horizontal="center" vertical="center" wrapText="1"/>
    </xf>
    <xf numFmtId="9" fontId="5" fillId="2" borderId="19" xfId="1" applyFont="1" applyFill="1" applyBorder="1" applyAlignment="1">
      <alignment horizontal="center" vertical="center" wrapText="1"/>
    </xf>
    <xf numFmtId="0" fontId="5" fillId="2" borderId="27" xfId="0" applyFont="1" applyFill="1" applyBorder="1" applyAlignment="1">
      <alignment horizontal="center" vertical="center" wrapText="1"/>
    </xf>
    <xf numFmtId="9" fontId="13" fillId="3" borderId="1" xfId="1" applyFont="1" applyFill="1" applyBorder="1" applyAlignment="1">
      <alignment horizontal="center" vertical="center" wrapText="1"/>
    </xf>
    <xf numFmtId="44" fontId="15" fillId="0" borderId="1"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9" fontId="15" fillId="0" borderId="1" xfId="0" applyNumberFormat="1" applyFont="1" applyBorder="1" applyAlignment="1">
      <alignment horizontal="center" vertical="center"/>
    </xf>
    <xf numFmtId="0" fontId="5" fillId="2" borderId="28" xfId="0" applyFont="1" applyFill="1" applyBorder="1" applyAlignment="1">
      <alignment horizontal="center" vertical="center" wrapText="1"/>
    </xf>
    <xf numFmtId="9" fontId="13" fillId="3" borderId="22" xfId="1" applyFont="1" applyFill="1" applyBorder="1" applyAlignment="1">
      <alignment horizontal="center" vertical="center" wrapText="1"/>
    </xf>
    <xf numFmtId="9" fontId="13" fillId="0" borderId="22" xfId="1" applyFont="1" applyBorder="1" applyAlignment="1">
      <alignment horizontal="center" vertical="center"/>
    </xf>
    <xf numFmtId="9" fontId="13" fillId="0" borderId="22" xfId="1" applyFont="1" applyFill="1" applyBorder="1" applyAlignment="1">
      <alignment horizontal="center" vertical="center"/>
    </xf>
    <xf numFmtId="9" fontId="13" fillId="0" borderId="22" xfId="1" applyFont="1" applyBorder="1" applyAlignment="1">
      <alignment horizontal="center" vertical="center" wrapText="1"/>
    </xf>
    <xf numFmtId="9" fontId="15" fillId="4" borderId="22" xfId="1" applyFont="1" applyFill="1" applyBorder="1" applyAlignment="1">
      <alignment horizontal="center" vertical="center" wrapText="1"/>
    </xf>
    <xf numFmtId="44" fontId="15" fillId="0" borderId="22" xfId="0" applyNumberFormat="1" applyFont="1" applyBorder="1" applyAlignment="1" applyProtection="1">
      <alignment horizontal="center" vertical="center" wrapText="1"/>
      <protection locked="0"/>
    </xf>
    <xf numFmtId="9" fontId="13" fillId="0" borderId="10" xfId="1" applyFont="1" applyBorder="1" applyAlignment="1" applyProtection="1">
      <alignment horizontal="center" vertical="center" wrapText="1"/>
      <protection locked="0"/>
    </xf>
    <xf numFmtId="9" fontId="13" fillId="0" borderId="10" xfId="1" applyFont="1" applyBorder="1" applyAlignment="1" applyProtection="1">
      <alignment horizontal="center" vertical="center"/>
      <protection locked="0"/>
    </xf>
    <xf numFmtId="9" fontId="13" fillId="0" borderId="10" xfId="1" applyFont="1" applyFill="1" applyBorder="1" applyAlignment="1" applyProtection="1">
      <alignment horizontal="center" vertical="center"/>
      <protection locked="0"/>
    </xf>
    <xf numFmtId="9" fontId="13" fillId="0" borderId="10" xfId="0" applyNumberFormat="1" applyFont="1" applyBorder="1" applyAlignment="1" applyProtection="1">
      <alignment horizontal="center" vertical="center" wrapText="1"/>
      <protection locked="0"/>
    </xf>
    <xf numFmtId="9" fontId="13" fillId="0" borderId="10" xfId="0" applyNumberFormat="1" applyFont="1" applyBorder="1" applyAlignment="1" applyProtection="1">
      <alignment horizontal="center" vertical="center"/>
      <protection locked="0"/>
    </xf>
    <xf numFmtId="9" fontId="13" fillId="0" borderId="21" xfId="1" applyFont="1" applyBorder="1" applyAlignment="1" applyProtection="1">
      <alignment horizontal="center" vertical="center"/>
      <protection locked="0"/>
    </xf>
    <xf numFmtId="9" fontId="13" fillId="0" borderId="22"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 fontId="17" fillId="0" borderId="1" xfId="0" applyNumberFormat="1" applyFont="1" applyBorder="1" applyAlignment="1">
      <alignment horizontal="center" vertical="center"/>
    </xf>
    <xf numFmtId="165" fontId="17"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xf>
    <xf numFmtId="164" fontId="17" fillId="0" borderId="1" xfId="0" applyNumberFormat="1" applyFont="1" applyBorder="1" applyAlignment="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1" fontId="17" fillId="0" borderId="21" xfId="0" applyNumberFormat="1" applyFont="1" applyBorder="1" applyAlignment="1">
      <alignment horizontal="center" vertical="center" wrapText="1"/>
    </xf>
    <xf numFmtId="0" fontId="17" fillId="0" borderId="22" xfId="0" applyFont="1" applyBorder="1" applyAlignment="1">
      <alignment horizontal="center" vertical="center" wrapText="1"/>
    </xf>
    <xf numFmtId="1" fontId="17" fillId="0" borderId="21" xfId="0" applyNumberFormat="1" applyFont="1" applyBorder="1" applyAlignment="1">
      <alignment horizontal="center" vertical="center"/>
    </xf>
    <xf numFmtId="1" fontId="17" fillId="0" borderId="29" xfId="0" applyNumberFormat="1" applyFont="1" applyBorder="1" applyAlignment="1">
      <alignment horizontal="center" vertical="center" wrapText="1"/>
    </xf>
    <xf numFmtId="0" fontId="17" fillId="0" borderId="30" xfId="0" applyFont="1" applyBorder="1" applyAlignment="1">
      <alignment horizontal="center" vertical="center" wrapText="1"/>
    </xf>
    <xf numFmtId="4" fontId="17" fillId="0" borderId="30" xfId="0" applyNumberFormat="1" applyFont="1" applyBorder="1" applyAlignment="1">
      <alignment horizontal="center" vertical="center" wrapText="1"/>
    </xf>
    <xf numFmtId="165" fontId="17" fillId="0" borderId="30" xfId="0" applyNumberFormat="1" applyFont="1" applyBorder="1" applyAlignment="1">
      <alignment horizontal="center" vertical="center" wrapText="1"/>
    </xf>
    <xf numFmtId="0" fontId="17" fillId="0" borderId="30" xfId="0" applyFont="1" applyBorder="1" applyAlignment="1">
      <alignment horizontal="center" vertical="center"/>
    </xf>
    <xf numFmtId="1" fontId="17" fillId="0" borderId="30" xfId="0" applyNumberFormat="1" applyFont="1" applyBorder="1" applyAlignment="1">
      <alignment horizontal="center" vertical="center"/>
    </xf>
    <xf numFmtId="44" fontId="13" fillId="0" borderId="8" xfId="0" applyNumberFormat="1" applyFont="1" applyBorder="1" applyAlignment="1" applyProtection="1">
      <alignment horizontal="center" vertical="center" wrapText="1"/>
      <protection locked="0"/>
    </xf>
    <xf numFmtId="44" fontId="13" fillId="0" borderId="8" xfId="0" applyNumberFormat="1" applyFont="1" applyBorder="1" applyAlignment="1" applyProtection="1">
      <alignment horizontal="center" vertical="center"/>
      <protection locked="0"/>
    </xf>
    <xf numFmtId="16" fontId="2" fillId="0" borderId="0" xfId="0" applyNumberFormat="1" applyFont="1" applyAlignment="1">
      <alignment horizontal="center" vertical="center"/>
    </xf>
    <xf numFmtId="0" fontId="16" fillId="0" borderId="31" xfId="0" applyFont="1" applyBorder="1" applyAlignment="1">
      <alignment horizontal="center" vertical="center" wrapText="1"/>
    </xf>
    <xf numFmtId="166" fontId="2" fillId="0" borderId="0" xfId="0" applyNumberFormat="1" applyFont="1" applyAlignment="1">
      <alignment horizontal="center" vertical="center"/>
    </xf>
    <xf numFmtId="0" fontId="19" fillId="0" borderId="0" xfId="0" applyFont="1" applyAlignment="1">
      <alignment horizontal="center" wrapText="1"/>
    </xf>
    <xf numFmtId="167" fontId="13" fillId="0" borderId="21"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167" fontId="13" fillId="0" borderId="21" xfId="0" applyNumberFormat="1" applyFont="1" applyBorder="1" applyAlignment="1" applyProtection="1">
      <alignment horizontal="center" vertical="center"/>
      <protection locked="0"/>
    </xf>
    <xf numFmtId="167" fontId="13" fillId="0" borderId="1" xfId="0" applyNumberFormat="1" applyFont="1" applyBorder="1" applyAlignment="1" applyProtection="1">
      <alignment horizontal="center" vertical="center"/>
      <protection locked="0"/>
    </xf>
    <xf numFmtId="167" fontId="13" fillId="0" borderId="21" xfId="2" applyNumberFormat="1" applyFont="1" applyBorder="1" applyAlignment="1" applyProtection="1">
      <alignment horizontal="center" vertical="center"/>
      <protection locked="0"/>
    </xf>
    <xf numFmtId="167" fontId="13" fillId="0" borderId="29" xfId="0" applyNumberFormat="1" applyFont="1" applyBorder="1" applyAlignment="1" applyProtection="1">
      <alignment horizontal="center" vertical="center"/>
      <protection locked="0"/>
    </xf>
    <xf numFmtId="4" fontId="13" fillId="0" borderId="1" xfId="0" applyNumberFormat="1" applyFont="1" applyBorder="1" applyAlignment="1" applyProtection="1">
      <alignment horizontal="center" vertical="center" wrapText="1"/>
      <protection locked="0"/>
    </xf>
    <xf numFmtId="4" fontId="13" fillId="0" borderId="1" xfId="0" applyNumberFormat="1" applyFont="1" applyBorder="1" applyAlignment="1" applyProtection="1">
      <alignment horizontal="center" vertical="center"/>
      <protection locked="0"/>
    </xf>
    <xf numFmtId="4" fontId="13" fillId="0" borderId="22" xfId="0" applyNumberFormat="1" applyFont="1" applyBorder="1" applyAlignment="1" applyProtection="1">
      <alignment horizontal="center" vertical="center" wrapText="1"/>
      <protection locked="0"/>
    </xf>
    <xf numFmtId="4" fontId="13" fillId="0" borderId="22" xfId="0" applyNumberFormat="1" applyFont="1" applyBorder="1" applyAlignment="1" applyProtection="1">
      <alignment horizontal="center" vertical="center"/>
      <protection locked="0"/>
    </xf>
    <xf numFmtId="167" fontId="13" fillId="0" borderId="1" xfId="0" applyNumberFormat="1" applyFont="1" applyBorder="1" applyAlignment="1">
      <alignment horizontal="center" vertical="center"/>
    </xf>
    <xf numFmtId="167" fontId="17" fillId="0" borderId="21" xfId="0" applyNumberFormat="1" applyFont="1" applyBorder="1" applyAlignment="1">
      <alignment horizontal="center" vertical="center" wrapText="1"/>
    </xf>
    <xf numFmtId="167" fontId="13" fillId="0" borderId="22" xfId="0" applyNumberFormat="1" applyFont="1" applyBorder="1" applyAlignment="1" applyProtection="1">
      <alignment horizontal="center" vertical="center" wrapText="1"/>
      <protection locked="0"/>
    </xf>
    <xf numFmtId="167" fontId="13" fillId="0" borderId="8" xfId="0" applyNumberFormat="1" applyFont="1" applyBorder="1" applyAlignment="1" applyProtection="1">
      <alignment horizontal="center" vertical="center" wrapText="1"/>
      <protection locked="0"/>
    </xf>
    <xf numFmtId="167" fontId="13" fillId="0" borderId="22" xfId="0" applyNumberFormat="1" applyFont="1" applyBorder="1" applyAlignment="1" applyProtection="1">
      <alignment horizontal="center" vertical="center"/>
      <protection locked="0"/>
    </xf>
    <xf numFmtId="167" fontId="13" fillId="0" borderId="8" xfId="0" applyNumberFormat="1" applyFont="1" applyBorder="1" applyAlignment="1" applyProtection="1">
      <alignment horizontal="center" vertical="center"/>
      <protection locked="0"/>
    </xf>
    <xf numFmtId="9" fontId="13" fillId="0" borderId="21" xfId="1" applyFont="1" applyFill="1" applyBorder="1" applyAlignment="1" applyProtection="1">
      <alignment horizontal="center" vertical="center" wrapText="1"/>
      <protection locked="0"/>
    </xf>
    <xf numFmtId="9" fontId="13" fillId="0" borderId="1" xfId="1" applyFont="1" applyFill="1" applyBorder="1" applyAlignment="1" applyProtection="1">
      <alignment horizontal="center" vertical="center" wrapText="1"/>
      <protection locked="0"/>
    </xf>
    <xf numFmtId="9" fontId="13" fillId="0" borderId="22" xfId="1" applyFont="1" applyFill="1" applyBorder="1" applyAlignment="1" applyProtection="1">
      <alignment horizontal="center" vertical="center" wrapText="1"/>
      <protection locked="0"/>
    </xf>
    <xf numFmtId="9" fontId="13" fillId="0" borderId="10" xfId="1" applyFont="1" applyFill="1" applyBorder="1" applyAlignment="1" applyProtection="1">
      <alignment horizontal="center" vertical="center" wrapText="1"/>
      <protection locked="0"/>
    </xf>
    <xf numFmtId="167" fontId="17" fillId="0" borderId="21" xfId="0" applyNumberFormat="1" applyFont="1" applyBorder="1" applyAlignment="1">
      <alignment horizontal="center" vertical="center"/>
    </xf>
    <xf numFmtId="167" fontId="13" fillId="0" borderId="54" xfId="0" applyNumberFormat="1" applyFont="1" applyBorder="1" applyAlignment="1" applyProtection="1">
      <alignment horizontal="center" vertical="center"/>
      <protection locked="0"/>
    </xf>
    <xf numFmtId="167" fontId="13" fillId="0" borderId="10" xfId="0" applyNumberFormat="1" applyFont="1" applyBorder="1" applyAlignment="1" applyProtection="1">
      <alignment horizontal="center" vertical="center"/>
      <protection locked="0"/>
    </xf>
    <xf numFmtId="0" fontId="20" fillId="0" borderId="22" xfId="0" applyFont="1" applyBorder="1" applyAlignment="1">
      <alignment horizontal="center" vertical="center" wrapText="1"/>
    </xf>
    <xf numFmtId="167" fontId="13" fillId="0" borderId="30" xfId="0" applyNumberFormat="1" applyFont="1" applyBorder="1" applyAlignment="1" applyProtection="1">
      <alignment horizontal="center" vertical="center"/>
      <protection locked="0"/>
    </xf>
    <xf numFmtId="167" fontId="17" fillId="0" borderId="29" xfId="0" applyNumberFormat="1" applyFont="1" applyBorder="1" applyAlignment="1">
      <alignment horizontal="center" vertical="center" wrapText="1"/>
    </xf>
    <xf numFmtId="167" fontId="13" fillId="0" borderId="31" xfId="0" applyNumberFormat="1" applyFont="1" applyBorder="1" applyAlignment="1" applyProtection="1">
      <alignment horizontal="center" vertical="center"/>
      <protection locked="0"/>
    </xf>
    <xf numFmtId="167" fontId="13" fillId="0" borderId="26" xfId="0" applyNumberFormat="1" applyFont="1" applyBorder="1" applyAlignment="1" applyProtection="1">
      <alignment horizontal="center" vertical="center"/>
      <protection locked="0"/>
    </xf>
    <xf numFmtId="168" fontId="2" fillId="0" borderId="0" xfId="0" applyNumberFormat="1" applyFont="1" applyAlignment="1">
      <alignment horizontal="center" vertical="center"/>
    </xf>
    <xf numFmtId="3" fontId="2" fillId="0" borderId="0" xfId="0" applyNumberFormat="1" applyFont="1" applyAlignment="1">
      <alignment horizontal="center" vertical="center"/>
    </xf>
    <xf numFmtId="4" fontId="13" fillId="0" borderId="21" xfId="0" applyNumberFormat="1" applyFont="1" applyBorder="1" applyAlignment="1" applyProtection="1">
      <alignment horizontal="center" vertical="center"/>
      <protection locked="0"/>
    </xf>
    <xf numFmtId="4" fontId="13" fillId="0" borderId="21" xfId="0" applyNumberFormat="1" applyFont="1" applyBorder="1" applyAlignment="1" applyProtection="1">
      <alignment horizontal="center" vertical="center" wrapText="1"/>
      <protection locked="0"/>
    </xf>
    <xf numFmtId="4" fontId="13" fillId="0" borderId="1" xfId="0" applyNumberFormat="1" applyFont="1" applyBorder="1" applyAlignment="1">
      <alignment horizontal="center" vertical="center"/>
    </xf>
    <xf numFmtId="167" fontId="3" fillId="0" borderId="1" xfId="0" applyNumberFormat="1" applyFont="1" applyBorder="1" applyAlignment="1" applyProtection="1">
      <alignment horizontal="center" vertical="center"/>
      <protection locked="0"/>
    </xf>
    <xf numFmtId="44" fontId="3" fillId="0" borderId="21" xfId="1" applyNumberFormat="1" applyFont="1" applyFill="1" applyBorder="1" applyAlignment="1" applyProtection="1">
      <alignment horizontal="center" vertical="center"/>
      <protection locked="0"/>
    </xf>
    <xf numFmtId="44" fontId="3" fillId="0" borderId="1" xfId="1" applyNumberFormat="1" applyFont="1" applyFill="1" applyBorder="1" applyAlignment="1" applyProtection="1">
      <alignment horizontal="center" vertical="center"/>
      <protection locked="0"/>
    </xf>
    <xf numFmtId="9" fontId="3" fillId="0" borderId="1" xfId="1" applyFont="1" applyFill="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0" fontId="13" fillId="0" borderId="21" xfId="1" applyNumberFormat="1" applyFont="1" applyFill="1" applyBorder="1" applyAlignment="1" applyProtection="1">
      <alignment horizontal="center" vertical="center"/>
      <protection locked="0"/>
    </xf>
    <xf numFmtId="0" fontId="21" fillId="0" borderId="51" xfId="0" applyFont="1" applyBorder="1" applyAlignment="1">
      <alignment horizontal="center" vertical="center"/>
    </xf>
    <xf numFmtId="0" fontId="21" fillId="0" borderId="51" xfId="0" applyFont="1" applyBorder="1" applyAlignment="1" applyProtection="1">
      <alignment horizontal="center" vertical="center"/>
      <protection locked="0"/>
    </xf>
    <xf numFmtId="167" fontId="21" fillId="0" borderId="51" xfId="0" applyNumberFormat="1" applyFont="1" applyBorder="1" applyAlignment="1" applyProtection="1">
      <alignment horizontal="center" vertical="center"/>
      <protection locked="0"/>
    </xf>
    <xf numFmtId="44" fontId="21" fillId="0" borderId="52"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0" fontId="21" fillId="0" borderId="51" xfId="0" applyFont="1" applyBorder="1" applyAlignment="1">
      <alignment horizontal="center" vertical="center" wrapText="1"/>
    </xf>
    <xf numFmtId="44" fontId="3" fillId="0" borderId="0" xfId="0" applyNumberFormat="1" applyFont="1" applyAlignment="1" applyProtection="1">
      <alignment horizontal="center" vertical="center"/>
      <protection locked="0"/>
    </xf>
    <xf numFmtId="0" fontId="5" fillId="2" borderId="17"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42" xfId="0" applyFont="1" applyBorder="1" applyAlignment="1">
      <alignment horizontal="left" vertical="center"/>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3"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42" xfId="0" applyFont="1" applyBorder="1" applyAlignment="1">
      <alignment vertical="center"/>
    </xf>
    <xf numFmtId="9" fontId="13" fillId="0" borderId="55" xfId="0" applyNumberFormat="1" applyFont="1" applyBorder="1" applyAlignment="1" applyProtection="1">
      <alignment horizontal="center" vertical="center"/>
      <protection locked="0"/>
    </xf>
    <xf numFmtId="4" fontId="15" fillId="0" borderId="1" xfId="0" applyNumberFormat="1" applyFont="1" applyBorder="1" applyAlignment="1">
      <alignment horizontal="center" vertical="center"/>
    </xf>
    <xf numFmtId="0" fontId="1" fillId="0" borderId="11"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wrapText="1"/>
    </xf>
    <xf numFmtId="0" fontId="13" fillId="0" borderId="58" xfId="0" applyFont="1" applyBorder="1" applyAlignment="1">
      <alignment horizontal="center" vertical="center"/>
    </xf>
    <xf numFmtId="0" fontId="13" fillId="0" borderId="59" xfId="0" applyFont="1" applyBorder="1" applyAlignment="1">
      <alignment horizontal="center" vertical="center"/>
    </xf>
    <xf numFmtId="9" fontId="15" fillId="0" borderId="58" xfId="0" applyNumberFormat="1" applyFont="1" applyBorder="1" applyAlignment="1">
      <alignment horizontal="center" vertical="center"/>
    </xf>
    <xf numFmtId="167" fontId="13" fillId="0" borderId="57" xfId="0" applyNumberFormat="1" applyFont="1" applyBorder="1" applyAlignment="1" applyProtection="1">
      <alignment horizontal="center" vertical="center"/>
      <protection locked="0"/>
    </xf>
    <xf numFmtId="44" fontId="13" fillId="0" borderId="58" xfId="0" applyNumberFormat="1"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167" fontId="13" fillId="0" borderId="58" xfId="0" applyNumberFormat="1" applyFont="1" applyBorder="1" applyAlignment="1">
      <alignment horizontal="center" vertical="center"/>
    </xf>
    <xf numFmtId="4" fontId="13" fillId="0" borderId="57" xfId="0" applyNumberFormat="1" applyFont="1" applyBorder="1" applyAlignment="1" applyProtection="1">
      <alignment horizontal="center" vertical="center"/>
      <protection locked="0"/>
    </xf>
    <xf numFmtId="4" fontId="13" fillId="0" borderId="58" xfId="0" applyNumberFormat="1" applyFont="1" applyBorder="1" applyAlignment="1" applyProtection="1">
      <alignment horizontal="center" vertical="center"/>
      <protection locked="0"/>
    </xf>
    <xf numFmtId="4" fontId="15" fillId="0" borderId="58" xfId="0" applyNumberFormat="1" applyFont="1" applyBorder="1" applyAlignment="1">
      <alignment horizontal="center" vertical="center"/>
    </xf>
    <xf numFmtId="4" fontId="13" fillId="0" borderId="59" xfId="0" applyNumberFormat="1" applyFont="1" applyBorder="1" applyAlignment="1" applyProtection="1">
      <alignment horizontal="center" vertical="center"/>
      <protection locked="0"/>
    </xf>
    <xf numFmtId="9" fontId="13" fillId="0" borderId="57" xfId="1" applyFont="1" applyBorder="1" applyAlignment="1" applyProtection="1">
      <alignment horizontal="center" vertical="center"/>
      <protection locked="0"/>
    </xf>
    <xf numFmtId="9" fontId="13" fillId="0" borderId="58" xfId="1" applyFont="1" applyBorder="1" applyAlignment="1" applyProtection="1">
      <alignment horizontal="center" vertical="center"/>
      <protection locked="0"/>
    </xf>
    <xf numFmtId="9" fontId="13" fillId="0" borderId="59" xfId="1" applyFont="1" applyBorder="1" applyAlignment="1" applyProtection="1">
      <alignment horizontal="center" vertical="center"/>
      <protection locked="0"/>
    </xf>
    <xf numFmtId="9" fontId="13" fillId="0" borderId="56" xfId="1" applyFont="1" applyBorder="1" applyAlignment="1" applyProtection="1">
      <alignment horizontal="center" vertical="center" wrapText="1"/>
      <protection locked="0"/>
    </xf>
    <xf numFmtId="0" fontId="13" fillId="0" borderId="5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27" xfId="0" applyFont="1" applyBorder="1" applyAlignment="1">
      <alignment horizontal="center" vertical="center" wrapText="1"/>
    </xf>
    <xf numFmtId="0" fontId="1" fillId="0" borderId="0" xfId="0" applyFont="1" applyBorder="1" applyAlignment="1">
      <alignment horizontal="center" vertical="center"/>
    </xf>
    <xf numFmtId="167" fontId="13" fillId="0" borderId="52" xfId="0" applyNumberFormat="1" applyFont="1" applyFill="1" applyBorder="1" applyAlignment="1" applyProtection="1">
      <alignment horizontal="center" vertical="center"/>
      <protection locked="0"/>
    </xf>
    <xf numFmtId="44" fontId="13" fillId="0" borderId="51" xfId="0" applyNumberFormat="1" applyFont="1" applyFill="1" applyBorder="1" applyAlignment="1" applyProtection="1">
      <alignment horizontal="center" vertical="center"/>
      <protection locked="0"/>
    </xf>
    <xf numFmtId="4" fontId="13" fillId="0" borderId="52" xfId="0" applyNumberFormat="1" applyFont="1" applyFill="1" applyBorder="1" applyAlignment="1" applyProtection="1">
      <alignment horizontal="center" vertical="center"/>
      <protection locked="0"/>
    </xf>
    <xf numFmtId="4" fontId="13" fillId="0" borderId="51" xfId="0" applyNumberFormat="1" applyFont="1" applyFill="1" applyBorder="1" applyAlignment="1" applyProtection="1">
      <alignment horizontal="center" vertical="center"/>
      <protection locked="0"/>
    </xf>
    <xf numFmtId="4" fontId="13" fillId="0" borderId="51" xfId="0" applyNumberFormat="1" applyFont="1" applyBorder="1" applyAlignment="1" applyProtection="1">
      <alignment horizontal="center" vertical="center"/>
      <protection locked="0"/>
    </xf>
    <xf numFmtId="44" fontId="15" fillId="4" borderId="61" xfId="0" applyNumberFormat="1" applyFont="1" applyFill="1" applyBorder="1" applyAlignment="1" applyProtection="1">
      <alignment horizontal="center" vertical="center"/>
      <protection locked="0"/>
    </xf>
    <xf numFmtId="0" fontId="13" fillId="0" borderId="52" xfId="0" applyFont="1" applyFill="1" applyBorder="1" applyAlignment="1">
      <alignment horizontal="center" vertical="center"/>
    </xf>
    <xf numFmtId="0" fontId="13"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9" fontId="15" fillId="0" borderId="51" xfId="0" applyNumberFormat="1" applyFont="1" applyBorder="1" applyAlignment="1">
      <alignment horizontal="center" vertical="center"/>
    </xf>
    <xf numFmtId="0" fontId="13" fillId="0" borderId="51" xfId="0" applyNumberFormat="1" applyFont="1" applyFill="1" applyBorder="1" applyAlignment="1">
      <alignment horizontal="center" vertical="center"/>
    </xf>
    <xf numFmtId="0" fontId="13" fillId="0" borderId="51" xfId="0" applyFont="1" applyFill="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60" xfId="0" applyFont="1" applyFill="1" applyBorder="1" applyAlignment="1" applyProtection="1">
      <alignment horizontal="center" vertical="center"/>
      <protection locked="0"/>
    </xf>
    <xf numFmtId="0" fontId="13" fillId="0" borderId="51" xfId="0" applyFont="1" applyBorder="1" applyAlignment="1">
      <alignment horizontal="center" vertical="center"/>
    </xf>
    <xf numFmtId="0" fontId="15" fillId="0" borderId="51" xfId="0" applyFont="1" applyBorder="1" applyAlignment="1">
      <alignment horizontal="center" vertical="center"/>
    </xf>
    <xf numFmtId="9" fontId="13" fillId="0" borderId="52" xfId="0" applyNumberFormat="1" applyFont="1" applyBorder="1" applyAlignment="1" applyProtection="1">
      <alignment horizontal="center" vertical="center"/>
      <protection locked="0"/>
    </xf>
    <xf numFmtId="9" fontId="13" fillId="0" borderId="51" xfId="0" applyNumberFormat="1" applyFont="1" applyBorder="1" applyAlignment="1" applyProtection="1">
      <alignment horizontal="center" vertical="center"/>
      <protection locked="0"/>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44" fontId="15" fillId="4" borderId="51" xfId="0" applyNumberFormat="1" applyFont="1" applyFill="1" applyBorder="1" applyAlignment="1" applyProtection="1">
      <alignment horizontal="center" vertical="center"/>
      <protection locked="0"/>
    </xf>
    <xf numFmtId="4" fontId="15" fillId="4" borderId="51" xfId="0" applyNumberFormat="1" applyFont="1" applyFill="1" applyBorder="1" applyAlignment="1" applyProtection="1">
      <alignment horizontal="center" vertical="center"/>
      <protection locked="0"/>
    </xf>
    <xf numFmtId="4" fontId="15" fillId="4" borderId="62" xfId="0" applyNumberFormat="1" applyFont="1" applyFill="1" applyBorder="1" applyAlignment="1" applyProtection="1">
      <alignment horizontal="center" vertical="center"/>
      <protection locked="0"/>
    </xf>
  </cellXfs>
  <cellStyles count="3">
    <cellStyle name="Moneda" xfId="2" builtinId="4"/>
    <cellStyle name="Normal" xfId="0" builtinId="0"/>
    <cellStyle name="Porcentaje" xfId="1" builtinId="5"/>
  </cellStyles>
  <dxfs count="239">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4" formatCode="#,##0.00"/>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4" formatCode="#,##0.00"/>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solid">
          <fgColor indexed="64"/>
          <bgColor rgb="FFFFFF00"/>
        </patternFill>
      </fill>
      <alignment horizontal="center" vertical="center"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67" formatCode="&quot;$&quot;\ #,##0.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strike val="0"/>
        <outline val="0"/>
        <shadow val="0"/>
        <u val="none"/>
        <vertAlign val="baseline"/>
        <sz val="11"/>
        <color auto="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bottom style="medium">
          <color indexed="64"/>
        </bottom>
      </border>
    </dxf>
    <dxf>
      <border outline="0">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67"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167"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238"/>
    </tableStyle>
    <tableStyle name="Estilo de tabla 4" pivot="0" count="1" xr9:uid="{00000000-0011-0000-FFFF-FFFF03000000}">
      <tableStyleElement type="firstRowStripe" dxfId="2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1809750</xdr:colOff>
      <xdr:row>0</xdr:row>
      <xdr:rowOff>222249</xdr:rowOff>
    </xdr:from>
    <xdr:to>
      <xdr:col>1</xdr:col>
      <xdr:colOff>1111250</xdr:colOff>
      <xdr:row>3</xdr:row>
      <xdr:rowOff>146680</xdr:rowOff>
    </xdr:to>
    <xdr:pic>
      <xdr:nvPicPr>
        <xdr:cNvPr id="2" name="Imagen 1">
          <a:extLst>
            <a:ext uri="{FF2B5EF4-FFF2-40B4-BE49-F238E27FC236}">
              <a16:creationId xmlns:a16="http://schemas.microsoft.com/office/drawing/2014/main" id="{682FD105-5307-4900-A6D7-F1E7A8304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0" y="222249"/>
          <a:ext cx="1130300" cy="106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7" name="Imagen 6">
          <a:extLst>
            <a:ext uri="{FF2B5EF4-FFF2-40B4-BE49-F238E27FC236}">
              <a16:creationId xmlns:a16="http://schemas.microsoft.com/office/drawing/2014/main" id="{A16A7460-F1F1-4F9A-B01C-198A21FBE6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Control%20Interno/Planes%20de%20Acci&#243;n%20Marzo/Sec.%20Administra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on"/>
    </sheetNames>
    <sheetDataSet>
      <sheetData sheetId="0" refreshError="1">
        <row r="11">
          <cell r="U11">
            <v>300000000</v>
          </cell>
        </row>
        <row r="12">
          <cell r="U12">
            <v>200000000</v>
          </cell>
        </row>
        <row r="13">
          <cell r="U13">
            <v>0</v>
          </cell>
        </row>
        <row r="14">
          <cell r="U1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85">
          <cell r="T85">
            <v>1</v>
          </cell>
          <cell r="W85">
            <v>0</v>
          </cell>
          <cell r="AC85" t="str">
            <v>Acumulativa</v>
          </cell>
        </row>
        <row r="86">
          <cell r="T86">
            <v>4</v>
          </cell>
          <cell r="W86">
            <v>1</v>
          </cell>
          <cell r="AC86" t="str">
            <v>Acumulativa</v>
          </cell>
        </row>
        <row r="87">
          <cell r="T87">
            <v>20</v>
          </cell>
          <cell r="W87">
            <v>0</v>
          </cell>
          <cell r="AC87" t="str">
            <v>Acumulativa</v>
          </cell>
        </row>
        <row r="88">
          <cell r="T88">
            <v>1</v>
          </cell>
          <cell r="W88">
            <v>0</v>
          </cell>
          <cell r="AC88" t="str">
            <v>Acumulativa</v>
          </cell>
        </row>
        <row r="89">
          <cell r="T89">
            <v>1</v>
          </cell>
          <cell r="W89">
            <v>0</v>
          </cell>
          <cell r="AC89" t="str">
            <v>Acumulativa</v>
          </cell>
        </row>
        <row r="90">
          <cell r="T90">
            <v>24</v>
          </cell>
          <cell r="W90">
            <v>2</v>
          </cell>
          <cell r="AC90" t="str">
            <v>No Acumulativa</v>
          </cell>
        </row>
        <row r="91">
          <cell r="T91">
            <v>3</v>
          </cell>
          <cell r="W91">
            <v>1</v>
          </cell>
          <cell r="AC91" t="str">
            <v>Acumulativa</v>
          </cell>
        </row>
        <row r="92">
          <cell r="T92">
            <v>1</v>
          </cell>
          <cell r="W92">
            <v>0.25</v>
          </cell>
          <cell r="AC92" t="str">
            <v>Acumulativa</v>
          </cell>
        </row>
        <row r="93">
          <cell r="T93">
            <v>12</v>
          </cell>
          <cell r="W93">
            <v>3</v>
          </cell>
          <cell r="AC93" t="str">
            <v>Acumulativa</v>
          </cell>
        </row>
        <row r="94">
          <cell r="T94">
            <v>83</v>
          </cell>
          <cell r="W94">
            <v>21</v>
          </cell>
          <cell r="AC94" t="str">
            <v>Acumulativa</v>
          </cell>
        </row>
        <row r="95">
          <cell r="T95">
            <v>150</v>
          </cell>
          <cell r="W95">
            <v>38</v>
          </cell>
          <cell r="AC95" t="str">
            <v>Acumulativa</v>
          </cell>
        </row>
        <row r="245">
          <cell r="T245">
            <v>1</v>
          </cell>
          <cell r="W245">
            <v>1</v>
          </cell>
          <cell r="AC245" t="str">
            <v>No Acumulativa</v>
          </cell>
        </row>
        <row r="246">
          <cell r="T246">
            <v>658</v>
          </cell>
          <cell r="W246">
            <v>658</v>
          </cell>
          <cell r="AC246" t="str">
            <v>No Acumulativa</v>
          </cell>
        </row>
        <row r="247">
          <cell r="T247">
            <v>1</v>
          </cell>
          <cell r="W247">
            <v>1</v>
          </cell>
          <cell r="AC247" t="str">
            <v>No Acumulativa</v>
          </cell>
        </row>
        <row r="248">
          <cell r="T248">
            <v>1</v>
          </cell>
          <cell r="W248">
            <v>1</v>
          </cell>
          <cell r="AC248" t="str">
            <v>No Acumulativa</v>
          </cell>
        </row>
        <row r="249">
          <cell r="T249">
            <v>2</v>
          </cell>
          <cell r="W249">
            <v>0.46</v>
          </cell>
          <cell r="AC249" t="str">
            <v>Acumulativa</v>
          </cell>
        </row>
        <row r="251">
          <cell r="T251">
            <v>1</v>
          </cell>
          <cell r="W251">
            <v>1</v>
          </cell>
          <cell r="AC251" t="str">
            <v>No Acumulativa</v>
          </cell>
        </row>
        <row r="252">
          <cell r="T252">
            <v>1</v>
          </cell>
          <cell r="W252">
            <v>0.19</v>
          </cell>
          <cell r="AC252" t="str">
            <v>Acumulativa</v>
          </cell>
        </row>
        <row r="275">
          <cell r="T275">
            <v>1</v>
          </cell>
          <cell r="W275">
            <v>0.25</v>
          </cell>
          <cell r="AC275" t="str">
            <v>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77C41F-2CB2-4EF0-A45C-C1E009E5DFAB}" name="Tabla13" displayName="Tabla13" ref="A10:BE31" totalsRowCount="1" headerRowDxfId="236" dataDxfId="234" headerRowBorderDxfId="235" tableBorderDxfId="233">
  <tableColumns count="57">
    <tableColumn id="1" xr3:uid="{A34E014A-60D8-4D23-A111-799D107B5F4B}" name=" Consecutivo PDM" dataDxfId="232" totalsRowDxfId="231"/>
    <tableColumn id="2" xr3:uid="{9B59DD94-CE65-4595-A201-AEC0681957B5}" name="Linea Estratégica" dataDxfId="230" totalsRowDxfId="229"/>
    <tableColumn id="5" xr3:uid="{9C8B9A6F-F694-4312-B402-28637613B94B}" name="Sector" dataDxfId="228" totalsRowDxfId="227"/>
    <tableColumn id="14" xr3:uid="{94A1A61E-7F7D-4B90-A2B0-5319F1757EAF}" name="Cod. Programa" dataDxfId="226" totalsRowDxfId="225"/>
    <tableColumn id="15" xr3:uid="{A82FCCE3-E47F-4E14-BE7F-5FAD3D9CB731}" name="Programa" dataDxfId="224" totalsRowDxfId="223"/>
    <tableColumn id="16" xr3:uid="{6DCB19CC-F9C1-416B-881C-A26937C0F225}" name="Cod. de Producto" dataDxfId="222" totalsRowDxfId="221"/>
    <tableColumn id="17" xr3:uid="{BFFAB701-BFF3-452A-9553-3414C6988ADE}" name="Meta de Producto" dataDxfId="220" totalsRowDxfId="219"/>
    <tableColumn id="28" xr3:uid="{2A5F1684-9803-4E3C-B947-A846C487BE66}" name="Código BPIN" dataDxfId="218" totalsRowDxfId="217"/>
    <tableColumn id="29" xr3:uid="{CC8AF570-5FAD-4CAA-9BB6-543F714D2BFA}" name="Nombre del Proyecto" dataDxfId="216" totalsRowDxfId="215"/>
    <tableColumn id="30" xr3:uid="{04422BBD-0723-4B35-B11E-94F58402CC05}" name="Valor del Proyecto" dataDxfId="214" totalsRowDxfId="213"/>
    <tableColumn id="31" xr3:uid="{D97998DB-846D-472D-9BDA-BB1A1F1548A9}" name="Valor Vigencia Proyecto" dataDxfId="212" totalsRowDxfId="211"/>
    <tableColumn id="32" xr3:uid="{E90A88B4-8E49-4C60-8892-4380296D19DE}" name="Comuna o Barrio Beneficiado" dataDxfId="210" totalsRowDxfId="209"/>
    <tableColumn id="33" xr3:uid="{762E2871-B2D9-4EDA-BBA5-EA0CF3ACAF8E}" name="Población Beneficiada" dataDxfId="208" totalsRowDxfId="207"/>
    <tableColumn id="34" xr3:uid="{29814E1B-43B4-40D9-AF14-0DEE09D9A30D}" name="Número de Beneficiarios" dataDxfId="206" totalsRowDxfId="205"/>
    <tableColumn id="44" xr3:uid="{DD920D34-5E43-4A01-99AF-D80E91D84E40}" name="Actividades Realizadas" dataDxfId="204" totalsRowDxfId="203"/>
    <tableColumn id="46" xr3:uid="{8E1563F4-6DDD-44CE-BB84-FC44CC7263B4}" name="Recursos propios 2025" dataDxfId="202" totalsRowDxfId="201"/>
    <tableColumn id="47" xr3:uid="{A2C4C77A-DA1D-4354-9C21-89D65AFDE7B2}" name="SGP Educación 2025" dataDxfId="200" totalsRowDxfId="199"/>
    <tableColumn id="48" xr3:uid="{7CA9A702-A111-4F6F-AD7F-69D5EEFDAA25}" name="SGP Salud 2025" dataDxfId="198" totalsRowDxfId="197"/>
    <tableColumn id="36" xr3:uid="{C6E96544-F7AF-4604-AB32-019F4BCC7C64}" name="SGP Deporte 2025" dataDxfId="196" totalsRowDxfId="195"/>
    <tableColumn id="35" xr3:uid="{DA6AFC0D-B885-46B8-B754-9B47EC47E54D}" name="SGP Cultura 2025" dataDxfId="194" totalsRowDxfId="193"/>
    <tableColumn id="13" xr3:uid="{D15BAE65-4310-4676-9317-3D8ABED5A6F3}" name="SGP Libre inversión 2025" dataDxfId="192" totalsRowDxfId="191"/>
    <tableColumn id="12" xr3:uid="{5DC5AFCD-B28E-4365-8C7E-C06944674561}" name="SGP Libre destinación 2025" dataDxfId="190" totalsRowDxfId="189"/>
    <tableColumn id="11" xr3:uid="{1DFC53FB-D84E-4791-8AC7-AE68E19FADB0}" name="SGP Alimentación escolar 2025" dataDxfId="188" totalsRowDxfId="187"/>
    <tableColumn id="10" xr3:uid="{1D7601D5-14B2-4AD1-8499-31D0336A8F77}" name="SGP Municipios río Magdalena 2025" dataDxfId="186" totalsRowDxfId="185"/>
    <tableColumn id="9" xr3:uid="{C17ED95C-6AA4-4576-B46A-E1AEB6891892}" name="SGP APSB 2025" dataDxfId="184" totalsRowDxfId="183"/>
    <tableColumn id="8" xr3:uid="{AD13F7DB-DEED-4DD7-8A41-CE52B39B3219}" name="Crédito 2025" dataDxfId="182" totalsRowDxfId="181"/>
    <tableColumn id="7" xr3:uid="{CB8A7AB7-5B1E-4463-B80C-757A986D2455}" name="Transferencias de capital - cofinanciación departamento 2025" dataDxfId="180" totalsRowDxfId="179"/>
    <tableColumn id="6" xr3:uid="{11B75BA4-146E-4050-A38B-DEDD7B2899C3}" name="Transferencias de capital - cofinanciación nación 2025" dataDxfId="178" totalsRowDxfId="177"/>
    <tableColumn id="49" xr3:uid="{ACEBF8D3-776B-4729-912E-B120A121BEC0}" name="Otros 2025" dataDxfId="176" totalsRowDxfId="175"/>
    <tableColumn id="3" xr3:uid="{B064BE5E-C272-4716-A598-B00D75714EC1}" name="Recursos del Balance" dataDxfId="174" totalsRowDxfId="173"/>
    <tableColumn id="50" xr3:uid="{D46D4714-F510-4B5F-A8D2-6486CC17E527}" name="Total 2025" totalsRowFunction="sum" dataDxfId="172" totalsRowDxfId="171">
      <calculatedColumnFormula>SUM(Tabla13[[#This Row],[Recursos propios 2025]:[Recursos del Balance]])</calculatedColumnFormula>
    </tableColumn>
    <tableColumn id="51" xr3:uid="{B750BC55-1564-4672-9781-7300B20128F2}" name="Recursos propios 20252" dataDxfId="170" totalsRowDxfId="169"/>
    <tableColumn id="52" xr3:uid="{A1CCC630-312C-4804-A94B-7CC68C350341}" name="SGP Educación 20253" dataDxfId="168" totalsRowDxfId="167"/>
    <tableColumn id="53" xr3:uid="{4983F150-060C-46DD-86D3-1205025A5F28}" name="SGP Salud 20254" dataDxfId="166" totalsRowDxfId="165"/>
    <tableColumn id="62" xr3:uid="{160EEDDB-C575-4D39-AE24-EBD89DA63912}" name="SGP Deporte 20255" dataDxfId="164" totalsRowDxfId="163"/>
    <tableColumn id="61" xr3:uid="{051D4BA3-8745-4141-8919-5B17435EF910}" name="SGP Cultura 20256" dataDxfId="162" totalsRowDxfId="161"/>
    <tableColumn id="45" xr3:uid="{06BE3789-B5F8-46BF-9DA4-CF570FE8FDA3}" name="SGP Libre inversión 20257" dataDxfId="160" totalsRowDxfId="159"/>
    <tableColumn id="43" xr3:uid="{F16F5084-2820-43A8-A7D4-90B354246715}" name="SGP Libre destinación 20258" dataDxfId="158" totalsRowDxfId="157"/>
    <tableColumn id="42" xr3:uid="{C2096D7A-64A5-43A4-950D-28FD5013CE80}" name="SGP Alimentación escolar 20259" dataDxfId="156" totalsRowDxfId="155"/>
    <tableColumn id="41" xr3:uid="{AAA7633A-C674-417A-A594-4DF6A958491F}" name="SGP Municipios río Magdalena 202510" dataDxfId="154" totalsRowDxfId="153"/>
    <tableColumn id="40" xr3:uid="{268E72C6-4AF6-4271-A3E0-A43328B1B7E0}" name="SGP APSB 202511" dataDxfId="152" totalsRowDxfId="151"/>
    <tableColumn id="39" xr3:uid="{1D8B9FC4-11BB-49CC-AF93-3B86EB6A864E}" name="Crédito 202512" dataDxfId="150" totalsRowDxfId="149"/>
    <tableColumn id="38" xr3:uid="{8FF9F811-7612-472E-AA87-F129969DADD6}" name="Transferencias de capital - cofinanciación departamento 202513" dataDxfId="148" totalsRowDxfId="147"/>
    <tableColumn id="37" xr3:uid="{B6107273-3DD8-40AD-ADF9-17F06CAF38A7}" name="Transferencias de capital - cofinanciación nación 202514" dataDxfId="146" totalsRowDxfId="145"/>
    <tableColumn id="54" xr3:uid="{18B49B90-983A-4FF1-8C80-DFC9204FD336}" name="Otros 202515" dataDxfId="144" totalsRowDxfId="143"/>
    <tableColumn id="4" xr3:uid="{CB51F290-33AD-48E4-A738-504EB59B5E30}" name="Recursos del Balance2" dataDxfId="142" totalsRowDxfId="141"/>
    <tableColumn id="55" xr3:uid="{5F241E50-47BA-422F-B69B-0546977E905A}" name="Total Recursos Comprometido 2025" totalsRowFunction="sum" dataDxfId="140" totalsRowDxfId="139">
      <calculatedColumnFormula>SUM(Tabla13[[#This Row],[Recursos propios 20252]:[Recursos del Balance2]])</calculatedColumnFormula>
    </tableColumn>
    <tableColumn id="20" xr3:uid="{6BFF9184-B942-4A59-B00B-D8955C0ECD2A}" name="Total Recursos Obligados" totalsRowFunction="sum" dataDxfId="138" totalsRowDxfId="137"/>
    <tableColumn id="21" xr3:uid="{46A204C4-D49D-485A-A016-762BE1E8912D}" name="Total Recursos Pagados" totalsRowFunction="sum" dataDxfId="136" totalsRowDxfId="135"/>
    <tableColumn id="56" xr3:uid="{8498A4B5-7760-4642-85F4-9DF6C16188A8}" name="Ejecución Recursos Comprometidos" dataDxfId="134" totalsRowDxfId="133">
      <calculatedColumnFormula>+Tabla13[[#This Row],[Total Recursos Comprometido 2025]]/Tabla13[[#This Row],[Total 2025]]</calculatedColumnFormula>
    </tableColumn>
    <tableColumn id="24" xr3:uid="{B48A0F7C-9210-417B-9390-39D971D81B43}" name="Ejecución Recursos Obligados" dataDxfId="132" totalsRowDxfId="131">
      <calculatedColumnFormula>+Tabla13[[#This Row],[Total Recursos Obligados]]/Tabla13[[#This Row],[Total 2025]]</calculatedColumnFormula>
    </tableColumn>
    <tableColumn id="23" xr3:uid="{B62BAB60-1EF7-4443-AF6E-646F5C1BF3B8}" name="Ejecución Recursos Pagados" dataDxfId="130" totalsRowDxfId="129">
      <calculatedColumnFormula>+Tabla13[[#This Row],[Total Recursos Pagados]]/Tabla13[[#This Row],[Total 2025]]</calculatedColumnFormula>
    </tableColumn>
    <tableColumn id="18" xr3:uid="{CB8B3DB3-8643-4E79-AAF7-9887C9280717}" name="Total Recursos Gestionados2" dataDxfId="128" totalsRowDxfId="127"/>
    <tableColumn id="57" xr3:uid="{30946FDA-A8DF-444B-B34B-0CF542EB3BDB}" name="Nivel de Gestión" dataDxfId="126" totalsRowDxfId="125">
      <calculatedColumnFormula>IF(Tabla13[[#This Row],[Total Recursos Gestionados2]]=0,"_",IF(Tabla13[[#This Row],[Ejecución Recursos Comprometidos]]=0,100%,Tabla13[[#This Row],[Total Recursos Gestionados2]]/Tabla13[[#This Row],[Ejecución Recursos Comprometidos]]))</calculatedColumnFormula>
    </tableColumn>
    <tableColumn id="58" xr3:uid="{B1AEF089-F097-48EE-819B-F07E03542CB5}" name="Dependencia" dataDxfId="124" totalsRowDxfId="123"/>
    <tableColumn id="59" xr3:uid="{50E4723C-0F67-40FB-A085-594CFEDE38E9}" name="Responsable" dataDxfId="122" totalsRowDxfId="121"/>
    <tableColumn id="60" xr3:uid="{BA0DC865-408F-4480-9DF0-63E903DEC586}" name="ODS" dataDxfId="120" totalsRowDxfId="119"/>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0:BE31" totalsRowCount="1" headerRowDxfId="118" dataDxfId="117" headerRowBorderDxfId="115" tableBorderDxfId="116" totalsRowBorderDxfId="114">
  <autoFilter ref="A10:BE30" xr:uid="{5B31F988-01DF-47A0-B85D-B3BA35AB416F}"/>
  <tableColumns count="57">
    <tableColumn id="1" xr3:uid="{00000000-0010-0000-0100-000001000000}" name=" Consecutivo PDM" dataDxfId="113" totalsRowDxfId="56"/>
    <tableColumn id="2" xr3:uid="{00000000-0010-0000-0100-000002000000}" name="Linea Estratégica" dataDxfId="112" totalsRowDxfId="55"/>
    <tableColumn id="5" xr3:uid="{00000000-0010-0000-0100-000005000000}" name="Sector" dataDxfId="111" totalsRowDxfId="54"/>
    <tableColumn id="14" xr3:uid="{00000000-0010-0000-0100-00000E000000}" name="Cod. Programa" dataDxfId="110" totalsRowDxfId="53"/>
    <tableColumn id="15" xr3:uid="{00000000-0010-0000-0100-00000F000000}" name="Programa" dataDxfId="109" totalsRowDxfId="52"/>
    <tableColumn id="16" xr3:uid="{00000000-0010-0000-0100-000010000000}" name="Cod. de Producto" dataDxfId="108" totalsRowDxfId="51"/>
    <tableColumn id="17" xr3:uid="{00000000-0010-0000-0100-000011000000}" name="Meta de Producto" dataDxfId="107" totalsRowDxfId="50"/>
    <tableColumn id="18" xr3:uid="{00000000-0010-0000-0100-000012000000}" name="Cod. Indicador de Producto" dataDxfId="106" totalsRowDxfId="49"/>
    <tableColumn id="19" xr3:uid="{00000000-0010-0000-0100-000013000000}" name="Indicador de Producto" dataDxfId="105" totalsRowDxfId="48"/>
    <tableColumn id="20" xr3:uid="{00000000-0010-0000-0100-000014000000}" name="LÍnea Base" dataDxfId="104" totalsRowDxfId="47"/>
    <tableColumn id="21" xr3:uid="{00000000-0010-0000-0100-000015000000}" name="Unidad de Medida2" dataDxfId="103" totalsRowDxfId="46"/>
    <tableColumn id="22" xr3:uid="{00000000-0010-0000-0100-000016000000}" name="Tipo de Meta" dataDxfId="102" totalsRowDxfId="45"/>
    <tableColumn id="23" xr3:uid="{00000000-0010-0000-0100-000017000000}" name="Meta Programada Cuatrienio3" dataDxfId="101" totalsRowDxfId="44"/>
    <tableColumn id="24" xr3:uid="{00000000-0010-0000-0100-000018000000}" name="Meta Programada Vigencia" dataDxfId="100" totalsRowDxfId="43"/>
    <tableColumn id="25" xr3:uid="{00000000-0010-0000-0100-000019000000}" name="Logro Vigencia" dataDxfId="99" totalsRowDxfId="42"/>
    <tableColumn id="41" xr3:uid="{00000000-0010-0000-0100-000029000000}" name="Porcentaje Avance Vigencia" dataDxfId="98" totalsRowDxfId="41">
      <calculatedColumnFormula>+Tabla1[[#This Row],[Logro Vigencia]]/Tabla1[[#This Row],[Meta Programada Vigencia]]</calculatedColumnFormula>
    </tableColumn>
    <tableColumn id="26" xr3:uid="{00000000-0010-0000-0100-00001A000000}" name="Porcentaje Avance VigenciaR" dataDxfId="97" totalsRowDxfId="40"/>
    <tableColumn id="46" xr3:uid="{00000000-0010-0000-0100-00002E000000}" name="Recursos propios" dataDxfId="96" totalsRowDxfId="39"/>
    <tableColumn id="47" xr3:uid="{00000000-0010-0000-0100-00002F000000}" name="SGP Educación" dataDxfId="95" totalsRowDxfId="38"/>
    <tableColumn id="48" xr3:uid="{00000000-0010-0000-0100-000030000000}" name="SGP Salud" dataDxfId="94" totalsRowDxfId="37"/>
    <tableColumn id="36" xr3:uid="{00000000-0010-0000-0100-000024000000}" name="SGP Deporte" dataDxfId="93" totalsRowDxfId="36"/>
    <tableColumn id="35" xr3:uid="{00000000-0010-0000-0100-000023000000}" name="SGP Cultura" dataDxfId="92" totalsRowDxfId="35"/>
    <tableColumn id="13" xr3:uid="{00000000-0010-0000-0100-00000D000000}" name="SGP Libre inversión" dataDxfId="91" totalsRowDxfId="34"/>
    <tableColumn id="12" xr3:uid="{00000000-0010-0000-0100-00000C000000}" name="SGP Libre destinación" dataDxfId="90" totalsRowDxfId="33"/>
    <tableColumn id="11" xr3:uid="{00000000-0010-0000-0100-00000B000000}" name="SGP Alimentación escolar" dataDxfId="89" totalsRowDxfId="32"/>
    <tableColumn id="9" xr3:uid="{00000000-0010-0000-0100-000009000000}" name="SGP APSB" dataDxfId="88" totalsRowDxfId="31"/>
    <tableColumn id="8" xr3:uid="{00000000-0010-0000-0100-000008000000}" name="Crédito" dataDxfId="87" totalsRowDxfId="30"/>
    <tableColumn id="7" xr3:uid="{00000000-0010-0000-0100-000007000000}" name="Transferencias de capital - cofinanciación departamento" dataDxfId="86" totalsRowDxfId="29"/>
    <tableColumn id="6" xr3:uid="{00000000-0010-0000-0100-000006000000}" name="Transferencias de capital - cofinanciación nación" dataDxfId="85" totalsRowDxfId="28"/>
    <tableColumn id="49" xr3:uid="{00000000-0010-0000-0100-000031000000}" name="Otros" dataDxfId="84" totalsRowDxfId="27"/>
    <tableColumn id="27" xr3:uid="{00000000-0010-0000-0100-00001B000000}" name="Recursos del Balance" dataDxfId="83" totalsRowDxfId="26"/>
    <tableColumn id="50" xr3:uid="{00000000-0010-0000-0100-000032000000}" name="Total 2025" totalsRowFunction="sum" dataDxfId="82" totalsRowDxfId="25">
      <calculatedColumnFormula>SUM(Tabla1[[#This Row],[Recursos propios]:[Recursos del Balance]])</calculatedColumnFormula>
    </tableColumn>
    <tableColumn id="51" xr3:uid="{00000000-0010-0000-0100-000033000000}" name="Recursos propios2" dataDxfId="81" totalsRowDxfId="24"/>
    <tableColumn id="52" xr3:uid="{00000000-0010-0000-0100-000034000000}" name="SGP Educación2" dataDxfId="80" totalsRowDxfId="23"/>
    <tableColumn id="53" xr3:uid="{00000000-0010-0000-0100-000035000000}" name="SGP Salud4" dataDxfId="79" totalsRowDxfId="22"/>
    <tableColumn id="62" xr3:uid="{00000000-0010-0000-0100-00003E000000}" name="SGP Deporte5" dataDxfId="78" totalsRowDxfId="21"/>
    <tableColumn id="61" xr3:uid="{00000000-0010-0000-0100-00003D000000}" name="SGP Cultura6" dataDxfId="77" totalsRowDxfId="20"/>
    <tableColumn id="45" xr3:uid="{00000000-0010-0000-0100-00002D000000}" name="SGP Libre inversión7" dataDxfId="76" totalsRowDxfId="19"/>
    <tableColumn id="43" xr3:uid="{00000000-0010-0000-0100-00002B000000}" name="SGP Libre destinación8" dataDxfId="75" totalsRowDxfId="18"/>
    <tableColumn id="42" xr3:uid="{00000000-0010-0000-0100-00002A000000}" name="SGP Alimentación escolar9" dataDxfId="74" totalsRowDxfId="17"/>
    <tableColumn id="40" xr3:uid="{00000000-0010-0000-0100-000028000000}" name="SGP APSB11" dataDxfId="73" totalsRowDxfId="16"/>
    <tableColumn id="39" xr3:uid="{00000000-0010-0000-0100-000027000000}" name="Crédito12" dataDxfId="72" totalsRowDxfId="15"/>
    <tableColumn id="38" xr3:uid="{00000000-0010-0000-0100-000026000000}" name="Transferencias de capital - cofinanciación departamento13" dataDxfId="71" totalsRowDxfId="14"/>
    <tableColumn id="37" xr3:uid="{00000000-0010-0000-0100-000025000000}" name="Transferencias de capital - cofinanciación nación14" dataDxfId="70" totalsRowDxfId="13"/>
    <tableColumn id="54" xr3:uid="{00000000-0010-0000-0100-000036000000}" name="Otros2" dataDxfId="69" totalsRowDxfId="12"/>
    <tableColumn id="10" xr3:uid="{00000000-0010-0000-0100-00000A000000}" name="Recursos del Balance2" dataDxfId="68" totalsRowDxfId="11"/>
    <tableColumn id="55" xr3:uid="{00000000-0010-0000-0100-000037000000}" name="Total Recursos Comprometido" totalsRowFunction="sum" dataDxfId="67" totalsRowDxfId="10">
      <calculatedColumnFormula>SUM(Tabla1[[#This Row],[Recursos propios2]:[Recursos del Balance2]])</calculatedColumnFormula>
    </tableColumn>
    <tableColumn id="3" xr3:uid="{00000000-0010-0000-0100-000003000000}" name="Total Recursos Obligados" totalsRowFunction="sum" dataDxfId="66" totalsRowDxfId="9"/>
    <tableColumn id="4" xr3:uid="{00000000-0010-0000-0100-000004000000}" name="Total Recursos Pagados" totalsRowFunction="sum" dataDxfId="65" totalsRowDxfId="8"/>
    <tableColumn id="30" xr3:uid="{00000000-0010-0000-0100-00001E000000}" name="Ejecución Recursos Comprometidos" dataDxfId="64" totalsRowDxfId="7" dataCellStyle="Porcentaje">
      <calculatedColumnFormula>+Tabla1[[#This Row],[Total Recursos Comprometido]]/Tabla1[[#This Row],[Total 2025]]</calculatedColumnFormula>
    </tableColumn>
    <tableColumn id="44" xr3:uid="{00000000-0010-0000-0100-00002C000000}" name="Ejecución Recursos Obligados" dataDxfId="63" totalsRowDxfId="6" dataCellStyle="Porcentaje">
      <calculatedColumnFormula>+Tabla1[[#This Row],[Total Recursos Obligados]]/Tabla1[[#This Row],[Total 2025]]</calculatedColumnFormula>
    </tableColumn>
    <tableColumn id="34" xr3:uid="{00000000-0010-0000-0100-000022000000}" name="Ejecución Recursos Pagados" dataDxfId="62" totalsRowDxfId="5" dataCellStyle="Porcentaje">
      <calculatedColumnFormula>+Tabla1[[#This Row],[Total Recursos Pagados]]/Tabla1[[#This Row],[Total 2025]]</calculatedColumnFormula>
    </tableColumn>
    <tableColumn id="31" xr3:uid="{00000000-0010-0000-0100-00001F000000}" name="Total Recursos Gestionados" dataDxfId="61" totalsRowDxfId="4"/>
    <tableColumn id="33" xr3:uid="{00000000-0010-0000-0100-000021000000}" name="Nivel de Gestión" dataDxfId="60" totalsRowDxfId="3">
      <calculatedColumnFormula>+Tabla1[[#This Row],[Total Recursos Gestionados]]/Tabla1[[#This Row],[Ejecución Recursos Comprometidos]]</calculatedColumnFormula>
    </tableColumn>
    <tableColumn id="58" xr3:uid="{00000000-0010-0000-0100-00003A000000}" name="Dependencia" dataDxfId="59" totalsRowDxfId="2"/>
    <tableColumn id="59" xr3:uid="{00000000-0010-0000-0100-00003B000000}" name="Responsable" dataDxfId="58" totalsRowDxfId="1"/>
    <tableColumn id="60" xr3:uid="{00000000-0010-0000-0100-00003C000000}" name="ODS" dataDxfId="57" totalsRowDxfId="0"/>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E17AC-7D80-4731-B0E1-CD8B1B507528}">
  <sheetPr>
    <tabColor theme="8" tint="-0.249977111117893"/>
  </sheetPr>
  <dimension ref="A1:BE35"/>
  <sheetViews>
    <sheetView showGridLines="0" topLeftCell="A8" zoomScale="60" zoomScaleNormal="60" workbookViewId="0">
      <pane xSplit="1" ySplit="3" topLeftCell="B11" activePane="bottomRight" state="frozen"/>
      <selection activeCell="A8" sqref="A8"/>
      <selection pane="topRight" activeCell="B8" sqref="B8"/>
      <selection pane="bottomLeft" activeCell="A11" sqref="A11"/>
      <selection pane="bottomRight" sqref="A1:B4"/>
    </sheetView>
  </sheetViews>
  <sheetFormatPr baseColWidth="10" defaultColWidth="11.125" defaultRowHeight="15"/>
  <cols>
    <col min="1" max="1" width="24" style="4" customWidth="1"/>
    <col min="2" max="2" width="36.125" style="4" customWidth="1"/>
    <col min="3" max="3" width="20.125" style="4" customWidth="1"/>
    <col min="4" max="4" width="19.125" style="4" customWidth="1"/>
    <col min="5" max="5" width="25.75" style="4" customWidth="1"/>
    <col min="6" max="6" width="21.75" style="4" customWidth="1"/>
    <col min="7" max="7" width="33.75" style="4" customWidth="1"/>
    <col min="8" max="8" width="23.125" style="4" customWidth="1"/>
    <col min="9" max="9" width="25.125" style="4" customWidth="1"/>
    <col min="10" max="10" width="26.125" style="4" customWidth="1"/>
    <col min="11" max="11" width="28.125" style="4" customWidth="1"/>
    <col min="12" max="12" width="34.125" style="4" customWidth="1"/>
    <col min="13" max="13" width="26.75" style="4" customWidth="1"/>
    <col min="14" max="14" width="28.75" style="4" customWidth="1"/>
    <col min="15" max="15" width="34" style="4" customWidth="1"/>
    <col min="16" max="16" width="22.125" style="4" customWidth="1"/>
    <col min="17" max="17" width="17.75" style="4" customWidth="1"/>
    <col min="18" max="28" width="18.125" style="4" customWidth="1"/>
    <col min="29" max="29" width="19.875" style="4" customWidth="1"/>
    <col min="30" max="30" width="23.875" style="4" customWidth="1"/>
    <col min="31" max="32" width="24.125" style="4" customWidth="1"/>
    <col min="33" max="42" width="19" style="4" customWidth="1"/>
    <col min="43" max="43" width="26.75" style="4" customWidth="1"/>
    <col min="44" max="44" width="25.375" style="4" customWidth="1"/>
    <col min="45" max="46" width="19" style="4" customWidth="1"/>
    <col min="47" max="47" width="27.125" style="4" bestFit="1" customWidth="1"/>
    <col min="48" max="48" width="25.875" style="4" customWidth="1"/>
    <col min="49" max="49" width="26.375" style="4" bestFit="1" customWidth="1"/>
    <col min="50" max="53" width="27.125" style="4" customWidth="1"/>
    <col min="54" max="54" width="25.75" style="4" customWidth="1"/>
    <col min="55" max="55" width="17.75" style="4" customWidth="1"/>
    <col min="56" max="56" width="19.75" style="30" customWidth="1"/>
    <col min="57" max="57" width="21.125" style="4" customWidth="1"/>
    <col min="58" max="58" width="22.75" style="1" bestFit="1" customWidth="1"/>
    <col min="59" max="59" width="33" style="1" bestFit="1" customWidth="1"/>
    <col min="60" max="60" width="28.75" style="1" bestFit="1" customWidth="1"/>
    <col min="61" max="61" width="58.125" style="1" bestFit="1" customWidth="1"/>
    <col min="62" max="62" width="26" style="1" bestFit="1" customWidth="1"/>
    <col min="63" max="63" width="24.125" style="1" bestFit="1" customWidth="1"/>
    <col min="64" max="64" width="35.125" style="1" bestFit="1" customWidth="1"/>
    <col min="65" max="65" width="30.125" style="1" bestFit="1" customWidth="1"/>
    <col min="66" max="66" width="31.125" style="1" bestFit="1" customWidth="1"/>
    <col min="67" max="67" width="38" style="1" bestFit="1" customWidth="1"/>
    <col min="68" max="68" width="40.125" style="1" bestFit="1" customWidth="1"/>
    <col min="69" max="69" width="43.125" style="1" bestFit="1" customWidth="1"/>
    <col min="70" max="70" width="48.75" style="1" bestFit="1" customWidth="1"/>
    <col min="71" max="71" width="39.125" style="1" bestFit="1" customWidth="1"/>
    <col min="72" max="72" width="26.75" style="1" bestFit="1" customWidth="1"/>
    <col min="73" max="73" width="47" style="1" bestFit="1" customWidth="1"/>
    <col min="74" max="74" width="40" style="1" bestFit="1" customWidth="1"/>
    <col min="75" max="75" width="83.75" style="1" bestFit="1" customWidth="1"/>
    <col min="76" max="76" width="21.125" style="1" bestFit="1" customWidth="1"/>
    <col min="77" max="77" width="31.125" style="1" bestFit="1" customWidth="1"/>
    <col min="78" max="78" width="27.125" style="1" bestFit="1" customWidth="1"/>
    <col min="79" max="79" width="56.75" style="1" bestFit="1" customWidth="1"/>
    <col min="80" max="80" width="24.125" style="1" bestFit="1" customWidth="1"/>
    <col min="81" max="81" width="22.75" style="1" bestFit="1" customWidth="1"/>
    <col min="82" max="82" width="33.75" style="1" bestFit="1" customWidth="1"/>
    <col min="83" max="83" width="29" style="1" bestFit="1" customWidth="1"/>
    <col min="84" max="84" width="29.75" style="1" bestFit="1" customWidth="1"/>
    <col min="85" max="85" width="36.125" style="1" bestFit="1" customWidth="1"/>
    <col min="86" max="86" width="38.75" style="1" bestFit="1" customWidth="1"/>
    <col min="87" max="87" width="42" style="1" bestFit="1" customWidth="1"/>
    <col min="88" max="88" width="47.125" style="1" bestFit="1" customWidth="1"/>
    <col min="89" max="89" width="37.75" style="1" bestFit="1" customWidth="1"/>
    <col min="90" max="90" width="25.125" style="1" bestFit="1" customWidth="1"/>
    <col min="91" max="91" width="45.125" style="1" bestFit="1" customWidth="1"/>
    <col min="92" max="92" width="38.125" style="1" bestFit="1" customWidth="1"/>
    <col min="93" max="93" width="82.125" style="1" bestFit="1" customWidth="1"/>
    <col min="94" max="94" width="22" style="1" bestFit="1" customWidth="1"/>
    <col min="95" max="95" width="32.125" style="1" bestFit="1" customWidth="1"/>
    <col min="96" max="96" width="28" style="1" bestFit="1" customWidth="1"/>
    <col min="97" max="97" width="57.125" style="1" bestFit="1" customWidth="1"/>
    <col min="98" max="98" width="25.125" style="1" bestFit="1" customWidth="1"/>
    <col min="99" max="99" width="23.125" style="1" bestFit="1" customWidth="1"/>
    <col min="100" max="100" width="34.125" style="1" bestFit="1" customWidth="1"/>
    <col min="101" max="101" width="29.125" style="1" bestFit="1" customWidth="1"/>
    <col min="102" max="102" width="30.125" style="1" bestFit="1" customWidth="1"/>
    <col min="103" max="103" width="37.125" style="1" bestFit="1" customWidth="1"/>
    <col min="104" max="104" width="39.125" style="1" bestFit="1" customWidth="1"/>
    <col min="105" max="105" width="42.125" style="1" bestFit="1" customWidth="1"/>
    <col min="106" max="106" width="48" style="1" bestFit="1" customWidth="1"/>
    <col min="107" max="107" width="38.125" style="1" bestFit="1" customWidth="1"/>
    <col min="108" max="108" width="25.75" style="1" bestFit="1" customWidth="1"/>
    <col min="109" max="109" width="46" style="1" bestFit="1" customWidth="1"/>
    <col min="110" max="110" width="39.125" style="1" bestFit="1" customWidth="1"/>
    <col min="111" max="111" width="82.75" style="1" bestFit="1" customWidth="1"/>
    <col min="112" max="112" width="20" style="1" bestFit="1" customWidth="1"/>
    <col min="113" max="113" width="30.125" style="1" bestFit="1" customWidth="1"/>
    <col min="114" max="114" width="26" style="1" bestFit="1" customWidth="1"/>
    <col min="115" max="115" width="55.125" style="1" bestFit="1" customWidth="1"/>
    <col min="116" max="116" width="23.125" style="1" bestFit="1" customWidth="1"/>
    <col min="117" max="117" width="21.125" style="1" bestFit="1" customWidth="1"/>
    <col min="118" max="118" width="32.125" style="1" bestFit="1" customWidth="1"/>
    <col min="119" max="119" width="27.75" style="1" bestFit="1" customWidth="1"/>
    <col min="120" max="120" width="28.125" style="1" bestFit="1" customWidth="1"/>
    <col min="121" max="121" width="35.125" style="1" bestFit="1" customWidth="1"/>
    <col min="122" max="122" width="37.125" style="1" bestFit="1" customWidth="1"/>
    <col min="123" max="123" width="40.125" style="1" bestFit="1" customWidth="1"/>
    <col min="124" max="124" width="46" style="1" bestFit="1" customWidth="1"/>
    <col min="125" max="125" width="36.125" style="1" bestFit="1" customWidth="1"/>
    <col min="126" max="126" width="24" style="1" bestFit="1" customWidth="1"/>
    <col min="127" max="127" width="44.125" style="1" bestFit="1" customWidth="1"/>
    <col min="128" max="128" width="37.125" style="1" bestFit="1" customWidth="1"/>
    <col min="129" max="129" width="80.75" style="1" bestFit="1" customWidth="1"/>
    <col min="130" max="130" width="37.125" style="1" bestFit="1" customWidth="1"/>
    <col min="131" max="131" width="22.75" style="1" bestFit="1" customWidth="1"/>
    <col min="132" max="132" width="33" style="1" bestFit="1" customWidth="1"/>
    <col min="133" max="133" width="28.75" style="1" bestFit="1" customWidth="1"/>
    <col min="134" max="134" width="58.125" style="1" bestFit="1" customWidth="1"/>
    <col min="135" max="135" width="26" style="1" bestFit="1" customWidth="1"/>
    <col min="136" max="136" width="24.125" style="1" bestFit="1" customWidth="1"/>
    <col min="137" max="137" width="35.125" style="1" bestFit="1" customWidth="1"/>
    <col min="138" max="138" width="30.125" style="1" bestFit="1" customWidth="1"/>
    <col min="139" max="139" width="31.125" style="1" bestFit="1" customWidth="1"/>
    <col min="140" max="140" width="38" style="1" bestFit="1" customWidth="1"/>
    <col min="141" max="141" width="40.125" style="1" bestFit="1" customWidth="1"/>
    <col min="142" max="142" width="43.125" style="1" bestFit="1" customWidth="1"/>
    <col min="143" max="143" width="48.75" style="1" bestFit="1" customWidth="1"/>
    <col min="144" max="144" width="39.1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125" style="1" bestFit="1" customWidth="1"/>
    <col min="150" max="150" width="31.125" style="1" bestFit="1" customWidth="1"/>
    <col min="151" max="151" width="27.125" style="1" bestFit="1" customWidth="1"/>
    <col min="152" max="152" width="56.75" style="1" bestFit="1" customWidth="1"/>
    <col min="153" max="153" width="24.1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125" style="1" bestFit="1" customWidth="1"/>
    <col min="159" max="159" width="38.75" style="1" bestFit="1" customWidth="1"/>
    <col min="160" max="160" width="42" style="1" bestFit="1" customWidth="1"/>
    <col min="161" max="161" width="47.125" style="1" bestFit="1" customWidth="1"/>
    <col min="162" max="162" width="37.75" style="1" bestFit="1" customWidth="1"/>
    <col min="163" max="163" width="25.125" style="1" bestFit="1" customWidth="1"/>
    <col min="164" max="164" width="45.125" style="1" bestFit="1" customWidth="1"/>
    <col min="165" max="165" width="38.125" style="1" bestFit="1" customWidth="1"/>
    <col min="166" max="166" width="82.125" style="1" bestFit="1" customWidth="1"/>
    <col min="167" max="167" width="22" style="1" bestFit="1" customWidth="1"/>
    <col min="168" max="168" width="32.125" style="1" bestFit="1" customWidth="1"/>
    <col min="169" max="169" width="28" style="1" bestFit="1" customWidth="1"/>
    <col min="170" max="170" width="57.125" style="1" bestFit="1" customWidth="1"/>
    <col min="171" max="171" width="25.125" style="1" bestFit="1" customWidth="1"/>
    <col min="172" max="172" width="23.125" style="1" bestFit="1" customWidth="1"/>
    <col min="173" max="173" width="34.125" style="1" bestFit="1" customWidth="1"/>
    <col min="174" max="174" width="29.125" style="1" bestFit="1" customWidth="1"/>
    <col min="175" max="175" width="30.125" style="1" bestFit="1" customWidth="1"/>
    <col min="176" max="176" width="37.125" style="1" bestFit="1" customWidth="1"/>
    <col min="177" max="177" width="39.125" style="1" bestFit="1" customWidth="1"/>
    <col min="178" max="178" width="42.125" style="1" bestFit="1" customWidth="1"/>
    <col min="179" max="179" width="48" style="1" bestFit="1" customWidth="1"/>
    <col min="180" max="180" width="38.125" style="1" bestFit="1" customWidth="1"/>
    <col min="181" max="181" width="25.75" style="1" bestFit="1" customWidth="1"/>
    <col min="182" max="182" width="46" style="1" bestFit="1" customWidth="1"/>
    <col min="183" max="183" width="39.125" style="1" bestFit="1" customWidth="1"/>
    <col min="184" max="184" width="82.75" style="1" bestFit="1" customWidth="1"/>
    <col min="185" max="185" width="20" style="1" bestFit="1" customWidth="1"/>
    <col min="186" max="186" width="30.125" style="1" bestFit="1" customWidth="1"/>
    <col min="187" max="187" width="26" style="1" bestFit="1" customWidth="1"/>
    <col min="188" max="188" width="55.125" style="1" bestFit="1" customWidth="1"/>
    <col min="189" max="189" width="23.125" style="1" bestFit="1" customWidth="1"/>
    <col min="190" max="190" width="21.125" style="1" bestFit="1" customWidth="1"/>
    <col min="191" max="191" width="32.125" style="1" bestFit="1" customWidth="1"/>
    <col min="192" max="192" width="27.75" style="1" bestFit="1" customWidth="1"/>
    <col min="193" max="193" width="28.125" style="1" bestFit="1" customWidth="1"/>
    <col min="194" max="194" width="35.125" style="1" bestFit="1" customWidth="1"/>
    <col min="195" max="195" width="37.125" style="1" bestFit="1" customWidth="1"/>
    <col min="196" max="196" width="40.125" style="1" bestFit="1" customWidth="1"/>
    <col min="197" max="197" width="46" style="1" bestFit="1" customWidth="1"/>
    <col min="198" max="198" width="36.125" style="1" bestFit="1" customWidth="1"/>
    <col min="199" max="199" width="24" style="1" bestFit="1" customWidth="1"/>
    <col min="200" max="200" width="44.125" style="1" bestFit="1" customWidth="1"/>
    <col min="201" max="201" width="37.125" style="1" bestFit="1" customWidth="1"/>
    <col min="202" max="202" width="80.75" style="1" bestFit="1" customWidth="1"/>
    <col min="203" max="203" width="37.125" style="1" bestFit="1" customWidth="1"/>
    <col min="204" max="204" width="22.75" style="1" bestFit="1" customWidth="1"/>
    <col min="205" max="205" width="33" style="1" bestFit="1" customWidth="1"/>
    <col min="206" max="206" width="28.75" style="1" bestFit="1" customWidth="1"/>
    <col min="207" max="207" width="58.125" style="1" bestFit="1" customWidth="1"/>
    <col min="208" max="208" width="26" style="1" bestFit="1" customWidth="1"/>
    <col min="209" max="209" width="24.125" style="1" bestFit="1" customWidth="1"/>
    <col min="210" max="210" width="35.125" style="1" bestFit="1" customWidth="1"/>
    <col min="211" max="211" width="30.125" style="1" bestFit="1" customWidth="1"/>
    <col min="212" max="212" width="31.125" style="1" bestFit="1" customWidth="1"/>
    <col min="213" max="213" width="38" style="1" bestFit="1" customWidth="1"/>
    <col min="214" max="214" width="40.125" style="1" bestFit="1" customWidth="1"/>
    <col min="215" max="215" width="43.125" style="1" bestFit="1" customWidth="1"/>
    <col min="216" max="216" width="48.75" style="1" bestFit="1" customWidth="1"/>
    <col min="217" max="217" width="39.1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125" style="1" bestFit="1" customWidth="1"/>
    <col min="223" max="223" width="31.125" style="1" bestFit="1" customWidth="1"/>
    <col min="224" max="224" width="27.125" style="1" bestFit="1" customWidth="1"/>
    <col min="225" max="225" width="56.75" style="1" bestFit="1" customWidth="1"/>
    <col min="226" max="226" width="24.1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125" style="1" bestFit="1" customWidth="1"/>
    <col min="232" max="232" width="38.75" style="1" bestFit="1" customWidth="1"/>
    <col min="233" max="233" width="42" style="1" bestFit="1" customWidth="1"/>
    <col min="234" max="234" width="47.125" style="1" bestFit="1" customWidth="1"/>
    <col min="235" max="235" width="37.75" style="1" bestFit="1" customWidth="1"/>
    <col min="236" max="236" width="25.125" style="1" bestFit="1" customWidth="1"/>
    <col min="237" max="237" width="45.125" style="1" bestFit="1" customWidth="1"/>
    <col min="238" max="238" width="38.125" style="1" bestFit="1" customWidth="1"/>
    <col min="239" max="239" width="82.125" style="1" bestFit="1" customWidth="1"/>
    <col min="240" max="240" width="22" style="1" bestFit="1" customWidth="1"/>
    <col min="241" max="241" width="32.125" style="1" bestFit="1" customWidth="1"/>
    <col min="242" max="242" width="28" style="1" bestFit="1" customWidth="1"/>
    <col min="243" max="243" width="57.125" style="1" bestFit="1" customWidth="1"/>
    <col min="244" max="244" width="25.125" style="1" bestFit="1" customWidth="1"/>
    <col min="245" max="245" width="23.125" style="1" bestFit="1" customWidth="1"/>
    <col min="246" max="246" width="34.125" style="1" bestFit="1" customWidth="1"/>
    <col min="247" max="247" width="29.125" style="1" bestFit="1" customWidth="1"/>
    <col min="248" max="248" width="30.125" style="1" bestFit="1" customWidth="1"/>
    <col min="249" max="249" width="37.125" style="1" bestFit="1" customWidth="1"/>
    <col min="250" max="250" width="39.125" style="1" bestFit="1" customWidth="1"/>
    <col min="251" max="251" width="42.125" style="1" bestFit="1" customWidth="1"/>
    <col min="252" max="252" width="48" style="1" bestFit="1" customWidth="1"/>
    <col min="253" max="253" width="38.125" style="1" bestFit="1" customWidth="1"/>
    <col min="254" max="254" width="25.75" style="1" bestFit="1" customWidth="1"/>
    <col min="255" max="255" width="46" style="1" bestFit="1" customWidth="1"/>
    <col min="256" max="256" width="39.125" style="1" bestFit="1" customWidth="1"/>
    <col min="257" max="257" width="82.75" style="1" bestFit="1" customWidth="1"/>
    <col min="258" max="258" width="20" style="1" bestFit="1" customWidth="1"/>
    <col min="259" max="259" width="30.125" style="1" bestFit="1" customWidth="1"/>
    <col min="260" max="260" width="26" style="1" bestFit="1" customWidth="1"/>
    <col min="261" max="261" width="55.125" style="1" bestFit="1" customWidth="1"/>
    <col min="262" max="262" width="23.125" style="1" bestFit="1" customWidth="1"/>
    <col min="263" max="263" width="21.125" style="1" bestFit="1" customWidth="1"/>
    <col min="264" max="264" width="32.125" style="1" bestFit="1" customWidth="1"/>
    <col min="265" max="265" width="27.75" style="1" bestFit="1" customWidth="1"/>
    <col min="266" max="266" width="28.125" style="1" bestFit="1" customWidth="1"/>
    <col min="267" max="267" width="35.125" style="1" bestFit="1" customWidth="1"/>
    <col min="268" max="268" width="37.125" style="1" bestFit="1" customWidth="1"/>
    <col min="269" max="269" width="40.125" style="1" bestFit="1" customWidth="1"/>
    <col min="270" max="270" width="46" style="1" bestFit="1" customWidth="1"/>
    <col min="271" max="271" width="36.125" style="1" bestFit="1" customWidth="1"/>
    <col min="272" max="272" width="24" style="1" bestFit="1" customWidth="1"/>
    <col min="273" max="273" width="44.125" style="1" bestFit="1" customWidth="1"/>
    <col min="274" max="274" width="37.125" style="1" bestFit="1" customWidth="1"/>
    <col min="275" max="275" width="80.75" style="1" bestFit="1" customWidth="1"/>
    <col min="276" max="276" width="37.125" style="1" bestFit="1" customWidth="1"/>
    <col min="277" max="277" width="22.75" style="1" bestFit="1" customWidth="1"/>
    <col min="278" max="278" width="33" style="1" bestFit="1" customWidth="1"/>
    <col min="279" max="279" width="28.75" style="1" bestFit="1" customWidth="1"/>
    <col min="280" max="280" width="58.125" style="1" bestFit="1" customWidth="1"/>
    <col min="281" max="281" width="26" style="1" bestFit="1" customWidth="1"/>
    <col min="282" max="282" width="24.125" style="1" bestFit="1" customWidth="1"/>
    <col min="283" max="283" width="35.125" style="1" bestFit="1" customWidth="1"/>
    <col min="284" max="284" width="30.125" style="1" bestFit="1" customWidth="1"/>
    <col min="285" max="285" width="31.125" style="1" bestFit="1" customWidth="1"/>
    <col min="286" max="286" width="38" style="1" bestFit="1" customWidth="1"/>
    <col min="287" max="287" width="40.125" style="1" bestFit="1" customWidth="1"/>
    <col min="288" max="288" width="43.125" style="1" bestFit="1" customWidth="1"/>
    <col min="289" max="289" width="48.75" style="1" bestFit="1" customWidth="1"/>
    <col min="290" max="290" width="39.1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125" style="1" bestFit="1" customWidth="1"/>
    <col min="296" max="296" width="31.125" style="1" bestFit="1" customWidth="1"/>
    <col min="297" max="297" width="27.125" style="1" bestFit="1" customWidth="1"/>
    <col min="298" max="298" width="56.75" style="1" bestFit="1" customWidth="1"/>
    <col min="299" max="299" width="24.1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125" style="1" bestFit="1" customWidth="1"/>
    <col min="305" max="305" width="38.75" style="1" bestFit="1" customWidth="1"/>
    <col min="306" max="306" width="42" style="1" bestFit="1" customWidth="1"/>
    <col min="307" max="307" width="47.125" style="1" bestFit="1" customWidth="1"/>
    <col min="308" max="308" width="37.75" style="1" bestFit="1" customWidth="1"/>
    <col min="309" max="309" width="25.125" style="1" bestFit="1" customWidth="1"/>
    <col min="310" max="310" width="45.125" style="1" bestFit="1" customWidth="1"/>
    <col min="311" max="311" width="38.125" style="1" bestFit="1" customWidth="1"/>
    <col min="312" max="312" width="82.125" style="1" bestFit="1" customWidth="1"/>
    <col min="313" max="313" width="22" style="1" bestFit="1" customWidth="1"/>
    <col min="314" max="314" width="32.125" style="1" bestFit="1" customWidth="1"/>
    <col min="315" max="315" width="28" style="1" bestFit="1" customWidth="1"/>
    <col min="316" max="316" width="57.125" style="1" bestFit="1" customWidth="1"/>
    <col min="317" max="317" width="25.125" style="1" bestFit="1" customWidth="1"/>
    <col min="318" max="318" width="23.125" style="1" bestFit="1" customWidth="1"/>
    <col min="319" max="319" width="34.125" style="1" bestFit="1" customWidth="1"/>
    <col min="320" max="320" width="29.125" style="1" bestFit="1" customWidth="1"/>
    <col min="321" max="321" width="30.125" style="1" bestFit="1" customWidth="1"/>
    <col min="322" max="322" width="37.125" style="1" bestFit="1" customWidth="1"/>
    <col min="323" max="323" width="39.125" style="1" bestFit="1" customWidth="1"/>
    <col min="324" max="324" width="42.125" style="1" bestFit="1" customWidth="1"/>
    <col min="325" max="325" width="48" style="1" bestFit="1" customWidth="1"/>
    <col min="326" max="326" width="38.125" style="1" bestFit="1" customWidth="1"/>
    <col min="327" max="327" width="25.75" style="1" bestFit="1" customWidth="1"/>
    <col min="328" max="328" width="46" style="1" bestFit="1" customWidth="1"/>
    <col min="329" max="329" width="39.125" style="1" bestFit="1" customWidth="1"/>
    <col min="330" max="330" width="82.75" style="1" bestFit="1" customWidth="1"/>
    <col min="331" max="331" width="20" style="1" bestFit="1" customWidth="1"/>
    <col min="332" max="332" width="30.125" style="1" bestFit="1" customWidth="1"/>
    <col min="333" max="333" width="26" style="1" bestFit="1" customWidth="1"/>
    <col min="334" max="334" width="55.125" style="1" bestFit="1" customWidth="1"/>
    <col min="335" max="335" width="23.125" style="1" bestFit="1" customWidth="1"/>
    <col min="336" max="336" width="21.125" style="1" bestFit="1" customWidth="1"/>
    <col min="337" max="337" width="32.125" style="1" bestFit="1" customWidth="1"/>
    <col min="338" max="338" width="27.75" style="1" bestFit="1" customWidth="1"/>
    <col min="339" max="339" width="28.125" style="1" bestFit="1" customWidth="1"/>
    <col min="340" max="340" width="35.125" style="1" bestFit="1" customWidth="1"/>
    <col min="341" max="341" width="37.125" style="1" bestFit="1" customWidth="1"/>
    <col min="342" max="342" width="40.125" style="1" bestFit="1" customWidth="1"/>
    <col min="343" max="343" width="46" style="1" bestFit="1" customWidth="1"/>
    <col min="344" max="344" width="36.125" style="1" bestFit="1" customWidth="1"/>
    <col min="345" max="345" width="24" style="1" bestFit="1" customWidth="1"/>
    <col min="346" max="346" width="44.125" style="1" bestFit="1" customWidth="1"/>
    <col min="347" max="347" width="37.125" style="1" bestFit="1" customWidth="1"/>
    <col min="348" max="348" width="80.75" style="1" bestFit="1" customWidth="1"/>
    <col min="349" max="349" width="37.125" style="1" bestFit="1" customWidth="1"/>
    <col min="350" max="16384" width="11.125" style="1"/>
  </cols>
  <sheetData>
    <row r="1" spans="1:57" ht="30" customHeight="1" thickTop="1">
      <c r="A1" s="160"/>
      <c r="B1" s="161"/>
      <c r="C1" s="166" t="s">
        <v>0</v>
      </c>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8"/>
      <c r="BC1" s="175" t="s">
        <v>1</v>
      </c>
      <c r="BD1" s="176"/>
      <c r="BE1" s="177"/>
    </row>
    <row r="2" spans="1:57" ht="30" customHeight="1">
      <c r="A2" s="162"/>
      <c r="B2" s="163"/>
      <c r="C2" s="16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1"/>
      <c r="BC2" s="178" t="s">
        <v>2</v>
      </c>
      <c r="BD2" s="179"/>
      <c r="BE2" s="180"/>
    </row>
    <row r="3" spans="1:57" ht="30" customHeight="1">
      <c r="A3" s="162"/>
      <c r="B3" s="163"/>
      <c r="C3" s="16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1"/>
      <c r="BC3" s="178" t="s">
        <v>3</v>
      </c>
      <c r="BD3" s="179"/>
      <c r="BE3" s="180"/>
    </row>
    <row r="4" spans="1:57" ht="30" customHeight="1" thickBot="1">
      <c r="A4" s="164"/>
      <c r="B4" s="165"/>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4"/>
      <c r="BC4" s="181" t="s">
        <v>4</v>
      </c>
      <c r="BD4" s="182"/>
      <c r="BE4" s="183"/>
    </row>
    <row r="5" spans="1:57" ht="23.25" customHeight="1" thickTop="1">
      <c r="BE5" s="11"/>
    </row>
    <row r="6" spans="1:57" ht="28.5" customHeight="1" thickBot="1">
      <c r="B6" s="3" t="s">
        <v>5</v>
      </c>
      <c r="C6" s="6"/>
      <c r="D6" s="6"/>
      <c r="E6" s="6"/>
      <c r="F6" s="6"/>
      <c r="G6" s="6"/>
      <c r="H6" s="6"/>
      <c r="I6" s="6"/>
      <c r="J6" s="6"/>
      <c r="K6" s="6"/>
      <c r="L6" s="6"/>
      <c r="M6" s="6"/>
      <c r="N6" s="6"/>
      <c r="O6" s="7"/>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12"/>
      <c r="BD6" s="31"/>
      <c r="BE6" s="13"/>
    </row>
    <row r="7" spans="1:57" ht="37.35" customHeight="1" thickBot="1">
      <c r="A7" s="1"/>
      <c r="B7" s="8">
        <v>2025</v>
      </c>
      <c r="C7" s="6"/>
      <c r="D7" s="6"/>
      <c r="E7" s="6"/>
      <c r="F7" s="6"/>
      <c r="G7" s="6"/>
      <c r="H7" s="6"/>
      <c r="I7" s="6"/>
      <c r="J7" s="6"/>
      <c r="K7" s="6"/>
      <c r="L7" s="6"/>
      <c r="M7" s="6"/>
      <c r="N7" s="6"/>
      <c r="O7" s="7"/>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12"/>
      <c r="BD7" s="31"/>
      <c r="BE7" s="13"/>
    </row>
    <row r="8" spans="1:57" ht="8.85" customHeight="1" thickBot="1">
      <c r="A8" s="1"/>
      <c r="B8" s="1"/>
      <c r="C8" s="7"/>
      <c r="D8" s="6"/>
      <c r="E8" s="6"/>
      <c r="F8" s="6"/>
      <c r="G8" s="6"/>
      <c r="H8" s="6"/>
      <c r="I8" s="6"/>
      <c r="J8" s="6"/>
      <c r="K8" s="6"/>
      <c r="L8" s="6"/>
      <c r="M8" s="6"/>
      <c r="N8" s="6"/>
      <c r="O8" s="7"/>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12"/>
      <c r="BD8" s="31"/>
      <c r="BE8" s="13"/>
    </row>
    <row r="9" spans="1:57" s="2" customFormat="1" ht="38.1" customHeight="1" thickBot="1">
      <c r="A9" s="152" t="s">
        <v>6</v>
      </c>
      <c r="B9" s="152"/>
      <c r="C9" s="152"/>
      <c r="D9" s="152"/>
      <c r="E9" s="152"/>
      <c r="F9" s="152"/>
      <c r="G9" s="152"/>
      <c r="H9" s="153" t="s">
        <v>7</v>
      </c>
      <c r="I9" s="154"/>
      <c r="J9" s="154"/>
      <c r="K9" s="154"/>
      <c r="L9" s="154"/>
      <c r="M9" s="154"/>
      <c r="N9" s="154"/>
      <c r="O9" s="155"/>
      <c r="P9" s="156" t="s">
        <v>8</v>
      </c>
      <c r="Q9" s="157"/>
      <c r="R9" s="157"/>
      <c r="S9" s="157"/>
      <c r="T9" s="157"/>
      <c r="U9" s="157"/>
      <c r="V9" s="157"/>
      <c r="W9" s="157"/>
      <c r="X9" s="157"/>
      <c r="Y9" s="157"/>
      <c r="Z9" s="157"/>
      <c r="AA9" s="157"/>
      <c r="AB9" s="157"/>
      <c r="AC9" s="157"/>
      <c r="AD9" s="158"/>
      <c r="AE9" s="159"/>
      <c r="AF9" s="153" t="s">
        <v>9</v>
      </c>
      <c r="AG9" s="154"/>
      <c r="AH9" s="154"/>
      <c r="AI9" s="154"/>
      <c r="AJ9" s="154"/>
      <c r="AK9" s="154"/>
      <c r="AL9" s="154"/>
      <c r="AM9" s="154"/>
      <c r="AN9" s="154"/>
      <c r="AO9" s="154"/>
      <c r="AP9" s="154"/>
      <c r="AQ9" s="154"/>
      <c r="AR9" s="154"/>
      <c r="AS9" s="154"/>
      <c r="AT9" s="154"/>
      <c r="AU9" s="154"/>
      <c r="AV9" s="154"/>
      <c r="AW9" s="154"/>
      <c r="AX9" s="153" t="s">
        <v>10</v>
      </c>
      <c r="AY9" s="154"/>
      <c r="AZ9" s="155"/>
      <c r="BA9" s="154" t="s">
        <v>11</v>
      </c>
      <c r="BB9" s="154"/>
      <c r="BC9" s="150" t="s">
        <v>12</v>
      </c>
      <c r="BD9" s="151"/>
      <c r="BE9" s="14"/>
    </row>
    <row r="10" spans="1:57" s="2" customFormat="1" ht="57" customHeight="1">
      <c r="A10" s="49" t="s">
        <v>13</v>
      </c>
      <c r="B10" s="49" t="s">
        <v>14</v>
      </c>
      <c r="C10" s="49" t="s">
        <v>15</v>
      </c>
      <c r="D10" s="49" t="s">
        <v>16</v>
      </c>
      <c r="E10" s="49" t="s">
        <v>17</v>
      </c>
      <c r="F10" s="49" t="s">
        <v>18</v>
      </c>
      <c r="G10" s="49" t="s">
        <v>19</v>
      </c>
      <c r="H10" s="49" t="s">
        <v>20</v>
      </c>
      <c r="I10" s="49" t="s">
        <v>21</v>
      </c>
      <c r="J10" s="49" t="s">
        <v>22</v>
      </c>
      <c r="K10" s="49" t="s">
        <v>23</v>
      </c>
      <c r="L10" s="49" t="s">
        <v>24</v>
      </c>
      <c r="M10" s="49" t="s">
        <v>25</v>
      </c>
      <c r="N10" s="49" t="s">
        <v>26</v>
      </c>
      <c r="O10" s="73" t="s">
        <v>27</v>
      </c>
      <c r="P10" s="49" t="s">
        <v>174</v>
      </c>
      <c r="Q10" s="49" t="s">
        <v>175</v>
      </c>
      <c r="R10" s="49" t="s">
        <v>176</v>
      </c>
      <c r="S10" s="49" t="s">
        <v>177</v>
      </c>
      <c r="T10" s="49" t="s">
        <v>178</v>
      </c>
      <c r="U10" s="49" t="s">
        <v>179</v>
      </c>
      <c r="V10" s="49" t="s">
        <v>180</v>
      </c>
      <c r="W10" s="49" t="s">
        <v>181</v>
      </c>
      <c r="X10" s="49" t="s">
        <v>182</v>
      </c>
      <c r="Y10" s="49" t="s">
        <v>183</v>
      </c>
      <c r="Z10" s="49" t="s">
        <v>184</v>
      </c>
      <c r="AA10" s="49" t="s">
        <v>185</v>
      </c>
      <c r="AB10" s="49" t="s">
        <v>186</v>
      </c>
      <c r="AC10" s="49" t="s">
        <v>187</v>
      </c>
      <c r="AD10" s="49" t="s">
        <v>28</v>
      </c>
      <c r="AE10" s="49" t="s">
        <v>161</v>
      </c>
      <c r="AF10" s="49" t="s">
        <v>188</v>
      </c>
      <c r="AG10" s="49" t="s">
        <v>189</v>
      </c>
      <c r="AH10" s="49" t="s">
        <v>190</v>
      </c>
      <c r="AI10" s="49" t="s">
        <v>191</v>
      </c>
      <c r="AJ10" s="49" t="s">
        <v>192</v>
      </c>
      <c r="AK10" s="49" t="s">
        <v>193</v>
      </c>
      <c r="AL10" s="49" t="s">
        <v>194</v>
      </c>
      <c r="AM10" s="49" t="s">
        <v>195</v>
      </c>
      <c r="AN10" s="49" t="s">
        <v>196</v>
      </c>
      <c r="AO10" s="49" t="s">
        <v>197</v>
      </c>
      <c r="AP10" s="49" t="s">
        <v>198</v>
      </c>
      <c r="AQ10" s="49" t="s">
        <v>199</v>
      </c>
      <c r="AR10" s="49" t="s">
        <v>200</v>
      </c>
      <c r="AS10" s="49" t="s">
        <v>201</v>
      </c>
      <c r="AT10" s="49" t="s">
        <v>29</v>
      </c>
      <c r="AU10" s="49" t="s">
        <v>202</v>
      </c>
      <c r="AV10" s="49" t="s">
        <v>30</v>
      </c>
      <c r="AW10" s="74" t="s">
        <v>31</v>
      </c>
      <c r="AX10" s="49" t="s">
        <v>32</v>
      </c>
      <c r="AY10" s="49" t="s">
        <v>33</v>
      </c>
      <c r="AZ10" s="49" t="s">
        <v>34</v>
      </c>
      <c r="BA10" s="56" t="s">
        <v>35</v>
      </c>
      <c r="BB10" s="74" t="s">
        <v>36</v>
      </c>
      <c r="BC10" s="49" t="s">
        <v>37</v>
      </c>
      <c r="BD10" s="49" t="s">
        <v>38</v>
      </c>
      <c r="BE10" s="51" t="s">
        <v>39</v>
      </c>
    </row>
    <row r="11" spans="1:57" s="9" customFormat="1" ht="126">
      <c r="A11" s="83">
        <v>77</v>
      </c>
      <c r="B11" s="75" t="s">
        <v>40</v>
      </c>
      <c r="C11" s="75" t="s">
        <v>41</v>
      </c>
      <c r="D11" s="75" t="s">
        <v>42</v>
      </c>
      <c r="E11" s="75" t="s">
        <v>43</v>
      </c>
      <c r="F11" s="75" t="s">
        <v>44</v>
      </c>
      <c r="G11" s="84" t="s">
        <v>45</v>
      </c>
      <c r="H11" s="87">
        <v>2024680010232</v>
      </c>
      <c r="I11" s="76" t="s">
        <v>46</v>
      </c>
      <c r="J11" s="77">
        <v>500000000</v>
      </c>
      <c r="K11" s="77">
        <v>300000000</v>
      </c>
      <c r="L11" s="78" t="s">
        <v>47</v>
      </c>
      <c r="M11" s="78" t="s">
        <v>48</v>
      </c>
      <c r="N11" s="79">
        <v>619703</v>
      </c>
      <c r="O11" s="88" t="s">
        <v>210</v>
      </c>
      <c r="P11" s="113">
        <f>+'[1]Plan de Accion'!$U11</f>
        <v>300000000</v>
      </c>
      <c r="Q11" s="103"/>
      <c r="R11" s="103"/>
      <c r="S11" s="103"/>
      <c r="T11" s="103"/>
      <c r="U11" s="103"/>
      <c r="V11" s="103"/>
      <c r="W11" s="103"/>
      <c r="X11" s="103"/>
      <c r="Y11" s="103"/>
      <c r="Z11" s="103"/>
      <c r="AA11" s="103"/>
      <c r="AB11" s="103"/>
      <c r="AC11" s="103"/>
      <c r="AD11" s="103"/>
      <c r="AE11" s="114">
        <f>SUM(Tabla13[[#This Row],[Recursos propios 2025]:[Recursos del Balance]])</f>
        <v>300000000</v>
      </c>
      <c r="AF11" s="104"/>
      <c r="AG11" s="103"/>
      <c r="AH11" s="103"/>
      <c r="AI11" s="103"/>
      <c r="AJ11" s="103"/>
      <c r="AK11" s="103"/>
      <c r="AL11" s="103"/>
      <c r="AM11" s="103"/>
      <c r="AN11" s="103"/>
      <c r="AO11" s="103"/>
      <c r="AP11" s="103"/>
      <c r="AQ11" s="103"/>
      <c r="AR11" s="103"/>
      <c r="AS11" s="103"/>
      <c r="AT11" s="103"/>
      <c r="AU11" s="105">
        <f>SUM(Tabla13[[#This Row],[Recursos propios 20252]:[Recursos del Balance2]])</f>
        <v>0</v>
      </c>
      <c r="AV11" s="103"/>
      <c r="AW11" s="115"/>
      <c r="AX11" s="21">
        <f>+Tabla13[[#This Row],[Total Recursos Comprometido 2025]]/Tabla13[[#This Row],[Total 2025]]</f>
        <v>0</v>
      </c>
      <c r="AY11" s="18">
        <f>+Tabla13[[#This Row],[Total Recursos Obligados]]/Tabla13[[#This Row],[Total 2025]]</f>
        <v>0</v>
      </c>
      <c r="AZ11" s="22">
        <f>+Tabla13[[#This Row],[Total Recursos Pagados]]/Tabla13[[#This Row],[Total 2025]]</f>
        <v>0</v>
      </c>
      <c r="BA11" s="63"/>
      <c r="BB11" s="96" t="str">
        <f>IF(Tabla13[[#This Row],[Total Recursos Gestionados2]]=0,"_",IF(Tabla13[[#This Row],[Ejecución Recursos Comprometidos]]=0,100%,Tabla13[[#This Row],[Total Recursos Gestionados2]]/Tabla13[[#This Row],[Ejecución Recursos Comprometidos]]))</f>
        <v>_</v>
      </c>
      <c r="BC11" s="42" t="s">
        <v>49</v>
      </c>
      <c r="BD11" s="43" t="s">
        <v>50</v>
      </c>
      <c r="BE11" s="44">
        <v>17</v>
      </c>
    </row>
    <row r="12" spans="1:57" s="10" customFormat="1" ht="162">
      <c r="A12" s="83">
        <v>78</v>
      </c>
      <c r="B12" s="75" t="s">
        <v>40</v>
      </c>
      <c r="C12" s="75" t="s">
        <v>41</v>
      </c>
      <c r="D12" s="75" t="s">
        <v>42</v>
      </c>
      <c r="E12" s="75" t="s">
        <v>43</v>
      </c>
      <c r="F12" s="75" t="s">
        <v>51</v>
      </c>
      <c r="G12" s="84" t="s">
        <v>52</v>
      </c>
      <c r="H12" s="89">
        <v>2024680010234</v>
      </c>
      <c r="I12" s="76" t="s">
        <v>53</v>
      </c>
      <c r="J12" s="80">
        <v>3000000000</v>
      </c>
      <c r="K12" s="81">
        <v>200000000</v>
      </c>
      <c r="L12" s="78" t="s">
        <v>47</v>
      </c>
      <c r="M12" s="78" t="s">
        <v>48</v>
      </c>
      <c r="N12" s="79">
        <v>619703</v>
      </c>
      <c r="O12" s="88" t="s">
        <v>211</v>
      </c>
      <c r="P12" s="113">
        <f>+'[1]Plan de Accion'!$U12</f>
        <v>200000000</v>
      </c>
      <c r="Q12" s="105"/>
      <c r="R12" s="105"/>
      <c r="S12" s="105"/>
      <c r="T12" s="105"/>
      <c r="U12" s="105"/>
      <c r="V12" s="105"/>
      <c r="W12" s="105"/>
      <c r="X12" s="105"/>
      <c r="Y12" s="105"/>
      <c r="Z12" s="105"/>
      <c r="AA12" s="105"/>
      <c r="AB12" s="105"/>
      <c r="AC12" s="105"/>
      <c r="AD12" s="105"/>
      <c r="AE12" s="116">
        <f>SUM(Tabla13[[#This Row],[Recursos propios 2025]:[Recursos del Balance]])</f>
        <v>200000000</v>
      </c>
      <c r="AF12" s="104">
        <v>200000000</v>
      </c>
      <c r="AG12" s="105"/>
      <c r="AH12" s="105"/>
      <c r="AI12" s="105"/>
      <c r="AJ12" s="105"/>
      <c r="AK12" s="105"/>
      <c r="AL12" s="105"/>
      <c r="AM12" s="105"/>
      <c r="AN12" s="105"/>
      <c r="AO12" s="105"/>
      <c r="AP12" s="105"/>
      <c r="AQ12" s="105"/>
      <c r="AR12" s="105"/>
      <c r="AS12" s="105"/>
      <c r="AT12" s="105"/>
      <c r="AU12" s="105">
        <f>SUM(Tabla13[[#This Row],[Recursos propios 20252]:[Recursos del Balance2]])</f>
        <v>200000000</v>
      </c>
      <c r="AV12" s="105">
        <v>40000000</v>
      </c>
      <c r="AW12" s="117">
        <v>40000000</v>
      </c>
      <c r="AX12" s="68">
        <f>+Tabla13[[#This Row],[Total Recursos Comprometido 2025]]/Tabla13[[#This Row],[Total 2025]]</f>
        <v>1</v>
      </c>
      <c r="AY12" s="19">
        <f>+Tabla13[[#This Row],[Total Recursos Obligados]]/Tabla13[[#This Row],[Total 2025]]</f>
        <v>0.2</v>
      </c>
      <c r="AZ12" s="69">
        <f>+Tabla13[[#This Row],[Total Recursos Pagados]]/Tabla13[[#This Row],[Total 2025]]</f>
        <v>0.2</v>
      </c>
      <c r="BA12" s="64"/>
      <c r="BB12" s="97" t="str">
        <f>IF(Tabla13[[#This Row],[Total Recursos Gestionados2]]=0,"_",IF(Tabla13[[#This Row],[Ejecución Recursos Comprometidos]]=0,100%,Tabla13[[#This Row],[Total Recursos Gestionados2]]/Tabla13[[#This Row],[Ejecución Recursos Comprometidos]]))</f>
        <v>_</v>
      </c>
      <c r="BC12" s="42" t="s">
        <v>49</v>
      </c>
      <c r="BD12" s="43" t="s">
        <v>50</v>
      </c>
      <c r="BE12" s="24">
        <v>17</v>
      </c>
    </row>
    <row r="13" spans="1:57" s="10" customFormat="1" ht="126">
      <c r="A13" s="83">
        <v>79</v>
      </c>
      <c r="B13" s="75" t="s">
        <v>40</v>
      </c>
      <c r="C13" s="75" t="s">
        <v>41</v>
      </c>
      <c r="D13" s="75" t="s">
        <v>42</v>
      </c>
      <c r="E13" s="75" t="s">
        <v>43</v>
      </c>
      <c r="F13" s="75" t="s">
        <v>54</v>
      </c>
      <c r="G13" s="84" t="s">
        <v>55</v>
      </c>
      <c r="H13" s="89">
        <v>2024680010234</v>
      </c>
      <c r="I13" s="76" t="s">
        <v>53</v>
      </c>
      <c r="J13" s="80">
        <v>3000000000</v>
      </c>
      <c r="K13" s="78">
        <v>0</v>
      </c>
      <c r="L13" s="78" t="s">
        <v>47</v>
      </c>
      <c r="M13" s="78" t="s">
        <v>48</v>
      </c>
      <c r="N13" s="79">
        <v>619703</v>
      </c>
      <c r="O13" s="88" t="s">
        <v>206</v>
      </c>
      <c r="P13" s="113">
        <f>+'[1]Plan de Accion'!$U13</f>
        <v>0</v>
      </c>
      <c r="Q13" s="105"/>
      <c r="R13" s="105"/>
      <c r="S13" s="105"/>
      <c r="T13" s="105"/>
      <c r="U13" s="105"/>
      <c r="V13" s="105"/>
      <c r="W13" s="105"/>
      <c r="X13" s="105"/>
      <c r="Y13" s="105"/>
      <c r="Z13" s="105"/>
      <c r="AA13" s="105"/>
      <c r="AB13" s="105"/>
      <c r="AC13" s="105"/>
      <c r="AD13" s="105"/>
      <c r="AE13" s="116">
        <f>SUM(Tabla13[[#This Row],[Recursos propios 2025]:[Recursos del Balance]])</f>
        <v>0</v>
      </c>
      <c r="AF13" s="104"/>
      <c r="AG13" s="105"/>
      <c r="AH13" s="105"/>
      <c r="AI13" s="105"/>
      <c r="AJ13" s="105"/>
      <c r="AK13" s="105"/>
      <c r="AL13" s="105"/>
      <c r="AM13" s="105"/>
      <c r="AN13" s="105"/>
      <c r="AO13" s="105"/>
      <c r="AP13" s="105"/>
      <c r="AQ13" s="105"/>
      <c r="AR13" s="105"/>
      <c r="AS13" s="105"/>
      <c r="AT13" s="105"/>
      <c r="AU13" s="105">
        <f>SUM(Tabla13[[#This Row],[Recursos propios 20252]:[Recursos del Balance2]])</f>
        <v>0</v>
      </c>
      <c r="AV13" s="105"/>
      <c r="AW13" s="117"/>
      <c r="AX13" s="20" t="e">
        <f>+Tabla13[[#This Row],[Total Recursos Comprometido 2025]]/Tabla13[[#This Row],[Total 2025]]</f>
        <v>#DIV/0!</v>
      </c>
      <c r="AY13" s="33" t="e">
        <f>+Tabla13[[#This Row],[Total Recursos Obligados]]/Tabla13[[#This Row],[Total 2025]]</f>
        <v>#DIV/0!</v>
      </c>
      <c r="AZ13" s="34" t="e">
        <f>+Tabla13[[#This Row],[Total Recursos Pagados]]/Tabla13[[#This Row],[Total 2025]]</f>
        <v>#DIV/0!</v>
      </c>
      <c r="BA13" s="65"/>
      <c r="BB13" s="97" t="str">
        <f>IF(Tabla13[[#This Row],[Total Recursos Gestionados2]]=0,"_",IF(Tabla13[[#This Row],[Ejecución Recursos Comprometidos]]=0,100%,Tabla13[[#This Row],[Total Recursos Gestionados2]]/Tabla13[[#This Row],[Ejecución Recursos Comprometidos]]))</f>
        <v>_</v>
      </c>
      <c r="BC13" s="42" t="s">
        <v>49</v>
      </c>
      <c r="BD13" s="43" t="s">
        <v>50</v>
      </c>
      <c r="BE13" s="24">
        <v>17</v>
      </c>
    </row>
    <row r="14" spans="1:57" s="10" customFormat="1" ht="126">
      <c r="A14" s="83">
        <v>80</v>
      </c>
      <c r="B14" s="75" t="s">
        <v>40</v>
      </c>
      <c r="C14" s="75" t="s">
        <v>41</v>
      </c>
      <c r="D14" s="75" t="s">
        <v>42</v>
      </c>
      <c r="E14" s="75" t="s">
        <v>43</v>
      </c>
      <c r="F14" s="75" t="s">
        <v>56</v>
      </c>
      <c r="G14" s="84" t="s">
        <v>57</v>
      </c>
      <c r="H14" s="89">
        <v>2024680010234</v>
      </c>
      <c r="I14" s="76" t="s">
        <v>53</v>
      </c>
      <c r="J14" s="80">
        <v>3000000000</v>
      </c>
      <c r="K14" s="78">
        <v>0</v>
      </c>
      <c r="L14" s="78" t="s">
        <v>47</v>
      </c>
      <c r="M14" s="78" t="s">
        <v>48</v>
      </c>
      <c r="N14" s="79">
        <v>619703</v>
      </c>
      <c r="O14" s="88" t="s">
        <v>207</v>
      </c>
      <c r="P14" s="113">
        <f>+'[1]Plan de Accion'!$U14</f>
        <v>0</v>
      </c>
      <c r="Q14" s="105"/>
      <c r="R14" s="105"/>
      <c r="S14" s="105"/>
      <c r="T14" s="105"/>
      <c r="U14" s="105"/>
      <c r="V14" s="105"/>
      <c r="W14" s="105"/>
      <c r="X14" s="105"/>
      <c r="Y14" s="105"/>
      <c r="Z14" s="105"/>
      <c r="AA14" s="105"/>
      <c r="AB14" s="105"/>
      <c r="AC14" s="105"/>
      <c r="AD14" s="105"/>
      <c r="AE14" s="116">
        <f>SUM(Tabla13[[#This Row],[Recursos propios 2025]:[Recursos del Balance]])</f>
        <v>0</v>
      </c>
      <c r="AF14" s="104"/>
      <c r="AG14" s="105"/>
      <c r="AH14" s="105"/>
      <c r="AI14" s="105"/>
      <c r="AJ14" s="105"/>
      <c r="AK14" s="105"/>
      <c r="AL14" s="105"/>
      <c r="AM14" s="105"/>
      <c r="AN14" s="105"/>
      <c r="AO14" s="105"/>
      <c r="AP14" s="105"/>
      <c r="AQ14" s="105"/>
      <c r="AR14" s="105"/>
      <c r="AS14" s="105"/>
      <c r="AT14" s="105"/>
      <c r="AU14" s="105">
        <f>SUM(Tabla13[[#This Row],[Recursos propios 20252]:[Recursos del Balance2]])</f>
        <v>0</v>
      </c>
      <c r="AV14" s="103"/>
      <c r="AW14" s="115"/>
      <c r="AX14" s="21" t="e">
        <f>+Tabla13[[#This Row],[Total Recursos Comprometido 2025]]/Tabla13[[#This Row],[Total 2025]]</f>
        <v>#DIV/0!</v>
      </c>
      <c r="AY14" s="18" t="e">
        <f>+Tabla13[[#This Row],[Total Recursos Obligados]]/Tabla13[[#This Row],[Total 2025]]</f>
        <v>#DIV/0!</v>
      </c>
      <c r="AZ14" s="22" t="e">
        <f>+Tabla13[[#This Row],[Total Recursos Pagados]]/Tabla13[[#This Row],[Total 2025]]</f>
        <v>#DIV/0!</v>
      </c>
      <c r="BA14" s="63"/>
      <c r="BB14" s="97" t="str">
        <f>IF(Tabla13[[#This Row],[Total Recursos Gestionados2]]=0,"_",IF(Tabla13[[#This Row],[Ejecución Recursos Comprometidos]]=0,100%,Tabla13[[#This Row],[Total Recursos Gestionados2]]/Tabla13[[#This Row],[Ejecución Recursos Comprometidos]]))</f>
        <v>_</v>
      </c>
      <c r="BC14" s="42" t="s">
        <v>49</v>
      </c>
      <c r="BD14" s="43" t="s">
        <v>50</v>
      </c>
      <c r="BE14" s="24">
        <v>17</v>
      </c>
    </row>
    <row r="15" spans="1:57" s="10" customFormat="1" ht="126">
      <c r="A15" s="83">
        <v>81</v>
      </c>
      <c r="B15" s="75" t="s">
        <v>40</v>
      </c>
      <c r="C15" s="75" t="s">
        <v>41</v>
      </c>
      <c r="D15" s="75" t="s">
        <v>42</v>
      </c>
      <c r="E15" s="75" t="s">
        <v>43</v>
      </c>
      <c r="F15" s="75" t="s">
        <v>58</v>
      </c>
      <c r="G15" s="84" t="s">
        <v>59</v>
      </c>
      <c r="H15" s="89">
        <v>2024680010234</v>
      </c>
      <c r="I15" s="76" t="s">
        <v>53</v>
      </c>
      <c r="J15" s="80">
        <v>3000000000</v>
      </c>
      <c r="K15" s="80">
        <v>0</v>
      </c>
      <c r="L15" s="78" t="s">
        <v>47</v>
      </c>
      <c r="M15" s="78" t="s">
        <v>48</v>
      </c>
      <c r="N15" s="79">
        <v>619703</v>
      </c>
      <c r="O15" s="88" t="s">
        <v>206</v>
      </c>
      <c r="P15" s="113">
        <v>0</v>
      </c>
      <c r="Q15" s="105"/>
      <c r="R15" s="105"/>
      <c r="S15" s="105"/>
      <c r="T15" s="105"/>
      <c r="U15" s="105"/>
      <c r="V15" s="105"/>
      <c r="W15" s="105"/>
      <c r="X15" s="105"/>
      <c r="Y15" s="105"/>
      <c r="Z15" s="105"/>
      <c r="AA15" s="105"/>
      <c r="AB15" s="105"/>
      <c r="AC15" s="105"/>
      <c r="AD15" s="105"/>
      <c r="AE15" s="116">
        <f>SUM(Tabla13[[#This Row],[Recursos propios 2025]:[Recursos del Balance]])</f>
        <v>0</v>
      </c>
      <c r="AF15" s="104"/>
      <c r="AG15" s="105"/>
      <c r="AH15" s="105"/>
      <c r="AI15" s="105"/>
      <c r="AJ15" s="105"/>
      <c r="AK15" s="105"/>
      <c r="AL15" s="105"/>
      <c r="AM15" s="105"/>
      <c r="AN15" s="105"/>
      <c r="AO15" s="105"/>
      <c r="AP15" s="105"/>
      <c r="AQ15" s="105"/>
      <c r="AR15" s="105"/>
      <c r="AS15" s="105"/>
      <c r="AT15" s="105"/>
      <c r="AU15" s="105">
        <f>SUM(Tabla13[[#This Row],[Recursos propios 20252]:[Recursos del Balance2]])</f>
        <v>0</v>
      </c>
      <c r="AV15" s="105"/>
      <c r="AW15" s="117"/>
      <c r="AX15" s="20" t="e">
        <f>+Tabla13[[#This Row],[Total Recursos Comprometido 2025]]/Tabla13[[#This Row],[Total 2025]]</f>
        <v>#DIV/0!</v>
      </c>
      <c r="AY15" s="33" t="e">
        <f>+Tabla13[[#This Row],[Total Recursos Obligados]]/Tabla13[[#This Row],[Total 2025]]</f>
        <v>#DIV/0!</v>
      </c>
      <c r="AZ15" s="34" t="e">
        <f>+Tabla13[[#This Row],[Total Recursos Pagados]]/Tabla13[[#This Row],[Total 2025]]</f>
        <v>#DIV/0!</v>
      </c>
      <c r="BA15" s="65"/>
      <c r="BB15" s="97" t="str">
        <f>IF(Tabla13[[#This Row],[Total Recursos Gestionados2]]=0,"_",IF(Tabla13[[#This Row],[Ejecución Recursos Comprometidos]]=0,100%,Tabla13[[#This Row],[Total Recursos Gestionados2]]/Tabla13[[#This Row],[Ejecución Recursos Comprometidos]]))</f>
        <v>_</v>
      </c>
      <c r="BC15" s="42" t="s">
        <v>49</v>
      </c>
      <c r="BD15" s="43" t="s">
        <v>50</v>
      </c>
      <c r="BE15" s="24"/>
    </row>
    <row r="16" spans="1:57" s="10" customFormat="1" ht="210">
      <c r="A16" s="83">
        <v>82</v>
      </c>
      <c r="B16" s="75" t="s">
        <v>40</v>
      </c>
      <c r="C16" s="75" t="s">
        <v>60</v>
      </c>
      <c r="D16" s="75" t="s">
        <v>61</v>
      </c>
      <c r="E16" s="75" t="s">
        <v>62</v>
      </c>
      <c r="F16" s="75" t="s">
        <v>63</v>
      </c>
      <c r="G16" s="84" t="s">
        <v>64</v>
      </c>
      <c r="H16" s="89">
        <v>2024680010035</v>
      </c>
      <c r="I16" s="76" t="s">
        <v>65</v>
      </c>
      <c r="J16" s="81">
        <v>3890738912</v>
      </c>
      <c r="K16" s="81">
        <v>2174000000</v>
      </c>
      <c r="L16" s="78" t="s">
        <v>47</v>
      </c>
      <c r="M16" s="78" t="s">
        <v>48</v>
      </c>
      <c r="N16" s="79">
        <v>619703</v>
      </c>
      <c r="O16" s="88" t="s">
        <v>208</v>
      </c>
      <c r="P16" s="113">
        <f>1374000000</f>
        <v>1374000000</v>
      </c>
      <c r="Q16" s="105"/>
      <c r="R16" s="105"/>
      <c r="S16" s="105"/>
      <c r="T16" s="105"/>
      <c r="U16" s="105"/>
      <c r="V16" s="105"/>
      <c r="W16" s="105"/>
      <c r="X16" s="105"/>
      <c r="Y16" s="105"/>
      <c r="Z16" s="105"/>
      <c r="AA16" s="105"/>
      <c r="AB16" s="105"/>
      <c r="AC16" s="105"/>
      <c r="AD16" s="105">
        <v>800000000</v>
      </c>
      <c r="AE16" s="116">
        <f>SUM(Tabla13[[#This Row],[Recursos propios 2025]:[Recursos del Balance]])</f>
        <v>2174000000</v>
      </c>
      <c r="AF16" s="104">
        <v>1184701878.46</v>
      </c>
      <c r="AG16" s="105"/>
      <c r="AH16" s="105"/>
      <c r="AI16" s="105"/>
      <c r="AJ16" s="105"/>
      <c r="AK16" s="105"/>
      <c r="AL16" s="105"/>
      <c r="AM16" s="105"/>
      <c r="AN16" s="105"/>
      <c r="AO16" s="105"/>
      <c r="AP16" s="105"/>
      <c r="AQ16" s="105"/>
      <c r="AR16" s="105"/>
      <c r="AS16" s="105"/>
      <c r="AT16" s="105">
        <v>777226299.66999996</v>
      </c>
      <c r="AU16" s="105">
        <f>SUM(Tabla13[[#This Row],[Recursos propios 20252]:[Recursos del Balance2]])</f>
        <v>1961928178.1300001</v>
      </c>
      <c r="AV16" s="105">
        <v>287195547.06</v>
      </c>
      <c r="AW16" s="117">
        <v>206101878</v>
      </c>
      <c r="AX16" s="20">
        <f>+Tabla13[[#This Row],[Total Recursos Comprometido 2025]]/Tabla13[[#This Row],[Total 2025]]</f>
        <v>0.90245086390524387</v>
      </c>
      <c r="AY16" s="33">
        <f>+Tabla13[[#This Row],[Total Recursos Obligados]]/Tabla13[[#This Row],[Total 2025]]</f>
        <v>0.13210466746090158</v>
      </c>
      <c r="AZ16" s="34">
        <f>+Tabla13[[#This Row],[Total Recursos Pagados]]/Tabla13[[#This Row],[Total 2025]]</f>
        <v>9.4803071757129709E-2</v>
      </c>
      <c r="BA16" s="65"/>
      <c r="BB16" s="97" t="str">
        <f>IF(Tabla13[[#This Row],[Total Recursos Gestionados2]]=0,"_",IF(Tabla13[[#This Row],[Ejecución Recursos Comprometidos]]=0,100%,Tabla13[[#This Row],[Total Recursos Gestionados2]]/Tabla13[[#This Row],[Ejecución Recursos Comprometidos]]))</f>
        <v>_</v>
      </c>
      <c r="BC16" s="42" t="s">
        <v>49</v>
      </c>
      <c r="BD16" s="43" t="s">
        <v>50</v>
      </c>
      <c r="BE16" s="24" t="s">
        <v>66</v>
      </c>
    </row>
    <row r="17" spans="1:57" s="10" customFormat="1" ht="180">
      <c r="A17" s="83">
        <v>83</v>
      </c>
      <c r="B17" s="75" t="s">
        <v>40</v>
      </c>
      <c r="C17" s="75" t="s">
        <v>60</v>
      </c>
      <c r="D17" s="75" t="s">
        <v>67</v>
      </c>
      <c r="E17" s="75" t="s">
        <v>68</v>
      </c>
      <c r="F17" s="75" t="s">
        <v>69</v>
      </c>
      <c r="G17" s="84" t="s">
        <v>70</v>
      </c>
      <c r="H17" s="87">
        <v>2024680010090</v>
      </c>
      <c r="I17" s="76" t="s">
        <v>71</v>
      </c>
      <c r="J17" s="77">
        <v>5121303746</v>
      </c>
      <c r="K17" s="77">
        <v>1049800000</v>
      </c>
      <c r="L17" s="78" t="s">
        <v>47</v>
      </c>
      <c r="M17" s="78" t="s">
        <v>48</v>
      </c>
      <c r="N17" s="79">
        <v>619703</v>
      </c>
      <c r="O17" s="88" t="s">
        <v>204</v>
      </c>
      <c r="P17" s="113">
        <v>835800000</v>
      </c>
      <c r="Q17" s="105"/>
      <c r="R17" s="105"/>
      <c r="S17" s="105"/>
      <c r="T17" s="105"/>
      <c r="U17" s="105"/>
      <c r="V17" s="105"/>
      <c r="W17" s="105"/>
      <c r="X17" s="105"/>
      <c r="Y17" s="105"/>
      <c r="Z17" s="105"/>
      <c r="AA17" s="105"/>
      <c r="AB17" s="105"/>
      <c r="AC17" s="105"/>
      <c r="AD17" s="105">
        <f>214000000+800000000</f>
        <v>1014000000</v>
      </c>
      <c r="AE17" s="116">
        <f>SUM(Tabla13[[#This Row],[Recursos propios 2025]:[Recursos del Balance]])</f>
        <v>1849800000</v>
      </c>
      <c r="AF17" s="104">
        <v>805181166.67999995</v>
      </c>
      <c r="AG17" s="105"/>
      <c r="AH17" s="105"/>
      <c r="AI17" s="105"/>
      <c r="AJ17" s="105"/>
      <c r="AK17" s="105"/>
      <c r="AL17" s="105"/>
      <c r="AM17" s="105"/>
      <c r="AN17" s="105"/>
      <c r="AO17" s="105"/>
      <c r="AP17" s="105"/>
      <c r="AQ17" s="105"/>
      <c r="AR17" s="105"/>
      <c r="AS17" s="105"/>
      <c r="AT17" s="105">
        <v>930545259.85000002</v>
      </c>
      <c r="AU17" s="105">
        <f>SUM(Tabla13[[#This Row],[Recursos propios 20252]:[Recursos del Balance2]])</f>
        <v>1735726426.53</v>
      </c>
      <c r="AV17" s="105">
        <v>761555108.35000002</v>
      </c>
      <c r="AW17" s="117">
        <v>755277775.00999999</v>
      </c>
      <c r="AX17" s="20">
        <f>+Tabla13[[#This Row],[Total Recursos Comprometido 2025]]/Tabla13[[#This Row],[Total 2025]]</f>
        <v>0.93833194211806681</v>
      </c>
      <c r="AY17" s="33">
        <f>+Tabla13[[#This Row],[Total Recursos Obligados]]/Tabla13[[#This Row],[Total 2025]]</f>
        <v>0.41169591758568497</v>
      </c>
      <c r="AZ17" s="34">
        <f>+Tabla13[[#This Row],[Total Recursos Pagados]]/Tabla13[[#This Row],[Total 2025]]</f>
        <v>0.40830239756189857</v>
      </c>
      <c r="BA17" s="65"/>
      <c r="BB17" s="97" t="str">
        <f>IF(Tabla13[[#This Row],[Total Recursos Gestionados2]]=0,"_",IF(Tabla13[[#This Row],[Ejecución Recursos Comprometidos]]=0,100%,Tabla13[[#This Row],[Total Recursos Gestionados2]]/Tabla13[[#This Row],[Ejecución Recursos Comprometidos]]))</f>
        <v>_</v>
      </c>
      <c r="BC17" s="42" t="s">
        <v>49</v>
      </c>
      <c r="BD17" s="43" t="s">
        <v>50</v>
      </c>
      <c r="BE17" s="24" t="s">
        <v>66</v>
      </c>
    </row>
    <row r="18" spans="1:57" s="10" customFormat="1" ht="180">
      <c r="A18" s="83">
        <v>84</v>
      </c>
      <c r="B18" s="75" t="s">
        <v>40</v>
      </c>
      <c r="C18" s="75" t="s">
        <v>60</v>
      </c>
      <c r="D18" s="75" t="s">
        <v>67</v>
      </c>
      <c r="E18" s="75" t="s">
        <v>68</v>
      </c>
      <c r="F18" s="75" t="s">
        <v>72</v>
      </c>
      <c r="G18" s="84" t="s">
        <v>73</v>
      </c>
      <c r="H18" s="87">
        <v>2024680010090</v>
      </c>
      <c r="I18" s="76" t="s">
        <v>71</v>
      </c>
      <c r="J18" s="77">
        <v>5121303746</v>
      </c>
      <c r="K18" s="77">
        <v>109200000</v>
      </c>
      <c r="L18" s="78" t="s">
        <v>47</v>
      </c>
      <c r="M18" s="78" t="s">
        <v>48</v>
      </c>
      <c r="N18" s="79">
        <v>619703</v>
      </c>
      <c r="O18" s="88" t="s">
        <v>205</v>
      </c>
      <c r="P18" s="113">
        <v>64200000</v>
      </c>
      <c r="Q18" s="105"/>
      <c r="R18" s="105"/>
      <c r="S18" s="105"/>
      <c r="T18" s="105"/>
      <c r="U18" s="105"/>
      <c r="V18" s="105"/>
      <c r="W18" s="105"/>
      <c r="X18" s="105"/>
      <c r="Y18" s="105"/>
      <c r="Z18" s="105"/>
      <c r="AA18" s="105"/>
      <c r="AB18" s="105"/>
      <c r="AC18" s="105"/>
      <c r="AD18" s="105">
        <v>45000000</v>
      </c>
      <c r="AE18" s="116">
        <f>SUM(Tabla13[[#This Row],[Recursos propios 2025]:[Recursos del Balance]])</f>
        <v>109200000</v>
      </c>
      <c r="AF18" s="104">
        <v>64200000</v>
      </c>
      <c r="AG18" s="105"/>
      <c r="AH18" s="105"/>
      <c r="AI18" s="105"/>
      <c r="AJ18" s="105"/>
      <c r="AK18" s="105"/>
      <c r="AL18" s="105"/>
      <c r="AM18" s="105"/>
      <c r="AN18" s="105"/>
      <c r="AO18" s="105"/>
      <c r="AP18" s="105"/>
      <c r="AQ18" s="105"/>
      <c r="AR18" s="105"/>
      <c r="AS18" s="105"/>
      <c r="AT18" s="105">
        <v>45000000</v>
      </c>
      <c r="AU18" s="105">
        <f>SUM(Tabla13[[#This Row],[Recursos propios 20252]:[Recursos del Balance2]])</f>
        <v>109200000</v>
      </c>
      <c r="AV18" s="105">
        <v>92400000</v>
      </c>
      <c r="AW18" s="117">
        <f>+Tabla13[[#This Row],[Total Recursos Obligados]]</f>
        <v>92400000</v>
      </c>
      <c r="AX18" s="20">
        <f>+Tabla13[[#This Row],[Total Recursos Comprometido 2025]]/Tabla13[[#This Row],[Total 2025]]</f>
        <v>1</v>
      </c>
      <c r="AY18" s="33">
        <f>+Tabla13[[#This Row],[Total Recursos Obligados]]/Tabla13[[#This Row],[Total 2025]]</f>
        <v>0.84615384615384615</v>
      </c>
      <c r="AZ18" s="34">
        <f>+Tabla13[[#This Row],[Total Recursos Pagados]]/Tabla13[[#This Row],[Total 2025]]</f>
        <v>0.84615384615384615</v>
      </c>
      <c r="BA18" s="65"/>
      <c r="BB18" s="97" t="str">
        <f>IF(Tabla13[[#This Row],[Total Recursos Gestionados2]]=0,"_",IF(Tabla13[[#This Row],[Ejecución Recursos Comprometidos]]=0,100%,Tabla13[[#This Row],[Total Recursos Gestionados2]]/Tabla13[[#This Row],[Ejecución Recursos Comprometidos]]))</f>
        <v>_</v>
      </c>
      <c r="BC18" s="42" t="s">
        <v>49</v>
      </c>
      <c r="BD18" s="43" t="s">
        <v>50</v>
      </c>
      <c r="BE18" s="24" t="s">
        <v>66</v>
      </c>
    </row>
    <row r="19" spans="1:57" s="10" customFormat="1" ht="409.5">
      <c r="A19" s="83">
        <v>85</v>
      </c>
      <c r="B19" s="75" t="s">
        <v>40</v>
      </c>
      <c r="C19" s="75" t="s">
        <v>60</v>
      </c>
      <c r="D19" s="75" t="s">
        <v>61</v>
      </c>
      <c r="E19" s="75" t="s">
        <v>62</v>
      </c>
      <c r="F19" s="75" t="s">
        <v>74</v>
      </c>
      <c r="G19" s="84" t="s">
        <v>75</v>
      </c>
      <c r="H19" s="87">
        <v>2024680010243</v>
      </c>
      <c r="I19" s="76" t="s">
        <v>76</v>
      </c>
      <c r="J19" s="80">
        <v>9770000000</v>
      </c>
      <c r="K19" s="80">
        <v>4470000000</v>
      </c>
      <c r="L19" s="78" t="s">
        <v>47</v>
      </c>
      <c r="M19" s="78" t="s">
        <v>48</v>
      </c>
      <c r="N19" s="79">
        <v>619703</v>
      </c>
      <c r="O19" s="101" t="s">
        <v>212</v>
      </c>
      <c r="P19" s="113">
        <v>60000000</v>
      </c>
      <c r="Q19" s="105"/>
      <c r="R19" s="105"/>
      <c r="S19" s="105"/>
      <c r="T19" s="105"/>
      <c r="U19" s="105"/>
      <c r="V19" s="105"/>
      <c r="W19" s="105"/>
      <c r="X19" s="105"/>
      <c r="Y19" s="105"/>
      <c r="Z19" s="105"/>
      <c r="AA19" s="105"/>
      <c r="AB19" s="105"/>
      <c r="AC19" s="105"/>
      <c r="AD19" s="105">
        <v>4410000000</v>
      </c>
      <c r="AE19" s="116">
        <f>SUM(Tabla13[[#This Row],[Recursos propios 2025]:[Recursos del Balance]])</f>
        <v>4470000000</v>
      </c>
      <c r="AF19" s="104">
        <v>55800000</v>
      </c>
      <c r="AG19" s="105"/>
      <c r="AH19" s="105"/>
      <c r="AI19" s="105"/>
      <c r="AJ19" s="105"/>
      <c r="AK19" s="105"/>
      <c r="AL19" s="105"/>
      <c r="AM19" s="105"/>
      <c r="AN19" s="105"/>
      <c r="AO19" s="105"/>
      <c r="AP19" s="105"/>
      <c r="AQ19" s="105"/>
      <c r="AR19" s="105"/>
      <c r="AS19" s="105"/>
      <c r="AT19" s="105">
        <v>4409747224</v>
      </c>
      <c r="AU19" s="105">
        <f>SUM(Tabla13[[#This Row],[Recursos propios 20252]:[Recursos del Balance2]])</f>
        <v>4465547224</v>
      </c>
      <c r="AV19" s="105">
        <v>2024057900</v>
      </c>
      <c r="AW19" s="117">
        <f>+Tabla13[[#This Row],[Total Recursos Obligados]]</f>
        <v>2024057900</v>
      </c>
      <c r="AX19" s="142">
        <f>+Tabla13[[#This Row],[Total Recursos Comprometido 2025]]/Tabla13[[#This Row],[Total 2025]]</f>
        <v>0.99900385324384788</v>
      </c>
      <c r="AY19" s="33">
        <f>+Tabla13[[#This Row],[Total Recursos Obligados]]/Tabla13[[#This Row],[Total 2025]]</f>
        <v>0.45280937360178969</v>
      </c>
      <c r="AZ19" s="34">
        <f>+Tabla13[[#This Row],[Total Recursos Pagados]]/Tabla13[[#This Row],[Total 2025]]</f>
        <v>0.45280937360178969</v>
      </c>
      <c r="BA19" s="65"/>
      <c r="BB19" s="97" t="str">
        <f>IF(Tabla13[[#This Row],[Total Recursos Gestionados2]]=0,"_",IF(Tabla13[[#This Row],[Ejecución Recursos Comprometidos]]=0,100%,Tabla13[[#This Row],[Total Recursos Gestionados2]]/Tabla13[[#This Row],[Ejecución Recursos Comprometidos]]))</f>
        <v>_</v>
      </c>
      <c r="BC19" s="42" t="s">
        <v>77</v>
      </c>
      <c r="BD19" s="43" t="s">
        <v>50</v>
      </c>
      <c r="BE19" s="24"/>
    </row>
    <row r="20" spans="1:57" s="10" customFormat="1" ht="409.5">
      <c r="A20" s="83">
        <v>86</v>
      </c>
      <c r="B20" s="75" t="s">
        <v>40</v>
      </c>
      <c r="C20" s="75" t="s">
        <v>60</v>
      </c>
      <c r="D20" s="75" t="s">
        <v>67</v>
      </c>
      <c r="E20" s="75" t="s">
        <v>68</v>
      </c>
      <c r="F20" s="75" t="s">
        <v>78</v>
      </c>
      <c r="G20" s="84" t="s">
        <v>79</v>
      </c>
      <c r="H20" s="89">
        <v>2024680010070</v>
      </c>
      <c r="I20" s="76" t="s">
        <v>80</v>
      </c>
      <c r="J20" s="81">
        <v>1869488600</v>
      </c>
      <c r="K20" s="81">
        <v>410000000</v>
      </c>
      <c r="L20" s="78" t="s">
        <v>47</v>
      </c>
      <c r="M20" s="78" t="s">
        <v>48</v>
      </c>
      <c r="N20" s="79">
        <v>619703</v>
      </c>
      <c r="O20" s="101" t="s">
        <v>213</v>
      </c>
      <c r="P20" s="113">
        <v>200000000</v>
      </c>
      <c r="Q20" s="105"/>
      <c r="R20" s="105"/>
      <c r="S20" s="105"/>
      <c r="T20" s="105"/>
      <c r="U20" s="105"/>
      <c r="V20" s="105"/>
      <c r="W20" s="105"/>
      <c r="X20" s="105"/>
      <c r="Y20" s="105"/>
      <c r="Z20" s="105"/>
      <c r="AA20" s="105"/>
      <c r="AB20" s="105"/>
      <c r="AC20" s="105"/>
      <c r="AD20" s="105">
        <v>210000000</v>
      </c>
      <c r="AE20" s="116">
        <f>SUM(Tabla13[[#This Row],[Recursos propios 2025]:[Recursos del Balance]])</f>
        <v>410000000</v>
      </c>
      <c r="AF20" s="104">
        <v>200000000</v>
      </c>
      <c r="AG20" s="105"/>
      <c r="AH20" s="105"/>
      <c r="AI20" s="105"/>
      <c r="AJ20" s="105"/>
      <c r="AK20" s="105"/>
      <c r="AL20" s="105"/>
      <c r="AM20" s="105"/>
      <c r="AN20" s="105"/>
      <c r="AO20" s="105"/>
      <c r="AP20" s="105"/>
      <c r="AQ20" s="105"/>
      <c r="AR20" s="105"/>
      <c r="AS20" s="105"/>
      <c r="AT20" s="105">
        <v>165907000</v>
      </c>
      <c r="AU20" s="105">
        <f>SUM(Tabla13[[#This Row],[Recursos propios 20252]:[Recursos del Balance2]])</f>
        <v>365907000</v>
      </c>
      <c r="AV20" s="105">
        <v>297403666.67000002</v>
      </c>
      <c r="AW20" s="117">
        <v>293137000</v>
      </c>
      <c r="AX20" s="20">
        <f>+Tabla13[[#This Row],[Total Recursos Comprometido 2025]]/Tabla13[[#This Row],[Total 2025]]</f>
        <v>0.89245609756097566</v>
      </c>
      <c r="AY20" s="33">
        <f>+Tabla13[[#This Row],[Total Recursos Obligados]]/Tabla13[[#This Row],[Total 2025]]</f>
        <v>0.72537479675609762</v>
      </c>
      <c r="AZ20" s="34">
        <f>+Tabla13[[#This Row],[Total Recursos Pagados]]/Tabla13[[#This Row],[Total 2025]]</f>
        <v>0.71496829268292683</v>
      </c>
      <c r="BA20" s="65"/>
      <c r="BB20" s="97" t="str">
        <f>IF(Tabla13[[#This Row],[Total Recursos Gestionados2]]=0,"_",IF(Tabla13[[#This Row],[Ejecución Recursos Comprometidos]]=0,100%,Tabla13[[#This Row],[Total Recursos Gestionados2]]/Tabla13[[#This Row],[Ejecución Recursos Comprometidos]]))</f>
        <v>_</v>
      </c>
      <c r="BC20" s="42" t="s">
        <v>77</v>
      </c>
      <c r="BD20" s="43" t="s">
        <v>50</v>
      </c>
      <c r="BE20" s="24"/>
    </row>
    <row r="21" spans="1:57" s="16" customFormat="1" ht="409.5">
      <c r="A21" s="83">
        <v>87</v>
      </c>
      <c r="B21" s="75" t="s">
        <v>40</v>
      </c>
      <c r="C21" s="75" t="s">
        <v>60</v>
      </c>
      <c r="D21" s="75" t="s">
        <v>67</v>
      </c>
      <c r="E21" s="75" t="s">
        <v>68</v>
      </c>
      <c r="F21" s="75" t="s">
        <v>81</v>
      </c>
      <c r="G21" s="84" t="s">
        <v>82</v>
      </c>
      <c r="H21" s="89">
        <v>2024680010070</v>
      </c>
      <c r="I21" s="76" t="s">
        <v>80</v>
      </c>
      <c r="J21" s="81">
        <v>1869488600</v>
      </c>
      <c r="K21" s="81">
        <v>410000000</v>
      </c>
      <c r="L21" s="78" t="s">
        <v>47</v>
      </c>
      <c r="M21" s="78" t="s">
        <v>48</v>
      </c>
      <c r="N21" s="79">
        <v>619703</v>
      </c>
      <c r="O21" s="101" t="s">
        <v>214</v>
      </c>
      <c r="P21" s="113">
        <v>200000000</v>
      </c>
      <c r="Q21" s="105"/>
      <c r="R21" s="105"/>
      <c r="S21" s="105"/>
      <c r="T21" s="105"/>
      <c r="U21" s="105"/>
      <c r="V21" s="105"/>
      <c r="W21" s="105"/>
      <c r="X21" s="105"/>
      <c r="Y21" s="105"/>
      <c r="Z21" s="105"/>
      <c r="AA21" s="105"/>
      <c r="AB21" s="105"/>
      <c r="AC21" s="105"/>
      <c r="AD21" s="105">
        <v>210000000</v>
      </c>
      <c r="AE21" s="116">
        <f>SUM(Tabla13[[#This Row],[Recursos propios 2025]:[Recursos del Balance]])</f>
        <v>410000000</v>
      </c>
      <c r="AF21" s="104">
        <v>170152000</v>
      </c>
      <c r="AG21" s="105"/>
      <c r="AH21" s="105"/>
      <c r="AI21" s="105"/>
      <c r="AJ21" s="105"/>
      <c r="AK21" s="105"/>
      <c r="AL21" s="105"/>
      <c r="AM21" s="105"/>
      <c r="AN21" s="105"/>
      <c r="AO21" s="105"/>
      <c r="AP21" s="105"/>
      <c r="AQ21" s="105"/>
      <c r="AR21" s="105"/>
      <c r="AS21" s="105"/>
      <c r="AT21" s="105">
        <v>171520000</v>
      </c>
      <c r="AU21" s="105">
        <f>SUM(Tabla13[[#This Row],[Recursos propios 20252]:[Recursos del Balance2]])</f>
        <v>341672000</v>
      </c>
      <c r="AV21" s="105">
        <v>265728666.66999999</v>
      </c>
      <c r="AW21" s="117">
        <v>262145333.34</v>
      </c>
      <c r="AX21" s="20">
        <f>+Tabla13[[#This Row],[Total Recursos Comprometido 2025]]/Tabla13[[#This Row],[Total 2025]]</f>
        <v>0.83334634146341469</v>
      </c>
      <c r="AY21" s="33">
        <f>+Tabla13[[#This Row],[Total Recursos Obligados]]/Tabla13[[#This Row],[Total 2025]]</f>
        <v>0.64811869919512188</v>
      </c>
      <c r="AZ21" s="34">
        <f>+Tabla13[[#This Row],[Total Recursos Pagados]]/Tabla13[[#This Row],[Total 2025]]</f>
        <v>0.63937886180487802</v>
      </c>
      <c r="BA21" s="65"/>
      <c r="BB21" s="97" t="str">
        <f>IF(Tabla13[[#This Row],[Total Recursos Gestionados2]]=0,"_",IF(Tabla13[[#This Row],[Ejecución Recursos Comprometidos]]=0,100%,Tabla13[[#This Row],[Total Recursos Gestionados2]]/Tabla13[[#This Row],[Ejecución Recursos Comprometidos]]))</f>
        <v>_</v>
      </c>
      <c r="BC21" s="42" t="s">
        <v>77</v>
      </c>
      <c r="BD21" s="43" t="s">
        <v>50</v>
      </c>
      <c r="BE21" s="24"/>
    </row>
    <row r="22" spans="1:57" s="10" customFormat="1" ht="409.5">
      <c r="A22" s="83">
        <v>237</v>
      </c>
      <c r="B22" s="75" t="s">
        <v>83</v>
      </c>
      <c r="C22" s="75" t="s">
        <v>84</v>
      </c>
      <c r="D22" s="75" t="s">
        <v>85</v>
      </c>
      <c r="E22" s="75" t="s">
        <v>86</v>
      </c>
      <c r="F22" s="75" t="s">
        <v>87</v>
      </c>
      <c r="G22" s="84" t="s">
        <v>88</v>
      </c>
      <c r="H22" s="89">
        <v>2024680010061</v>
      </c>
      <c r="I22" s="76" t="s">
        <v>89</v>
      </c>
      <c r="J22" s="81">
        <v>800000000</v>
      </c>
      <c r="K22" s="81">
        <v>268240000</v>
      </c>
      <c r="L22" s="78" t="s">
        <v>47</v>
      </c>
      <c r="M22" s="78" t="s">
        <v>48</v>
      </c>
      <c r="N22" s="79">
        <v>619703</v>
      </c>
      <c r="O22" s="101" t="s">
        <v>215</v>
      </c>
      <c r="P22" s="113">
        <v>100000000</v>
      </c>
      <c r="Q22" s="103"/>
      <c r="R22" s="103"/>
      <c r="S22" s="103"/>
      <c r="T22" s="103"/>
      <c r="U22" s="103"/>
      <c r="V22" s="103"/>
      <c r="W22" s="103"/>
      <c r="X22" s="103"/>
      <c r="Y22" s="103"/>
      <c r="Z22" s="103"/>
      <c r="AA22" s="103"/>
      <c r="AB22" s="103"/>
      <c r="AC22" s="103"/>
      <c r="AD22" s="103">
        <v>168240000</v>
      </c>
      <c r="AE22" s="116">
        <f>SUM(Tabla13[[#This Row],[Recursos propios 2025]:[Recursos del Balance]])</f>
        <v>268240000</v>
      </c>
      <c r="AF22" s="102">
        <v>100000000</v>
      </c>
      <c r="AG22" s="103"/>
      <c r="AH22" s="103"/>
      <c r="AI22" s="103"/>
      <c r="AJ22" s="103"/>
      <c r="AK22" s="103"/>
      <c r="AL22" s="103"/>
      <c r="AM22" s="103"/>
      <c r="AN22" s="103"/>
      <c r="AO22" s="103"/>
      <c r="AP22" s="103"/>
      <c r="AQ22" s="103"/>
      <c r="AR22" s="103"/>
      <c r="AS22" s="103"/>
      <c r="AT22" s="103">
        <v>163232000</v>
      </c>
      <c r="AU22" s="105">
        <f>SUM(Tabla13[[#This Row],[Recursos propios 20252]:[Recursos del Balance2]])</f>
        <v>263232000</v>
      </c>
      <c r="AV22" s="103">
        <v>222933333.33000001</v>
      </c>
      <c r="AW22" s="115">
        <v>212733333.33000001</v>
      </c>
      <c r="AX22" s="118">
        <f>+Tabla13[[#This Row],[Total Recursos Comprometido 2025]]/Tabla13[[#This Row],[Total 2025]]</f>
        <v>0.98133015210259467</v>
      </c>
      <c r="AY22" s="119">
        <f>+Tabla13[[#This Row],[Total Recursos Obligados]]/Tabla13[[#This Row],[Total 2025]]</f>
        <v>0.83109653045779908</v>
      </c>
      <c r="AZ22" s="120">
        <f>+Tabla13[[#This Row],[Total Recursos Pagados]]/Tabla13[[#This Row],[Total 2025]]</f>
        <v>0.79307088178496876</v>
      </c>
      <c r="BA22" s="121"/>
      <c r="BB22" s="96" t="str">
        <f>IF(Tabla13[[#This Row],[Total Recursos Gestionados2]]=0,"_",IF(Tabla13[[#This Row],[Ejecución Recursos Comprometidos]]=0,100%,Tabla13[[#This Row],[Total Recursos Gestionados2]]/Tabla13[[#This Row],[Ejecución Recursos Comprometidos]]))</f>
        <v>_</v>
      </c>
      <c r="BC22" s="42" t="s">
        <v>90</v>
      </c>
      <c r="BD22" s="43" t="s">
        <v>50</v>
      </c>
      <c r="BE22" s="24">
        <v>10.11</v>
      </c>
    </row>
    <row r="23" spans="1:57" s="16" customFormat="1" ht="409.5">
      <c r="A23" s="83">
        <v>238</v>
      </c>
      <c r="B23" s="75" t="s">
        <v>83</v>
      </c>
      <c r="C23" s="75" t="s">
        <v>84</v>
      </c>
      <c r="D23" s="75" t="s">
        <v>85</v>
      </c>
      <c r="E23" s="75" t="s">
        <v>86</v>
      </c>
      <c r="F23" s="75" t="s">
        <v>91</v>
      </c>
      <c r="G23" s="84" t="s">
        <v>92</v>
      </c>
      <c r="H23" s="89">
        <v>2024680010095</v>
      </c>
      <c r="I23" s="76" t="s">
        <v>93</v>
      </c>
      <c r="J23" s="82">
        <v>4661925900</v>
      </c>
      <c r="K23" s="82">
        <v>2500000000</v>
      </c>
      <c r="L23" s="78" t="s">
        <v>47</v>
      </c>
      <c r="M23" s="78" t="s">
        <v>48</v>
      </c>
      <c r="N23" s="79">
        <v>658</v>
      </c>
      <c r="O23" s="88" t="s">
        <v>216</v>
      </c>
      <c r="P23" s="113">
        <v>2520000000</v>
      </c>
      <c r="Q23" s="105"/>
      <c r="R23" s="105"/>
      <c r="S23" s="105"/>
      <c r="T23" s="105"/>
      <c r="U23" s="105"/>
      <c r="V23" s="105"/>
      <c r="W23" s="105"/>
      <c r="X23" s="105"/>
      <c r="Y23" s="105"/>
      <c r="Z23" s="105"/>
      <c r="AA23" s="105"/>
      <c r="AB23" s="105"/>
      <c r="AC23" s="105"/>
      <c r="AD23" s="105"/>
      <c r="AE23" s="116">
        <f>SUM(Tabla13[[#This Row],[Recursos propios 2025]:[Recursos del Balance]])</f>
        <v>2520000000</v>
      </c>
      <c r="AF23" s="104">
        <v>2197744216</v>
      </c>
      <c r="AG23" s="105"/>
      <c r="AH23" s="105"/>
      <c r="AI23" s="105"/>
      <c r="AJ23" s="105"/>
      <c r="AK23" s="105"/>
      <c r="AL23" s="105"/>
      <c r="AM23" s="105"/>
      <c r="AN23" s="105"/>
      <c r="AO23" s="105"/>
      <c r="AP23" s="105"/>
      <c r="AQ23" s="105"/>
      <c r="AR23" s="105"/>
      <c r="AS23" s="105"/>
      <c r="AT23" s="105"/>
      <c r="AU23" s="105">
        <f>SUM(Tabla13[[#This Row],[Recursos propios 20252]:[Recursos del Balance2]])</f>
        <v>2197744216</v>
      </c>
      <c r="AV23" s="105">
        <v>1472363642</v>
      </c>
      <c r="AW23" s="117">
        <f>+Tabla13[[#This Row],[Total Recursos Obligados]]</f>
        <v>1472363642</v>
      </c>
      <c r="AX23" s="20">
        <f>+Tabla13[[#This Row],[Total Recursos Comprometido 2025]]/Tabla13[[#This Row],[Total 2025]]</f>
        <v>0.87212072063492063</v>
      </c>
      <c r="AY23" s="33">
        <f>+Tabla13[[#This Row],[Total Recursos Obligados]]/Tabla13[[#This Row],[Total 2025]]</f>
        <v>0.58427128650793647</v>
      </c>
      <c r="AZ23" s="34">
        <f>+Tabla13[[#This Row],[Total Recursos Pagados]]/Tabla13[[#This Row],[Total 2025]]</f>
        <v>0.58427128650793647</v>
      </c>
      <c r="BA23" s="65"/>
      <c r="BB23" s="97" t="str">
        <f>IF(Tabla13[[#This Row],[Total Recursos Gestionados2]]=0,"_",IF(Tabla13[[#This Row],[Ejecución Recursos Comprometidos]]=0,100%,Tabla13[[#This Row],[Total Recursos Gestionados2]]/Tabla13[[#This Row],[Ejecución Recursos Comprometidos]]))</f>
        <v>_</v>
      </c>
      <c r="BC23" s="38" t="s">
        <v>90</v>
      </c>
      <c r="BD23" s="43" t="s">
        <v>50</v>
      </c>
      <c r="BE23" s="24">
        <v>10.11</v>
      </c>
    </row>
    <row r="24" spans="1:57" s="10" customFormat="1" ht="315">
      <c r="A24" s="83">
        <v>239</v>
      </c>
      <c r="B24" s="75" t="s">
        <v>83</v>
      </c>
      <c r="C24" s="75" t="s">
        <v>84</v>
      </c>
      <c r="D24" s="75" t="s">
        <v>85</v>
      </c>
      <c r="E24" s="75" t="s">
        <v>86</v>
      </c>
      <c r="F24" s="75" t="s">
        <v>87</v>
      </c>
      <c r="G24" s="84" t="s">
        <v>94</v>
      </c>
      <c r="H24" s="89">
        <v>2024680010069</v>
      </c>
      <c r="I24" s="76" t="s">
        <v>95</v>
      </c>
      <c r="J24" s="82">
        <v>3488971072.9400001</v>
      </c>
      <c r="K24" s="82">
        <v>615700000</v>
      </c>
      <c r="L24" s="78" t="s">
        <v>47</v>
      </c>
      <c r="M24" s="78" t="s">
        <v>48</v>
      </c>
      <c r="N24" s="79">
        <v>619703</v>
      </c>
      <c r="O24" s="88" t="s">
        <v>217</v>
      </c>
      <c r="P24" s="113">
        <v>300000000</v>
      </c>
      <c r="Q24" s="105"/>
      <c r="R24" s="105"/>
      <c r="S24" s="105"/>
      <c r="T24" s="105"/>
      <c r="U24" s="105"/>
      <c r="V24" s="105"/>
      <c r="W24" s="105"/>
      <c r="X24" s="105"/>
      <c r="Y24" s="105"/>
      <c r="Z24" s="105"/>
      <c r="AA24" s="105"/>
      <c r="AB24" s="105"/>
      <c r="AC24" s="105">
        <v>50000000</v>
      </c>
      <c r="AD24" s="105">
        <v>263660000</v>
      </c>
      <c r="AE24" s="116">
        <f>SUM(Tabla13[[#This Row],[Recursos propios 2025]:[Recursos del Balance]])</f>
        <v>613660000</v>
      </c>
      <c r="AF24" s="104">
        <v>220000000</v>
      </c>
      <c r="AG24" s="105"/>
      <c r="AH24" s="105"/>
      <c r="AI24" s="105"/>
      <c r="AJ24" s="105"/>
      <c r="AK24" s="105"/>
      <c r="AL24" s="105"/>
      <c r="AM24" s="105"/>
      <c r="AN24" s="105"/>
      <c r="AO24" s="105"/>
      <c r="AP24" s="105"/>
      <c r="AQ24" s="105"/>
      <c r="AR24" s="105"/>
      <c r="AS24" s="105"/>
      <c r="AT24" s="105">
        <v>185066666.69999999</v>
      </c>
      <c r="AU24" s="105">
        <f>SUM(Tabla13[[#This Row],[Recursos propios 20252]:[Recursos del Balance2]])</f>
        <v>405066666.69999999</v>
      </c>
      <c r="AV24" s="105">
        <v>337533333.37</v>
      </c>
      <c r="AW24" s="105">
        <f>+Tabla13[[#This Row],[Total Recursos Obligados]]-5000000</f>
        <v>332533333.37</v>
      </c>
      <c r="AX24" s="20">
        <f>+Tabla13[[#This Row],[Total Recursos Comprometido 2025]]/Tabla13[[#This Row],[Total 2025]]</f>
        <v>0.66008321660202718</v>
      </c>
      <c r="AY24" s="33">
        <f>+Tabla13[[#This Row],[Total Recursos Obligados]]/Tabla13[[#This Row],[Total 2025]]</f>
        <v>0.55003313458592706</v>
      </c>
      <c r="AZ24" s="34">
        <f>+Tabla13[[#This Row],[Total Recursos Pagados]]/Tabla13[[#This Row],[Total 2025]]</f>
        <v>0.54188530028028548</v>
      </c>
      <c r="BA24" s="65"/>
      <c r="BB24" s="97" t="str">
        <f>IF(Tabla13[[#This Row],[Total Recursos Gestionados2]]=0,"_",IF(Tabla13[[#This Row],[Ejecución Recursos Comprometidos]]=0,100%,Tabla13[[#This Row],[Total Recursos Gestionados2]]/Tabla13[[#This Row],[Ejecución Recursos Comprometidos]]))</f>
        <v>_</v>
      </c>
      <c r="BC24" s="38" t="s">
        <v>90</v>
      </c>
      <c r="BD24" s="43" t="s">
        <v>50</v>
      </c>
      <c r="BE24" s="24">
        <v>10.11</v>
      </c>
    </row>
    <row r="25" spans="1:57" s="10" customFormat="1" ht="300">
      <c r="A25" s="83">
        <v>240</v>
      </c>
      <c r="B25" s="75" t="s">
        <v>83</v>
      </c>
      <c r="C25" s="75" t="s">
        <v>84</v>
      </c>
      <c r="D25" s="75" t="s">
        <v>85</v>
      </c>
      <c r="E25" s="75" t="s">
        <v>86</v>
      </c>
      <c r="F25" s="75" t="s">
        <v>96</v>
      </c>
      <c r="G25" s="84" t="s">
        <v>97</v>
      </c>
      <c r="H25" s="87">
        <v>2024680010042</v>
      </c>
      <c r="I25" s="76" t="s">
        <v>98</v>
      </c>
      <c r="J25" s="77">
        <v>2855999999.5599999</v>
      </c>
      <c r="K25" s="77">
        <v>700000000</v>
      </c>
      <c r="L25" s="78" t="s">
        <v>47</v>
      </c>
      <c r="M25" s="78" t="s">
        <v>48</v>
      </c>
      <c r="N25" s="79">
        <v>619703</v>
      </c>
      <c r="O25" s="88" t="s">
        <v>218</v>
      </c>
      <c r="P25" s="113">
        <v>700000000</v>
      </c>
      <c r="Q25" s="105"/>
      <c r="R25" s="105"/>
      <c r="S25" s="105"/>
      <c r="T25" s="105"/>
      <c r="U25" s="105"/>
      <c r="V25" s="105"/>
      <c r="W25" s="105"/>
      <c r="X25" s="105"/>
      <c r="Y25" s="105"/>
      <c r="Z25" s="105"/>
      <c r="AA25" s="105"/>
      <c r="AB25" s="105"/>
      <c r="AC25" s="105"/>
      <c r="AD25" s="105"/>
      <c r="AE25" s="116">
        <f>SUM(Tabla13[[#This Row],[Recursos propios 2025]:[Recursos del Balance]])</f>
        <v>700000000</v>
      </c>
      <c r="AF25" s="104">
        <v>545590000</v>
      </c>
      <c r="AG25" s="105"/>
      <c r="AH25" s="105"/>
      <c r="AI25" s="105"/>
      <c r="AJ25" s="105"/>
      <c r="AK25" s="105"/>
      <c r="AL25" s="105"/>
      <c r="AM25" s="105"/>
      <c r="AN25" s="105"/>
      <c r="AO25" s="105"/>
      <c r="AP25" s="105"/>
      <c r="AQ25" s="105"/>
      <c r="AR25" s="105"/>
      <c r="AS25" s="105"/>
      <c r="AT25" s="105"/>
      <c r="AU25" s="105">
        <f>SUM(Tabla13[[#This Row],[Recursos propios 20252]:[Recursos del Balance2]])</f>
        <v>545590000</v>
      </c>
      <c r="AV25" s="105"/>
      <c r="AW25" s="117"/>
      <c r="AX25" s="20">
        <f>+Tabla13[[#This Row],[Total Recursos Comprometido 2025]]/Tabla13[[#This Row],[Total 2025]]</f>
        <v>0.77941428571428573</v>
      </c>
      <c r="AY25" s="33">
        <f>+Tabla13[[#This Row],[Total Recursos Obligados]]/Tabla13[[#This Row],[Total 2025]]</f>
        <v>0</v>
      </c>
      <c r="AZ25" s="34">
        <f>+Tabla13[[#This Row],[Total Recursos Pagados]]/Tabla13[[#This Row],[Total 2025]]</f>
        <v>0</v>
      </c>
      <c r="BA25" s="65"/>
      <c r="BB25" s="97" t="str">
        <f>IF(Tabla13[[#This Row],[Total Recursos Gestionados2]]=0,"_",IF(Tabla13[[#This Row],[Ejecución Recursos Comprometidos]]=0,100%,Tabla13[[#This Row],[Total Recursos Gestionados2]]/Tabla13[[#This Row],[Ejecución Recursos Comprometidos]]))</f>
        <v>_</v>
      </c>
      <c r="BC25" s="42" t="s">
        <v>90</v>
      </c>
      <c r="BD25" s="43" t="s">
        <v>50</v>
      </c>
      <c r="BE25" s="24">
        <v>10.11</v>
      </c>
    </row>
    <row r="26" spans="1:57" s="10" customFormat="1" ht="409.5">
      <c r="A26" s="83">
        <v>241</v>
      </c>
      <c r="B26" s="75" t="s">
        <v>83</v>
      </c>
      <c r="C26" s="75" t="s">
        <v>84</v>
      </c>
      <c r="D26" s="75" t="s">
        <v>85</v>
      </c>
      <c r="E26" s="75" t="s">
        <v>86</v>
      </c>
      <c r="F26" s="75" t="s">
        <v>99</v>
      </c>
      <c r="G26" s="84" t="s">
        <v>100</v>
      </c>
      <c r="H26" s="87">
        <v>2024680010089</v>
      </c>
      <c r="I26" s="76" t="s">
        <v>101</v>
      </c>
      <c r="J26" s="77">
        <v>1547420000</v>
      </c>
      <c r="K26" s="77">
        <v>405420000</v>
      </c>
      <c r="L26" s="78" t="s">
        <v>47</v>
      </c>
      <c r="M26" s="78" t="s">
        <v>48</v>
      </c>
      <c r="N26" s="79">
        <v>619703</v>
      </c>
      <c r="O26" s="88" t="s">
        <v>219</v>
      </c>
      <c r="P26" s="113">
        <v>300000000</v>
      </c>
      <c r="Q26" s="103"/>
      <c r="R26" s="103"/>
      <c r="S26" s="103"/>
      <c r="T26" s="103"/>
      <c r="U26" s="103"/>
      <c r="V26" s="103"/>
      <c r="W26" s="103"/>
      <c r="X26" s="103"/>
      <c r="Y26" s="103"/>
      <c r="Z26" s="103"/>
      <c r="AA26" s="103"/>
      <c r="AB26" s="103"/>
      <c r="AC26" s="103"/>
      <c r="AD26" s="103">
        <v>105420000</v>
      </c>
      <c r="AE26" s="116">
        <f>SUM(Tabla13[[#This Row],[Recursos propios 2025]:[Recursos del Balance]])</f>
        <v>405420000</v>
      </c>
      <c r="AF26" s="102">
        <v>297297939.44</v>
      </c>
      <c r="AG26" s="103"/>
      <c r="AH26" s="103"/>
      <c r="AI26" s="103"/>
      <c r="AJ26" s="103"/>
      <c r="AK26" s="103"/>
      <c r="AL26" s="103"/>
      <c r="AM26" s="103"/>
      <c r="AN26" s="103"/>
      <c r="AO26" s="103"/>
      <c r="AP26" s="103"/>
      <c r="AQ26" s="103"/>
      <c r="AR26" s="103"/>
      <c r="AS26" s="103"/>
      <c r="AT26" s="103">
        <v>105420000</v>
      </c>
      <c r="AU26" s="105">
        <f>SUM(Tabla13[[#This Row],[Recursos propios 20252]:[Recursos del Balance2]])</f>
        <v>402717939.44</v>
      </c>
      <c r="AV26" s="103">
        <v>286741666.67000002</v>
      </c>
      <c r="AW26" s="115">
        <v>282141666.67000002</v>
      </c>
      <c r="AX26" s="118">
        <f>+Tabla13[[#This Row],[Total Recursos Comprometido 2025]]/Tabla13[[#This Row],[Total 2025]]</f>
        <v>0.99333515721967347</v>
      </c>
      <c r="AY26" s="119">
        <f>+Tabla13[[#This Row],[Total Recursos Obligados]]/Tabla13[[#This Row],[Total 2025]]</f>
        <v>0.70727064937595585</v>
      </c>
      <c r="AZ26" s="120">
        <f>+Tabla13[[#This Row],[Total Recursos Pagados]]/Tabla13[[#This Row],[Total 2025]]</f>
        <v>0.69592439117458438</v>
      </c>
      <c r="BA26" s="121"/>
      <c r="BB26" s="96" t="str">
        <f>IF(Tabla13[[#This Row],[Total Recursos Gestionados2]]=0,"_",IF(Tabla13[[#This Row],[Ejecución Recursos Comprometidos]]=0,100%,Tabla13[[#This Row],[Total Recursos Gestionados2]]/Tabla13[[#This Row],[Ejecución Recursos Comprometidos]]))</f>
        <v>_</v>
      </c>
      <c r="BC26" s="42" t="s">
        <v>90</v>
      </c>
      <c r="BD26" s="43" t="s">
        <v>50</v>
      </c>
      <c r="BE26" s="24">
        <v>10.11</v>
      </c>
    </row>
    <row r="27" spans="1:57" s="10" customFormat="1" ht="152.44999999999999" customHeight="1">
      <c r="A27" s="83">
        <v>243</v>
      </c>
      <c r="B27" s="75" t="s">
        <v>83</v>
      </c>
      <c r="C27" s="75" t="s">
        <v>84</v>
      </c>
      <c r="D27" s="75" t="s">
        <v>85</v>
      </c>
      <c r="E27" s="75" t="s">
        <v>86</v>
      </c>
      <c r="F27" s="75" t="s">
        <v>102</v>
      </c>
      <c r="G27" s="84" t="s">
        <v>103</v>
      </c>
      <c r="H27" s="87">
        <v>2024680010063</v>
      </c>
      <c r="I27" s="76" t="s">
        <v>104</v>
      </c>
      <c r="J27" s="77">
        <v>2039779693</v>
      </c>
      <c r="K27" s="77">
        <v>743100000</v>
      </c>
      <c r="L27" s="78" t="s">
        <v>47</v>
      </c>
      <c r="M27" s="78" t="s">
        <v>48</v>
      </c>
      <c r="N27" s="79">
        <v>619703</v>
      </c>
      <c r="O27" s="88" t="s">
        <v>220</v>
      </c>
      <c r="P27" s="122">
        <v>300000000</v>
      </c>
      <c r="Q27" s="105"/>
      <c r="R27" s="105"/>
      <c r="S27" s="105"/>
      <c r="T27" s="105"/>
      <c r="U27" s="105"/>
      <c r="V27" s="105"/>
      <c r="W27" s="105"/>
      <c r="X27" s="105"/>
      <c r="Y27" s="105"/>
      <c r="Z27" s="105"/>
      <c r="AA27" s="105"/>
      <c r="AB27" s="105"/>
      <c r="AC27" s="105"/>
      <c r="AD27" s="105">
        <v>443100000</v>
      </c>
      <c r="AE27" s="116">
        <f>SUM(Tabla13[[#This Row],[Recursos propios 2025]:[Recursos del Balance]])</f>
        <v>743100000</v>
      </c>
      <c r="AF27" s="123">
        <v>261480000</v>
      </c>
      <c r="AG27" s="124"/>
      <c r="AH27" s="105"/>
      <c r="AI27" s="105"/>
      <c r="AJ27" s="105"/>
      <c r="AK27" s="105"/>
      <c r="AL27" s="105"/>
      <c r="AM27" s="105"/>
      <c r="AN27" s="105"/>
      <c r="AO27" s="105"/>
      <c r="AP27" s="105"/>
      <c r="AQ27" s="105"/>
      <c r="AR27" s="105"/>
      <c r="AS27" s="105"/>
      <c r="AT27" s="105">
        <v>302260000</v>
      </c>
      <c r="AU27" s="105">
        <f>SUM(Tabla13[[#This Row],[Recursos propios 20252]:[Recursos del Balance2]])</f>
        <v>563740000</v>
      </c>
      <c r="AV27" s="105">
        <v>380040000</v>
      </c>
      <c r="AW27" s="117">
        <v>375900000</v>
      </c>
      <c r="AX27" s="20">
        <f>+Tabla13[[#This Row],[Total Recursos Comprometido 2025]]/Tabla13[[#This Row],[Total 2025]]</f>
        <v>0.75863275467635582</v>
      </c>
      <c r="AY27" s="33">
        <f>+Tabla13[[#This Row],[Total Recursos Obligados]]/Tabla13[[#This Row],[Total 2025]]</f>
        <v>0.51142511102139687</v>
      </c>
      <c r="AZ27" s="34">
        <f>+Tabla13[[#This Row],[Total Recursos Pagados]]/Tabla13[[#This Row],[Total 2025]]</f>
        <v>0.50585385547032702</v>
      </c>
      <c r="BA27" s="65"/>
      <c r="BB27" s="97" t="str">
        <f>IF(Tabla13[[#This Row],[Total Recursos Gestionados2]]=0,"_",IF(Tabla13[[#This Row],[Ejecución Recursos Comprometidos]]=0,100%,Tabla13[[#This Row],[Total Recursos Gestionados2]]/Tabla13[[#This Row],[Ejecución Recursos Comprometidos]]))</f>
        <v>_</v>
      </c>
      <c r="BC27" s="42" t="s">
        <v>90</v>
      </c>
      <c r="BD27" s="43" t="s">
        <v>50</v>
      </c>
      <c r="BE27" s="24">
        <v>10.11</v>
      </c>
    </row>
    <row r="28" spans="1:57" s="10" customFormat="1" ht="152.44999999999999" customHeight="1">
      <c r="A28" s="83">
        <v>243</v>
      </c>
      <c r="B28" s="75" t="s">
        <v>83</v>
      </c>
      <c r="C28" s="75" t="s">
        <v>84</v>
      </c>
      <c r="D28" s="75" t="s">
        <v>85</v>
      </c>
      <c r="E28" s="75" t="s">
        <v>86</v>
      </c>
      <c r="F28" s="75" t="s">
        <v>102</v>
      </c>
      <c r="G28" s="84" t="s">
        <v>103</v>
      </c>
      <c r="H28" s="87">
        <v>202500000031618</v>
      </c>
      <c r="I28" s="76" t="s">
        <v>104</v>
      </c>
      <c r="J28" s="77">
        <v>4728750000</v>
      </c>
      <c r="K28" s="77">
        <v>1500000000</v>
      </c>
      <c r="L28" s="78" t="s">
        <v>47</v>
      </c>
      <c r="M28" s="78" t="s">
        <v>48</v>
      </c>
      <c r="N28" s="79">
        <v>619703</v>
      </c>
      <c r="O28" s="88" t="s">
        <v>209</v>
      </c>
      <c r="P28" s="135"/>
      <c r="Q28" s="135"/>
      <c r="R28" s="135"/>
      <c r="S28" s="135"/>
      <c r="T28" s="135"/>
      <c r="U28" s="135"/>
      <c r="V28" s="135"/>
      <c r="W28" s="135"/>
      <c r="X28" s="135"/>
      <c r="Y28" s="135"/>
      <c r="Z28" s="135"/>
      <c r="AA28" s="135"/>
      <c r="AB28" s="135"/>
      <c r="AC28" s="135"/>
      <c r="AD28" s="135">
        <v>1500000000</v>
      </c>
      <c r="AE28" s="135">
        <f>SUM(Tabla13[[#This Row],[Recursos propios 2025]:[Recursos del Balance]])</f>
        <v>1500000000</v>
      </c>
      <c r="AF28" s="104"/>
      <c r="AG28" s="135"/>
      <c r="AH28" s="135"/>
      <c r="AI28" s="135"/>
      <c r="AJ28" s="135"/>
      <c r="AK28" s="135"/>
      <c r="AL28" s="135"/>
      <c r="AM28" s="135"/>
      <c r="AN28" s="135"/>
      <c r="AO28" s="135"/>
      <c r="AP28" s="135"/>
      <c r="AQ28" s="135"/>
      <c r="AR28" s="135"/>
      <c r="AS28" s="135"/>
      <c r="AT28" s="135"/>
      <c r="AU28" s="105">
        <f>SUM(Tabla13[[#This Row],[Recursos propios 20252]:[Recursos del Balance2]])</f>
        <v>0</v>
      </c>
      <c r="AV28" s="135"/>
      <c r="AW28" s="135"/>
      <c r="AX28" s="136">
        <f>+Tabla13[[#This Row],[Total Recursos Comprometido 2025]]/Tabla13[[#This Row],[Total 2025]]</f>
        <v>0</v>
      </c>
      <c r="AY28" s="137">
        <f>+Tabla13[[#This Row],[Total Recursos Obligados]]/Tabla13[[#This Row],[Total 2025]]</f>
        <v>0</v>
      </c>
      <c r="AZ28" s="137">
        <f>+Tabla13[[#This Row],[Total Recursos Pagados]]/Tabla13[[#This Row],[Total 2025]]</f>
        <v>0</v>
      </c>
      <c r="BA28" s="138"/>
      <c r="BB28" s="139" t="str">
        <f>IF(Tabla13[[#This Row],[Total Recursos Gestionados2]]=0,"_",IF(Tabla13[[#This Row],[Ejecución Recursos Comprometidos]]=0,100%,Tabla13[[#This Row],[Total Recursos Gestionados2]]/Tabla13[[#This Row],[Ejecución Recursos Comprometidos]]))</f>
        <v>_</v>
      </c>
      <c r="BC28" s="140"/>
      <c r="BD28" s="141"/>
      <c r="BE28" s="140"/>
    </row>
    <row r="29" spans="1:57" s="10" customFormat="1" ht="409.5">
      <c r="A29" s="83">
        <v>244</v>
      </c>
      <c r="B29" s="75" t="s">
        <v>83</v>
      </c>
      <c r="C29" s="75" t="s">
        <v>84</v>
      </c>
      <c r="D29" s="75" t="s">
        <v>85</v>
      </c>
      <c r="E29" s="75" t="s">
        <v>86</v>
      </c>
      <c r="F29" s="75" t="s">
        <v>87</v>
      </c>
      <c r="G29" s="84" t="s">
        <v>105</v>
      </c>
      <c r="H29" s="87">
        <v>2024680010036</v>
      </c>
      <c r="I29" s="76" t="s">
        <v>106</v>
      </c>
      <c r="J29" s="77">
        <v>1763796400</v>
      </c>
      <c r="K29" s="77">
        <v>412635600</v>
      </c>
      <c r="L29" s="78" t="s">
        <v>47</v>
      </c>
      <c r="M29" s="78" t="s">
        <v>48</v>
      </c>
      <c r="N29" s="79">
        <v>619703</v>
      </c>
      <c r="O29" s="125" t="s">
        <v>221</v>
      </c>
      <c r="P29" s="122">
        <v>300000000</v>
      </c>
      <c r="Q29" s="103"/>
      <c r="R29" s="103"/>
      <c r="S29" s="103"/>
      <c r="T29" s="103"/>
      <c r="U29" s="103"/>
      <c r="V29" s="103"/>
      <c r="W29" s="103"/>
      <c r="X29" s="103"/>
      <c r="Y29" s="103"/>
      <c r="Z29" s="103"/>
      <c r="AA29" s="103"/>
      <c r="AB29" s="103"/>
      <c r="AC29" s="103"/>
      <c r="AD29" s="103">
        <f>112635600+30000000</f>
        <v>142635600</v>
      </c>
      <c r="AE29" s="114">
        <f>SUM(Tabla13[[#This Row],[Recursos propios 2025]:[Recursos del Balance]])</f>
        <v>442635600</v>
      </c>
      <c r="AF29" s="102">
        <v>297191267</v>
      </c>
      <c r="AG29" s="103"/>
      <c r="AH29" s="103"/>
      <c r="AI29" s="103"/>
      <c r="AJ29" s="103"/>
      <c r="AK29" s="103"/>
      <c r="AL29" s="103"/>
      <c r="AM29" s="103"/>
      <c r="AN29" s="103"/>
      <c r="AO29" s="103"/>
      <c r="AP29" s="103"/>
      <c r="AQ29" s="103"/>
      <c r="AR29" s="103"/>
      <c r="AS29" s="103"/>
      <c r="AT29" s="103">
        <v>98000000</v>
      </c>
      <c r="AU29" s="105">
        <f>SUM(Tabla13[[#This Row],[Recursos propios 20252]:[Recursos del Balance2]])</f>
        <v>395191267</v>
      </c>
      <c r="AV29" s="103">
        <v>307011333.64999998</v>
      </c>
      <c r="AW29" s="115">
        <v>304243733.64999998</v>
      </c>
      <c r="AX29" s="118">
        <f>+Tabla13[[#This Row],[Total Recursos Comprometido 2025]]/Tabla13[[#This Row],[Total 2025]]</f>
        <v>0.89281401450764464</v>
      </c>
      <c r="AY29" s="119">
        <f>+Tabla13[[#This Row],[Total Recursos Obligados]]/Tabla13[[#This Row],[Total 2025]]</f>
        <v>0.69359837674601854</v>
      </c>
      <c r="AZ29" s="120">
        <f>+Tabla13[[#This Row],[Total Recursos Pagados]]/Tabla13[[#This Row],[Total 2025]]</f>
        <v>0.68734582950399825</v>
      </c>
      <c r="BA29" s="121"/>
      <c r="BB29" s="96" t="str">
        <f>IF(Tabla13[[#This Row],[Total Recursos Gestionados2]]=0,"_",IF(Tabla13[[#This Row],[Ejecución Recursos Comprometidos]]=0,100%,Tabla13[[#This Row],[Total Recursos Gestionados2]]/Tabla13[[#This Row],[Ejecución Recursos Comprometidos]]))</f>
        <v>_</v>
      </c>
      <c r="BC29" s="42" t="s">
        <v>107</v>
      </c>
      <c r="BD29" s="43" t="s">
        <v>50</v>
      </c>
      <c r="BE29" s="24">
        <v>10.11</v>
      </c>
    </row>
    <row r="30" spans="1:57" s="10" customFormat="1" ht="409.6" thickBot="1">
      <c r="A30" s="85">
        <v>267</v>
      </c>
      <c r="B30" s="86" t="s">
        <v>83</v>
      </c>
      <c r="C30" s="86" t="s">
        <v>60</v>
      </c>
      <c r="D30" s="86" t="s">
        <v>61</v>
      </c>
      <c r="E30" s="86" t="s">
        <v>108</v>
      </c>
      <c r="F30" s="86" t="s">
        <v>109</v>
      </c>
      <c r="G30" s="99" t="s">
        <v>110</v>
      </c>
      <c r="H30" s="90">
        <v>2024680010062</v>
      </c>
      <c r="I30" s="91" t="s">
        <v>111</v>
      </c>
      <c r="J30" s="92">
        <v>8920650000</v>
      </c>
      <c r="K30" s="93">
        <v>2610000000</v>
      </c>
      <c r="L30" s="94" t="s">
        <v>47</v>
      </c>
      <c r="M30" s="94" t="s">
        <v>48</v>
      </c>
      <c r="N30" s="95">
        <v>619703</v>
      </c>
      <c r="O30" s="101" t="s">
        <v>222</v>
      </c>
      <c r="P30" s="127">
        <v>2140000000</v>
      </c>
      <c r="Q30" s="126"/>
      <c r="R30" s="126"/>
      <c r="S30" s="126"/>
      <c r="T30" s="126"/>
      <c r="U30" s="126"/>
      <c r="V30" s="126"/>
      <c r="W30" s="126"/>
      <c r="X30" s="126"/>
      <c r="Y30" s="126"/>
      <c r="Z30" s="126"/>
      <c r="AA30" s="126"/>
      <c r="AB30" s="126"/>
      <c r="AC30" s="126"/>
      <c r="AD30" s="126">
        <v>470000000</v>
      </c>
      <c r="AE30" s="128">
        <f>SUM(Tabla13[[#This Row],[Recursos propios 2025]:[Recursos del Balance]])</f>
        <v>2610000000</v>
      </c>
      <c r="AF30" s="107">
        <v>2109545445</v>
      </c>
      <c r="AG30" s="126"/>
      <c r="AH30" s="126"/>
      <c r="AI30" s="126"/>
      <c r="AJ30" s="126"/>
      <c r="AK30" s="126"/>
      <c r="AL30" s="126"/>
      <c r="AM30" s="126"/>
      <c r="AN30" s="126"/>
      <c r="AO30" s="126"/>
      <c r="AP30" s="126"/>
      <c r="AQ30" s="126"/>
      <c r="AR30" s="126"/>
      <c r="AS30" s="126"/>
      <c r="AT30" s="126"/>
      <c r="AU30" s="105">
        <f>SUM(Tabla13[[#This Row],[Recursos propios 20252]:[Recursos del Balance2]])</f>
        <v>2109545445</v>
      </c>
      <c r="AV30" s="126">
        <v>1712212564.9100001</v>
      </c>
      <c r="AW30" s="129">
        <f>+Tabla13[[#This Row],[Total Recursos Obligados]]</f>
        <v>1712212564.9100001</v>
      </c>
      <c r="AX30" s="20">
        <f>+Tabla13[[#This Row],[Total Recursos Comprometido 2025]]/Tabla13[[#This Row],[Total 2025]]</f>
        <v>0.80825495977011497</v>
      </c>
      <c r="AY30" s="33">
        <f>+Tabla13[[#This Row],[Total Recursos Obligados]]/Tabla13[[#This Row],[Total 2025]]</f>
        <v>0.65602013981226059</v>
      </c>
      <c r="AZ30" s="34">
        <f>+Tabla13[[#This Row],[Total Recursos Pagados]]/Tabla13[[#This Row],[Total 2025]]</f>
        <v>0.65602013981226059</v>
      </c>
      <c r="BA30" s="65"/>
      <c r="BB30" s="97" t="str">
        <f>IF(Tabla13[[#This Row],[Total Recursos Gestionados2]]=0,"_",IF(Tabla13[[#This Row],[Ejecución Recursos Comprometidos]]=0,100%,Tabla13[[#This Row],[Total Recursos Gestionados2]]/Tabla13[[#This Row],[Ejecución Recursos Comprometidos]]))</f>
        <v>_</v>
      </c>
      <c r="BC30" s="71" t="s">
        <v>112</v>
      </c>
      <c r="BD30" s="72" t="s">
        <v>50</v>
      </c>
      <c r="BE30" s="27" t="s">
        <v>113</v>
      </c>
    </row>
    <row r="31" spans="1:57">
      <c r="A31" s="143"/>
      <c r="B31" s="143"/>
      <c r="C31" s="143"/>
      <c r="D31" s="143"/>
      <c r="E31" s="143"/>
      <c r="F31" s="143"/>
      <c r="G31" s="143"/>
      <c r="H31" s="144"/>
      <c r="I31" s="144"/>
      <c r="J31" s="144"/>
      <c r="K31" s="144"/>
      <c r="L31" s="144"/>
      <c r="M31" s="144"/>
      <c r="N31" s="144"/>
      <c r="O31" s="144"/>
      <c r="P31" s="145"/>
      <c r="Q31" s="145"/>
      <c r="R31" s="145"/>
      <c r="S31" s="145"/>
      <c r="T31" s="145"/>
      <c r="U31" s="145"/>
      <c r="V31" s="145"/>
      <c r="W31" s="145"/>
      <c r="X31" s="145"/>
      <c r="Y31" s="145"/>
      <c r="Z31" s="145"/>
      <c r="AA31" s="145"/>
      <c r="AB31" s="145"/>
      <c r="AC31" s="145"/>
      <c r="AD31" s="145"/>
      <c r="AE31" s="145">
        <f>SUBTOTAL(109,Tabla13[Total 2025])</f>
        <v>19726055600</v>
      </c>
      <c r="AF31" s="145"/>
      <c r="AG31" s="145"/>
      <c r="AH31" s="145"/>
      <c r="AI31" s="145"/>
      <c r="AJ31" s="145"/>
      <c r="AK31" s="145"/>
      <c r="AL31" s="145"/>
      <c r="AM31" s="145"/>
      <c r="AN31" s="145"/>
      <c r="AO31" s="145"/>
      <c r="AP31" s="145"/>
      <c r="AQ31" s="145"/>
      <c r="AR31" s="145"/>
      <c r="AS31" s="145"/>
      <c r="AT31" s="145"/>
      <c r="AU31" s="145">
        <f>SUBTOTAL(109,Tabla13[Total Recursos Comprometido 2025])</f>
        <v>16062808362.800001</v>
      </c>
      <c r="AV31" s="145">
        <f>SUBTOTAL(109,Tabla13[Total Recursos Obligados])</f>
        <v>8487176762.6799994</v>
      </c>
      <c r="AW31" s="145">
        <f>SUBTOTAL(109,Tabla13[Total Recursos Pagados])</f>
        <v>8365248160.2799997</v>
      </c>
      <c r="AX31" s="146"/>
      <c r="AY31" s="147"/>
      <c r="AZ31" s="147"/>
      <c r="BA31" s="144"/>
      <c r="BB31" s="147"/>
      <c r="BC31" s="143"/>
      <c r="BD31" s="148"/>
      <c r="BE31" s="143"/>
    </row>
    <row r="32" spans="1:57">
      <c r="AE32" s="131">
        <v>19726055600</v>
      </c>
      <c r="AU32" s="100">
        <v>16062808362.799999</v>
      </c>
      <c r="AV32" s="100">
        <v>8487176762.6800003</v>
      </c>
      <c r="AW32" s="100">
        <v>8365248160.2799997</v>
      </c>
    </row>
    <row r="33" spans="31:49">
      <c r="AE33" s="130">
        <f>+Tabla13[[#Totals],[Total 2025]]-AE32</f>
        <v>0</v>
      </c>
      <c r="AU33" s="100">
        <f>+Tabla13[[#Totals],[Total Recursos Comprometido 2025]]-AU32</f>
        <v>0</v>
      </c>
      <c r="AV33" s="100">
        <f>+Tabla13[[#Totals],[Total Recursos Obligados]]-AV32</f>
        <v>0</v>
      </c>
      <c r="AW33" s="100">
        <f>+Tabla13[[#Totals],[Total Recursos Pagados]]-AW32</f>
        <v>0</v>
      </c>
    </row>
    <row r="35" spans="31:49">
      <c r="AU35" s="149"/>
      <c r="AV35" s="100"/>
      <c r="AW35" s="100"/>
    </row>
  </sheetData>
  <sheetProtection formatCells="0" formatColumns="0" formatRows="0" insertRows="0" autoFilter="0"/>
  <mergeCells count="13">
    <mergeCell ref="A1:B4"/>
    <mergeCell ref="C1:BB4"/>
    <mergeCell ref="BC1:BE1"/>
    <mergeCell ref="BC2:BE2"/>
    <mergeCell ref="BC3:BE3"/>
    <mergeCell ref="BC4:BE4"/>
    <mergeCell ref="BC9:BD9"/>
    <mergeCell ref="A9:G9"/>
    <mergeCell ref="H9:O9"/>
    <mergeCell ref="P9:AE9"/>
    <mergeCell ref="AF9:AW9"/>
    <mergeCell ref="AX9:AZ9"/>
    <mergeCell ref="BA9:BB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BE33"/>
  <sheetViews>
    <sheetView showGridLines="0" tabSelected="1" zoomScale="60" zoomScaleNormal="60" workbookViewId="0">
      <selection sqref="A1:B4"/>
    </sheetView>
  </sheetViews>
  <sheetFormatPr baseColWidth="10" defaultColWidth="11.125" defaultRowHeight="15"/>
  <cols>
    <col min="1" max="1" width="19" style="4" customWidth="1"/>
    <col min="2" max="2" width="26.75" style="4" customWidth="1"/>
    <col min="3" max="3" width="20.125" style="4" customWidth="1"/>
    <col min="4" max="4" width="19.125" style="4" customWidth="1"/>
    <col min="5" max="5" width="40.375" style="4" customWidth="1"/>
    <col min="6" max="6" width="19.125" style="4" customWidth="1"/>
    <col min="7" max="7" width="69" style="4" customWidth="1"/>
    <col min="8" max="8" width="19.125" style="4" customWidth="1"/>
    <col min="9" max="9" width="69" style="4" customWidth="1"/>
    <col min="10" max="10" width="12.375" style="4" customWidth="1"/>
    <col min="11" max="11" width="16.125" style="4" customWidth="1"/>
    <col min="12" max="12" width="20" style="4" customWidth="1"/>
    <col min="13" max="14" width="23.125" style="4" customWidth="1"/>
    <col min="15" max="15" width="18.75" style="4" customWidth="1"/>
    <col min="16" max="16" width="18.375" style="4" bestFit="1" customWidth="1"/>
    <col min="17" max="17" width="18.375" style="5" hidden="1" customWidth="1"/>
    <col min="18" max="49" width="27.125" style="4" customWidth="1"/>
    <col min="50" max="52" width="22.75" style="36" customWidth="1"/>
    <col min="53" max="53" width="27.125" style="4" customWidth="1"/>
    <col min="54" max="54" width="16.125" style="4" customWidth="1"/>
    <col min="55" max="55" width="20.125" style="4" customWidth="1"/>
    <col min="56" max="56" width="19.75" style="4" customWidth="1"/>
    <col min="57" max="57" width="21.125" style="4" customWidth="1"/>
    <col min="58" max="58" width="22.75" style="1" bestFit="1" customWidth="1"/>
    <col min="59" max="59" width="33" style="1" bestFit="1" customWidth="1"/>
    <col min="60" max="60" width="28.75" style="1" bestFit="1" customWidth="1"/>
    <col min="61" max="61" width="58.125" style="1" bestFit="1" customWidth="1"/>
    <col min="62" max="62" width="26" style="1" bestFit="1" customWidth="1"/>
    <col min="63" max="63" width="24.125" style="1" bestFit="1" customWidth="1"/>
    <col min="64" max="64" width="35.125" style="1" bestFit="1" customWidth="1"/>
    <col min="65" max="65" width="30.125" style="1" bestFit="1" customWidth="1"/>
    <col min="66" max="66" width="31.125" style="1" bestFit="1" customWidth="1"/>
    <col min="67" max="67" width="38" style="1" bestFit="1" customWidth="1"/>
    <col min="68" max="68" width="40.125" style="1" bestFit="1" customWidth="1"/>
    <col min="69" max="69" width="43.125" style="1" bestFit="1" customWidth="1"/>
    <col min="70" max="70" width="48.75" style="1" bestFit="1" customWidth="1"/>
    <col min="71" max="71" width="39.125" style="1" bestFit="1" customWidth="1"/>
    <col min="72" max="72" width="26.75" style="1" bestFit="1" customWidth="1"/>
    <col min="73" max="73" width="47" style="1" bestFit="1" customWidth="1"/>
    <col min="74" max="74" width="40" style="1" bestFit="1" customWidth="1"/>
    <col min="75" max="75" width="83.75" style="1" bestFit="1" customWidth="1"/>
    <col min="76" max="76" width="21.125" style="1" bestFit="1" customWidth="1"/>
    <col min="77" max="77" width="31.125" style="1" bestFit="1" customWidth="1"/>
    <col min="78" max="78" width="27.125" style="1" bestFit="1" customWidth="1"/>
    <col min="79" max="79" width="56.75" style="1" bestFit="1" customWidth="1"/>
    <col min="80" max="80" width="24.125" style="1" bestFit="1" customWidth="1"/>
    <col min="81" max="81" width="22.75" style="1" bestFit="1" customWidth="1"/>
    <col min="82" max="82" width="33.75" style="1" bestFit="1" customWidth="1"/>
    <col min="83" max="83" width="29" style="1" bestFit="1" customWidth="1"/>
    <col min="84" max="84" width="29.75" style="1" bestFit="1" customWidth="1"/>
    <col min="85" max="85" width="36.125" style="1" bestFit="1" customWidth="1"/>
    <col min="86" max="86" width="38.75" style="1" bestFit="1" customWidth="1"/>
    <col min="87" max="87" width="42" style="1" bestFit="1" customWidth="1"/>
    <col min="88" max="88" width="47.125" style="1" bestFit="1" customWidth="1"/>
    <col min="89" max="89" width="37.75" style="1" bestFit="1" customWidth="1"/>
    <col min="90" max="90" width="25.125" style="1" bestFit="1" customWidth="1"/>
    <col min="91" max="91" width="45.125" style="1" bestFit="1" customWidth="1"/>
    <col min="92" max="92" width="38.125" style="1" bestFit="1" customWidth="1"/>
    <col min="93" max="93" width="82.125" style="1" bestFit="1" customWidth="1"/>
    <col min="94" max="94" width="22" style="1" bestFit="1" customWidth="1"/>
    <col min="95" max="95" width="32.125" style="1" bestFit="1" customWidth="1"/>
    <col min="96" max="96" width="28" style="1" bestFit="1" customWidth="1"/>
    <col min="97" max="97" width="57.125" style="1" bestFit="1" customWidth="1"/>
    <col min="98" max="98" width="25.125" style="1" bestFit="1" customWidth="1"/>
    <col min="99" max="99" width="23.125" style="1" bestFit="1" customWidth="1"/>
    <col min="100" max="100" width="34.125" style="1" bestFit="1" customWidth="1"/>
    <col min="101" max="101" width="29.125" style="1" bestFit="1" customWidth="1"/>
    <col min="102" max="102" width="30.125" style="1" bestFit="1" customWidth="1"/>
    <col min="103" max="103" width="37.125" style="1" bestFit="1" customWidth="1"/>
    <col min="104" max="104" width="39.125" style="1" bestFit="1" customWidth="1"/>
    <col min="105" max="105" width="42.125" style="1" bestFit="1" customWidth="1"/>
    <col min="106" max="106" width="48" style="1" bestFit="1" customWidth="1"/>
    <col min="107" max="107" width="38.125" style="1" bestFit="1" customWidth="1"/>
    <col min="108" max="108" width="25.75" style="1" bestFit="1" customWidth="1"/>
    <col min="109" max="109" width="46" style="1" bestFit="1" customWidth="1"/>
    <col min="110" max="110" width="39.125" style="1" bestFit="1" customWidth="1"/>
    <col min="111" max="111" width="82.75" style="1" bestFit="1" customWidth="1"/>
    <col min="112" max="112" width="20" style="1" bestFit="1" customWidth="1"/>
    <col min="113" max="113" width="30.125" style="1" bestFit="1" customWidth="1"/>
    <col min="114" max="114" width="26" style="1" bestFit="1" customWidth="1"/>
    <col min="115" max="115" width="55.125" style="1" bestFit="1" customWidth="1"/>
    <col min="116" max="116" width="23.125" style="1" bestFit="1" customWidth="1"/>
    <col min="117" max="117" width="21.125" style="1" bestFit="1" customWidth="1"/>
    <col min="118" max="118" width="32.125" style="1" bestFit="1" customWidth="1"/>
    <col min="119" max="119" width="27.75" style="1" bestFit="1" customWidth="1"/>
    <col min="120" max="120" width="28.125" style="1" bestFit="1" customWidth="1"/>
    <col min="121" max="121" width="35.125" style="1" bestFit="1" customWidth="1"/>
    <col min="122" max="122" width="37.125" style="1" bestFit="1" customWidth="1"/>
    <col min="123" max="123" width="40.125" style="1" bestFit="1" customWidth="1"/>
    <col min="124" max="124" width="46" style="1" bestFit="1" customWidth="1"/>
    <col min="125" max="125" width="36.125" style="1" bestFit="1" customWidth="1"/>
    <col min="126" max="126" width="24" style="1" bestFit="1" customWidth="1"/>
    <col min="127" max="127" width="44.125" style="1" bestFit="1" customWidth="1"/>
    <col min="128" max="128" width="37.125" style="1" bestFit="1" customWidth="1"/>
    <col min="129" max="129" width="80.75" style="1" bestFit="1" customWidth="1"/>
    <col min="130" max="130" width="37.125" style="1" bestFit="1" customWidth="1"/>
    <col min="131" max="131" width="22.75" style="1" bestFit="1" customWidth="1"/>
    <col min="132" max="132" width="33" style="1" bestFit="1" customWidth="1"/>
    <col min="133" max="133" width="28.75" style="1" bestFit="1" customWidth="1"/>
    <col min="134" max="134" width="58.125" style="1" bestFit="1" customWidth="1"/>
    <col min="135" max="135" width="26" style="1" bestFit="1" customWidth="1"/>
    <col min="136" max="136" width="24.125" style="1" bestFit="1" customWidth="1"/>
    <col min="137" max="137" width="35.125" style="1" bestFit="1" customWidth="1"/>
    <col min="138" max="138" width="30.125" style="1" bestFit="1" customWidth="1"/>
    <col min="139" max="139" width="31.125" style="1" bestFit="1" customWidth="1"/>
    <col min="140" max="140" width="38" style="1" bestFit="1" customWidth="1"/>
    <col min="141" max="141" width="40.125" style="1" bestFit="1" customWidth="1"/>
    <col min="142" max="142" width="43.125" style="1" bestFit="1" customWidth="1"/>
    <col min="143" max="143" width="48.75" style="1" bestFit="1" customWidth="1"/>
    <col min="144" max="144" width="39.1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125" style="1" bestFit="1" customWidth="1"/>
    <col min="150" max="150" width="31.125" style="1" bestFit="1" customWidth="1"/>
    <col min="151" max="151" width="27.125" style="1" bestFit="1" customWidth="1"/>
    <col min="152" max="152" width="56.75" style="1" bestFit="1" customWidth="1"/>
    <col min="153" max="153" width="24.1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125" style="1" bestFit="1" customWidth="1"/>
    <col min="159" max="159" width="38.75" style="1" bestFit="1" customWidth="1"/>
    <col min="160" max="160" width="42" style="1" bestFit="1" customWidth="1"/>
    <col min="161" max="161" width="47.125" style="1" bestFit="1" customWidth="1"/>
    <col min="162" max="162" width="37.75" style="1" bestFit="1" customWidth="1"/>
    <col min="163" max="163" width="25.125" style="1" bestFit="1" customWidth="1"/>
    <col min="164" max="164" width="45.125" style="1" bestFit="1" customWidth="1"/>
    <col min="165" max="165" width="38.125" style="1" bestFit="1" customWidth="1"/>
    <col min="166" max="166" width="82.125" style="1" bestFit="1" customWidth="1"/>
    <col min="167" max="167" width="22" style="1" bestFit="1" customWidth="1"/>
    <col min="168" max="168" width="32.125" style="1" bestFit="1" customWidth="1"/>
    <col min="169" max="169" width="28" style="1" bestFit="1" customWidth="1"/>
    <col min="170" max="170" width="57.125" style="1" bestFit="1" customWidth="1"/>
    <col min="171" max="171" width="25.125" style="1" bestFit="1" customWidth="1"/>
    <col min="172" max="172" width="23.125" style="1" bestFit="1" customWidth="1"/>
    <col min="173" max="173" width="34.125" style="1" bestFit="1" customWidth="1"/>
    <col min="174" max="174" width="29.125" style="1" bestFit="1" customWidth="1"/>
    <col min="175" max="175" width="30.125" style="1" bestFit="1" customWidth="1"/>
    <col min="176" max="176" width="37.125" style="1" bestFit="1" customWidth="1"/>
    <col min="177" max="177" width="39.125" style="1" bestFit="1" customWidth="1"/>
    <col min="178" max="178" width="42.125" style="1" bestFit="1" customWidth="1"/>
    <col min="179" max="179" width="48" style="1" bestFit="1" customWidth="1"/>
    <col min="180" max="180" width="38.125" style="1" bestFit="1" customWidth="1"/>
    <col min="181" max="181" width="25.75" style="1" bestFit="1" customWidth="1"/>
    <col min="182" max="182" width="46" style="1" bestFit="1" customWidth="1"/>
    <col min="183" max="183" width="39.125" style="1" bestFit="1" customWidth="1"/>
    <col min="184" max="184" width="82.75" style="1" bestFit="1" customWidth="1"/>
    <col min="185" max="185" width="20" style="1" bestFit="1" customWidth="1"/>
    <col min="186" max="186" width="30.125" style="1" bestFit="1" customWidth="1"/>
    <col min="187" max="187" width="26" style="1" bestFit="1" customWidth="1"/>
    <col min="188" max="188" width="55.125" style="1" bestFit="1" customWidth="1"/>
    <col min="189" max="189" width="23.125" style="1" bestFit="1" customWidth="1"/>
    <col min="190" max="190" width="21.125" style="1" bestFit="1" customWidth="1"/>
    <col min="191" max="191" width="32.125" style="1" bestFit="1" customWidth="1"/>
    <col min="192" max="192" width="27.75" style="1" bestFit="1" customWidth="1"/>
    <col min="193" max="193" width="28.125" style="1" bestFit="1" customWidth="1"/>
    <col min="194" max="194" width="35.125" style="1" bestFit="1" customWidth="1"/>
    <col min="195" max="195" width="37.125" style="1" bestFit="1" customWidth="1"/>
    <col min="196" max="196" width="40.125" style="1" bestFit="1" customWidth="1"/>
    <col min="197" max="197" width="46" style="1" bestFit="1" customWidth="1"/>
    <col min="198" max="198" width="36.125" style="1" bestFit="1" customWidth="1"/>
    <col min="199" max="199" width="24" style="1" bestFit="1" customWidth="1"/>
    <col min="200" max="200" width="44.125" style="1" bestFit="1" customWidth="1"/>
    <col min="201" max="201" width="37.125" style="1" bestFit="1" customWidth="1"/>
    <col min="202" max="202" width="80.75" style="1" bestFit="1" customWidth="1"/>
    <col min="203" max="203" width="37.125" style="1" bestFit="1" customWidth="1"/>
    <col min="204" max="204" width="22.75" style="1" bestFit="1" customWidth="1"/>
    <col min="205" max="205" width="33" style="1" bestFit="1" customWidth="1"/>
    <col min="206" max="206" width="28.75" style="1" bestFit="1" customWidth="1"/>
    <col min="207" max="207" width="58.125" style="1" bestFit="1" customWidth="1"/>
    <col min="208" max="208" width="26" style="1" bestFit="1" customWidth="1"/>
    <col min="209" max="209" width="24.125" style="1" bestFit="1" customWidth="1"/>
    <col min="210" max="210" width="35.125" style="1" bestFit="1" customWidth="1"/>
    <col min="211" max="211" width="30.125" style="1" bestFit="1" customWidth="1"/>
    <col min="212" max="212" width="31.125" style="1" bestFit="1" customWidth="1"/>
    <col min="213" max="213" width="38" style="1" bestFit="1" customWidth="1"/>
    <col min="214" max="214" width="40.125" style="1" bestFit="1" customWidth="1"/>
    <col min="215" max="215" width="43.125" style="1" bestFit="1" customWidth="1"/>
    <col min="216" max="216" width="48.75" style="1" bestFit="1" customWidth="1"/>
    <col min="217" max="217" width="39.1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125" style="1" bestFit="1" customWidth="1"/>
    <col min="223" max="223" width="31.125" style="1" bestFit="1" customWidth="1"/>
    <col min="224" max="224" width="27.125" style="1" bestFit="1" customWidth="1"/>
    <col min="225" max="225" width="56.75" style="1" bestFit="1" customWidth="1"/>
    <col min="226" max="226" width="24.1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125" style="1" bestFit="1" customWidth="1"/>
    <col min="232" max="232" width="38.75" style="1" bestFit="1" customWidth="1"/>
    <col min="233" max="233" width="42" style="1" bestFit="1" customWidth="1"/>
    <col min="234" max="234" width="47.125" style="1" bestFit="1" customWidth="1"/>
    <col min="235" max="235" width="37.75" style="1" bestFit="1" customWidth="1"/>
    <col min="236" max="236" width="25.125" style="1" bestFit="1" customWidth="1"/>
    <col min="237" max="237" width="45.125" style="1" bestFit="1" customWidth="1"/>
    <col min="238" max="238" width="38.125" style="1" bestFit="1" customWidth="1"/>
    <col min="239" max="239" width="82.125" style="1" bestFit="1" customWidth="1"/>
    <col min="240" max="240" width="22" style="1" bestFit="1" customWidth="1"/>
    <col min="241" max="241" width="32.125" style="1" bestFit="1" customWidth="1"/>
    <col min="242" max="242" width="28" style="1" bestFit="1" customWidth="1"/>
    <col min="243" max="243" width="57.125" style="1" bestFit="1" customWidth="1"/>
    <col min="244" max="244" width="25.125" style="1" bestFit="1" customWidth="1"/>
    <col min="245" max="245" width="23.125" style="1" bestFit="1" customWidth="1"/>
    <col min="246" max="246" width="34.125" style="1" bestFit="1" customWidth="1"/>
    <col min="247" max="247" width="29.125" style="1" bestFit="1" customWidth="1"/>
    <col min="248" max="248" width="30.125" style="1" bestFit="1" customWidth="1"/>
    <col min="249" max="249" width="37.125" style="1" bestFit="1" customWidth="1"/>
    <col min="250" max="250" width="39.125" style="1" bestFit="1" customWidth="1"/>
    <col min="251" max="251" width="42.125" style="1" bestFit="1" customWidth="1"/>
    <col min="252" max="252" width="48" style="1" bestFit="1" customWidth="1"/>
    <col min="253" max="253" width="38.125" style="1" bestFit="1" customWidth="1"/>
    <col min="254" max="254" width="25.75" style="1" bestFit="1" customWidth="1"/>
    <col min="255" max="255" width="46" style="1" bestFit="1" customWidth="1"/>
    <col min="256" max="256" width="39.125" style="1" bestFit="1" customWidth="1"/>
    <col min="257" max="257" width="82.75" style="1" bestFit="1" customWidth="1"/>
    <col min="258" max="258" width="20" style="1" bestFit="1" customWidth="1"/>
    <col min="259" max="259" width="30.125" style="1" bestFit="1" customWidth="1"/>
    <col min="260" max="260" width="26" style="1" bestFit="1" customWidth="1"/>
    <col min="261" max="261" width="55.125" style="1" bestFit="1" customWidth="1"/>
    <col min="262" max="262" width="23.125" style="1" bestFit="1" customWidth="1"/>
    <col min="263" max="263" width="21.125" style="1" bestFit="1" customWidth="1"/>
    <col min="264" max="264" width="32.125" style="1" bestFit="1" customWidth="1"/>
    <col min="265" max="265" width="27.75" style="1" bestFit="1" customWidth="1"/>
    <col min="266" max="266" width="28.125" style="1" bestFit="1" customWidth="1"/>
    <col min="267" max="267" width="35.125" style="1" bestFit="1" customWidth="1"/>
    <col min="268" max="268" width="37.125" style="1" bestFit="1" customWidth="1"/>
    <col min="269" max="269" width="40.125" style="1" bestFit="1" customWidth="1"/>
    <col min="270" max="270" width="46" style="1" bestFit="1" customWidth="1"/>
    <col min="271" max="271" width="36.125" style="1" bestFit="1" customWidth="1"/>
    <col min="272" max="272" width="24" style="1" bestFit="1" customWidth="1"/>
    <col min="273" max="273" width="44.125" style="1" bestFit="1" customWidth="1"/>
    <col min="274" max="274" width="37.125" style="1" bestFit="1" customWidth="1"/>
    <col min="275" max="275" width="80.75" style="1" bestFit="1" customWidth="1"/>
    <col min="276" max="276" width="37.125" style="1" bestFit="1" customWidth="1"/>
    <col min="277" max="277" width="22.75" style="1" bestFit="1" customWidth="1"/>
    <col min="278" max="278" width="33" style="1" bestFit="1" customWidth="1"/>
    <col min="279" max="279" width="28.75" style="1" bestFit="1" customWidth="1"/>
    <col min="280" max="280" width="58.125" style="1" bestFit="1" customWidth="1"/>
    <col min="281" max="281" width="26" style="1" bestFit="1" customWidth="1"/>
    <col min="282" max="282" width="24.125" style="1" bestFit="1" customWidth="1"/>
    <col min="283" max="283" width="35.125" style="1" bestFit="1" customWidth="1"/>
    <col min="284" max="284" width="30.125" style="1" bestFit="1" customWidth="1"/>
    <col min="285" max="285" width="31.125" style="1" bestFit="1" customWidth="1"/>
    <col min="286" max="286" width="38" style="1" bestFit="1" customWidth="1"/>
    <col min="287" max="287" width="40.125" style="1" bestFit="1" customWidth="1"/>
    <col min="288" max="288" width="43.125" style="1" bestFit="1" customWidth="1"/>
    <col min="289" max="289" width="48.75" style="1" bestFit="1" customWidth="1"/>
    <col min="290" max="290" width="39.1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125" style="1" bestFit="1" customWidth="1"/>
    <col min="296" max="296" width="31.125" style="1" bestFit="1" customWidth="1"/>
    <col min="297" max="297" width="27.125" style="1" bestFit="1" customWidth="1"/>
    <col min="298" max="298" width="56.75" style="1" bestFit="1" customWidth="1"/>
    <col min="299" max="299" width="24.1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125" style="1" bestFit="1" customWidth="1"/>
    <col min="305" max="305" width="38.75" style="1" bestFit="1" customWidth="1"/>
    <col min="306" max="306" width="42" style="1" bestFit="1" customWidth="1"/>
    <col min="307" max="307" width="47.125" style="1" bestFit="1" customWidth="1"/>
    <col min="308" max="308" width="37.75" style="1" bestFit="1" customWidth="1"/>
    <col min="309" max="309" width="25.125" style="1" bestFit="1" customWidth="1"/>
    <col min="310" max="310" width="45.125" style="1" bestFit="1" customWidth="1"/>
    <col min="311" max="311" width="38.125" style="1" bestFit="1" customWidth="1"/>
    <col min="312" max="312" width="82.125" style="1" bestFit="1" customWidth="1"/>
    <col min="313" max="313" width="22" style="1" bestFit="1" customWidth="1"/>
    <col min="314" max="314" width="32.125" style="1" bestFit="1" customWidth="1"/>
    <col min="315" max="315" width="28" style="1" bestFit="1" customWidth="1"/>
    <col min="316" max="316" width="57.125" style="1" bestFit="1" customWidth="1"/>
    <col min="317" max="317" width="25.125" style="1" bestFit="1" customWidth="1"/>
    <col min="318" max="318" width="23.125" style="1" bestFit="1" customWidth="1"/>
    <col min="319" max="319" width="34.125" style="1" bestFit="1" customWidth="1"/>
    <col min="320" max="320" width="29.125" style="1" bestFit="1" customWidth="1"/>
    <col min="321" max="321" width="30.125" style="1" bestFit="1" customWidth="1"/>
    <col min="322" max="322" width="37.125" style="1" bestFit="1" customWidth="1"/>
    <col min="323" max="323" width="39.125" style="1" bestFit="1" customWidth="1"/>
    <col min="324" max="324" width="42.125" style="1" bestFit="1" customWidth="1"/>
    <col min="325" max="325" width="48" style="1" bestFit="1" customWidth="1"/>
    <col min="326" max="326" width="38.125" style="1" bestFit="1" customWidth="1"/>
    <col min="327" max="327" width="25.75" style="1" bestFit="1" customWidth="1"/>
    <col min="328" max="328" width="46" style="1" bestFit="1" customWidth="1"/>
    <col min="329" max="329" width="39.125" style="1" bestFit="1" customWidth="1"/>
    <col min="330" max="330" width="82.75" style="1" bestFit="1" customWidth="1"/>
    <col min="331" max="331" width="20" style="1" bestFit="1" customWidth="1"/>
    <col min="332" max="332" width="30.125" style="1" bestFit="1" customWidth="1"/>
    <col min="333" max="333" width="26" style="1" bestFit="1" customWidth="1"/>
    <col min="334" max="334" width="55.125" style="1" bestFit="1" customWidth="1"/>
    <col min="335" max="335" width="23.125" style="1" bestFit="1" customWidth="1"/>
    <col min="336" max="336" width="21.125" style="1" bestFit="1" customWidth="1"/>
    <col min="337" max="337" width="32.125" style="1" bestFit="1" customWidth="1"/>
    <col min="338" max="338" width="27.75" style="1" bestFit="1" customWidth="1"/>
    <col min="339" max="339" width="28.125" style="1" bestFit="1" customWidth="1"/>
    <col min="340" max="340" width="35.125" style="1" bestFit="1" customWidth="1"/>
    <col min="341" max="341" width="37.125" style="1" bestFit="1" customWidth="1"/>
    <col min="342" max="342" width="40.125" style="1" bestFit="1" customWidth="1"/>
    <col min="343" max="343" width="46" style="1" bestFit="1" customWidth="1"/>
    <col min="344" max="344" width="36.125" style="1" bestFit="1" customWidth="1"/>
    <col min="345" max="345" width="24" style="1" bestFit="1" customWidth="1"/>
    <col min="346" max="346" width="44.125" style="1" bestFit="1" customWidth="1"/>
    <col min="347" max="347" width="37.125" style="1" bestFit="1" customWidth="1"/>
    <col min="348" max="348" width="80.75" style="1" bestFit="1" customWidth="1"/>
    <col min="349" max="349" width="37.125" style="1" bestFit="1" customWidth="1"/>
    <col min="350" max="16384" width="11.125" style="1"/>
  </cols>
  <sheetData>
    <row r="1" spans="1:57" ht="30" customHeight="1" thickTop="1">
      <c r="A1" s="160"/>
      <c r="B1" s="161"/>
      <c r="C1" s="166" t="s">
        <v>0</v>
      </c>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8"/>
      <c r="BC1" s="175" t="s">
        <v>1</v>
      </c>
      <c r="BD1" s="176"/>
      <c r="BE1" s="177"/>
    </row>
    <row r="2" spans="1:57" ht="30" customHeight="1">
      <c r="A2" s="162"/>
      <c r="B2" s="163"/>
      <c r="C2" s="16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1"/>
      <c r="BC2" s="187" t="s">
        <v>2</v>
      </c>
      <c r="BD2" s="188"/>
      <c r="BE2" s="189"/>
    </row>
    <row r="3" spans="1:57" ht="30" customHeight="1">
      <c r="A3" s="162"/>
      <c r="B3" s="163"/>
      <c r="C3" s="16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1"/>
      <c r="BC3" s="178" t="s">
        <v>3</v>
      </c>
      <c r="BD3" s="179"/>
      <c r="BE3" s="180"/>
    </row>
    <row r="4" spans="1:57" ht="30" customHeight="1" thickBot="1">
      <c r="A4" s="164"/>
      <c r="B4" s="165"/>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4"/>
      <c r="BC4" s="181" t="s">
        <v>114</v>
      </c>
      <c r="BD4" s="182"/>
      <c r="BE4" s="183"/>
    </row>
    <row r="5" spans="1:57" ht="23.25" customHeight="1" thickTop="1">
      <c r="Q5" s="4"/>
      <c r="BE5" s="11"/>
    </row>
    <row r="6" spans="1:57" ht="28.5" customHeight="1" thickBot="1">
      <c r="B6" s="3" t="s">
        <v>5</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37"/>
      <c r="AY6" s="37"/>
      <c r="AZ6" s="37"/>
      <c r="BA6" s="6"/>
      <c r="BB6" s="6"/>
      <c r="BC6" s="12"/>
      <c r="BD6" s="12"/>
      <c r="BE6" s="13"/>
    </row>
    <row r="7" spans="1:57" ht="37.1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37"/>
      <c r="AY7" s="37"/>
      <c r="AZ7" s="37"/>
      <c r="BA7" s="6"/>
      <c r="BB7" s="6"/>
      <c r="BC7" s="12"/>
      <c r="BD7" s="12"/>
      <c r="BE7" s="13"/>
    </row>
    <row r="8" spans="1:57" ht="8.6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37"/>
      <c r="AY8" s="37"/>
      <c r="AZ8" s="37"/>
      <c r="BA8" s="6"/>
      <c r="BB8" s="6"/>
      <c r="BC8" s="12"/>
      <c r="BD8" s="12"/>
      <c r="BE8" s="13"/>
    </row>
    <row r="9" spans="1:57" s="2" customFormat="1" ht="37.9" customHeight="1" thickBot="1">
      <c r="A9" s="152" t="s">
        <v>6</v>
      </c>
      <c r="B9" s="152"/>
      <c r="C9" s="152"/>
      <c r="D9" s="152"/>
      <c r="E9" s="152"/>
      <c r="F9" s="152"/>
      <c r="G9" s="152"/>
      <c r="H9" s="152"/>
      <c r="I9" s="152"/>
      <c r="J9" s="152"/>
      <c r="K9" s="152"/>
      <c r="L9" s="152"/>
      <c r="M9" s="152"/>
      <c r="N9" s="152"/>
      <c r="O9" s="153" t="s">
        <v>115</v>
      </c>
      <c r="P9" s="154"/>
      <c r="Q9" s="155"/>
      <c r="R9" s="156" t="s">
        <v>8</v>
      </c>
      <c r="S9" s="157"/>
      <c r="T9" s="157"/>
      <c r="U9" s="157"/>
      <c r="V9" s="157"/>
      <c r="W9" s="157"/>
      <c r="X9" s="157"/>
      <c r="Y9" s="157"/>
      <c r="Z9" s="157"/>
      <c r="AA9" s="157"/>
      <c r="AB9" s="157"/>
      <c r="AC9" s="157"/>
      <c r="AD9" s="157"/>
      <c r="AE9" s="158"/>
      <c r="AF9" s="159"/>
      <c r="AG9" s="153" t="s">
        <v>9</v>
      </c>
      <c r="AH9" s="154"/>
      <c r="AI9" s="154"/>
      <c r="AJ9" s="154"/>
      <c r="AK9" s="154"/>
      <c r="AL9" s="154"/>
      <c r="AM9" s="154"/>
      <c r="AN9" s="154"/>
      <c r="AO9" s="154"/>
      <c r="AP9" s="154"/>
      <c r="AQ9" s="154"/>
      <c r="AR9" s="154"/>
      <c r="AS9" s="154"/>
      <c r="AT9" s="154"/>
      <c r="AU9" s="154"/>
      <c r="AV9" s="154"/>
      <c r="AW9" s="155"/>
      <c r="AX9" s="184" t="s">
        <v>10</v>
      </c>
      <c r="AY9" s="185"/>
      <c r="AZ9" s="186"/>
      <c r="BA9" s="154" t="s">
        <v>11</v>
      </c>
      <c r="BB9" s="154"/>
      <c r="BC9" s="150" t="s">
        <v>12</v>
      </c>
      <c r="BD9" s="151"/>
      <c r="BE9" s="14"/>
    </row>
    <row r="10" spans="1:57" s="2" customFormat="1" ht="57" customHeight="1">
      <c r="A10" s="49" t="s">
        <v>13</v>
      </c>
      <c r="B10" s="49" t="s">
        <v>14</v>
      </c>
      <c r="C10" s="49" t="s">
        <v>15</v>
      </c>
      <c r="D10" s="49" t="s">
        <v>16</v>
      </c>
      <c r="E10" s="49" t="s">
        <v>17</v>
      </c>
      <c r="F10" s="49" t="s">
        <v>18</v>
      </c>
      <c r="G10" s="49" t="s">
        <v>19</v>
      </c>
      <c r="H10" s="49" t="s">
        <v>116</v>
      </c>
      <c r="I10" s="49" t="s">
        <v>117</v>
      </c>
      <c r="J10" s="49" t="s">
        <v>118</v>
      </c>
      <c r="K10" s="49" t="s">
        <v>119</v>
      </c>
      <c r="L10" s="49" t="s">
        <v>120</v>
      </c>
      <c r="M10" s="49" t="s">
        <v>121</v>
      </c>
      <c r="N10" s="49" t="s">
        <v>122</v>
      </c>
      <c r="O10" s="49" t="s">
        <v>123</v>
      </c>
      <c r="P10" s="49" t="s">
        <v>124</v>
      </c>
      <c r="Q10" s="49" t="s">
        <v>125</v>
      </c>
      <c r="R10" s="49" t="s">
        <v>126</v>
      </c>
      <c r="S10" s="49" t="s">
        <v>127</v>
      </c>
      <c r="T10" s="49" t="s">
        <v>128</v>
      </c>
      <c r="U10" s="49" t="s">
        <v>129</v>
      </c>
      <c r="V10" s="49" t="s">
        <v>130</v>
      </c>
      <c r="W10" s="49" t="s">
        <v>131</v>
      </c>
      <c r="X10" s="49" t="s">
        <v>132</v>
      </c>
      <c r="Y10" s="49" t="s">
        <v>133</v>
      </c>
      <c r="Z10" s="49" t="s">
        <v>134</v>
      </c>
      <c r="AA10" s="49" t="s">
        <v>135</v>
      </c>
      <c r="AB10" s="49" t="s">
        <v>136</v>
      </c>
      <c r="AC10" s="49" t="s">
        <v>137</v>
      </c>
      <c r="AD10" s="49" t="s">
        <v>138</v>
      </c>
      <c r="AE10" s="49" t="s">
        <v>28</v>
      </c>
      <c r="AF10" s="49" t="s">
        <v>161</v>
      </c>
      <c r="AG10" s="49" t="s">
        <v>139</v>
      </c>
      <c r="AH10" s="49" t="s">
        <v>140</v>
      </c>
      <c r="AI10" s="49" t="s">
        <v>170</v>
      </c>
      <c r="AJ10" s="49" t="s">
        <v>169</v>
      </c>
      <c r="AK10" s="49" t="s">
        <v>168</v>
      </c>
      <c r="AL10" s="49" t="s">
        <v>203</v>
      </c>
      <c r="AM10" s="49" t="s">
        <v>171</v>
      </c>
      <c r="AN10" s="49" t="s">
        <v>172</v>
      </c>
      <c r="AO10" s="49" t="s">
        <v>167</v>
      </c>
      <c r="AP10" s="49" t="s">
        <v>166</v>
      </c>
      <c r="AQ10" s="49" t="s">
        <v>165</v>
      </c>
      <c r="AR10" s="49" t="s">
        <v>164</v>
      </c>
      <c r="AS10" s="49" t="s">
        <v>163</v>
      </c>
      <c r="AT10" s="49" t="s">
        <v>29</v>
      </c>
      <c r="AU10" s="49" t="s">
        <v>162</v>
      </c>
      <c r="AV10" s="49" t="s">
        <v>30</v>
      </c>
      <c r="AW10" s="49" t="s">
        <v>31</v>
      </c>
      <c r="AX10" s="50" t="s">
        <v>32</v>
      </c>
      <c r="AY10" s="50" t="s">
        <v>33</v>
      </c>
      <c r="AZ10" s="50" t="s">
        <v>34</v>
      </c>
      <c r="BA10" s="56" t="s">
        <v>173</v>
      </c>
      <c r="BB10" s="23" t="s">
        <v>36</v>
      </c>
      <c r="BC10" s="49" t="s">
        <v>37</v>
      </c>
      <c r="BD10" s="49" t="s">
        <v>38</v>
      </c>
      <c r="BE10" s="51" t="s">
        <v>39</v>
      </c>
    </row>
    <row r="11" spans="1:57" s="9" customFormat="1" ht="57">
      <c r="A11" s="42">
        <v>77</v>
      </c>
      <c r="B11" s="28" t="s">
        <v>40</v>
      </c>
      <c r="C11" s="28" t="s">
        <v>41</v>
      </c>
      <c r="D11" s="28" t="s">
        <v>42</v>
      </c>
      <c r="E11" s="28" t="s">
        <v>43</v>
      </c>
      <c r="F11" s="28" t="s">
        <v>44</v>
      </c>
      <c r="G11" s="28" t="s">
        <v>45</v>
      </c>
      <c r="H11" s="28">
        <v>390601500</v>
      </c>
      <c r="I11" s="28" t="s">
        <v>141</v>
      </c>
      <c r="J11" s="28">
        <v>0</v>
      </c>
      <c r="K11" s="28" t="s">
        <v>142</v>
      </c>
      <c r="L11" s="28" t="str">
        <f>+'[2]Plan Indicativo'!AC85</f>
        <v>Acumulativa</v>
      </c>
      <c r="M11" s="28">
        <f>+'[2]Plan Indicativo'!T85</f>
        <v>1</v>
      </c>
      <c r="N11" s="43">
        <f>+'[2]Plan Indicativo'!W85</f>
        <v>0</v>
      </c>
      <c r="O11" s="46">
        <v>0</v>
      </c>
      <c r="P11" s="52" t="e">
        <f>+Tabla1[[#This Row],[Logro Vigencia]]/Tabla1[[#This Row],[Meta Programada Vigencia]]</f>
        <v>#DIV/0!</v>
      </c>
      <c r="Q11" s="57"/>
      <c r="R11" s="102">
        <v>300000000</v>
      </c>
      <c r="S11" s="17"/>
      <c r="T11" s="17"/>
      <c r="U11" s="17"/>
      <c r="V11" s="17"/>
      <c r="W11" s="17"/>
      <c r="X11" s="17"/>
      <c r="Y11" s="17"/>
      <c r="Z11" s="17"/>
      <c r="AA11" s="17"/>
      <c r="AB11" s="17"/>
      <c r="AC11" s="17"/>
      <c r="AD11" s="17"/>
      <c r="AE11" s="103"/>
      <c r="AF11" s="62">
        <f>SUM(Tabla1[[#This Row],[Recursos propios]:[Recursos del Balance]])</f>
        <v>300000000</v>
      </c>
      <c r="AG11" s="132">
        <v>0</v>
      </c>
      <c r="AH11" s="108"/>
      <c r="AI11" s="108"/>
      <c r="AJ11" s="108"/>
      <c r="AK11" s="108"/>
      <c r="AL11" s="108"/>
      <c r="AM11" s="108"/>
      <c r="AN11" s="108"/>
      <c r="AO11" s="108"/>
      <c r="AP11" s="108"/>
      <c r="AQ11" s="108"/>
      <c r="AR11" s="108"/>
      <c r="AS11" s="108"/>
      <c r="AT11" s="108">
        <v>0</v>
      </c>
      <c r="AU11" s="53">
        <f>SUM(Tabla1[[#This Row],[Recursos propios2]:[Recursos del Balance2]])</f>
        <v>0</v>
      </c>
      <c r="AV11" s="108">
        <v>0</v>
      </c>
      <c r="AW11" s="110">
        <v>0</v>
      </c>
      <c r="AX11" s="21">
        <f>+Tabla1[[#This Row],[Total Recursos Comprometido]]/Tabla1[[#This Row],[Total 2025]]</f>
        <v>0</v>
      </c>
      <c r="AY11" s="18">
        <f>+Tabla1[[#This Row],[Total Recursos Obligados]]/Tabla1[[#This Row],[Total 2025]]</f>
        <v>0</v>
      </c>
      <c r="AZ11" s="22">
        <f>+Tabla1[[#This Row],[Total Recursos Pagados]]/Tabla1[[#This Row],[Total 2025]]</f>
        <v>0</v>
      </c>
      <c r="BA11" s="63"/>
      <c r="BB11" s="70" t="e">
        <f>+Tabla1[[#This Row],[Total Recursos Gestionados]]/Tabla1[[#This Row],[Ejecución Recursos Comprometidos]]</f>
        <v>#DIV/0!</v>
      </c>
      <c r="BC11" s="42" t="s">
        <v>49</v>
      </c>
      <c r="BD11" s="43" t="s">
        <v>50</v>
      </c>
      <c r="BE11" s="44">
        <v>17</v>
      </c>
    </row>
    <row r="12" spans="1:57" s="10" customFormat="1" ht="57">
      <c r="A12" s="38">
        <v>78</v>
      </c>
      <c r="B12" s="28" t="s">
        <v>40</v>
      </c>
      <c r="C12" s="28" t="s">
        <v>41</v>
      </c>
      <c r="D12" s="29" t="s">
        <v>42</v>
      </c>
      <c r="E12" s="28" t="s">
        <v>43</v>
      </c>
      <c r="F12" s="29" t="s">
        <v>51</v>
      </c>
      <c r="G12" s="28" t="s">
        <v>52</v>
      </c>
      <c r="H12" s="29">
        <v>390601100</v>
      </c>
      <c r="I12" s="28" t="s">
        <v>143</v>
      </c>
      <c r="J12" s="29">
        <v>0</v>
      </c>
      <c r="K12" s="29" t="s">
        <v>142</v>
      </c>
      <c r="L12" s="28" t="str">
        <f>+'[2]Plan Indicativo'!AC86</f>
        <v>Acumulativa</v>
      </c>
      <c r="M12" s="28">
        <f>+'[2]Plan Indicativo'!T86</f>
        <v>4</v>
      </c>
      <c r="N12" s="43">
        <f>+'[2]Plan Indicativo'!W86</f>
        <v>1</v>
      </c>
      <c r="O12" s="40">
        <v>0.5</v>
      </c>
      <c r="P12" s="41">
        <f>+Tabla1[[#This Row],[Logro Vigencia]]/Tabla1[[#This Row],[Meta Programada Vigencia]]</f>
        <v>0.5</v>
      </c>
      <c r="Q12" s="58"/>
      <c r="R12" s="104">
        <v>200000000</v>
      </c>
      <c r="S12" s="15"/>
      <c r="T12" s="15"/>
      <c r="U12" s="15"/>
      <c r="V12" s="15"/>
      <c r="W12" s="15"/>
      <c r="X12" s="15"/>
      <c r="Y12" s="15"/>
      <c r="Z12" s="15"/>
      <c r="AA12" s="15"/>
      <c r="AB12" s="15"/>
      <c r="AC12" s="15"/>
      <c r="AD12" s="15"/>
      <c r="AE12" s="105"/>
      <c r="AF12" s="62">
        <f>SUM(Tabla1[[#This Row],[Recursos propios]:[Recursos del Balance]])</f>
        <v>200000000</v>
      </c>
      <c r="AG12" s="132">
        <v>200000000</v>
      </c>
      <c r="AH12" s="109"/>
      <c r="AI12" s="109"/>
      <c r="AJ12" s="109"/>
      <c r="AK12" s="109"/>
      <c r="AL12" s="109"/>
      <c r="AM12" s="109"/>
      <c r="AN12" s="109"/>
      <c r="AO12" s="109"/>
      <c r="AP12" s="109"/>
      <c r="AQ12" s="109"/>
      <c r="AR12" s="109"/>
      <c r="AS12" s="109"/>
      <c r="AT12" s="109">
        <v>0</v>
      </c>
      <c r="AU12" s="35">
        <f>SUM(Tabla1[[#This Row],[Recursos propios2]:[Recursos del Balance2]])</f>
        <v>200000000</v>
      </c>
      <c r="AV12" s="109">
        <v>80000000</v>
      </c>
      <c r="AW12" s="111">
        <v>80000000</v>
      </c>
      <c r="AX12" s="68">
        <f>+Tabla1[[#This Row],[Total Recursos Comprometido]]/Tabla1[[#This Row],[Total 2025]]</f>
        <v>1</v>
      </c>
      <c r="AY12" s="19">
        <f>+Tabla1[[#This Row],[Total Recursos Obligados]]/Tabla1[[#This Row],[Total 2025]]</f>
        <v>0.4</v>
      </c>
      <c r="AZ12" s="69">
        <f>+Tabla1[[#This Row],[Total Recursos Pagados]]/Tabla1[[#This Row],[Total 2025]]</f>
        <v>0.4</v>
      </c>
      <c r="BA12" s="64"/>
      <c r="BB12" s="70">
        <f>+Tabla1[[#This Row],[Total Recursos Gestionados]]/Tabla1[[#This Row],[Ejecución Recursos Comprometidos]]</f>
        <v>0</v>
      </c>
      <c r="BC12" s="42" t="s">
        <v>49</v>
      </c>
      <c r="BD12" s="43" t="s">
        <v>50</v>
      </c>
      <c r="BE12" s="44">
        <v>17</v>
      </c>
    </row>
    <row r="13" spans="1:57" s="10" customFormat="1" ht="57">
      <c r="A13" s="38">
        <v>79</v>
      </c>
      <c r="B13" s="28" t="s">
        <v>40</v>
      </c>
      <c r="C13" s="28" t="s">
        <v>41</v>
      </c>
      <c r="D13" s="29" t="s">
        <v>42</v>
      </c>
      <c r="E13" s="28" t="s">
        <v>43</v>
      </c>
      <c r="F13" s="29" t="s">
        <v>54</v>
      </c>
      <c r="G13" s="28" t="s">
        <v>55</v>
      </c>
      <c r="H13" s="29">
        <v>390600300</v>
      </c>
      <c r="I13" s="28" t="s">
        <v>144</v>
      </c>
      <c r="J13" s="29">
        <v>0</v>
      </c>
      <c r="K13" s="29" t="s">
        <v>142</v>
      </c>
      <c r="L13" s="28" t="str">
        <f>+'[2]Plan Indicativo'!AC87</f>
        <v>Acumulativa</v>
      </c>
      <c r="M13" s="28">
        <f>+'[2]Plan Indicativo'!T87</f>
        <v>20</v>
      </c>
      <c r="N13" s="43">
        <f>+'[2]Plan Indicativo'!W87</f>
        <v>0</v>
      </c>
      <c r="O13" s="46">
        <v>0</v>
      </c>
      <c r="P13" s="41" t="e">
        <f>+Tabla1[[#This Row],[Logro Vigencia]]/Tabla1[[#This Row],[Meta Programada Vigencia]]</f>
        <v>#DIV/0!</v>
      </c>
      <c r="Q13" s="58"/>
      <c r="R13" s="104">
        <v>0</v>
      </c>
      <c r="S13" s="15"/>
      <c r="T13" s="15"/>
      <c r="U13" s="25"/>
      <c r="V13" s="15"/>
      <c r="W13" s="15"/>
      <c r="X13" s="15"/>
      <c r="Y13" s="15"/>
      <c r="Z13" s="15"/>
      <c r="AA13" s="15"/>
      <c r="AB13" s="15"/>
      <c r="AC13" s="15"/>
      <c r="AD13" s="25"/>
      <c r="AE13" s="105"/>
      <c r="AF13" s="62">
        <f>SUM(Tabla1[[#This Row],[Recursos propios]:[Recursos del Balance]])</f>
        <v>0</v>
      </c>
      <c r="AG13" s="132">
        <v>0</v>
      </c>
      <c r="AH13" s="109"/>
      <c r="AI13" s="109"/>
      <c r="AJ13" s="109"/>
      <c r="AK13" s="109"/>
      <c r="AL13" s="109"/>
      <c r="AM13" s="109"/>
      <c r="AN13" s="109"/>
      <c r="AO13" s="109"/>
      <c r="AP13" s="109"/>
      <c r="AQ13" s="109"/>
      <c r="AR13" s="109"/>
      <c r="AS13" s="109"/>
      <c r="AT13" s="109">
        <v>0</v>
      </c>
      <c r="AU13" s="35">
        <f>SUM(Tabla1[[#This Row],[Recursos propios2]:[Recursos del Balance2]])</f>
        <v>0</v>
      </c>
      <c r="AV13" s="108">
        <v>0</v>
      </c>
      <c r="AW13" s="110">
        <v>0</v>
      </c>
      <c r="AX13" s="21" t="e">
        <f>+Tabla1[[#This Row],[Total Recursos Comprometido]]/Tabla1[[#This Row],[Total 2025]]</f>
        <v>#DIV/0!</v>
      </c>
      <c r="AY13" s="18" t="e">
        <f>+Tabla1[[#This Row],[Total Recursos Obligados]]/Tabla1[[#This Row],[Total 2025]]</f>
        <v>#DIV/0!</v>
      </c>
      <c r="AZ13" s="22" t="e">
        <f>+Tabla1[[#This Row],[Total Recursos Pagados]]/Tabla1[[#This Row],[Total 2025]]</f>
        <v>#DIV/0!</v>
      </c>
      <c r="BA13" s="63"/>
      <c r="BB13" s="70" t="e">
        <f>+Tabla1[[#This Row],[Total Recursos Gestionados]]/Tabla1[[#This Row],[Ejecución Recursos Comprometidos]]</f>
        <v>#DIV/0!</v>
      </c>
      <c r="BC13" s="42" t="s">
        <v>49</v>
      </c>
      <c r="BD13" s="43" t="s">
        <v>50</v>
      </c>
      <c r="BE13" s="44">
        <v>17</v>
      </c>
    </row>
    <row r="14" spans="1:57" s="10" customFormat="1" ht="57">
      <c r="A14" s="38">
        <v>80</v>
      </c>
      <c r="B14" s="28" t="s">
        <v>40</v>
      </c>
      <c r="C14" s="28" t="s">
        <v>41</v>
      </c>
      <c r="D14" s="29" t="s">
        <v>42</v>
      </c>
      <c r="E14" s="28" t="s">
        <v>43</v>
      </c>
      <c r="F14" s="29" t="s">
        <v>56</v>
      </c>
      <c r="G14" s="28" t="s">
        <v>57</v>
      </c>
      <c r="H14" s="29">
        <v>390600500</v>
      </c>
      <c r="I14" s="28" t="s">
        <v>145</v>
      </c>
      <c r="J14" s="29">
        <v>0</v>
      </c>
      <c r="K14" s="29" t="s">
        <v>142</v>
      </c>
      <c r="L14" s="28" t="str">
        <f>+'[2]Plan Indicativo'!AC88</f>
        <v>Acumulativa</v>
      </c>
      <c r="M14" s="28">
        <f>+'[2]Plan Indicativo'!T88</f>
        <v>1</v>
      </c>
      <c r="N14" s="43">
        <f>+'[2]Plan Indicativo'!W88</f>
        <v>0</v>
      </c>
      <c r="O14" s="46">
        <v>0</v>
      </c>
      <c r="P14" s="41" t="e">
        <f>+Tabla1[[#This Row],[Logro Vigencia]]/Tabla1[[#This Row],[Meta Programada Vigencia]]</f>
        <v>#DIV/0!</v>
      </c>
      <c r="Q14" s="58"/>
      <c r="R14" s="106">
        <v>0</v>
      </c>
      <c r="S14" s="15"/>
      <c r="T14" s="15"/>
      <c r="U14" s="15"/>
      <c r="V14" s="15"/>
      <c r="W14" s="15"/>
      <c r="X14" s="15"/>
      <c r="Y14" s="15"/>
      <c r="Z14" s="15"/>
      <c r="AA14" s="15"/>
      <c r="AB14" s="15"/>
      <c r="AC14" s="15"/>
      <c r="AD14" s="15"/>
      <c r="AE14" s="105"/>
      <c r="AF14" s="62">
        <f>SUM(Tabla1[[#This Row],[Recursos propios]:[Recursos del Balance]])</f>
        <v>0</v>
      </c>
      <c r="AG14" s="132">
        <v>0</v>
      </c>
      <c r="AH14" s="109"/>
      <c r="AI14" s="109"/>
      <c r="AJ14" s="109"/>
      <c r="AK14" s="109"/>
      <c r="AL14" s="109"/>
      <c r="AM14" s="109"/>
      <c r="AN14" s="109"/>
      <c r="AO14" s="109"/>
      <c r="AP14" s="109"/>
      <c r="AQ14" s="109"/>
      <c r="AR14" s="109"/>
      <c r="AS14" s="109"/>
      <c r="AT14" s="109">
        <v>0</v>
      </c>
      <c r="AU14" s="35">
        <f>SUM(Tabla1[[#This Row],[Recursos propios2]:[Recursos del Balance2]])</f>
        <v>0</v>
      </c>
      <c r="AV14" s="109">
        <v>0</v>
      </c>
      <c r="AW14" s="111">
        <v>0</v>
      </c>
      <c r="AX14" s="68" t="e">
        <f>+Tabla1[[#This Row],[Total Recursos Comprometido]]/Tabla1[[#This Row],[Total 2025]]</f>
        <v>#DIV/0!</v>
      </c>
      <c r="AY14" s="19" t="e">
        <f>+Tabla1[[#This Row],[Total Recursos Obligados]]/Tabla1[[#This Row],[Total 2025]]</f>
        <v>#DIV/0!</v>
      </c>
      <c r="AZ14" s="69" t="e">
        <f>+Tabla1[[#This Row],[Total Recursos Pagados]]/Tabla1[[#This Row],[Total 2025]]</f>
        <v>#DIV/0!</v>
      </c>
      <c r="BA14" s="64"/>
      <c r="BB14" s="70" t="e">
        <f>+Tabla1[[#This Row],[Total Recursos Gestionados]]/Tabla1[[#This Row],[Ejecución Recursos Comprometidos]]</f>
        <v>#DIV/0!</v>
      </c>
      <c r="BC14" s="42" t="s">
        <v>49</v>
      </c>
      <c r="BD14" s="43" t="s">
        <v>50</v>
      </c>
      <c r="BE14" s="44">
        <v>17</v>
      </c>
    </row>
    <row r="15" spans="1:57" s="10" customFormat="1" ht="57">
      <c r="A15" s="38">
        <v>81</v>
      </c>
      <c r="B15" s="28" t="s">
        <v>40</v>
      </c>
      <c r="C15" s="28" t="s">
        <v>41</v>
      </c>
      <c r="D15" s="29" t="s">
        <v>42</v>
      </c>
      <c r="E15" s="28" t="s">
        <v>43</v>
      </c>
      <c r="F15" s="29" t="s">
        <v>58</v>
      </c>
      <c r="G15" s="29" t="s">
        <v>59</v>
      </c>
      <c r="H15" s="29">
        <v>390601800</v>
      </c>
      <c r="I15" s="29" t="s">
        <v>146</v>
      </c>
      <c r="J15" s="29">
        <v>0</v>
      </c>
      <c r="K15" s="29" t="s">
        <v>142</v>
      </c>
      <c r="L15" s="28" t="str">
        <f>+'[2]Plan Indicativo'!AC89</f>
        <v>Acumulativa</v>
      </c>
      <c r="M15" s="28">
        <f>+'[2]Plan Indicativo'!T89</f>
        <v>1</v>
      </c>
      <c r="N15" s="43">
        <f>+'[2]Plan Indicativo'!W89</f>
        <v>0</v>
      </c>
      <c r="O15" s="40">
        <v>0</v>
      </c>
      <c r="P15" s="45" t="e">
        <f>+Tabla1[[#This Row],[Logro Vigencia]]/Tabla1[[#This Row],[Meta Programada Vigencia]]</f>
        <v>#DIV/0!</v>
      </c>
      <c r="Q15" s="59"/>
      <c r="R15" s="104">
        <v>0</v>
      </c>
      <c r="S15" s="15"/>
      <c r="T15" s="15"/>
      <c r="U15" s="15"/>
      <c r="V15" s="15"/>
      <c r="W15" s="15"/>
      <c r="X15" s="15"/>
      <c r="Y15" s="15"/>
      <c r="Z15" s="15"/>
      <c r="AA15" s="15"/>
      <c r="AB15" s="15"/>
      <c r="AC15" s="15"/>
      <c r="AD15" s="15"/>
      <c r="AE15" s="105"/>
      <c r="AF15" s="62">
        <f>SUM(Tabla1[[#This Row],[Recursos propios]:[Recursos del Balance]])</f>
        <v>0</v>
      </c>
      <c r="AG15" s="132">
        <v>0</v>
      </c>
      <c r="AH15" s="109"/>
      <c r="AI15" s="109"/>
      <c r="AJ15" s="109"/>
      <c r="AK15" s="109"/>
      <c r="AL15" s="109"/>
      <c r="AM15" s="109"/>
      <c r="AN15" s="109"/>
      <c r="AO15" s="109"/>
      <c r="AP15" s="109"/>
      <c r="AQ15" s="109"/>
      <c r="AR15" s="109"/>
      <c r="AS15" s="109"/>
      <c r="AT15" s="109">
        <v>0</v>
      </c>
      <c r="AU15" s="35">
        <f>SUM(Tabla1[[#This Row],[Recursos propios2]:[Recursos del Balance2]])</f>
        <v>0</v>
      </c>
      <c r="AV15" s="109">
        <v>0</v>
      </c>
      <c r="AW15" s="111">
        <v>0</v>
      </c>
      <c r="AX15" s="20" t="e">
        <f>+Tabla1[[#This Row],[Total Recursos Comprometido]]/Tabla1[[#This Row],[Total 2025]]</f>
        <v>#DIV/0!</v>
      </c>
      <c r="AY15" s="33" t="e">
        <f>+Tabla1[[#This Row],[Total Recursos Obligados]]/Tabla1[[#This Row],[Total 2025]]</f>
        <v>#DIV/0!</v>
      </c>
      <c r="AZ15" s="34" t="e">
        <f>+Tabla1[[#This Row],[Total Recursos Pagados]]/Tabla1[[#This Row],[Total 2025]]</f>
        <v>#DIV/0!</v>
      </c>
      <c r="BA15" s="65"/>
      <c r="BB15" s="70" t="e">
        <f>+Tabla1[[#This Row],[Total Recursos Gestionados]]/Tabla1[[#This Row],[Ejecución Recursos Comprometidos]]</f>
        <v>#DIV/0!</v>
      </c>
      <c r="BC15" s="42" t="s">
        <v>49</v>
      </c>
      <c r="BD15" s="43" t="s">
        <v>50</v>
      </c>
      <c r="BE15" s="44"/>
    </row>
    <row r="16" spans="1:57" s="10" customFormat="1" ht="42.75">
      <c r="A16" s="38">
        <v>82</v>
      </c>
      <c r="B16" s="28" t="s">
        <v>40</v>
      </c>
      <c r="C16" s="28" t="s">
        <v>60</v>
      </c>
      <c r="D16" s="28" t="s">
        <v>61</v>
      </c>
      <c r="E16" s="28" t="s">
        <v>62</v>
      </c>
      <c r="F16" s="28" t="s">
        <v>63</v>
      </c>
      <c r="G16" s="28" t="s">
        <v>64</v>
      </c>
      <c r="H16" s="28">
        <v>230107600</v>
      </c>
      <c r="I16" s="28" t="s">
        <v>147</v>
      </c>
      <c r="J16" s="28">
        <v>88</v>
      </c>
      <c r="K16" s="28" t="s">
        <v>142</v>
      </c>
      <c r="L16" s="28" t="str">
        <f>+'[2]Plan Indicativo'!AC90</f>
        <v>No Acumulativa</v>
      </c>
      <c r="M16" s="28">
        <f>+'[2]Plan Indicativo'!T90</f>
        <v>24</v>
      </c>
      <c r="N16" s="43">
        <f>+'[2]Plan Indicativo'!W90</f>
        <v>2</v>
      </c>
      <c r="O16" s="46">
        <v>2</v>
      </c>
      <c r="P16" s="47">
        <f>+Tabla1[[#This Row],[Logro Vigencia]]/Tabla1[[#This Row],[Meta Programada Vigencia]]</f>
        <v>1</v>
      </c>
      <c r="Q16" s="60"/>
      <c r="R16" s="102">
        <v>1374000000</v>
      </c>
      <c r="S16" s="17"/>
      <c r="T16" s="17"/>
      <c r="U16" s="17"/>
      <c r="V16" s="17"/>
      <c r="W16" s="17"/>
      <c r="X16" s="17"/>
      <c r="Y16" s="17"/>
      <c r="Z16" s="17"/>
      <c r="AA16" s="17"/>
      <c r="AB16" s="17"/>
      <c r="AC16" s="17"/>
      <c r="AD16" s="26"/>
      <c r="AE16" s="103">
        <v>800000000</v>
      </c>
      <c r="AF16" s="62">
        <f>SUM(Tabla1[[#This Row],[Recursos propios]:[Recursos del Balance]])</f>
        <v>2174000000</v>
      </c>
      <c r="AG16" s="132">
        <v>1184701878</v>
      </c>
      <c r="AH16" s="108"/>
      <c r="AI16" s="108"/>
      <c r="AJ16" s="108"/>
      <c r="AK16" s="108"/>
      <c r="AL16" s="108"/>
      <c r="AM16" s="108"/>
      <c r="AN16" s="108"/>
      <c r="AO16" s="108"/>
      <c r="AP16" s="108"/>
      <c r="AQ16" s="108"/>
      <c r="AR16" s="108"/>
      <c r="AS16" s="108"/>
      <c r="AT16" s="108">
        <v>777226299.66999996</v>
      </c>
      <c r="AU16" s="35">
        <f>SUM(Tabla1[[#This Row],[Recursos propios2]:[Recursos del Balance2]])</f>
        <v>1961928177.6700001</v>
      </c>
      <c r="AV16" s="108">
        <v>1585207137.05</v>
      </c>
      <c r="AW16" s="110">
        <v>589722797.05999994</v>
      </c>
      <c r="AX16" s="21">
        <f>+Tabla1[[#This Row],[Total Recursos Comprometido]]/Tabla1[[#This Row],[Total 2025]]</f>
        <v>0.90245086369365224</v>
      </c>
      <c r="AY16" s="18">
        <f>+Tabla1[[#This Row],[Total Recursos Obligados]]/Tabla1[[#This Row],[Total 2025]]</f>
        <v>0.72916611639834406</v>
      </c>
      <c r="AZ16" s="22">
        <f>+Tabla1[[#This Row],[Total Recursos Pagados]]/Tabla1[[#This Row],[Total 2025]]</f>
        <v>0.27126163618215271</v>
      </c>
      <c r="BA16" s="63"/>
      <c r="BB16" s="70">
        <f>+Tabla1[[#This Row],[Total Recursos Gestionados]]/Tabla1[[#This Row],[Ejecución Recursos Comprometidos]]</f>
        <v>0</v>
      </c>
      <c r="BC16" s="42" t="s">
        <v>49</v>
      </c>
      <c r="BD16" s="43" t="s">
        <v>50</v>
      </c>
      <c r="BE16" s="44" t="s">
        <v>66</v>
      </c>
    </row>
    <row r="17" spans="1:57" s="10" customFormat="1" ht="57">
      <c r="A17" s="38">
        <v>83</v>
      </c>
      <c r="B17" s="28" t="s">
        <v>40</v>
      </c>
      <c r="C17" s="28" t="s">
        <v>60</v>
      </c>
      <c r="D17" s="29" t="s">
        <v>67</v>
      </c>
      <c r="E17" s="28" t="s">
        <v>68</v>
      </c>
      <c r="F17" s="29" t="s">
        <v>69</v>
      </c>
      <c r="G17" s="28" t="s">
        <v>70</v>
      </c>
      <c r="H17" s="29">
        <v>230208600</v>
      </c>
      <c r="I17" s="28" t="s">
        <v>148</v>
      </c>
      <c r="J17" s="29">
        <v>0</v>
      </c>
      <c r="K17" s="29" t="s">
        <v>142</v>
      </c>
      <c r="L17" s="28" t="str">
        <f>+'[2]Plan Indicativo'!AC91</f>
        <v>Acumulativa</v>
      </c>
      <c r="M17" s="28">
        <f>+'[2]Plan Indicativo'!T91</f>
        <v>3</v>
      </c>
      <c r="N17" s="43">
        <f>+'[2]Plan Indicativo'!W91</f>
        <v>1</v>
      </c>
      <c r="O17" s="40">
        <v>1</v>
      </c>
      <c r="P17" s="41">
        <f>+Tabla1[[#This Row],[Logro Vigencia]]/Tabla1[[#This Row],[Meta Programada Vigencia]]</f>
        <v>1</v>
      </c>
      <c r="Q17" s="58"/>
      <c r="R17" s="104">
        <v>835800000</v>
      </c>
      <c r="S17" s="15"/>
      <c r="T17" s="15"/>
      <c r="U17" s="15"/>
      <c r="V17" s="15"/>
      <c r="W17" s="15"/>
      <c r="X17" s="15"/>
      <c r="Y17" s="15"/>
      <c r="Z17" s="15"/>
      <c r="AA17" s="15"/>
      <c r="AB17" s="15"/>
      <c r="AC17" s="15"/>
      <c r="AD17" s="105">
        <v>60000000</v>
      </c>
      <c r="AE17" s="105">
        <v>938495658.66999996</v>
      </c>
      <c r="AF17" s="62">
        <f>SUM(Tabla1[[#This Row],[Recursos propios]:[Recursos del Balance]])</f>
        <v>1834295658.6700001</v>
      </c>
      <c r="AG17" s="132">
        <v>818255825.01999998</v>
      </c>
      <c r="AH17" s="109"/>
      <c r="AI17" s="109"/>
      <c r="AJ17" s="109"/>
      <c r="AK17" s="109"/>
      <c r="AL17" s="109"/>
      <c r="AM17" s="109"/>
      <c r="AN17" s="109"/>
      <c r="AO17" s="109"/>
      <c r="AP17" s="109"/>
      <c r="AQ17" s="109"/>
      <c r="AR17" s="109"/>
      <c r="AS17" s="109"/>
      <c r="AT17" s="109">
        <v>927335259.47000003</v>
      </c>
      <c r="AU17" s="35">
        <f>SUM(Tabla1[[#This Row],[Recursos propios2]:[Recursos del Balance2]])</f>
        <v>1745591084.49</v>
      </c>
      <c r="AV17" s="109">
        <v>1503769250.49</v>
      </c>
      <c r="AW17" s="109">
        <v>887681420.87</v>
      </c>
      <c r="AX17" s="68">
        <f>+Tabla1[[#This Row],[Total Recursos Comprometido]]/Tabla1[[#This Row],[Total 2025]]</f>
        <v>0.95164107064162307</v>
      </c>
      <c r="AY17" s="19">
        <f>+Tabla1[[#This Row],[Total Recursos Obligados]]/Tabla1[[#This Row],[Total 2025]]</f>
        <v>0.81980745218594908</v>
      </c>
      <c r="AZ17" s="69">
        <f>+Tabla1[[#This Row],[Total Recursos Pagados]]/Tabla1[[#This Row],[Total 2025]]</f>
        <v>0.4839358457150984</v>
      </c>
      <c r="BA17" s="64"/>
      <c r="BB17" s="70">
        <f>+Tabla1[[#This Row],[Total Recursos Gestionados]]/Tabla1[[#This Row],[Ejecución Recursos Comprometidos]]</f>
        <v>0</v>
      </c>
      <c r="BC17" s="42" t="s">
        <v>49</v>
      </c>
      <c r="BD17" s="43" t="s">
        <v>50</v>
      </c>
      <c r="BE17" s="44" t="s">
        <v>66</v>
      </c>
    </row>
    <row r="18" spans="1:57" s="10" customFormat="1" ht="57">
      <c r="A18" s="38">
        <v>84</v>
      </c>
      <c r="B18" s="28" t="s">
        <v>40</v>
      </c>
      <c r="C18" s="28" t="s">
        <v>60</v>
      </c>
      <c r="D18" s="29" t="s">
        <v>67</v>
      </c>
      <c r="E18" s="28" t="s">
        <v>68</v>
      </c>
      <c r="F18" s="29" t="s">
        <v>72</v>
      </c>
      <c r="G18" s="28" t="s">
        <v>73</v>
      </c>
      <c r="H18" s="29">
        <v>230203600</v>
      </c>
      <c r="I18" s="28" t="s">
        <v>149</v>
      </c>
      <c r="J18" s="29">
        <v>0</v>
      </c>
      <c r="K18" s="29" t="s">
        <v>142</v>
      </c>
      <c r="L18" s="28" t="str">
        <f>+'[2]Plan Indicativo'!AC92</f>
        <v>Acumulativa</v>
      </c>
      <c r="M18" s="28">
        <f>+'[2]Plan Indicativo'!T92</f>
        <v>1</v>
      </c>
      <c r="N18" s="43">
        <f>+'[2]Plan Indicativo'!W92</f>
        <v>0.25</v>
      </c>
      <c r="O18" s="40">
        <v>0.25</v>
      </c>
      <c r="P18" s="41">
        <f>+Tabla1[[#This Row],[Logro Vigencia]]/Tabla1[[#This Row],[Meta Programada Vigencia]]</f>
        <v>1</v>
      </c>
      <c r="Q18" s="58"/>
      <c r="R18" s="104">
        <v>64200000</v>
      </c>
      <c r="S18" s="15"/>
      <c r="T18" s="15"/>
      <c r="U18" s="15"/>
      <c r="V18" s="15"/>
      <c r="W18" s="15"/>
      <c r="X18" s="15"/>
      <c r="Y18" s="15"/>
      <c r="Z18" s="15"/>
      <c r="AA18" s="15"/>
      <c r="AB18" s="15"/>
      <c r="AC18" s="15"/>
      <c r="AD18" s="105">
        <v>15504341.33</v>
      </c>
      <c r="AE18" s="105">
        <v>45000000</v>
      </c>
      <c r="AF18" s="62">
        <f>SUM(Tabla1[[#This Row],[Recursos propios]:[Recursos del Balance]])</f>
        <v>124704341.33</v>
      </c>
      <c r="AG18" s="132">
        <v>64200000</v>
      </c>
      <c r="AH18" s="109"/>
      <c r="AI18" s="109"/>
      <c r="AJ18" s="109"/>
      <c r="AK18" s="109"/>
      <c r="AL18" s="109"/>
      <c r="AM18" s="109"/>
      <c r="AN18" s="109"/>
      <c r="AO18" s="109"/>
      <c r="AP18" s="109"/>
      <c r="AQ18" s="109"/>
      <c r="AR18" s="109"/>
      <c r="AS18" s="109"/>
      <c r="AT18" s="109">
        <v>45000000</v>
      </c>
      <c r="AU18" s="35">
        <f>SUM(Tabla1[[#This Row],[Recursos propios2]:[Recursos del Balance2]])</f>
        <v>109200000</v>
      </c>
      <c r="AV18" s="109">
        <v>109200000</v>
      </c>
      <c r="AW18" s="109">
        <v>109200000</v>
      </c>
      <c r="AX18" s="68">
        <f>+Tabla1[[#This Row],[Total Recursos Comprometido]]/Tabla1[[#This Row],[Total 2025]]</f>
        <v>0.87567119825466622</v>
      </c>
      <c r="AY18" s="19">
        <f>+Tabla1[[#This Row],[Total Recursos Obligados]]/Tabla1[[#This Row],[Total 2025]]</f>
        <v>0.87567119825466622</v>
      </c>
      <c r="AZ18" s="69">
        <f>+Tabla1[[#This Row],[Total Recursos Pagados]]/Tabla1[[#This Row],[Total 2025]]</f>
        <v>0.87567119825466622</v>
      </c>
      <c r="BA18" s="64"/>
      <c r="BB18" s="70">
        <f>+Tabla1[[#This Row],[Total Recursos Gestionados]]/Tabla1[[#This Row],[Ejecución Recursos Comprometidos]]</f>
        <v>0</v>
      </c>
      <c r="BC18" s="42" t="s">
        <v>49</v>
      </c>
      <c r="BD18" s="43" t="s">
        <v>50</v>
      </c>
      <c r="BE18" s="44" t="s">
        <v>66</v>
      </c>
    </row>
    <row r="19" spans="1:57" s="10" customFormat="1" ht="42.75">
      <c r="A19" s="38">
        <v>85</v>
      </c>
      <c r="B19" s="28" t="s">
        <v>40</v>
      </c>
      <c r="C19" s="28" t="s">
        <v>60</v>
      </c>
      <c r="D19" s="29" t="s">
        <v>61</v>
      </c>
      <c r="E19" s="28" t="s">
        <v>62</v>
      </c>
      <c r="F19" s="29" t="s">
        <v>74</v>
      </c>
      <c r="G19" s="28" t="s">
        <v>75</v>
      </c>
      <c r="H19" s="29">
        <v>230100400</v>
      </c>
      <c r="I19" s="28" t="s">
        <v>150</v>
      </c>
      <c r="J19" s="29">
        <v>0</v>
      </c>
      <c r="K19" s="29" t="s">
        <v>142</v>
      </c>
      <c r="L19" s="28" t="str">
        <f>+'[2]Plan Indicativo'!AC93</f>
        <v>Acumulativa</v>
      </c>
      <c r="M19" s="28">
        <f>+'[2]Plan Indicativo'!T93</f>
        <v>12</v>
      </c>
      <c r="N19" s="43">
        <f>+'[2]Plan Indicativo'!W93</f>
        <v>3</v>
      </c>
      <c r="O19" s="40">
        <v>3</v>
      </c>
      <c r="P19" s="41">
        <f>+Tabla1[[#This Row],[Logro Vigencia]]/Tabla1[[#This Row],[Meta Programada Vigencia]]</f>
        <v>1</v>
      </c>
      <c r="Q19" s="58"/>
      <c r="R19" s="104">
        <v>3000000000</v>
      </c>
      <c r="S19" s="15"/>
      <c r="T19" s="15"/>
      <c r="U19" s="15"/>
      <c r="V19" s="15"/>
      <c r="W19" s="15"/>
      <c r="X19" s="15"/>
      <c r="Y19" s="15"/>
      <c r="Z19" s="15"/>
      <c r="AA19" s="15"/>
      <c r="AB19" s="15"/>
      <c r="AC19" s="15"/>
      <c r="AD19" s="15"/>
      <c r="AE19" s="105">
        <v>1470000000</v>
      </c>
      <c r="AF19" s="62">
        <f>SUM(Tabla1[[#This Row],[Recursos propios]:[Recursos del Balance]])</f>
        <v>4470000000</v>
      </c>
      <c r="AG19" s="132">
        <v>56400000</v>
      </c>
      <c r="AH19" s="109"/>
      <c r="AI19" s="109"/>
      <c r="AJ19" s="109"/>
      <c r="AK19" s="109"/>
      <c r="AL19" s="109"/>
      <c r="AM19" s="109"/>
      <c r="AN19" s="109"/>
      <c r="AO19" s="109"/>
      <c r="AP19" s="109"/>
      <c r="AQ19" s="109"/>
      <c r="AR19" s="109"/>
      <c r="AS19" s="109"/>
      <c r="AT19" s="109">
        <v>4409747224</v>
      </c>
      <c r="AU19" s="35">
        <f>SUM(Tabla1[[#This Row],[Recursos propios2]:[Recursos del Balance2]])</f>
        <v>4466147224</v>
      </c>
      <c r="AV19" s="109">
        <v>2036057900</v>
      </c>
      <c r="AW19" s="111">
        <v>2036057900</v>
      </c>
      <c r="AX19" s="68">
        <f>+Tabla1[[#This Row],[Total Recursos Comprometido]]/Tabla1[[#This Row],[Total 2025]]</f>
        <v>0.9991380814317673</v>
      </c>
      <c r="AY19" s="19">
        <f>+Tabla1[[#This Row],[Total Recursos Obligados]]/Tabla1[[#This Row],[Total 2025]]</f>
        <v>0.45549393736017896</v>
      </c>
      <c r="AZ19" s="69">
        <f>+Tabla1[[#This Row],[Total Recursos Pagados]]/Tabla1[[#This Row],[Total 2025]]</f>
        <v>0.45549393736017896</v>
      </c>
      <c r="BA19" s="64"/>
      <c r="BB19" s="70">
        <f>+Tabla1[[#This Row],[Total Recursos Gestionados]]/Tabla1[[#This Row],[Ejecución Recursos Comprometidos]]</f>
        <v>0</v>
      </c>
      <c r="BC19" s="42" t="s">
        <v>77</v>
      </c>
      <c r="BD19" s="43" t="s">
        <v>50</v>
      </c>
      <c r="BE19" s="44"/>
    </row>
    <row r="20" spans="1:57" s="10" customFormat="1" ht="57">
      <c r="A20" s="38">
        <v>86</v>
      </c>
      <c r="B20" s="28" t="s">
        <v>40</v>
      </c>
      <c r="C20" s="28" t="s">
        <v>60</v>
      </c>
      <c r="D20" s="29" t="s">
        <v>67</v>
      </c>
      <c r="E20" s="28" t="s">
        <v>68</v>
      </c>
      <c r="F20" s="29" t="s">
        <v>78</v>
      </c>
      <c r="G20" s="28" t="s">
        <v>79</v>
      </c>
      <c r="H20" s="29">
        <v>230200200</v>
      </c>
      <c r="I20" s="28" t="s">
        <v>151</v>
      </c>
      <c r="J20" s="29">
        <v>71</v>
      </c>
      <c r="K20" s="29" t="s">
        <v>142</v>
      </c>
      <c r="L20" s="28" t="str">
        <f>+'[2]Plan Indicativo'!AC94</f>
        <v>Acumulativa</v>
      </c>
      <c r="M20" s="28">
        <f>+'[2]Plan Indicativo'!T94</f>
        <v>83</v>
      </c>
      <c r="N20" s="43">
        <f>+'[2]Plan Indicativo'!W94</f>
        <v>21</v>
      </c>
      <c r="O20" s="40">
        <v>21</v>
      </c>
      <c r="P20" s="41">
        <f>+Tabla1[[#This Row],[Logro Vigencia]]/Tabla1[[#This Row],[Meta Programada Vigencia]]</f>
        <v>1</v>
      </c>
      <c r="Q20" s="58"/>
      <c r="R20" s="104">
        <v>200000000</v>
      </c>
      <c r="S20" s="15"/>
      <c r="T20" s="15"/>
      <c r="U20" s="15"/>
      <c r="V20" s="15"/>
      <c r="W20" s="15"/>
      <c r="X20" s="15"/>
      <c r="Y20" s="15"/>
      <c r="Z20" s="15"/>
      <c r="AA20" s="15"/>
      <c r="AB20" s="15"/>
      <c r="AC20" s="15"/>
      <c r="AD20" s="15"/>
      <c r="AE20" s="105">
        <v>210000000</v>
      </c>
      <c r="AF20" s="62">
        <f>SUM(Tabla1[[#This Row],[Recursos propios]:[Recursos del Balance]])</f>
        <v>410000000</v>
      </c>
      <c r="AG20" s="132">
        <v>200000000</v>
      </c>
      <c r="AH20" s="109"/>
      <c r="AI20" s="109"/>
      <c r="AJ20" s="109"/>
      <c r="AK20" s="109"/>
      <c r="AL20" s="109"/>
      <c r="AM20" s="109"/>
      <c r="AN20" s="109"/>
      <c r="AO20" s="109"/>
      <c r="AP20" s="109"/>
      <c r="AQ20" s="109"/>
      <c r="AR20" s="109"/>
      <c r="AS20" s="109"/>
      <c r="AT20" s="109">
        <v>175203666.66</v>
      </c>
      <c r="AU20" s="35">
        <f>SUM(Tabla1[[#This Row],[Recursos propios2]:[Recursos del Balance2]])</f>
        <v>375203666.65999997</v>
      </c>
      <c r="AV20" s="109">
        <v>375203666.66000003</v>
      </c>
      <c r="AW20" s="111">
        <v>375203666.66000003</v>
      </c>
      <c r="AX20" s="68">
        <f>+Tabla1[[#This Row],[Total Recursos Comprometido]]/Tabla1[[#This Row],[Total 2025]]</f>
        <v>0.91513089429268279</v>
      </c>
      <c r="AY20" s="19">
        <f>+Tabla1[[#This Row],[Total Recursos Obligados]]/Tabla1[[#This Row],[Total 2025]]</f>
        <v>0.91513089429268302</v>
      </c>
      <c r="AZ20" s="69">
        <f>+Tabla1[[#This Row],[Total Recursos Pagados]]/Tabla1[[#This Row],[Total 2025]]</f>
        <v>0.91513089429268302</v>
      </c>
      <c r="BA20" s="64"/>
      <c r="BB20" s="70">
        <f>+Tabla1[[#This Row],[Total Recursos Gestionados]]/Tabla1[[#This Row],[Ejecución Recursos Comprometidos]]</f>
        <v>0</v>
      </c>
      <c r="BC20" s="42" t="s">
        <v>77</v>
      </c>
      <c r="BD20" s="43" t="s">
        <v>50</v>
      </c>
      <c r="BE20" s="44"/>
    </row>
    <row r="21" spans="1:57" s="10" customFormat="1" ht="57">
      <c r="A21" s="38">
        <v>87</v>
      </c>
      <c r="B21" s="28" t="s">
        <v>40</v>
      </c>
      <c r="C21" s="28" t="s">
        <v>60</v>
      </c>
      <c r="D21" s="29" t="s">
        <v>67</v>
      </c>
      <c r="E21" s="28" t="s">
        <v>68</v>
      </c>
      <c r="F21" s="29" t="s">
        <v>81</v>
      </c>
      <c r="G21" s="28" t="s">
        <v>82</v>
      </c>
      <c r="H21" s="29">
        <v>230204100</v>
      </c>
      <c r="I21" s="28" t="s">
        <v>152</v>
      </c>
      <c r="J21" s="29">
        <v>0</v>
      </c>
      <c r="K21" s="29" t="s">
        <v>142</v>
      </c>
      <c r="L21" s="28" t="str">
        <f>+'[2]Plan Indicativo'!AC95</f>
        <v>Acumulativa</v>
      </c>
      <c r="M21" s="28">
        <f>+'[2]Plan Indicativo'!T95</f>
        <v>150</v>
      </c>
      <c r="N21" s="43">
        <f>+'[2]Plan Indicativo'!W95</f>
        <v>38</v>
      </c>
      <c r="O21" s="40">
        <v>38</v>
      </c>
      <c r="P21" s="41">
        <f>+Tabla1[[#This Row],[Logro Vigencia]]/Tabla1[[#This Row],[Meta Programada Vigencia]]</f>
        <v>1</v>
      </c>
      <c r="Q21" s="58"/>
      <c r="R21" s="104">
        <v>200000000</v>
      </c>
      <c r="S21" s="15"/>
      <c r="T21" s="15"/>
      <c r="U21" s="15"/>
      <c r="V21" s="15"/>
      <c r="W21" s="15"/>
      <c r="X21" s="15"/>
      <c r="Y21" s="15"/>
      <c r="Z21" s="15"/>
      <c r="AA21" s="15"/>
      <c r="AB21" s="15"/>
      <c r="AC21" s="15"/>
      <c r="AD21" s="15"/>
      <c r="AE21" s="105">
        <v>210000000</v>
      </c>
      <c r="AF21" s="62">
        <f>SUM(Tabla1[[#This Row],[Recursos propios]:[Recursos del Balance]])</f>
        <v>410000000</v>
      </c>
      <c r="AG21" s="132">
        <v>171498666.66999999</v>
      </c>
      <c r="AH21" s="109"/>
      <c r="AI21" s="109"/>
      <c r="AJ21" s="109"/>
      <c r="AK21" s="109"/>
      <c r="AL21" s="109"/>
      <c r="AM21" s="109"/>
      <c r="AN21" s="109"/>
      <c r="AO21" s="109"/>
      <c r="AP21" s="109"/>
      <c r="AQ21" s="109"/>
      <c r="AR21" s="109"/>
      <c r="AS21" s="109"/>
      <c r="AT21" s="109">
        <v>182110000</v>
      </c>
      <c r="AU21" s="35">
        <f>SUM(Tabla1[[#This Row],[Recursos propios2]:[Recursos del Balance2]])</f>
        <v>353608666.66999996</v>
      </c>
      <c r="AV21" s="109">
        <v>353608666.67000002</v>
      </c>
      <c r="AW21" s="111">
        <v>353358666.67000002</v>
      </c>
      <c r="AX21" s="68">
        <f>+Tabla1[[#This Row],[Total Recursos Comprometido]]/Tabla1[[#This Row],[Total 2025]]</f>
        <v>0.862460162609756</v>
      </c>
      <c r="AY21" s="19">
        <f>+Tabla1[[#This Row],[Total Recursos Obligados]]/Tabla1[[#This Row],[Total 2025]]</f>
        <v>0.86246016260975611</v>
      </c>
      <c r="AZ21" s="69">
        <f>+Tabla1[[#This Row],[Total Recursos Pagados]]/Tabla1[[#This Row],[Total 2025]]</f>
        <v>0.86185040651219513</v>
      </c>
      <c r="BA21" s="64"/>
      <c r="BB21" s="70">
        <f>+Tabla1[[#This Row],[Total Recursos Gestionados]]/Tabla1[[#This Row],[Ejecución Recursos Comprometidos]]</f>
        <v>0</v>
      </c>
      <c r="BC21" s="42" t="s">
        <v>77</v>
      </c>
      <c r="BD21" s="43" t="s">
        <v>50</v>
      </c>
      <c r="BE21" s="44"/>
    </row>
    <row r="22" spans="1:57" s="10" customFormat="1" ht="57">
      <c r="A22" s="38">
        <v>237</v>
      </c>
      <c r="B22" s="28" t="s">
        <v>83</v>
      </c>
      <c r="C22" s="28" t="s">
        <v>84</v>
      </c>
      <c r="D22" s="29" t="s">
        <v>85</v>
      </c>
      <c r="E22" s="28" t="s">
        <v>86</v>
      </c>
      <c r="F22" s="29" t="s">
        <v>87</v>
      </c>
      <c r="G22" s="28" t="s">
        <v>88</v>
      </c>
      <c r="H22" s="29">
        <v>459902000</v>
      </c>
      <c r="I22" s="28" t="s">
        <v>153</v>
      </c>
      <c r="J22" s="29">
        <v>1</v>
      </c>
      <c r="K22" s="29" t="s">
        <v>142</v>
      </c>
      <c r="L22" s="29" t="str">
        <f>+'[2]Plan Indicativo'!AC245</f>
        <v>No Acumulativa</v>
      </c>
      <c r="M22" s="29">
        <f>+'[2]Plan Indicativo'!T245</f>
        <v>1</v>
      </c>
      <c r="N22" s="39">
        <f>+'[2]Plan Indicativo'!W245</f>
        <v>1</v>
      </c>
      <c r="O22" s="40">
        <v>1</v>
      </c>
      <c r="P22" s="41">
        <f>+Tabla1[[#This Row],[Logro Vigencia]]/Tabla1[[#This Row],[Meta Programada Vigencia]]</f>
        <v>1</v>
      </c>
      <c r="Q22" s="58"/>
      <c r="R22" s="104">
        <v>100000000</v>
      </c>
      <c r="S22" s="15"/>
      <c r="T22" s="15"/>
      <c r="U22" s="15"/>
      <c r="V22" s="15"/>
      <c r="W22" s="15"/>
      <c r="X22" s="15"/>
      <c r="Y22" s="15"/>
      <c r="Z22" s="15"/>
      <c r="AA22" s="15"/>
      <c r="AB22" s="15"/>
      <c r="AC22" s="15"/>
      <c r="AD22" s="15"/>
      <c r="AE22" s="105">
        <v>168240000</v>
      </c>
      <c r="AF22" s="62">
        <f>SUM(Tabla1[[#This Row],[Recursos propios]:[Recursos del Balance]])</f>
        <v>268240000</v>
      </c>
      <c r="AG22" s="132">
        <v>100000000</v>
      </c>
      <c r="AH22" s="109"/>
      <c r="AI22" s="109"/>
      <c r="AJ22" s="109"/>
      <c r="AK22" s="109"/>
      <c r="AL22" s="109"/>
      <c r="AM22" s="109"/>
      <c r="AN22" s="109"/>
      <c r="AO22" s="109"/>
      <c r="AP22" s="109"/>
      <c r="AQ22" s="109"/>
      <c r="AR22" s="109"/>
      <c r="AS22" s="109"/>
      <c r="AT22" s="109">
        <v>167832000</v>
      </c>
      <c r="AU22" s="35">
        <f>SUM(Tabla1[[#This Row],[Recursos propios2]:[Recursos del Balance2]])</f>
        <v>267832000</v>
      </c>
      <c r="AV22" s="109">
        <v>267832000</v>
      </c>
      <c r="AW22" s="111">
        <v>261832000</v>
      </c>
      <c r="AX22" s="68">
        <f>+Tabla1[[#This Row],[Total Recursos Comprometido]]/Tabla1[[#This Row],[Total 2025]]</f>
        <v>0.99847897405308683</v>
      </c>
      <c r="AY22" s="19">
        <f>+Tabla1[[#This Row],[Total Recursos Obligados]]/Tabla1[[#This Row],[Total 2025]]</f>
        <v>0.99847897405308683</v>
      </c>
      <c r="AZ22" s="69">
        <f>+Tabla1[[#This Row],[Total Recursos Pagados]]/Tabla1[[#This Row],[Total 2025]]</f>
        <v>0.97611094542201016</v>
      </c>
      <c r="BA22" s="64"/>
      <c r="BB22" s="70">
        <f>+Tabla1[[#This Row],[Total Recursos Gestionados]]/Tabla1[[#This Row],[Ejecución Recursos Comprometidos]]</f>
        <v>0</v>
      </c>
      <c r="BC22" s="42" t="s">
        <v>90</v>
      </c>
      <c r="BD22" s="43" t="s">
        <v>50</v>
      </c>
      <c r="BE22" s="44">
        <v>10.11</v>
      </c>
    </row>
    <row r="23" spans="1:57" s="10" customFormat="1" ht="42.75">
      <c r="A23" s="38">
        <v>238</v>
      </c>
      <c r="B23" s="28" t="s">
        <v>83</v>
      </c>
      <c r="C23" s="28" t="s">
        <v>84</v>
      </c>
      <c r="D23" s="29" t="s">
        <v>85</v>
      </c>
      <c r="E23" s="28" t="s">
        <v>86</v>
      </c>
      <c r="F23" s="29" t="s">
        <v>91</v>
      </c>
      <c r="G23" s="28" t="s">
        <v>92</v>
      </c>
      <c r="H23" s="29">
        <v>459903800</v>
      </c>
      <c r="I23" s="28" t="s">
        <v>154</v>
      </c>
      <c r="J23" s="29">
        <v>658</v>
      </c>
      <c r="K23" s="29" t="s">
        <v>142</v>
      </c>
      <c r="L23" s="29" t="str">
        <f>+'[2]Plan Indicativo'!AC246</f>
        <v>No Acumulativa</v>
      </c>
      <c r="M23" s="29">
        <f>+'[2]Plan Indicativo'!T246</f>
        <v>658</v>
      </c>
      <c r="N23" s="39">
        <f>+'[2]Plan Indicativo'!W246</f>
        <v>658</v>
      </c>
      <c r="O23" s="40">
        <v>658</v>
      </c>
      <c r="P23" s="41">
        <f>+Tabla1[[#This Row],[Logro Vigencia]]/Tabla1[[#This Row],[Meta Programada Vigencia]]</f>
        <v>1</v>
      </c>
      <c r="Q23" s="58"/>
      <c r="R23" s="104">
        <v>2500000000</v>
      </c>
      <c r="S23" s="15"/>
      <c r="T23" s="15"/>
      <c r="U23" s="15"/>
      <c r="V23" s="15"/>
      <c r="W23" s="15"/>
      <c r="X23" s="15"/>
      <c r="Y23" s="15"/>
      <c r="Z23" s="15"/>
      <c r="AA23" s="15"/>
      <c r="AB23" s="15"/>
      <c r="AC23" s="15"/>
      <c r="AD23" s="15">
        <v>20000000</v>
      </c>
      <c r="AE23" s="105"/>
      <c r="AF23" s="62">
        <f>SUM(Tabla1[[#This Row],[Recursos propios]:[Recursos del Balance]])</f>
        <v>2520000000</v>
      </c>
      <c r="AG23" s="132">
        <v>1960495278</v>
      </c>
      <c r="AH23" s="109"/>
      <c r="AI23" s="109"/>
      <c r="AJ23" s="109"/>
      <c r="AK23" s="109"/>
      <c r="AL23" s="109"/>
      <c r="AM23" s="109"/>
      <c r="AN23" s="109"/>
      <c r="AO23" s="109"/>
      <c r="AP23" s="109"/>
      <c r="AQ23" s="109"/>
      <c r="AR23" s="109"/>
      <c r="AS23" s="109"/>
      <c r="AT23" s="109">
        <v>0</v>
      </c>
      <c r="AU23" s="35">
        <f>SUM(Tabla1[[#This Row],[Recursos propios2]:[Recursos del Balance2]])</f>
        <v>1960495278</v>
      </c>
      <c r="AV23" s="109">
        <v>1960495278</v>
      </c>
      <c r="AW23" s="111">
        <v>1957856278</v>
      </c>
      <c r="AX23" s="68">
        <f>+Tabla1[[#This Row],[Total Recursos Comprometido]]/Tabla1[[#This Row],[Total 2025]]</f>
        <v>0.77797431666666672</v>
      </c>
      <c r="AY23" s="19">
        <f>+Tabla1[[#This Row],[Total Recursos Obligados]]/Tabla1[[#This Row],[Total 2025]]</f>
        <v>0.77797431666666672</v>
      </c>
      <c r="AZ23" s="69">
        <f>+Tabla1[[#This Row],[Total Recursos Pagados]]/Tabla1[[#This Row],[Total 2025]]</f>
        <v>0.77692709444444441</v>
      </c>
      <c r="BA23" s="64"/>
      <c r="BB23" s="70">
        <f>+Tabla1[[#This Row],[Total Recursos Gestionados]]/Tabla1[[#This Row],[Ejecución Recursos Comprometidos]]</f>
        <v>0</v>
      </c>
      <c r="BC23" s="42" t="s">
        <v>90</v>
      </c>
      <c r="BD23" s="43" t="s">
        <v>50</v>
      </c>
      <c r="BE23" s="44">
        <v>10.11</v>
      </c>
    </row>
    <row r="24" spans="1:57" s="10" customFormat="1" ht="42.75">
      <c r="A24" s="38">
        <v>239</v>
      </c>
      <c r="B24" s="28" t="s">
        <v>83</v>
      </c>
      <c r="C24" s="28" t="s">
        <v>84</v>
      </c>
      <c r="D24" s="29" t="s">
        <v>85</v>
      </c>
      <c r="E24" s="28" t="s">
        <v>86</v>
      </c>
      <c r="F24" s="29" t="s">
        <v>87</v>
      </c>
      <c r="G24" s="28" t="s">
        <v>94</v>
      </c>
      <c r="H24" s="29">
        <v>459902000</v>
      </c>
      <c r="I24" s="28" t="s">
        <v>153</v>
      </c>
      <c r="J24" s="29" t="s">
        <v>155</v>
      </c>
      <c r="K24" s="29" t="s">
        <v>142</v>
      </c>
      <c r="L24" s="29" t="str">
        <f>+'[2]Plan Indicativo'!AC247</f>
        <v>No Acumulativa</v>
      </c>
      <c r="M24" s="29">
        <f>+'[2]Plan Indicativo'!T247</f>
        <v>1</v>
      </c>
      <c r="N24" s="39">
        <f>+'[2]Plan Indicativo'!W247</f>
        <v>1</v>
      </c>
      <c r="O24" s="40">
        <v>1</v>
      </c>
      <c r="P24" s="41">
        <f>+Tabla1[[#This Row],[Logro Vigencia]]/Tabla1[[#This Row],[Meta Programada Vigencia]]</f>
        <v>1</v>
      </c>
      <c r="Q24" s="58"/>
      <c r="R24" s="104">
        <v>298412900</v>
      </c>
      <c r="S24" s="15"/>
      <c r="T24" s="15"/>
      <c r="U24" s="15"/>
      <c r="V24" s="15"/>
      <c r="W24" s="15"/>
      <c r="X24" s="15"/>
      <c r="Y24" s="15"/>
      <c r="Z24" s="15"/>
      <c r="AA24" s="15"/>
      <c r="AB24" s="15"/>
      <c r="AC24" s="15"/>
      <c r="AD24" s="15">
        <v>50000000</v>
      </c>
      <c r="AE24" s="105">
        <v>263660000</v>
      </c>
      <c r="AF24" s="62">
        <f>SUM(Tabla1[[#This Row],[Recursos propios]:[Recursos del Balance]])</f>
        <v>612072900</v>
      </c>
      <c r="AG24" s="132">
        <v>259000000</v>
      </c>
      <c r="AH24" s="109"/>
      <c r="AI24" s="109"/>
      <c r="AJ24" s="109"/>
      <c r="AK24" s="109"/>
      <c r="AL24" s="109"/>
      <c r="AM24" s="109"/>
      <c r="AN24" s="109"/>
      <c r="AO24" s="109"/>
      <c r="AP24" s="109"/>
      <c r="AQ24" s="109"/>
      <c r="AR24" s="109"/>
      <c r="AS24" s="109"/>
      <c r="AT24" s="109">
        <v>137566666.71000001</v>
      </c>
      <c r="AU24" s="35">
        <f>SUM(Tabla1[[#This Row],[Recursos propios2]:[Recursos del Balance2]])</f>
        <v>396566666.71000004</v>
      </c>
      <c r="AV24" s="109">
        <v>396566666.70999998</v>
      </c>
      <c r="AW24" s="109">
        <v>396566666.70999998</v>
      </c>
      <c r="AX24" s="68">
        <f>+Tabla1[[#This Row],[Total Recursos Comprometido]]/Tabla1[[#This Row],[Total 2025]]</f>
        <v>0.64790757230061979</v>
      </c>
      <c r="AY24" s="19">
        <f>+Tabla1[[#This Row],[Total Recursos Obligados]]/Tabla1[[#This Row],[Total 2025]]</f>
        <v>0.64790757230061968</v>
      </c>
      <c r="AZ24" s="69">
        <f>+Tabla1[[#This Row],[Total Recursos Pagados]]/Tabla1[[#This Row],[Total 2025]]</f>
        <v>0.64790757230061968</v>
      </c>
      <c r="BA24" s="64"/>
      <c r="BB24" s="70">
        <f>+Tabla1[[#This Row],[Total Recursos Gestionados]]/Tabla1[[#This Row],[Ejecución Recursos Comprometidos]]</f>
        <v>0</v>
      </c>
      <c r="BC24" s="42" t="s">
        <v>90</v>
      </c>
      <c r="BD24" s="43" t="s">
        <v>50</v>
      </c>
      <c r="BE24" s="44">
        <v>10.11</v>
      </c>
    </row>
    <row r="25" spans="1:57" s="10" customFormat="1" ht="28.5">
      <c r="A25" s="38">
        <v>240</v>
      </c>
      <c r="B25" s="28" t="s">
        <v>83</v>
      </c>
      <c r="C25" s="28" t="s">
        <v>84</v>
      </c>
      <c r="D25" s="29" t="s">
        <v>85</v>
      </c>
      <c r="E25" s="28" t="s">
        <v>86</v>
      </c>
      <c r="F25" s="29" t="s">
        <v>96</v>
      </c>
      <c r="G25" s="28" t="s">
        <v>97</v>
      </c>
      <c r="H25" s="29">
        <v>459903400</v>
      </c>
      <c r="I25" s="28" t="s">
        <v>156</v>
      </c>
      <c r="J25" s="29">
        <v>1</v>
      </c>
      <c r="K25" s="29" t="s">
        <v>142</v>
      </c>
      <c r="L25" s="29" t="str">
        <f>+'[2]Plan Indicativo'!AC248</f>
        <v>No Acumulativa</v>
      </c>
      <c r="M25" s="29">
        <f>+'[2]Plan Indicativo'!T248</f>
        <v>1</v>
      </c>
      <c r="N25" s="39">
        <f>+'[2]Plan Indicativo'!W248</f>
        <v>1</v>
      </c>
      <c r="O25" s="40">
        <v>1</v>
      </c>
      <c r="P25" s="41">
        <f>+Tabla1[[#This Row],[Logro Vigencia]]/Tabla1[[#This Row],[Meta Programada Vigencia]]</f>
        <v>1</v>
      </c>
      <c r="Q25" s="58"/>
      <c r="R25" s="104">
        <v>701587100</v>
      </c>
      <c r="S25" s="15"/>
      <c r="T25" s="15"/>
      <c r="U25" s="15"/>
      <c r="V25" s="15"/>
      <c r="W25" s="15"/>
      <c r="X25" s="15"/>
      <c r="Y25" s="15"/>
      <c r="Z25" s="15"/>
      <c r="AA25" s="15"/>
      <c r="AB25" s="15"/>
      <c r="AC25" s="15"/>
      <c r="AD25" s="15"/>
      <c r="AE25" s="105"/>
      <c r="AF25" s="62">
        <f>SUM(Tabla1[[#This Row],[Recursos propios]:[Recursos del Balance]])</f>
        <v>701587100</v>
      </c>
      <c r="AG25" s="132">
        <v>636205094.99000001</v>
      </c>
      <c r="AH25" s="109"/>
      <c r="AI25" s="109"/>
      <c r="AJ25" s="109"/>
      <c r="AK25" s="109"/>
      <c r="AL25" s="109"/>
      <c r="AM25" s="109"/>
      <c r="AN25" s="109"/>
      <c r="AO25" s="109"/>
      <c r="AP25" s="109"/>
      <c r="AQ25" s="109"/>
      <c r="AR25" s="109"/>
      <c r="AS25" s="109"/>
      <c r="AT25" s="109">
        <v>0</v>
      </c>
      <c r="AU25" s="35">
        <f>SUM(Tabla1[[#This Row],[Recursos propios2]:[Recursos del Balance2]])</f>
        <v>636205094.99000001</v>
      </c>
      <c r="AV25" s="109">
        <v>636205094.99000001</v>
      </c>
      <c r="AW25" s="111">
        <v>545590000</v>
      </c>
      <c r="AX25" s="68">
        <f>+Tabla1[[#This Row],[Total Recursos Comprometido]]/Tabla1[[#This Row],[Total 2025]]</f>
        <v>0.90680842762074731</v>
      </c>
      <c r="AY25" s="19">
        <f>+Tabla1[[#This Row],[Total Recursos Obligados]]/Tabla1[[#This Row],[Total 2025]]</f>
        <v>0.90680842762074731</v>
      </c>
      <c r="AZ25" s="69">
        <f>+Tabla1[[#This Row],[Total Recursos Pagados]]/Tabla1[[#This Row],[Total 2025]]</f>
        <v>0.77765112842012063</v>
      </c>
      <c r="BA25" s="64"/>
      <c r="BB25" s="70">
        <f>+Tabla1[[#This Row],[Total Recursos Gestionados]]/Tabla1[[#This Row],[Ejecución Recursos Comprometidos]]</f>
        <v>0</v>
      </c>
      <c r="BC25" s="42" t="s">
        <v>90</v>
      </c>
      <c r="BD25" s="43" t="s">
        <v>50</v>
      </c>
      <c r="BE25" s="44">
        <v>10.11</v>
      </c>
    </row>
    <row r="26" spans="1:57" s="32" customFormat="1" ht="28.5">
      <c r="A26" s="38">
        <v>241</v>
      </c>
      <c r="B26" s="28" t="s">
        <v>83</v>
      </c>
      <c r="C26" s="28" t="s">
        <v>84</v>
      </c>
      <c r="D26" s="28" t="s">
        <v>85</v>
      </c>
      <c r="E26" s="28" t="s">
        <v>86</v>
      </c>
      <c r="F26" s="28" t="s">
        <v>99</v>
      </c>
      <c r="G26" s="28" t="s">
        <v>100</v>
      </c>
      <c r="H26" s="28">
        <v>459902300</v>
      </c>
      <c r="I26" s="28" t="s">
        <v>157</v>
      </c>
      <c r="J26" s="28" t="s">
        <v>158</v>
      </c>
      <c r="K26" s="28" t="s">
        <v>142</v>
      </c>
      <c r="L26" s="29" t="str">
        <f>+'[2]Plan Indicativo'!AC249</f>
        <v>Acumulativa</v>
      </c>
      <c r="M26" s="29">
        <f>+'[2]Plan Indicativo'!T249</f>
        <v>2</v>
      </c>
      <c r="N26" s="39">
        <f>+'[2]Plan Indicativo'!W249</f>
        <v>0.46</v>
      </c>
      <c r="O26" s="46">
        <v>0.46</v>
      </c>
      <c r="P26" s="47">
        <f>+Tabla1[[#This Row],[Logro Vigencia]]/Tabla1[[#This Row],[Meta Programada Vigencia]]</f>
        <v>1</v>
      </c>
      <c r="Q26" s="60"/>
      <c r="R26" s="102">
        <v>300000000</v>
      </c>
      <c r="S26" s="17"/>
      <c r="T26" s="17"/>
      <c r="U26" s="17"/>
      <c r="V26" s="17"/>
      <c r="W26" s="17"/>
      <c r="X26" s="17"/>
      <c r="Y26" s="17"/>
      <c r="Z26" s="17"/>
      <c r="AA26" s="17"/>
      <c r="AB26" s="17"/>
      <c r="AC26" s="17"/>
      <c r="AD26" s="17"/>
      <c r="AE26" s="103">
        <v>105420000</v>
      </c>
      <c r="AF26" s="62">
        <f>SUM(Tabla1[[#This Row],[Recursos propios]:[Recursos del Balance]])</f>
        <v>405420000</v>
      </c>
      <c r="AG26" s="133">
        <v>299447939.44</v>
      </c>
      <c r="AH26" s="108"/>
      <c r="AI26" s="108"/>
      <c r="AJ26" s="108"/>
      <c r="AK26" s="108"/>
      <c r="AL26" s="108"/>
      <c r="AM26" s="108"/>
      <c r="AN26" s="108"/>
      <c r="AO26" s="108"/>
      <c r="AP26" s="108"/>
      <c r="AQ26" s="108"/>
      <c r="AR26" s="108"/>
      <c r="AS26" s="108"/>
      <c r="AT26" s="108">
        <v>105420000</v>
      </c>
      <c r="AU26" s="35">
        <f>SUM(Tabla1[[#This Row],[Recursos propios2]:[Recursos del Balance2]])</f>
        <v>404867939.44</v>
      </c>
      <c r="AV26" s="110">
        <v>404867939.44</v>
      </c>
      <c r="AW26" s="110">
        <v>404867939.44</v>
      </c>
      <c r="AX26" s="21">
        <f>+Tabla1[[#This Row],[Total Recursos Comprometido]]/Tabla1[[#This Row],[Total 2025]]</f>
        <v>0.9986382996398796</v>
      </c>
      <c r="AY26" s="18">
        <f>+Tabla1[[#This Row],[Total Recursos Obligados]]/Tabla1[[#This Row],[Total 2025]]</f>
        <v>0.9986382996398796</v>
      </c>
      <c r="AZ26" s="22">
        <f>+Tabla1[[#This Row],[Total Recursos Pagados]]/Tabla1[[#This Row],[Total 2025]]</f>
        <v>0.9986382996398796</v>
      </c>
      <c r="BA26" s="63"/>
      <c r="BB26" s="70">
        <f>+Tabla1[[#This Row],[Total Recursos Gestionados]]/Tabla1[[#This Row],[Ejecución Recursos Comprometidos]]</f>
        <v>0</v>
      </c>
      <c r="BC26" s="42" t="s">
        <v>90</v>
      </c>
      <c r="BD26" s="43" t="s">
        <v>50</v>
      </c>
      <c r="BE26" s="44">
        <v>10.11</v>
      </c>
    </row>
    <row r="27" spans="1:57" s="10" customFormat="1" ht="28.5">
      <c r="A27" s="38">
        <v>243</v>
      </c>
      <c r="B27" s="28" t="s">
        <v>83</v>
      </c>
      <c r="C27" s="28" t="s">
        <v>84</v>
      </c>
      <c r="D27" s="28" t="s">
        <v>85</v>
      </c>
      <c r="E27" s="28" t="s">
        <v>86</v>
      </c>
      <c r="F27" s="28" t="s">
        <v>102</v>
      </c>
      <c r="G27" s="28" t="s">
        <v>103</v>
      </c>
      <c r="H27" s="28">
        <v>459901700</v>
      </c>
      <c r="I27" s="28" t="s">
        <v>159</v>
      </c>
      <c r="J27" s="28" t="s">
        <v>158</v>
      </c>
      <c r="K27" s="28" t="s">
        <v>142</v>
      </c>
      <c r="L27" s="28" t="str">
        <f>+'[2]Plan Indicativo'!AC251</f>
        <v>No Acumulativa</v>
      </c>
      <c r="M27" s="28">
        <f>+'[2]Plan Indicativo'!T251</f>
        <v>1</v>
      </c>
      <c r="N27" s="43">
        <f>+'[2]Plan Indicativo'!W251</f>
        <v>1</v>
      </c>
      <c r="O27" s="46">
        <v>0.5</v>
      </c>
      <c r="P27" s="54">
        <f>+Tabla1[[#This Row],[Logro Vigencia]]/Tabla1[[#This Row],[Meta Programada Vigencia]]</f>
        <v>0.5</v>
      </c>
      <c r="Q27" s="61"/>
      <c r="R27" s="102">
        <v>300000000</v>
      </c>
      <c r="S27" s="17"/>
      <c r="T27" s="17"/>
      <c r="U27" s="17"/>
      <c r="V27" s="17"/>
      <c r="W27" s="17"/>
      <c r="X27" s="17"/>
      <c r="Y27" s="17"/>
      <c r="Z27" s="17"/>
      <c r="AA27" s="17"/>
      <c r="AB27" s="17"/>
      <c r="AC27" s="17"/>
      <c r="AD27" s="17">
        <v>1500000000</v>
      </c>
      <c r="AE27" s="103">
        <v>443100000</v>
      </c>
      <c r="AF27" s="62">
        <f>SUM(Tabla1[[#This Row],[Recursos propios]:[Recursos del Balance]])</f>
        <v>2243100000</v>
      </c>
      <c r="AG27" s="133">
        <v>245160000</v>
      </c>
      <c r="AH27" s="108"/>
      <c r="AI27" s="108"/>
      <c r="AJ27" s="108"/>
      <c r="AK27" s="108"/>
      <c r="AL27" s="108"/>
      <c r="AM27" s="108"/>
      <c r="AN27" s="108"/>
      <c r="AO27" s="108"/>
      <c r="AP27" s="108"/>
      <c r="AQ27" s="108"/>
      <c r="AR27" s="108"/>
      <c r="AS27" s="108"/>
      <c r="AT27" s="108">
        <v>304260000</v>
      </c>
      <c r="AU27" s="35">
        <f>SUM(Tabla1[[#This Row],[Recursos propios2]:[Recursos del Balance2]])</f>
        <v>549420000</v>
      </c>
      <c r="AV27" s="108">
        <v>549420000</v>
      </c>
      <c r="AW27" s="110">
        <v>545686666.66999996</v>
      </c>
      <c r="AX27" s="21">
        <f>+Tabla1[[#This Row],[Total Recursos Comprometido]]/Tabla1[[#This Row],[Total 2025]]</f>
        <v>0.24493780928179751</v>
      </c>
      <c r="AY27" s="18">
        <f>+Tabla1[[#This Row],[Total Recursos Obligados]]/Tabla1[[#This Row],[Total 2025]]</f>
        <v>0.24493780928179751</v>
      </c>
      <c r="AZ27" s="22">
        <f>+Tabla1[[#This Row],[Total Recursos Pagados]]/Tabla1[[#This Row],[Total 2025]]</f>
        <v>0.24327344597655029</v>
      </c>
      <c r="BA27" s="66"/>
      <c r="BB27" s="70">
        <f>+Tabla1[[#This Row],[Total Recursos Gestionados]]/Tabla1[[#This Row],[Ejecución Recursos Comprometidos]]</f>
        <v>0</v>
      </c>
      <c r="BC27" s="42" t="s">
        <v>90</v>
      </c>
      <c r="BD27" s="43" t="s">
        <v>50</v>
      </c>
      <c r="BE27" s="44">
        <v>10.11</v>
      </c>
    </row>
    <row r="28" spans="1:57" ht="28.5">
      <c r="A28" s="38">
        <v>244</v>
      </c>
      <c r="B28" s="28" t="s">
        <v>83</v>
      </c>
      <c r="C28" s="29" t="s">
        <v>84</v>
      </c>
      <c r="D28" s="29" t="s">
        <v>85</v>
      </c>
      <c r="E28" s="28" t="s">
        <v>86</v>
      </c>
      <c r="F28" s="29" t="s">
        <v>87</v>
      </c>
      <c r="G28" s="29" t="s">
        <v>105</v>
      </c>
      <c r="H28" s="29">
        <v>459902000</v>
      </c>
      <c r="I28" s="29" t="s">
        <v>153</v>
      </c>
      <c r="J28" s="29" t="s">
        <v>158</v>
      </c>
      <c r="K28" s="29" t="s">
        <v>142</v>
      </c>
      <c r="L28" s="28" t="str">
        <f>+'[2]Plan Indicativo'!AC252</f>
        <v>Acumulativa</v>
      </c>
      <c r="M28" s="28">
        <f>+'[2]Plan Indicativo'!T252</f>
        <v>1</v>
      </c>
      <c r="N28" s="43">
        <f>+'[2]Plan Indicativo'!W252</f>
        <v>0.19</v>
      </c>
      <c r="O28" s="38">
        <v>0.19</v>
      </c>
      <c r="P28" s="55">
        <f>+Tabla1[[#This Row],[Logro Vigencia]]/Tabla1[[#This Row],[Meta Programada Vigencia]]</f>
        <v>1</v>
      </c>
      <c r="Q28" s="39"/>
      <c r="R28" s="104">
        <v>300000000</v>
      </c>
      <c r="S28" s="15"/>
      <c r="T28" s="48"/>
      <c r="U28" s="48"/>
      <c r="V28" s="48"/>
      <c r="W28" s="48"/>
      <c r="X28" s="48"/>
      <c r="Y28" s="48"/>
      <c r="Z28" s="48"/>
      <c r="AA28" s="48"/>
      <c r="AB28" s="48"/>
      <c r="AC28" s="48"/>
      <c r="AD28" s="48"/>
      <c r="AE28" s="112">
        <v>142635600</v>
      </c>
      <c r="AF28" s="62">
        <f>SUM(Tabla1[[#This Row],[Recursos propios]:[Recursos del Balance]])</f>
        <v>442635600</v>
      </c>
      <c r="AG28" s="132">
        <v>297191267</v>
      </c>
      <c r="AH28" s="109"/>
      <c r="AI28" s="109"/>
      <c r="AJ28" s="109"/>
      <c r="AK28" s="109"/>
      <c r="AL28" s="109"/>
      <c r="AM28" s="109"/>
      <c r="AN28" s="109"/>
      <c r="AO28" s="109"/>
      <c r="AP28" s="109"/>
      <c r="AQ28" s="109"/>
      <c r="AR28" s="109"/>
      <c r="AS28" s="109"/>
      <c r="AT28" s="134">
        <v>102000000</v>
      </c>
      <c r="AU28" s="35">
        <f>SUM(Tabla1[[#This Row],[Recursos propios2]:[Recursos del Balance2]])</f>
        <v>399191267</v>
      </c>
      <c r="AV28" s="109">
        <v>399191267</v>
      </c>
      <c r="AW28" s="111">
        <v>394884400.32999998</v>
      </c>
      <c r="AX28" s="68">
        <f>+Tabla1[[#This Row],[Total Recursos Comprometido]]/Tabla1[[#This Row],[Total 2025]]</f>
        <v>0.90185079329362572</v>
      </c>
      <c r="AY28" s="19">
        <f>+Tabla1[[#This Row],[Total Recursos Obligados]]/Tabla1[[#This Row],[Total 2025]]</f>
        <v>0.90185079329362572</v>
      </c>
      <c r="AZ28" s="69">
        <f>+Tabla1[[#This Row],[Total Recursos Pagados]]/Tabla1[[#This Row],[Total 2025]]</f>
        <v>0.89212074295424948</v>
      </c>
      <c r="BA28" s="67"/>
      <c r="BB28" s="70">
        <f>+Tabla1[[#This Row],[Total Recursos Gestionados]]/Tabla1[[#This Row],[Ejecución Recursos Comprometidos]]</f>
        <v>0</v>
      </c>
      <c r="BC28" s="42" t="s">
        <v>107</v>
      </c>
      <c r="BD28" s="43" t="s">
        <v>50</v>
      </c>
      <c r="BE28" s="44">
        <v>10.11</v>
      </c>
    </row>
    <row r="29" spans="1:57" s="192" customFormat="1" ht="42.75">
      <c r="A29" s="38">
        <v>267</v>
      </c>
      <c r="B29" s="28" t="s">
        <v>83</v>
      </c>
      <c r="C29" s="29" t="s">
        <v>60</v>
      </c>
      <c r="D29" s="29" t="s">
        <v>61</v>
      </c>
      <c r="E29" s="28" t="s">
        <v>108</v>
      </c>
      <c r="F29" s="29" t="s">
        <v>109</v>
      </c>
      <c r="G29" s="29" t="s">
        <v>110</v>
      </c>
      <c r="H29" s="29">
        <v>230107500</v>
      </c>
      <c r="I29" s="29" t="s">
        <v>160</v>
      </c>
      <c r="J29" s="29">
        <v>0</v>
      </c>
      <c r="K29" s="29" t="s">
        <v>142</v>
      </c>
      <c r="L29" s="29" t="str">
        <f>+'[2]Plan Indicativo'!$AC$275</f>
        <v>Acumulativa</v>
      </c>
      <c r="M29" s="29">
        <f>+'[2]Plan Indicativo'!$T$275</f>
        <v>1</v>
      </c>
      <c r="N29" s="39">
        <f>+'[2]Plan Indicativo'!$W$275</f>
        <v>0.25</v>
      </c>
      <c r="O29" s="38">
        <v>0.25</v>
      </c>
      <c r="P29" s="55">
        <f>+Tabla1[[#This Row],[Logro Vigencia]]/Tabla1[[#This Row],[Meta Programada Vigencia]]</f>
        <v>1</v>
      </c>
      <c r="Q29" s="39"/>
      <c r="R29" s="104">
        <v>2140000000</v>
      </c>
      <c r="S29" s="15"/>
      <c r="T29" s="48"/>
      <c r="U29" s="48"/>
      <c r="V29" s="48"/>
      <c r="W29" s="48"/>
      <c r="X29" s="48"/>
      <c r="Y29" s="48"/>
      <c r="Z29" s="48"/>
      <c r="AA29" s="48"/>
      <c r="AB29" s="48"/>
      <c r="AC29" s="48"/>
      <c r="AD29" s="48"/>
      <c r="AE29" s="112">
        <v>470000000</v>
      </c>
      <c r="AF29" s="62">
        <f>SUM(Tabla1[[#This Row],[Recursos propios]:[Recursos del Balance]])</f>
        <v>2610000000</v>
      </c>
      <c r="AG29" s="132">
        <v>2109545445</v>
      </c>
      <c r="AH29" s="109"/>
      <c r="AI29" s="109"/>
      <c r="AJ29" s="109"/>
      <c r="AK29" s="109"/>
      <c r="AL29" s="109"/>
      <c r="AM29" s="109"/>
      <c r="AN29" s="109"/>
      <c r="AO29" s="109"/>
      <c r="AP29" s="109"/>
      <c r="AQ29" s="109"/>
      <c r="AR29" s="109"/>
      <c r="AS29" s="109"/>
      <c r="AT29" s="191">
        <v>0</v>
      </c>
      <c r="AU29" s="35">
        <f>SUM(Tabla1[[#This Row],[Recursos propios2]:[Recursos del Balance2]])</f>
        <v>2109545445</v>
      </c>
      <c r="AV29" s="109">
        <v>1918236748</v>
      </c>
      <c r="AW29" s="111">
        <v>1918236748</v>
      </c>
      <c r="AX29" s="68">
        <f>+Tabla1[[#This Row],[Total Recursos Comprometido]]/Tabla1[[#This Row],[Total 2025]]</f>
        <v>0.80825495977011497</v>
      </c>
      <c r="AY29" s="19">
        <f>+Tabla1[[#This Row],[Total Recursos Obligados]]/Tabla1[[#This Row],[Total 2025]]</f>
        <v>0.73495660842911881</v>
      </c>
      <c r="AZ29" s="69">
        <f>+Tabla1[[#This Row],[Total Recursos Pagados]]/Tabla1[[#This Row],[Total 2025]]</f>
        <v>0.73495660842911881</v>
      </c>
      <c r="BA29" s="67"/>
      <c r="BB29" s="70">
        <f>+Tabla1[[#This Row],[Total Recursos Gestionados]]/Tabla1[[#This Row],[Ejecución Recursos Comprometidos]]</f>
        <v>0</v>
      </c>
      <c r="BC29" s="42" t="s">
        <v>112</v>
      </c>
      <c r="BD29" s="43" t="s">
        <v>50</v>
      </c>
      <c r="BE29" s="44" t="s">
        <v>113</v>
      </c>
    </row>
    <row r="30" spans="1:57" s="213" customFormat="1" ht="28.5">
      <c r="A30" s="193" t="s">
        <v>230</v>
      </c>
      <c r="B30" s="194" t="s">
        <v>83</v>
      </c>
      <c r="C30" s="195" t="s">
        <v>84</v>
      </c>
      <c r="D30" s="195" t="s">
        <v>85</v>
      </c>
      <c r="E30" s="194" t="s">
        <v>86</v>
      </c>
      <c r="F30" s="195" t="s">
        <v>231</v>
      </c>
      <c r="G30" s="195" t="s">
        <v>225</v>
      </c>
      <c r="H30" s="195" t="s">
        <v>232</v>
      </c>
      <c r="I30" s="195" t="s">
        <v>226</v>
      </c>
      <c r="J30" s="195" t="s">
        <v>233</v>
      </c>
      <c r="K30" s="195" t="s">
        <v>227</v>
      </c>
      <c r="L30" s="195" t="s">
        <v>228</v>
      </c>
      <c r="M30" s="195" t="s">
        <v>234</v>
      </c>
      <c r="N30" s="196" t="s">
        <v>235</v>
      </c>
      <c r="O30" s="193" t="s">
        <v>223</v>
      </c>
      <c r="P30" s="197" t="s">
        <v>236</v>
      </c>
      <c r="Q30" s="196"/>
      <c r="R30" s="198">
        <v>5000000</v>
      </c>
      <c r="S30" s="199"/>
      <c r="T30" s="200"/>
      <c r="U30" s="200"/>
      <c r="V30" s="200"/>
      <c r="W30" s="200"/>
      <c r="X30" s="200"/>
      <c r="Y30" s="200"/>
      <c r="Z30" s="200"/>
      <c r="AA30" s="200"/>
      <c r="AB30" s="200"/>
      <c r="AC30" s="200"/>
      <c r="AD30" s="200"/>
      <c r="AE30" s="201"/>
      <c r="AF30" s="62">
        <f>SUM(Tabla1[[#This Row],[Recursos propios]:[Recursos del Balance]])</f>
        <v>5000000</v>
      </c>
      <c r="AG30" s="202"/>
      <c r="AH30" s="203"/>
      <c r="AI30" s="203"/>
      <c r="AJ30" s="203"/>
      <c r="AK30" s="203"/>
      <c r="AL30" s="203"/>
      <c r="AM30" s="203"/>
      <c r="AN30" s="203"/>
      <c r="AO30" s="203"/>
      <c r="AP30" s="203"/>
      <c r="AQ30" s="203"/>
      <c r="AR30" s="203"/>
      <c r="AS30" s="203"/>
      <c r="AT30" s="204" t="s">
        <v>224</v>
      </c>
      <c r="AU30" s="35">
        <f>SUM(Tabla1[[#This Row],[Recursos propios2]:[Recursos del Balance2]])</f>
        <v>0</v>
      </c>
      <c r="AV30" s="203"/>
      <c r="AW30" s="205"/>
      <c r="AX30" s="206" t="s">
        <v>236</v>
      </c>
      <c r="AY30" s="207" t="s">
        <v>236</v>
      </c>
      <c r="AZ30" s="208" t="s">
        <v>236</v>
      </c>
      <c r="BA30" s="190"/>
      <c r="BB30" s="209" t="s">
        <v>229</v>
      </c>
      <c r="BC30" s="210"/>
      <c r="BD30" s="211"/>
      <c r="BE30" s="212"/>
    </row>
    <row r="31" spans="1:57">
      <c r="A31" s="220"/>
      <c r="B31" s="221"/>
      <c r="C31" s="222"/>
      <c r="D31" s="222"/>
      <c r="E31" s="221"/>
      <c r="F31" s="222"/>
      <c r="G31" s="222"/>
      <c r="H31" s="222"/>
      <c r="I31" s="222"/>
      <c r="J31" s="222"/>
      <c r="K31" s="222"/>
      <c r="L31" s="222"/>
      <c r="M31" s="222"/>
      <c r="N31" s="222"/>
      <c r="O31" s="220"/>
      <c r="P31" s="223"/>
      <c r="Q31" s="224"/>
      <c r="R31" s="214"/>
      <c r="S31" s="215"/>
      <c r="T31" s="225"/>
      <c r="U31" s="226"/>
      <c r="V31" s="226"/>
      <c r="W31" s="226"/>
      <c r="X31" s="226"/>
      <c r="Y31" s="226"/>
      <c r="Z31" s="226"/>
      <c r="AA31" s="226"/>
      <c r="AB31" s="226"/>
      <c r="AC31" s="226"/>
      <c r="AD31" s="227"/>
      <c r="AE31" s="228"/>
      <c r="AF31" s="219">
        <f>SUBTOTAL(109,Tabla1[Total 2025])</f>
        <v>19731055600</v>
      </c>
      <c r="AG31" s="216"/>
      <c r="AH31" s="217"/>
      <c r="AI31" s="217"/>
      <c r="AJ31" s="218"/>
      <c r="AK31" s="218"/>
      <c r="AL31" s="218"/>
      <c r="AM31" s="218"/>
      <c r="AN31" s="218"/>
      <c r="AO31" s="218"/>
      <c r="AP31" s="218"/>
      <c r="AQ31" s="218"/>
      <c r="AR31" s="218"/>
      <c r="AS31" s="217"/>
      <c r="AT31" s="229"/>
      <c r="AU31" s="234">
        <f>SUBTOTAL(109,Tabla1[Total Recursos Comprometido])</f>
        <v>15935802510.630001</v>
      </c>
      <c r="AV31" s="235">
        <f>SUBTOTAL(109,Tabla1[Total Recursos Obligados])</f>
        <v>12575861615.01</v>
      </c>
      <c r="AW31" s="236">
        <f>SUBTOTAL(109,Tabla1[Total Recursos Pagados])</f>
        <v>10856745150.41</v>
      </c>
      <c r="AX31" s="230"/>
      <c r="AY31" s="231"/>
      <c r="AZ31" s="231"/>
      <c r="BA31" s="231"/>
      <c r="BB31" s="231"/>
      <c r="BC31" s="232"/>
      <c r="BD31" s="221"/>
      <c r="BE31" s="233"/>
    </row>
    <row r="33" spans="16:16">
      <c r="P33" s="98"/>
    </row>
  </sheetData>
  <sheetProtection formatCells="0" formatColumns="0" formatRows="0" insertRows="0" autoFilter="0"/>
  <mergeCells count="13">
    <mergeCell ref="A1:B4"/>
    <mergeCell ref="C1:BB4"/>
    <mergeCell ref="BC1:BE1"/>
    <mergeCell ref="BC2:BE2"/>
    <mergeCell ref="BC3:BE3"/>
    <mergeCell ref="BC4:BE4"/>
    <mergeCell ref="BC9:BD9"/>
    <mergeCell ref="A9:N9"/>
    <mergeCell ref="O9:Q9"/>
    <mergeCell ref="R9:AF9"/>
    <mergeCell ref="AG9:AW9"/>
    <mergeCell ref="AX9:AZ9"/>
    <mergeCell ref="BA9:BB9"/>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MORON</dc:creator>
  <cp:keywords/>
  <dc:description/>
  <cp:lastModifiedBy>MONICA</cp:lastModifiedBy>
  <cp:revision/>
  <dcterms:created xsi:type="dcterms:W3CDTF">2024-06-03T22:05:35Z</dcterms:created>
  <dcterms:modified xsi:type="dcterms:W3CDTF">2026-02-05T19:05:02Z</dcterms:modified>
  <cp:category/>
  <cp:contentStatus/>
</cp:coreProperties>
</file>