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F APROBADOS (11042025)\AJUSTE MRF SALUD Y DADEP (25092025)\"/>
    </mc:Choice>
  </mc:AlternateContent>
  <xr:revisionPtr revIDLastSave="0" documentId="13_ncr:1_{F61EC464-4E48-4F57-BEB5-DFC156303969}"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7" i="1" l="1"/>
  <c r="Q68" i="1"/>
  <c r="Q69" i="1"/>
  <c r="Q70" i="1"/>
  <c r="T41" i="1"/>
  <c r="Q41" i="1"/>
  <c r="AB41" i="1" s="1"/>
  <c r="AA41" i="1" s="1"/>
  <c r="T35" i="1"/>
  <c r="Q35" i="1"/>
  <c r="T34" i="1"/>
  <c r="Q34" i="1"/>
  <c r="AB34" i="1" s="1"/>
  <c r="AA34" i="1" s="1"/>
  <c r="T26" i="1"/>
  <c r="Q26" i="1"/>
  <c r="AB26" i="1" s="1"/>
  <c r="AA26" i="1" s="1"/>
  <c r="X41" i="1" l="1"/>
  <c r="X35" i="1"/>
  <c r="Z35" i="1" s="1"/>
  <c r="AB35" i="1"/>
  <c r="AA35" i="1" s="1"/>
  <c r="X34" i="1"/>
  <c r="Q64" i="1"/>
  <c r="Q58" i="1"/>
  <c r="T46" i="1"/>
  <c r="Q46" i="1"/>
  <c r="H46" i="1"/>
  <c r="T39" i="1"/>
  <c r="Q39" i="1"/>
  <c r="H39" i="1"/>
  <c r="T31" i="1"/>
  <c r="Q12" i="1"/>
  <c r="Y35" i="1" l="1"/>
  <c r="Z41" i="1"/>
  <c r="Y41" i="1"/>
  <c r="AC41" i="1" s="1"/>
  <c r="AC35" i="1"/>
  <c r="Z34" i="1"/>
  <c r="Y34" i="1"/>
  <c r="AC34" i="1" s="1"/>
  <c r="H64" i="1"/>
  <c r="I64" i="1" s="1"/>
  <c r="T70" i="1"/>
  <c r="T64" i="1"/>
  <c r="K65" i="1"/>
  <c r="Q65" i="1"/>
  <c r="T65" i="1"/>
  <c r="K66" i="1"/>
  <c r="Q66" i="1"/>
  <c r="T66" i="1"/>
  <c r="K67" i="1"/>
  <c r="T67" i="1"/>
  <c r="K68" i="1"/>
  <c r="T68" i="1"/>
  <c r="K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4" i="1" l="1"/>
  <c r="T12" i="1" l="1"/>
  <c r="H12" i="1" l="1"/>
  <c r="I12" i="1" s="1"/>
  <c r="K63" i="1"/>
  <c r="K36" i="1"/>
  <c r="K19" i="1"/>
  <c r="K34" i="1"/>
  <c r="K55" i="1"/>
  <c r="K60" i="1"/>
  <c r="K35" i="1"/>
  <c r="K44" i="1"/>
  <c r="K54" i="1"/>
  <c r="K30" i="1"/>
  <c r="K41" i="1"/>
  <c r="K53" i="1"/>
  <c r="K62" i="1"/>
  <c r="K45" i="1"/>
  <c r="K27" i="1"/>
  <c r="K56" i="1"/>
  <c r="K43" i="1"/>
  <c r="K47" i="1"/>
  <c r="K23" i="1"/>
  <c r="K21" i="1"/>
  <c r="K61" i="1"/>
  <c r="K20" i="1"/>
  <c r="K37" i="1"/>
  <c r="K29" i="1"/>
  <c r="K38" i="1"/>
  <c r="K48" i="1"/>
  <c r="K22" i="1"/>
  <c r="K42" i="1"/>
  <c r="K26" i="1"/>
  <c r="K59" i="1"/>
  <c r="K49" i="1"/>
  <c r="K28" i="1"/>
  <c r="K57" i="1"/>
  <c r="K50" i="1"/>
  <c r="K51" i="1"/>
  <c r="F221" i="13" l="1"/>
  <c r="F211" i="13"/>
  <c r="F212" i="13"/>
  <c r="F213" i="13"/>
  <c r="F214" i="13"/>
  <c r="F215" i="13"/>
  <c r="F216" i="13"/>
  <c r="F217" i="13"/>
  <c r="F218" i="13"/>
  <c r="F219" i="13"/>
  <c r="F220" i="13"/>
  <c r="F210" i="13"/>
  <c r="K17" i="1"/>
  <c r="K16" i="1"/>
  <c r="K13" i="1"/>
  <c r="K14" i="1"/>
  <c r="B221" i="13" a="1"/>
  <c r="K15" i="1"/>
  <c r="B221" i="13" l="1"/>
  <c r="Q53" i="1"/>
  <c r="Q47" i="1"/>
  <c r="K64" i="1" l="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0" i="1" l="1"/>
  <c r="N70" i="1"/>
  <c r="N64" i="1"/>
  <c r="M64" i="1"/>
  <c r="AB64" i="1" s="1"/>
  <c r="AA64" i="1" s="1"/>
  <c r="AC64" i="1" s="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I46" i="1"/>
  <c r="T45" i="1"/>
  <c r="Q45" i="1"/>
  <c r="T44" i="1"/>
  <c r="Q44" i="1"/>
  <c r="T43" i="1"/>
  <c r="Q43" i="1"/>
  <c r="T42" i="1"/>
  <c r="Q42" i="1"/>
  <c r="I39" i="1"/>
  <c r="T38" i="1"/>
  <c r="Q38" i="1"/>
  <c r="T37" i="1"/>
  <c r="Q37" i="1"/>
  <c r="T36" i="1"/>
  <c r="Q36" i="1"/>
  <c r="Q31" i="1"/>
  <c r="H31" i="1"/>
  <c r="I31" i="1" s="1"/>
  <c r="T30" i="1"/>
  <c r="Q30" i="1"/>
  <c r="T29" i="1"/>
  <c r="Q29" i="1"/>
  <c r="T28" i="1"/>
  <c r="Q28" i="1"/>
  <c r="T27" i="1"/>
  <c r="Q27" i="1"/>
  <c r="Q24" i="1"/>
  <c r="H24" i="1"/>
  <c r="I24" i="1" s="1"/>
  <c r="H18" i="1"/>
  <c r="Q17" i="1"/>
  <c r="Q16" i="1"/>
  <c r="T23" i="1"/>
  <c r="Q23" i="1"/>
  <c r="T22" i="1"/>
  <c r="Q22" i="1"/>
  <c r="T21" i="1"/>
  <c r="Q21" i="1"/>
  <c r="T20" i="1"/>
  <c r="Q20" i="1"/>
  <c r="T19" i="1"/>
  <c r="Q19" i="1"/>
  <c r="T18" i="1"/>
  <c r="Q18" i="1"/>
  <c r="X58" i="1" l="1"/>
  <c r="X28" i="1"/>
  <c r="X42" i="1"/>
  <c r="X50" i="1"/>
  <c r="X62" i="1"/>
  <c r="X30" i="1"/>
  <c r="X44" i="1"/>
  <c r="X56" i="1"/>
  <c r="X38" i="1"/>
  <c r="X37" i="1"/>
  <c r="X36" i="1"/>
  <c r="AB59" i="1"/>
  <c r="X60" i="1"/>
  <c r="X59" i="1"/>
  <c r="X31" i="1"/>
  <c r="X55" i="1"/>
  <c r="X54" i="1"/>
  <c r="X57" i="1"/>
  <c r="X61" i="1"/>
  <c r="X63" i="1"/>
  <c r="X24" i="1"/>
  <c r="X27" i="1"/>
  <c r="X29" i="1"/>
  <c r="X39" i="1"/>
  <c r="X43" i="1"/>
  <c r="X45" i="1"/>
  <c r="X49" i="1"/>
  <c r="X48" i="1"/>
  <c r="X51" i="1"/>
  <c r="AB47" i="1"/>
  <c r="X47" i="1"/>
  <c r="X46" i="1"/>
  <c r="X52" i="1"/>
  <c r="AB56" i="1"/>
  <c r="AA56" i="1" s="1"/>
  <c r="AB57" i="1"/>
  <c r="AA57" i="1" s="1"/>
  <c r="I18" i="1"/>
  <c r="X18" i="1" s="1"/>
  <c r="Y58" i="1" l="1"/>
  <c r="Z58" i="1"/>
  <c r="Z59" i="1" s="1"/>
  <c r="Y57" i="1"/>
  <c r="Z57" i="1"/>
  <c r="Y56" i="1"/>
  <c r="Z56" i="1"/>
  <c r="Y52" i="1"/>
  <c r="Z52" i="1"/>
  <c r="X53" i="1" s="1"/>
  <c r="Y46" i="1"/>
  <c r="Z46" i="1"/>
  <c r="Z47" i="1" s="1"/>
  <c r="Y39" i="1"/>
  <c r="Z39" i="1"/>
  <c r="Y31" i="1"/>
  <c r="Z31" i="1"/>
  <c r="Y24" i="1"/>
  <c r="Z24" i="1"/>
  <c r="Y18" i="1"/>
  <c r="Z18" i="1"/>
  <c r="X19" i="1" s="1"/>
  <c r="X26" i="1" l="1"/>
  <c r="Y59" i="1"/>
  <c r="Y47" i="1"/>
  <c r="Y48" i="1"/>
  <c r="Z48" i="1"/>
  <c r="Z60" i="1"/>
  <c r="Y6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3" i="1"/>
  <c r="T16" i="1"/>
  <c r="T17" i="1"/>
  <c r="Z26" i="1" l="1"/>
  <c r="Y26" i="1"/>
  <c r="AC26" i="1" s="1"/>
  <c r="Y27" i="1"/>
  <c r="Y61" i="1"/>
  <c r="Z61" i="1"/>
  <c r="Z27" i="1"/>
  <c r="Z28" i="1" s="1"/>
  <c r="Y54" i="1"/>
  <c r="Z54" i="1"/>
  <c r="Y53" i="1"/>
  <c r="Z53" i="1"/>
  <c r="Y42" i="1"/>
  <c r="Y37" i="1"/>
  <c r="Y19" i="1"/>
  <c r="Z19" i="1"/>
  <c r="X20" i="1" s="1"/>
  <c r="Y20" i="1" s="1"/>
  <c r="Z42" i="1" l="1"/>
  <c r="Z43" i="1" s="1"/>
  <c r="Y62" i="1"/>
  <c r="Z62" i="1"/>
  <c r="Y28" i="1"/>
  <c r="Y49" i="1"/>
  <c r="Z49" i="1"/>
  <c r="Y50" i="1" s="1"/>
  <c r="Y43" i="1"/>
  <c r="Y55" i="1"/>
  <c r="Z55" i="1"/>
  <c r="Y36" i="1"/>
  <c r="Z36" i="1"/>
  <c r="Z37" i="1"/>
  <c r="Z20" i="1"/>
  <c r="X21" i="1" s="1"/>
  <c r="Y21" i="1" s="1"/>
  <c r="Y63" i="1" l="1"/>
  <c r="Z63" i="1"/>
  <c r="Z50" i="1"/>
  <c r="Y51" i="1" s="1"/>
  <c r="Z44" i="1"/>
  <c r="Y44" i="1"/>
  <c r="Y29" i="1"/>
  <c r="Z29" i="1"/>
  <c r="Y30" i="1" s="1"/>
  <c r="Y38" i="1"/>
  <c r="Z38" i="1"/>
  <c r="Z21" i="1"/>
  <c r="X22" i="1" s="1"/>
  <c r="Z22" i="1" s="1"/>
  <c r="X23" i="1" s="1"/>
  <c r="X12" i="1"/>
  <c r="Y12" i="1" s="1"/>
  <c r="Y45" i="1" l="1"/>
  <c r="Z45" i="1"/>
  <c r="Z51" i="1"/>
  <c r="Z30" i="1"/>
  <c r="Y22" i="1"/>
  <c r="Y23" i="1"/>
  <c r="Z23" i="1"/>
  <c r="Q13" i="1"/>
  <c r="Z12" i="1" l="1"/>
  <c r="X13" i="1" s="1"/>
  <c r="Y13" i="1" l="1"/>
  <c r="Z13" i="1" l="1"/>
  <c r="X16" i="1" l="1"/>
  <c r="Y16" i="1" l="1"/>
  <c r="Z16" i="1"/>
  <c r="X17" i="1" s="1"/>
  <c r="Y17" i="1" l="1"/>
  <c r="Z17" i="1"/>
  <c r="K46" i="1" l="1"/>
  <c r="L46" i="1" s="1"/>
  <c r="K31" i="1"/>
  <c r="L31" i="1" s="1"/>
  <c r="K24" i="1"/>
  <c r="L24" i="1" s="1"/>
  <c r="K58" i="1"/>
  <c r="L58" i="1" s="1"/>
  <c r="K52" i="1"/>
  <c r="L52" i="1" s="1"/>
  <c r="K39" i="1"/>
  <c r="L39"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1" i="1"/>
  <c r="J40" i="18"/>
  <c r="J16" i="18"/>
  <c r="P16" i="18"/>
  <c r="V8" i="18"/>
  <c r="J8" i="18"/>
  <c r="J24" i="18"/>
  <c r="AH16" i="18"/>
  <c r="AB16" i="18"/>
  <c r="AB40" i="18"/>
  <c r="P32" i="18"/>
  <c r="P40" i="18"/>
  <c r="AH24" i="18"/>
  <c r="AB32" i="18"/>
  <c r="J32" i="18"/>
  <c r="V16" i="18"/>
  <c r="V40" i="18"/>
  <c r="AH32" i="18"/>
  <c r="V24" i="18"/>
  <c r="V32" i="18"/>
  <c r="AH8" i="18"/>
  <c r="AB8" i="18"/>
  <c r="P8" i="18"/>
  <c r="N31"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1" i="1" l="1"/>
  <c r="AA31" i="1" s="1"/>
  <c r="AB46" i="1"/>
  <c r="AA46" i="1" s="1"/>
  <c r="AB58" i="1"/>
  <c r="AA58" i="1" s="1"/>
  <c r="AA12" i="1"/>
  <c r="AB18" i="1"/>
  <c r="AB24" i="1"/>
  <c r="AB52" i="1"/>
  <c r="AB39" i="1"/>
  <c r="AA39" i="1" s="1"/>
  <c r="AA52" i="1" l="1"/>
  <c r="V22" i="19" s="1"/>
  <c r="AB53" i="1"/>
  <c r="AA53" i="1" s="1"/>
  <c r="AA24" i="1"/>
  <c r="AA18" i="1"/>
  <c r="AB19" i="1"/>
  <c r="AB20"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27"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13" i="1"/>
  <c r="AB42" i="1"/>
  <c r="AA47" i="1"/>
  <c r="AB48" i="1"/>
  <c r="AA48" i="1" s="1"/>
  <c r="AB49" i="1"/>
  <c r="AB54" i="1"/>
  <c r="AA54" i="1" s="1"/>
  <c r="AB55" i="1"/>
  <c r="AA55" i="1" s="1"/>
  <c r="AA59" i="1"/>
  <c r="AB60" i="1"/>
  <c r="J28" i="19" l="1"/>
  <c r="AH8" i="19"/>
  <c r="V48" i="19"/>
  <c r="AB48" i="19"/>
  <c r="AH28" i="19"/>
  <c r="AB18" i="19"/>
  <c r="V18" i="19"/>
  <c r="AB28" i="19"/>
  <c r="V8" i="19"/>
  <c r="P48" i="19"/>
  <c r="AH18" i="19"/>
  <c r="J8" i="19"/>
  <c r="AC24" i="1"/>
  <c r="AH38" i="19"/>
  <c r="AH48" i="19"/>
  <c r="J18" i="19"/>
  <c r="P38" i="19"/>
  <c r="P18" i="19"/>
  <c r="J48" i="19"/>
  <c r="AB8" i="19"/>
  <c r="J38" i="19"/>
  <c r="J47" i="19"/>
  <c r="V27" i="19"/>
  <c r="P47" i="19"/>
  <c r="AB17" i="19"/>
  <c r="J7" i="19"/>
  <c r="AH17" i="19"/>
  <c r="P7" i="19"/>
  <c r="V37" i="19"/>
  <c r="V38" i="19"/>
  <c r="P8" i="19"/>
  <c r="AB38" i="19"/>
  <c r="P28" i="19"/>
  <c r="V28" i="19"/>
  <c r="P1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1" i="1"/>
  <c r="AA20" i="1"/>
  <c r="AB36"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9" i="1"/>
  <c r="AA29" i="1" s="1"/>
  <c r="AA28" i="1"/>
  <c r="AB30" i="1"/>
  <c r="AA30"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<sst xmlns="http://schemas.openxmlformats.org/spreadsheetml/2006/main" count="555" uniqueCount="356">
  <si>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</si>
  <si>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</si>
  <si>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</si>
  <si>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</si>
  <si>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</si>
  <si>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</si>
  <si>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</si>
  <si>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</si>
  <si>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</si>
  <si>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</si>
  <si>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</si>
  <si>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</si>
  <si>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</si>
  <si>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</si>
  <si>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</si>
  <si>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</si>
  <si>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</si>
  <si>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</si>
  <si>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</si>
  <si>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</si>
  <si>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</si>
  <si>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</si>
  <si>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</si>
  <si>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</si>
  <si>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</si>
  <si>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</si>
  <si>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</si>
  <si>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</si>
  <si>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</si>
  <si>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</si>
  <si>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</si>
  <si>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</si>
  <si>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</si>
  <si>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</si>
  <si>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</si>
  <si>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</si>
  <si>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</si>
  <si>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</si>
  <si>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</si>
  <si>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</si>
  <si>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</si>
  <si>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</si>
  <si>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</si>
  <si>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</si>
  <si>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</si>
  <si>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</si>
  <si>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</si>
  <si>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</si>
  <si>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</si>
  <si>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</si>
  <si>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</si>
  <si>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</si>
  <si>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</si>
  <si>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</si>
  <si>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</si>
  <si>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</si>
  <si>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</si>
  <si>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</si>
  <si>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</si>
  <si>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</si>
  <si>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</si>
  <si>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</si>
  <si>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</si>
  <si>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</si>
  <si>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</si>
  <si>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</si>
  <si>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</si>
  <si>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</si>
  <si>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</si>
  <si>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</si>
  <si>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</si>
  <si>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</si>
  <si>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</si>
  <si>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</si>
  <si>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</si>
  <si>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</si>
  <si>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</si>
  <si>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</si>
  <si>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</si>
  <si>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</si>
  <si>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la Salud Pública</t>
  </si>
  <si>
    <t>ALCANCE:</t>
  </si>
  <si>
    <t>Se inicia con la planeación integral en salud y termina con la ejecución de las actividades según las competencias municipales</t>
  </si>
  <si>
    <t>CONTEXTO ESTRATÉGICO</t>
  </si>
  <si>
    <t>OBJETIVOS ESTRATÉGICOS</t>
  </si>
  <si>
    <t>OBJETIVO DEL PROCESO</t>
  </si>
  <si>
    <t>PLANEACIÓN INSTITUCIONAL</t>
  </si>
  <si>
    <t>PUNTOS DE RIESGO EN LA CADENA DE VALOR</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</si>
  <si>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</si>
  <si>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t>
  </si>
  <si>
    <t>Plan territorial de Salud; Resolución de acuerdo municipal   de   aprobación   del Plan Territorial de Salud; Plan  de  Acción  de  Salud. -PAS; Componente   Operativo   Anual de Inversión. -COA</t>
  </si>
  <si>
    <t>Planeación, ejecucion y seguimiento de los planes de acción.</t>
  </si>
  <si>
    <t>MATRIZ DOFA</t>
  </si>
  <si>
    <t>DEBILIDADES</t>
  </si>
  <si>
    <t>AMENAZAS</t>
  </si>
  <si>
    <t>La pérdida de la curva de aprendizaje por la no continuidad, dado que el 95% es personal contratista</t>
  </si>
  <si>
    <t>Sanciones por no cumplimiento de procesos misionales de la secretaria de salud pública</t>
  </si>
  <si>
    <t>Debilidad en el proceso de implementación de la Politica Gestión del Conocimiento</t>
  </si>
  <si>
    <t xml:space="preserve">Aumento de indicadores de vigilancia de salud pública que identifica falencias en el control de enfermedades de interés en salud pública. </t>
  </si>
  <si>
    <t>Existen trámites administrativos gerenciales que limitan una adecuada contratación que impide garantizar cumplimiento de actividades relacionadas con salud pública.</t>
  </si>
  <si>
    <t>Disminución recorte o retiro total de recursos económicos asignados para dar cumplimiento a las actividades de salud pública y ambiente.</t>
  </si>
  <si>
    <t>Insuficiente personal de planta con perfil para garantizar algunos procesos.</t>
  </si>
  <si>
    <t>Procesos disciplinarios por recibo de dadivas por parte de personal que realiza inspección vigilancia y control.</t>
  </si>
  <si>
    <t xml:space="preserve">Talento Humano sin sentido de pertenencia para el desarrollo de algunas actividades.  </t>
  </si>
  <si>
    <t>Incumplimiento con informes normativos de entes de control y/o vigilancia y/o requerimientos varios que pueda desencadenar sanciones de cualquier tipo.</t>
  </si>
  <si>
    <t>Puestos de trabajo insuficientes que faciliten el trabajo y desempeño del recurso humano.</t>
  </si>
  <si>
    <t>FORTALEZAS</t>
  </si>
  <si>
    <t>OPORTUNIDADES</t>
  </si>
  <si>
    <t>Recursos designados para el cumplimiento de actividades relacionadas con salud pública y Ambiente</t>
  </si>
  <si>
    <t xml:space="preserve">Procesos estandarizados para la integración al sistema de gestión integral de calidad. </t>
  </si>
  <si>
    <t xml:space="preserve">Personal capacitado para garantizar algunos procesos con salud pública.y Ambiente </t>
  </si>
  <si>
    <t>Existencia de normatividad que permite el direccionamiento y detalle de las actividades a desarrollar en el proceso.</t>
  </si>
  <si>
    <t>Talento Humano contratista garantiza el cumplimiento de las competencias en Salud Pública y Ambiente.</t>
  </si>
  <si>
    <t>Apoyo de asistencia técnica por entes departamentales y/o otras para disponer de una capacitación continua relacionadas con el tema de salud pública.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</si>
  <si>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</si>
  <si>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</si>
  <si>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</si>
  <si>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</si>
  <si>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</si>
  <si>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</si>
  <si>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</si>
  <si>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</si>
  <si>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</si>
  <si>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</si>
  <si>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 de necesidades identificadas de la comunidad, para contribuir con el bienestar y el progreso de los ciudadanos con sostenibilidad social, económica, urbana y ambiental.</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</si>
  <si>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</si>
  <si>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</si>
  <si>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</si>
  <si>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</si>
  <si>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</si>
  <si>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</si>
  <si>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</si>
  <si>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</si>
  <si>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</si>
  <si>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</si>
  <si>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</si>
  <si>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</si>
  <si>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</si>
  <si>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</si>
  <si>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</si>
  <si>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</si>
  <si>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</si>
  <si>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</si>
  <si>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</si>
  <si>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</si>
  <si>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</si>
  <si>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</si>
  <si>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</si>
  <si>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</si>
  <si>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</si>
  <si>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</si>
  <si>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</si>
  <si>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</si>
  <si>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</si>
  <si>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Sanciones de entes de control, disminución de recursos por parte del Ministerio de Salud y Protección Social</t>
  </si>
  <si>
    <t>Baja gestión en el cumplimiento de los planes de acción en razón a los trámites previos de los procesos contractuales y ejecución</t>
  </si>
  <si>
    <t>Posibilidad de afectación económica y reputacional por posibles sanciones de entes de control, por disminución de recursos por parte del Ministerio de Salud y Protección Social, debido a la baja gestión en el cumplimiento de los planes de acción en razón a los trámites previos de los procesos contractuales y ejecución</t>
  </si>
  <si>
    <t>Ejecucion y Administracion de procesos</t>
  </si>
  <si>
    <t xml:space="preserve">     Entre 100 y 500 SMLMV </t>
  </si>
  <si>
    <t>La Secretaría de Salud y Ambiente y su equipo de planeación, presupuesto y contratación, verifica mensualmente el avance del proceso de contratación, a través del plan de acción.</t>
  </si>
  <si>
    <t>Preventivo</t>
  </si>
  <si>
    <t>Manual</t>
  </si>
  <si>
    <t>Documentado</t>
  </si>
  <si>
    <t>Continua</t>
  </si>
  <si>
    <t>Con Registro</t>
  </si>
  <si>
    <t>Reducir (mitigar)</t>
  </si>
  <si>
    <t>Realizar un  seguimiento mensual al plan de acción de contratación para verificar el avance en el cumplimiento de los contratos proyectados y en ejecución.</t>
  </si>
  <si>
    <t xml:space="preserve">Subsecretaria de Salud Pública y equipo de contratación </t>
  </si>
  <si>
    <t>Informe de Seguimiento
(8)</t>
  </si>
  <si>
    <t>Posible lesión del patrimonio público e investigaciones y sanciones de entes de control</t>
  </si>
  <si>
    <t>Destinación indebida de recursos del Régimen Subsidiado</t>
  </si>
  <si>
    <t>Posibilidad de afectación económica por posible lesión del patrimonio público e investigaciones y sanciones de entes de control, debido a la destinación indebida de recursos del Régimen Subsidiado</t>
  </si>
  <si>
    <t>El profesional de aseguramiento verifica el cumplimiento del procedimiento del cruce de base de datos de la LMA (liquidación mensual de afiliados)</t>
  </si>
  <si>
    <t>Realizar un  acta mensual del cruce de la base de datos de la LMA (Liquidación mensual de afiliados)  dejando como constancia  del reporte a la plataforma de ADRES</t>
  </si>
  <si>
    <t>Profesional de Aseguramiento</t>
  </si>
  <si>
    <t>Actas  Reunión 
(12)</t>
  </si>
  <si>
    <t>Posibles deficiencias en la calidad de los procesos</t>
  </si>
  <si>
    <t>Desactualización de la documentación del sistema Integrado de Gestión de Calidad</t>
  </si>
  <si>
    <t>Posibilidad de afectación económica y reputacional por posibles deficiencias en la calidad de los procesos, debido a la desactualización de la documentación del sistema Integrado de Gestión de Calidad.</t>
  </si>
  <si>
    <t xml:space="preserve">La Subsecretaría de Salud realiza la revisión documental del Sistema Integrado de Gestión de Calidad y verifica el avance en la actualización de los procedimientos. </t>
  </si>
  <si>
    <t>Realizar un plan de trabajo con el área de gestión de la calidad de la Secretaría Administrativa, para la revisión y actualización documental de la subsecretaría de Salud Pública</t>
  </si>
  <si>
    <t>Subsecretaria de Salud Pública</t>
  </si>
  <si>
    <t>Plan de Trabajo 
(1)</t>
  </si>
  <si>
    <t>Realizar  informe de cumplimiento al plan de trabajo concertado con la subsecretaría de Salud Pública del área de calidad.</t>
  </si>
  <si>
    <t>Informe de Seguimiento
(2)</t>
  </si>
  <si>
    <t xml:space="preserve"> Investigaciones y sanciones disciplinarias por entes de Control</t>
  </si>
  <si>
    <t xml:space="preserve">Incumplimiento de la Ley 594 del 2000 en los documentos emanados por la Secretaría de Salud y Ambiente </t>
  </si>
  <si>
    <t xml:space="preserve">Posibilidad de afectación reputacional por posibles investigaciones y sanciones disciplinarias por entes de Control, debido al incumplimiento de la Ley 594 del 2000 en los documentos emanados por la Secretaría de Salud y Ambiente </t>
  </si>
  <si>
    <t xml:space="preserve">     El riesgo afecta la imagen de la entidad con algunos usuarios de relevancia frente al logro de los objetivos</t>
  </si>
  <si>
    <t>El servidor público encargado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</si>
  <si>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 el 23% de las Transferencias  primarias  de los archivos de gestión y fondos acumulados de la Subsecretaría de Salud Publica en los tiempos establecidos en el cronograma para la vigencia que aplique la tabla de retención documental vigentes</t>
  </si>
  <si>
    <t>Acta de transferencia documental F-GDO-8600-238,37-022</t>
  </si>
  <si>
    <t>Organizar el 40% de los archivos de gestión   de los documentos generados por la Subsecretaría de Salud pública</t>
  </si>
  <si>
    <t xml:space="preserve">Informe de seguimiento a la organización documental F-GDO-8600-238,37-033 </t>
  </si>
  <si>
    <t>Elaborar el 40% de los inventarios documentales de los archivos producidos  por la Subsecretaría de Salud Pública</t>
  </si>
  <si>
    <t>Inventarios documentales F-GDO-8600-238,37-003</t>
  </si>
  <si>
    <t>Posibilidad de afectación reputacional por posibles investigaciones y sanciones disciplinarias por entes de Control, debido a la interrupción en la prestación de los servicios ofrecidos por la Subsecretaria de Salud Publica</t>
  </si>
  <si>
    <t>El Subsecretario de Salud Pública identifica los programas y servicios que no puede ser interrumpidos y gestiona con el área de  las vigencias futuras para garantizar la continuidad de los mismos</t>
  </si>
  <si>
    <t>Correctivo</t>
  </si>
  <si>
    <t xml:space="preserve">Realizar un informe donde se prioricen los programas que requieren continuidad para garantizar la prestación de servicios y presentar la solicitud de vigencias futuras. </t>
  </si>
  <si>
    <t>Informe
(1)</t>
  </si>
  <si>
    <t>Realizar el trámite de solicitud de vigencias futuras de los programas priorizados.</t>
  </si>
  <si>
    <t>Oficio 
(1)</t>
  </si>
  <si>
    <t>Reputacional</t>
  </si>
  <si>
    <t>Investigaciones disciplinarias por la autoridad competente</t>
  </si>
  <si>
    <t xml:space="preserve">incumplimiento de la Ley 1712 del 2014 y Resolución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</si>
  <si>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 </t>
  </si>
  <si>
    <t>El profesional asignado por el líder del proceso, revisa la información sujeta a publicación de acuerdo con lo establecido en la Resolución 1519 de 2020 y sus anexos, y verifica a través de la pagina web institucional su cumplimiento</t>
  </si>
  <si>
    <r>
      <t xml:space="preserve">Solicitar al área TIC la publicación de documentos a cargo de la </t>
    </r>
    <r>
      <rPr>
        <b/>
        <sz val="10"/>
        <color theme="1"/>
        <rFont val="Arial Narrow"/>
        <family val="2"/>
      </rPr>
      <t>Subsecretaría de Salud</t>
    </r>
    <r>
      <rPr>
        <sz val="10"/>
        <color theme="1"/>
        <rFont val="Arial Narrow"/>
        <family val="2"/>
      </rPr>
      <t>, de acuerdo con los estándares establecidos en la Resolución 1519 de 2020</t>
    </r>
  </si>
  <si>
    <t>Líder de proceso y profesional asignado</t>
  </si>
  <si>
    <t>Solicitudes de publicación enviados al área TIC</t>
  </si>
  <si>
    <t>Posibilidad de afectación reputacional por posibles investigaciones y sanciones disciplinarias por entes de control, debido a la falta de seguimiento al cumplimiento de metas del Plan de Desarrollo Municipal programadas para la vigencia</t>
  </si>
  <si>
    <t xml:space="preserve">El profesional responsable de la Secretaría de Salud, realiza monitoreo al Plan de Desarrollo Municipal 2024-2027, con el objetivo de verificar el avance en el cumplimiento físico de las metas y/o ejecución de recursos financieros, siguiendo los lineamientos del orden nacional y normas vigentes. </t>
  </si>
  <si>
    <t>Realizar monitoreo trimestral al Plan de Desarrollo Municipal para verificar el avance en el cumplimiento físico de metas y ejecución de recursos financieros</t>
  </si>
  <si>
    <t>Secretaria  de Salud 
Profesional Especializado</t>
  </si>
  <si>
    <t>Informe de seguimiento (4)  informe de gestión</t>
  </si>
  <si>
    <t>Investigaciones disciplinarias</t>
  </si>
  <si>
    <t>Posibilidad de afectación reputacional por investigaciones disciplinarias debido al incumplimiento de las acciones correctivas en los tiempos estipulados y plasmados en los Planes de Mejoramiento de auditorías internas, suscritos</t>
  </si>
  <si>
    <t xml:space="preserve">La profesional encargada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</si>
  <si>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</si>
  <si>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</si>
  <si>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</si>
  <si>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t xml:space="preserve">sanciones e investigaciones disciplinarias de entes de control y deficiente inversión de los recursos en la Administración Central </t>
  </si>
  <si>
    <t>debilidades en 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</si>
  <si>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</si>
  <si>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La Secretaria de Salud y Ambiente, supervisores, el profesional líder de contratación y el profesional encargado de presupuesto en la Secretaría de Salud y Ambiente,  realizaran el seguimiento al presupuesto en materia de contratación, conforme al principio de planeación con el fin de evitar la constitución de reservas presupuestales a través del sistema financiero</t>
  </si>
  <si>
    <t>Realizar reunión de trabajo trimestral de seguimiento, liderada por la Secretaria de despacho a fin de revisar el estado de saldos pendientes de pago de las reservas presupuestales emitido por la Secretaría de Hacienda</t>
  </si>
  <si>
    <t>Secretaria de Salud y Ambiente</t>
  </si>
  <si>
    <t>Acta de reunion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</si>
  <si>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</si>
  <si>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</si>
  <si>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</si>
  <si>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</si>
  <si>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</si>
  <si>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</si>
  <si>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</si>
  <si>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</si>
  <si>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</si>
  <si>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</si>
  <si>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</si>
  <si>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</si>
  <si>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</si>
  <si>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</si>
  <si>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</si>
  <si>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</si>
  <si>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</si>
  <si>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</si>
  <si>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</si>
  <si>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</si>
  <si>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</si>
  <si>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</si>
  <si>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</si>
  <si>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</si>
  <si>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</si>
  <si>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</si>
  <si>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</si>
  <si>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</si>
  <si>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</si>
  <si>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</si>
  <si>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</si>
  <si>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</si>
  <si>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</si>
  <si>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</si>
  <si>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</si>
  <si>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</si>
  <si>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</si>
  <si>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</si>
  <si>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</si>
  <si>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</si>
  <si>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</si>
  <si>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</si>
  <si>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</si>
  <si>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</si>
  <si>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</si>
  <si>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</si>
  <si>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</si>
  <si>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</si>
  <si>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</si>
  <si>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</si>
  <si>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</si>
  <si>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</si>
  <si>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</si>
  <si>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</si>
  <si>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</si>
  <si>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</si>
  <si>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</si>
  <si>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</si>
  <si>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</si>
  <si>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</si>
  <si>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</si>
  <si>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</si>
  <si>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</si>
  <si>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</si>
  <si>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</si>
  <si>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</si>
  <si>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</si>
  <si>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</si>
  <si>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</si>
  <si>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</si>
  <si>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</si>
  <si>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</si>
  <si>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</si>
  <si>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</si>
  <si>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</si>
  <si>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</si>
  <si>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</si>
  <si>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</si>
  <si>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</si>
  <si>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</si>
  <si>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</si>
  <si>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</si>
  <si>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</si>
  <si>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</si>
  <si>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</si>
  <si>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</si>
  <si>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</si>
  <si>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</si>
  <si>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</si>
  <si>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</si>
  <si>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</si>
  <si>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</si>
  <si>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</si>
  <si>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</si>
  <si>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</si>
  <si>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</si>
  <si>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</si>
  <si>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</si>
  <si>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</si>
  <si>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</si>
  <si>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</si>
  <si>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</si>
  <si>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</si>
  <si>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</si>
  <si>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</si>
  <si>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</si>
  <si>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</si>
  <si>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</si>
  <si>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</si>
  <si>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</si>
  <si>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</si>
  <si>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</si>
  <si>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</si>
  <si>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</si>
  <si>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</si>
  <si>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</si>
  <si>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</si>
  <si>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 interrupción en la prestación de los servicios ofrecidos por la Secretaría de Salud y Ambiente</t>
  </si>
  <si>
    <t xml:space="preserve"> falta de seguimiento al cumplimiento de metas del Plan de Desarrollo Municipal programadas para la vigencia</t>
  </si>
  <si>
    <t>investigaciones y sanciones disciplinarias por entes de control</t>
  </si>
  <si>
    <t>incumplimiento de las acciones correctivas en los tiempos estipulados y plasmados en los Planes de Mejoramiento de auditorías internas, suscritos</t>
  </si>
  <si>
    <t>investigaciones y sanciones disciplinarias por entes de control y Superintendencia Nacional de Salud</t>
  </si>
  <si>
    <t>Acta de seguimiento (1)</t>
  </si>
  <si>
    <t>Posibilidad de afectación reputacional por posibles investigaciones y sanciones disciplinarias por entes de control y Superintendencia Nacional de Salud debido a deficiencias en el seguimiento a las IPS frente al cumplimiento de estándares de calidad (acceso, oportunidad, efectividad) y seguridad del paciente.</t>
  </si>
  <si>
    <t xml:space="preserve"> deficiencias en el seguimiento a las IPS   frente al cumplimiento de estándares de calidad (acceso, oportunidad, efectividad) y seguridad del paciente.</t>
  </si>
  <si>
    <t>La Subsecretaria de Salud Pública verifica el cumplimiento de la inspección y vigilancia a los servicios de urgencia en las Instituciones Prestadoras de Servicios de Salud (IPS), a través de los planes de mejoramiento producto de las auditorías soportadas en las Actas de visitas de seguimiento, con el fin de garantizar el acceso efectivo y oportuno a los servicios médicos del paciente</t>
  </si>
  <si>
    <t>Realizar un seguimiento al cumplimiento del Plan de Mejoramiento suscrito con las Instituciones Prestadoras de Servicios de Salud (IPS), con el fin de fortalecer la calidad de la atención y el cumplimiento normativo.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</si>
</sst>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00B0F0"/>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7" xfId="0" applyFont="1" applyFill="1" applyBorder="1" applyAlignment="1">
      <alignment horizontal="left" vertical="center" wrapText="1" indent="1"/>
    </xf>
    <xf numFmtId="0" fontId="71" fillId="17" borderId="109"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7"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0" fontId="6" fillId="3" borderId="2" xfId="0"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75" fillId="0" borderId="2" xfId="0" applyNumberFormat="1" applyFont="1" applyBorder="1" applyAlignment="1" applyProtection="1">
      <alignment horizontal="center" vertical="center"/>
      <protection locked="0"/>
    </xf>
    <xf numFmtId="0" fontId="75" fillId="3" borderId="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0" borderId="10" xfId="0" applyFont="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wrapText="1"/>
      <protection locked="0"/>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9" fillId="20" borderId="34" xfId="0" applyFont="1" applyFill="1" applyBorder="1" applyAlignment="1">
      <alignment horizontal="center" vertical="center" wrapText="1"/>
    </xf>
    <xf numFmtId="0" fontId="65" fillId="0" borderId="117" xfId="0" applyFont="1" applyBorder="1" applyAlignment="1">
      <alignment horizontal="center" vertical="center"/>
    </xf>
    <xf numFmtId="0" fontId="65" fillId="0" borderId="117" xfId="0" applyFont="1" applyBorder="1" applyAlignment="1">
      <alignment horizontal="center"/>
    </xf>
    <xf numFmtId="0" fontId="61" fillId="0" borderId="118" xfId="0" applyFont="1" applyBorder="1" applyAlignment="1">
      <alignment horizontal="center" vertical="center" wrapText="1"/>
    </xf>
    <xf numFmtId="0" fontId="61" fillId="0" borderId="72" xfId="0" applyFont="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0" borderId="104" xfId="0" applyFont="1" applyBorder="1" applyAlignment="1">
      <alignment horizontal="left" vertical="center"/>
    </xf>
    <xf numFmtId="0" fontId="1" fillId="0" borderId="77" xfId="0" applyFont="1" applyBorder="1" applyAlignment="1">
      <alignment horizontal="left" vertical="center"/>
    </xf>
    <xf numFmtId="0" fontId="1" fillId="0" borderId="105" xfId="0" applyFont="1" applyBorder="1" applyAlignment="1">
      <alignment horizontal="left" vertical="center"/>
    </xf>
    <xf numFmtId="0" fontId="75" fillId="0" borderId="106" xfId="0" applyFont="1" applyBorder="1" applyAlignment="1">
      <alignment horizontal="left" vertical="center" wrapText="1"/>
    </xf>
    <xf numFmtId="0" fontId="75"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75" fillId="0" borderId="35" xfId="0" applyFont="1" applyBorder="1" applyAlignment="1">
      <alignment horizontal="left" wrapText="1"/>
    </xf>
    <xf numFmtId="0" fontId="75" fillId="0" borderId="31" xfId="0" applyFont="1" applyBorder="1" applyAlignment="1">
      <alignment horizontal="left" wrapText="1"/>
    </xf>
    <xf numFmtId="0" fontId="75" fillId="0" borderId="36" xfId="0" applyFont="1" applyBorder="1" applyAlignment="1">
      <alignment horizontal="left" wrapText="1"/>
    </xf>
    <xf numFmtId="0" fontId="61" fillId="0" borderId="106" xfId="0" applyFont="1" applyBorder="1" applyAlignment="1">
      <alignment horizontal="left" vertical="center" wrapText="1"/>
    </xf>
    <xf numFmtId="0" fontId="61" fillId="0" borderId="36" xfId="0" applyFont="1" applyBorder="1" applyAlignment="1">
      <alignment horizontal="left" vertical="center" wrapText="1"/>
    </xf>
    <xf numFmtId="0" fontId="1" fillId="0" borderId="35" xfId="0" applyFont="1" applyBorder="1" applyAlignment="1">
      <alignment horizontal="left"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8"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70" fillId="18" borderId="100"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9" xfId="0" applyFont="1" applyFill="1" applyBorder="1" applyAlignment="1">
      <alignment horizontal="center" vertical="center" wrapText="1"/>
    </xf>
    <xf numFmtId="0" fontId="72" fillId="0" borderId="14" xfId="0" applyFont="1" applyBorder="1" applyAlignment="1">
      <alignment horizontal="left" vertical="center" wrapText="1"/>
    </xf>
    <xf numFmtId="0" fontId="72" fillId="0" borderId="15" xfId="0" applyFont="1" applyBorder="1" applyAlignment="1">
      <alignment horizontal="left" vertical="center" wrapText="1"/>
    </xf>
    <xf numFmtId="0" fontId="60" fillId="0" borderId="0" xfId="0" applyFont="1" applyAlignment="1">
      <alignment horizontal="center" vertical="center"/>
    </xf>
    <xf numFmtId="0" fontId="72" fillId="0" borderId="12" xfId="0" applyFont="1" applyBorder="1" applyAlignment="1">
      <alignment horizontal="left" vertical="center" wrapText="1"/>
    </xf>
    <xf numFmtId="0" fontId="72" fillId="0" borderId="13" xfId="0" applyFont="1" applyBorder="1" applyAlignment="1">
      <alignment horizontal="left" vertical="center" wrapText="1"/>
    </xf>
    <xf numFmtId="0" fontId="73" fillId="0" borderId="106" xfId="0" applyFont="1" applyBorder="1" applyAlignment="1">
      <alignment horizontal="left" vertical="center" wrapText="1"/>
    </xf>
    <xf numFmtId="0" fontId="73" fillId="0" borderId="36" xfId="0" applyFont="1" applyBorder="1" applyAlignment="1">
      <alignment horizontal="left" vertical="center" wrapText="1"/>
    </xf>
    <xf numFmtId="0" fontId="61" fillId="0" borderId="35" xfId="0" applyFont="1" applyBorder="1" applyAlignment="1">
      <alignment horizontal="left" vertical="center" wrapText="1"/>
    </xf>
    <xf numFmtId="0" fontId="61" fillId="0" borderId="31" xfId="0" applyFont="1" applyBorder="1" applyAlignment="1">
      <alignment horizontal="left" vertical="center" wrapText="1"/>
    </xf>
    <xf numFmtId="0" fontId="61" fillId="3" borderId="35" xfId="0" applyFont="1" applyFill="1" applyBorder="1" applyAlignment="1">
      <alignment horizontal="left" vertical="center"/>
    </xf>
    <xf numFmtId="0" fontId="61" fillId="3" borderId="31" xfId="0" applyFont="1" applyFill="1" applyBorder="1" applyAlignment="1">
      <alignment horizontal="left" vertical="center"/>
    </xf>
    <xf numFmtId="0" fontId="61" fillId="3" borderId="36" xfId="0" applyFont="1" applyFill="1" applyBorder="1" applyAlignment="1">
      <alignment horizontal="left" vertical="center"/>
    </xf>
    <xf numFmtId="0" fontId="61" fillId="0" borderId="106" xfId="0" applyFont="1" applyBorder="1" applyAlignment="1">
      <alignment horizontal="left" vertical="center"/>
    </xf>
    <xf numFmtId="0" fontId="61" fillId="0" borderId="36" xfId="0" applyFont="1" applyBorder="1" applyAlignment="1">
      <alignment horizontal="left" vertical="center"/>
    </xf>
    <xf numFmtId="0" fontId="61" fillId="3" borderId="35" xfId="0" applyFont="1" applyFill="1" applyBorder="1" applyAlignment="1">
      <alignment horizontal="left" vertical="center" wrapText="1"/>
    </xf>
    <xf numFmtId="0" fontId="61" fillId="3" borderId="31" xfId="0" applyFont="1" applyFill="1" applyBorder="1" applyAlignment="1">
      <alignment horizontal="left" vertical="center" wrapText="1"/>
    </xf>
    <xf numFmtId="0" fontId="61" fillId="3" borderId="36" xfId="0" applyFont="1" applyFill="1" applyBorder="1" applyAlignment="1">
      <alignment horizontal="left" vertical="center" wrapText="1"/>
    </xf>
    <xf numFmtId="0" fontId="73" fillId="0" borderId="106" xfId="0" applyFont="1" applyBorder="1" applyAlignment="1">
      <alignment horizontal="left" vertical="center"/>
    </xf>
    <xf numFmtId="0" fontId="73" fillId="0" borderId="36" xfId="0" applyFont="1" applyBorder="1" applyAlignment="1">
      <alignment horizontal="left" vertical="center"/>
    </xf>
    <xf numFmtId="0" fontId="73" fillId="0" borderId="104" xfId="0" applyFont="1" applyBorder="1" applyAlignment="1">
      <alignment horizontal="left" vertical="center"/>
    </xf>
    <xf numFmtId="0" fontId="73" fillId="0" borderId="105" xfId="0" applyFont="1" applyBorder="1" applyAlignment="1">
      <alignment horizontal="left" vertical="center"/>
    </xf>
    <xf numFmtId="0" fontId="61" fillId="3" borderId="37" xfId="0" applyFont="1" applyFill="1" applyBorder="1" applyAlignment="1">
      <alignment horizontal="left" vertical="center"/>
    </xf>
    <xf numFmtId="0" fontId="61" fillId="3" borderId="38" xfId="0" applyFont="1" applyFill="1" applyBorder="1" applyAlignment="1">
      <alignment horizontal="left" vertical="center"/>
    </xf>
    <xf numFmtId="0" fontId="61" fillId="3" borderId="39" xfId="0" applyFont="1" applyFill="1" applyBorder="1" applyAlignment="1">
      <alignment horizontal="left" vertical="center"/>
    </xf>
    <xf numFmtId="0" fontId="73" fillId="0" borderId="107"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66" fillId="0" borderId="109" xfId="0" applyFont="1" applyBorder="1" applyAlignment="1">
      <alignment horizontal="center" vertical="center" wrapText="1"/>
    </xf>
    <xf numFmtId="0" fontId="66" fillId="0" borderId="73" xfId="0" applyFont="1" applyBorder="1" applyAlignment="1">
      <alignment horizontal="center" vertical="center" wrapText="1"/>
    </xf>
    <xf numFmtId="0" fontId="66" fillId="0" borderId="110" xfId="0" applyFont="1" applyBorder="1" applyAlignment="1">
      <alignment horizontal="center" vertical="center" wrapText="1"/>
    </xf>
    <xf numFmtId="0" fontId="66" fillId="0" borderId="111" xfId="0" applyFont="1" applyBorder="1" applyAlignment="1">
      <alignment horizontal="center" vertical="center" wrapText="1"/>
    </xf>
    <xf numFmtId="0" fontId="66" fillId="0" borderId="11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114"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116" xfId="0" applyFont="1" applyBorder="1" applyAlignment="1">
      <alignment horizontal="center" vertical="center" wrapText="1"/>
    </xf>
    <xf numFmtId="0" fontId="72" fillId="0" borderId="16" xfId="0" applyFont="1" applyBorder="1" applyAlignment="1">
      <alignment horizontal="left" vertical="center" wrapText="1"/>
    </xf>
    <xf numFmtId="0" fontId="72" fillId="0" borderId="17" xfId="0" applyFont="1" applyBorder="1" applyAlignment="1">
      <alignment horizontal="left" vertical="center" wrapText="1"/>
    </xf>
    <xf numFmtId="0" fontId="73" fillId="0" borderId="35" xfId="0" applyFont="1" applyBorder="1" applyAlignment="1">
      <alignment horizontal="left" wrapText="1"/>
    </xf>
    <xf numFmtId="0" fontId="73" fillId="0" borderId="36" xfId="0" applyFont="1" applyBorder="1" applyAlignment="1">
      <alignment horizontal="left" wrapText="1"/>
    </xf>
    <xf numFmtId="0" fontId="61" fillId="0" borderId="35" xfId="0" applyFont="1" applyBorder="1" applyAlignment="1">
      <alignment horizontal="left" wrapText="1"/>
    </xf>
    <xf numFmtId="0" fontId="61" fillId="0" borderId="36" xfId="0" applyFont="1" applyBorder="1" applyAlignment="1">
      <alignment horizontal="left" wrapText="1"/>
    </xf>
    <xf numFmtId="0" fontId="75" fillId="0" borderId="96" xfId="0" applyFont="1" applyBorder="1" applyAlignment="1">
      <alignment horizontal="left" vertical="center" wrapText="1"/>
    </xf>
    <xf numFmtId="0" fontId="75" fillId="0" borderId="102" xfId="0" applyFont="1" applyBorder="1" applyAlignment="1">
      <alignment horizontal="left"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8" xfId="0" applyFont="1" applyBorder="1" applyAlignment="1">
      <alignment horizontal="left"/>
    </xf>
    <xf numFmtId="0" fontId="61" fillId="0" borderId="100" xfId="0" applyFont="1" applyBorder="1" applyAlignment="1">
      <alignment horizontal="left"/>
    </xf>
    <xf numFmtId="0" fontId="61" fillId="0" borderId="104" xfId="0" applyFont="1" applyBorder="1" applyAlignment="1">
      <alignment horizontal="left"/>
    </xf>
    <xf numFmtId="0" fontId="61" fillId="0" borderId="77" xfId="0" applyFont="1" applyBorder="1" applyAlignment="1">
      <alignment horizontal="left"/>
    </xf>
    <xf numFmtId="0" fontId="61" fillId="0" borderId="105" xfId="0" applyFont="1" applyBorder="1" applyAlignment="1">
      <alignment horizontal="left"/>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8" xfId="0" applyFont="1" applyBorder="1" applyAlignment="1" applyProtection="1">
      <alignment horizontal="center" vertical="center" textRotation="90"/>
      <protection locked="0"/>
    </xf>
    <xf numFmtId="0" fontId="4" fillId="0" borderId="8" xfId="0" applyFont="1" applyBorder="1" applyAlignment="1" applyProtection="1">
      <alignment horizontal="center" vertical="center" textRotation="90" wrapText="1"/>
      <protection hidden="1"/>
    </xf>
    <xf numFmtId="9" fontId="1" fillId="0" borderId="8" xfId="0" applyNumberFormat="1" applyFont="1" applyBorder="1" applyAlignment="1" applyProtection="1">
      <alignment horizontal="center" vertical="center"/>
      <protection hidden="1"/>
    </xf>
    <xf numFmtId="0" fontId="4" fillId="0" borderId="8" xfId="0" applyFont="1" applyBorder="1" applyAlignment="1" applyProtection="1">
      <alignment horizontal="center" vertical="center" textRotation="90"/>
      <protection hidden="1"/>
    </xf>
    <xf numFmtId="0" fontId="1" fillId="0" borderId="8" xfId="0" applyFont="1" applyBorder="1" applyAlignment="1">
      <alignment horizontal="center" vertical="top"/>
    </xf>
    <xf numFmtId="0" fontId="6" fillId="0" borderId="5"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62" fillId="2" borderId="3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8" xfId="0" applyFont="1" applyFill="1" applyBorder="1" applyAlignment="1">
      <alignment horizontal="center" vertical="center"/>
    </xf>
    <xf numFmtId="0" fontId="1" fillId="21" borderId="5" xfId="0" applyFont="1" applyFill="1" applyBorder="1" applyAlignment="1">
      <alignment horizontal="center" vertical="center"/>
    </xf>
    <xf numFmtId="3" fontId="1" fillId="0" borderId="4" xfId="0" applyNumberFormat="1" applyFont="1" applyBorder="1" applyAlignment="1" applyProtection="1">
      <alignment horizontal="center" vertical="center"/>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3" borderId="0" xfId="0" applyFont="1" applyFill="1" applyAlignment="1">
      <alignment horizontal="left" vertical="center"/>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4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02" t="s">
        <v>0</v>
      </c>
      <c r="C2" s="203"/>
      <c r="D2" s="203"/>
      <c r="E2" s="203"/>
      <c r="F2" s="203"/>
      <c r="G2" s="203"/>
      <c r="H2" s="204"/>
    </row>
    <row r="3" spans="1:8" x14ac:dyDescent="0.25">
      <c r="B3" s="119"/>
      <c r="C3" s="120"/>
      <c r="D3" s="120"/>
      <c r="E3" s="120"/>
      <c r="F3" s="120"/>
      <c r="G3" s="120"/>
      <c r="H3" s="121"/>
    </row>
    <row r="4" spans="1:8" ht="63" customHeight="1" x14ac:dyDescent="0.25">
      <c r="B4" s="205" t="s">
        <v>1</v>
      </c>
      <c r="C4" s="206"/>
      <c r="D4" s="206"/>
      <c r="E4" s="206"/>
      <c r="F4" s="206"/>
      <c r="G4" s="206"/>
      <c r="H4" s="207"/>
    </row>
    <row r="5" spans="1:8" ht="63" customHeight="1" x14ac:dyDescent="0.25">
      <c r="B5" s="208"/>
      <c r="C5" s="209"/>
      <c r="D5" s="209"/>
      <c r="E5" s="209"/>
      <c r="F5" s="209"/>
      <c r="G5" s="209"/>
      <c r="H5" s="210"/>
    </row>
    <row r="6" spans="1:8" ht="16.5" x14ac:dyDescent="0.25">
      <c r="A6" s="122"/>
      <c r="B6" s="211" t="s">
        <v>2</v>
      </c>
      <c r="C6" s="212"/>
      <c r="D6" s="212"/>
      <c r="E6" s="212"/>
      <c r="F6" s="212"/>
      <c r="G6" s="212"/>
      <c r="H6" s="213"/>
    </row>
    <row r="7" spans="1:8" ht="95.25" customHeight="1" x14ac:dyDescent="0.25">
      <c r="A7" s="122"/>
      <c r="B7" s="214" t="s">
        <v>3</v>
      </c>
      <c r="C7" s="214"/>
      <c r="D7" s="214"/>
      <c r="E7" s="214"/>
      <c r="F7" s="214"/>
      <c r="G7" s="214"/>
      <c r="H7" s="215"/>
    </row>
    <row r="8" spans="1:8" ht="16.5" x14ac:dyDescent="0.25">
      <c r="A8" s="122"/>
      <c r="B8" s="123"/>
      <c r="C8" s="124"/>
      <c r="D8" s="124"/>
      <c r="E8" s="124"/>
      <c r="F8" s="124"/>
      <c r="G8" s="124"/>
      <c r="H8" s="125"/>
    </row>
    <row r="9" spans="1:8" ht="16.5" customHeight="1" x14ac:dyDescent="0.25">
      <c r="A9" s="122"/>
      <c r="B9" s="216" t="s">
        <v>4</v>
      </c>
      <c r="C9" s="216"/>
      <c r="D9" s="216"/>
      <c r="E9" s="216"/>
      <c r="F9" s="216"/>
      <c r="G9" s="216"/>
      <c r="H9" s="217"/>
    </row>
    <row r="10" spans="1:8" ht="16.5" customHeight="1" x14ac:dyDescent="0.25">
      <c r="A10" s="122"/>
      <c r="B10" s="216"/>
      <c r="C10" s="216"/>
      <c r="D10" s="216"/>
      <c r="E10" s="216"/>
      <c r="F10" s="216"/>
      <c r="G10" s="216"/>
      <c r="H10" s="217"/>
    </row>
    <row r="11" spans="1:8" ht="11.65" customHeight="1" x14ac:dyDescent="0.25">
      <c r="A11" s="122"/>
      <c r="B11" s="216"/>
      <c r="C11" s="216"/>
      <c r="D11" s="216"/>
      <c r="E11" s="216"/>
      <c r="F11" s="216"/>
      <c r="G11" s="216"/>
      <c r="H11" s="217"/>
    </row>
    <row r="12" spans="1:8" ht="11.65" customHeight="1" thickBot="1" x14ac:dyDescent="0.3">
      <c r="A12" s="122"/>
      <c r="B12" s="126"/>
      <c r="C12" s="126"/>
      <c r="D12" s="126"/>
      <c r="E12" s="126"/>
      <c r="F12" s="126"/>
      <c r="G12" s="126"/>
      <c r="H12" s="127"/>
    </row>
    <row r="13" spans="1:8" ht="14.25" customHeight="1" thickTop="1" x14ac:dyDescent="0.25">
      <c r="A13" s="122"/>
      <c r="B13" s="126"/>
      <c r="C13" s="198" t="s">
        <v>5</v>
      </c>
      <c r="D13" s="199"/>
      <c r="E13" s="200" t="s">
        <v>6</v>
      </c>
      <c r="F13" s="201"/>
      <c r="G13" s="126"/>
      <c r="H13" s="127"/>
    </row>
    <row r="14" spans="1:8" ht="23.25" customHeight="1" x14ac:dyDescent="0.25">
      <c r="A14" s="122"/>
      <c r="B14" s="126"/>
      <c r="C14" s="218" t="s">
        <v>7</v>
      </c>
      <c r="D14" s="219"/>
      <c r="E14" s="220" t="s">
        <v>8</v>
      </c>
      <c r="F14" s="221"/>
      <c r="G14" s="126"/>
      <c r="H14" s="127"/>
    </row>
    <row r="15" spans="1:8" ht="27" customHeight="1" x14ac:dyDescent="0.25">
      <c r="A15" s="122"/>
      <c r="B15" s="126"/>
      <c r="C15" s="218" t="s">
        <v>9</v>
      </c>
      <c r="D15" s="219"/>
      <c r="E15" s="220" t="s">
        <v>10</v>
      </c>
      <c r="F15" s="221"/>
      <c r="G15" s="126"/>
      <c r="H15" s="127"/>
    </row>
    <row r="16" spans="1:8" ht="39" customHeight="1" x14ac:dyDescent="0.25">
      <c r="A16" s="122"/>
      <c r="B16" s="126"/>
      <c r="C16" s="218" t="s">
        <v>11</v>
      </c>
      <c r="D16" s="219"/>
      <c r="E16" s="220" t="s">
        <v>12</v>
      </c>
      <c r="F16" s="221"/>
      <c r="G16" s="126"/>
      <c r="H16" s="127"/>
    </row>
    <row r="17" spans="1:8" ht="24.75" customHeight="1" x14ac:dyDescent="0.25">
      <c r="A17" s="122"/>
      <c r="B17" s="126"/>
      <c r="C17" s="218" t="s">
        <v>13</v>
      </c>
      <c r="D17" s="219"/>
      <c r="E17" s="220" t="s">
        <v>14</v>
      </c>
      <c r="F17" s="221"/>
      <c r="G17" s="126"/>
      <c r="H17" s="128"/>
    </row>
    <row r="18" spans="1:8" ht="12.4" customHeight="1" x14ac:dyDescent="0.25">
      <c r="A18" s="122"/>
      <c r="B18" s="126"/>
      <c r="C18" s="218" t="s">
        <v>15</v>
      </c>
      <c r="D18" s="219"/>
      <c r="E18" s="225" t="s">
        <v>16</v>
      </c>
      <c r="F18" s="221"/>
      <c r="G18" s="126"/>
      <c r="H18" s="127"/>
    </row>
    <row r="19" spans="1:8" ht="24" customHeight="1" thickBot="1" x14ac:dyDescent="0.3">
      <c r="A19" s="122"/>
      <c r="B19" s="126"/>
      <c r="C19" s="226" t="s">
        <v>17</v>
      </c>
      <c r="D19" s="227"/>
      <c r="E19" s="228" t="s">
        <v>18</v>
      </c>
      <c r="F19" s="229"/>
      <c r="G19" s="126"/>
      <c r="H19" s="127"/>
    </row>
    <row r="20" spans="1:8" ht="11.65" customHeight="1" thickTop="1" x14ac:dyDescent="0.25">
      <c r="A20" s="122"/>
      <c r="B20" s="126"/>
      <c r="C20" s="129"/>
      <c r="D20" s="129"/>
      <c r="E20" s="129"/>
      <c r="F20" s="129"/>
      <c r="G20" s="126"/>
      <c r="H20" s="127"/>
    </row>
    <row r="21" spans="1:8" ht="27.4" customHeight="1" thickBot="1" x14ac:dyDescent="0.3">
      <c r="A21" s="122"/>
      <c r="B21" s="230" t="s">
        <v>19</v>
      </c>
      <c r="C21" s="231"/>
      <c r="D21" s="231"/>
      <c r="E21" s="231"/>
      <c r="F21" s="231"/>
      <c r="G21" s="231"/>
      <c r="H21" s="232"/>
    </row>
    <row r="22" spans="1:8" ht="15.75" thickTop="1" x14ac:dyDescent="0.25">
      <c r="A22" s="122"/>
      <c r="B22" s="130"/>
      <c r="C22" s="233" t="s">
        <v>5</v>
      </c>
      <c r="D22" s="199"/>
      <c r="E22" s="200" t="s">
        <v>6</v>
      </c>
      <c r="F22" s="201"/>
      <c r="G22" s="129"/>
      <c r="H22" s="131"/>
    </row>
    <row r="23" spans="1:8" ht="13.5" customHeight="1" x14ac:dyDescent="0.25">
      <c r="A23" s="122"/>
      <c r="B23" s="132"/>
      <c r="C23" s="234" t="s">
        <v>7</v>
      </c>
      <c r="D23" s="235"/>
      <c r="E23" s="236" t="s">
        <v>20</v>
      </c>
      <c r="F23" s="237"/>
      <c r="G23" s="133"/>
      <c r="H23" s="134"/>
    </row>
    <row r="24" spans="1:8" ht="13.5" customHeight="1" x14ac:dyDescent="0.25">
      <c r="A24" s="122"/>
      <c r="B24" s="132"/>
      <c r="C24" s="222" t="s">
        <v>21</v>
      </c>
      <c r="D24" s="223"/>
      <c r="E24" s="224" t="s">
        <v>22</v>
      </c>
      <c r="F24" s="221"/>
      <c r="G24" s="133"/>
      <c r="H24" s="134"/>
    </row>
    <row r="25" spans="1:8" ht="13.5" customHeight="1" x14ac:dyDescent="0.25">
      <c r="A25" s="122"/>
      <c r="B25" s="132"/>
      <c r="C25" s="222" t="s">
        <v>9</v>
      </c>
      <c r="D25" s="223"/>
      <c r="E25" s="224" t="s">
        <v>23</v>
      </c>
      <c r="F25" s="221"/>
      <c r="G25" s="133"/>
      <c r="H25" s="134"/>
    </row>
    <row r="26" spans="1:8" ht="22.9" customHeight="1" x14ac:dyDescent="0.25">
      <c r="A26" s="122"/>
      <c r="B26" s="132"/>
      <c r="C26" s="222" t="s">
        <v>24</v>
      </c>
      <c r="D26" s="223"/>
      <c r="E26" s="238" t="s">
        <v>25</v>
      </c>
      <c r="F26" s="239"/>
      <c r="G26" s="133"/>
      <c r="H26" s="134"/>
    </row>
    <row r="27" spans="1:8" ht="39.75" customHeight="1" x14ac:dyDescent="0.25">
      <c r="A27" s="122"/>
      <c r="B27" s="132"/>
      <c r="C27" s="240" t="s">
        <v>26</v>
      </c>
      <c r="D27" s="241"/>
      <c r="E27" s="242" t="s">
        <v>27</v>
      </c>
      <c r="F27" s="243"/>
      <c r="G27" s="133"/>
      <c r="H27" s="135"/>
    </row>
    <row r="28" spans="1:8" ht="34.5" customHeight="1" x14ac:dyDescent="0.25">
      <c r="B28" s="136"/>
      <c r="C28" s="244" t="s">
        <v>28</v>
      </c>
      <c r="D28" s="241"/>
      <c r="E28" s="242" t="s">
        <v>29</v>
      </c>
      <c r="F28" s="243"/>
      <c r="G28" s="133"/>
      <c r="H28" s="135"/>
    </row>
    <row r="29" spans="1:8" ht="27.75" customHeight="1" x14ac:dyDescent="0.25">
      <c r="B29" s="136"/>
      <c r="C29" s="244" t="s">
        <v>30</v>
      </c>
      <c r="D29" s="241"/>
      <c r="E29" s="242" t="s">
        <v>31</v>
      </c>
      <c r="F29" s="243"/>
      <c r="G29" s="133"/>
      <c r="H29" s="135"/>
    </row>
    <row r="30" spans="1:8" ht="72" customHeight="1" x14ac:dyDescent="0.25">
      <c r="B30" s="136"/>
      <c r="C30" s="244" t="s">
        <v>32</v>
      </c>
      <c r="D30" s="241"/>
      <c r="E30" s="242" t="s">
        <v>33</v>
      </c>
      <c r="F30" s="243"/>
      <c r="G30" s="133"/>
      <c r="H30" s="135"/>
    </row>
    <row r="31" spans="1:8" ht="72.75" customHeight="1" x14ac:dyDescent="0.25">
      <c r="B31" s="136"/>
      <c r="C31" s="244" t="s">
        <v>34</v>
      </c>
      <c r="D31" s="241"/>
      <c r="E31" s="242" t="s">
        <v>35</v>
      </c>
      <c r="F31" s="243"/>
      <c r="G31" s="133"/>
      <c r="H31" s="135"/>
    </row>
    <row r="32" spans="1:8" ht="64.5" customHeight="1" x14ac:dyDescent="0.25">
      <c r="B32" s="136"/>
      <c r="C32" s="244" t="s">
        <v>36</v>
      </c>
      <c r="D32" s="241"/>
      <c r="E32" s="242" t="s">
        <v>37</v>
      </c>
      <c r="F32" s="243"/>
      <c r="G32" s="133"/>
      <c r="H32" s="135"/>
    </row>
    <row r="33" spans="2:8" ht="71.25" customHeight="1" x14ac:dyDescent="0.25">
      <c r="B33" s="136"/>
      <c r="C33" s="245" t="s">
        <v>38</v>
      </c>
      <c r="D33" s="240"/>
      <c r="E33" s="242" t="s">
        <v>39</v>
      </c>
      <c r="F33" s="243"/>
      <c r="G33" s="133"/>
      <c r="H33" s="135"/>
    </row>
    <row r="34" spans="2:8" ht="55.5" customHeight="1" x14ac:dyDescent="0.25">
      <c r="B34" s="136"/>
      <c r="C34" s="245" t="s">
        <v>40</v>
      </c>
      <c r="D34" s="240"/>
      <c r="E34" s="242" t="s">
        <v>41</v>
      </c>
      <c r="F34" s="243"/>
      <c r="G34" s="133"/>
      <c r="H34" s="135"/>
    </row>
    <row r="35" spans="2:8" ht="42" customHeight="1" x14ac:dyDescent="0.25">
      <c r="B35" s="136"/>
      <c r="C35" s="245" t="s">
        <v>42</v>
      </c>
      <c r="D35" s="240"/>
      <c r="E35" s="242" t="s">
        <v>43</v>
      </c>
      <c r="F35" s="243"/>
      <c r="G35" s="133"/>
      <c r="H35" s="135"/>
    </row>
    <row r="36" spans="2:8" ht="59.25" customHeight="1" x14ac:dyDescent="0.25">
      <c r="B36" s="136"/>
      <c r="C36" s="245" t="s">
        <v>44</v>
      </c>
      <c r="D36" s="240"/>
      <c r="E36" s="242" t="s">
        <v>45</v>
      </c>
      <c r="F36" s="243"/>
      <c r="G36" s="133"/>
      <c r="H36" s="135"/>
    </row>
    <row r="37" spans="2:8" ht="23.25" customHeight="1" x14ac:dyDescent="0.25">
      <c r="B37" s="136"/>
      <c r="C37" s="245" t="s">
        <v>46</v>
      </c>
      <c r="D37" s="240"/>
      <c r="E37" s="242" t="s">
        <v>47</v>
      </c>
      <c r="F37" s="243"/>
      <c r="G37" s="133"/>
      <c r="H37" s="135"/>
    </row>
    <row r="38" spans="2:8" ht="30.75" customHeight="1" x14ac:dyDescent="0.25">
      <c r="B38" s="136"/>
      <c r="C38" s="245" t="s">
        <v>48</v>
      </c>
      <c r="D38" s="240"/>
      <c r="E38" s="242" t="s">
        <v>49</v>
      </c>
      <c r="F38" s="243"/>
      <c r="G38" s="133"/>
      <c r="H38" s="135"/>
    </row>
    <row r="39" spans="2:8" ht="35.25" customHeight="1" x14ac:dyDescent="0.25">
      <c r="B39" s="136"/>
      <c r="C39" s="245" t="s">
        <v>48</v>
      </c>
      <c r="D39" s="240"/>
      <c r="E39" s="242" t="s">
        <v>49</v>
      </c>
      <c r="F39" s="243"/>
      <c r="G39" s="133"/>
      <c r="H39" s="135"/>
    </row>
    <row r="40" spans="2:8" ht="33" customHeight="1" x14ac:dyDescent="0.25">
      <c r="B40" s="136"/>
      <c r="C40" s="245" t="s">
        <v>50</v>
      </c>
      <c r="D40" s="240"/>
      <c r="E40" s="242" t="s">
        <v>51</v>
      </c>
      <c r="F40" s="243"/>
      <c r="G40" s="133"/>
      <c r="H40" s="135"/>
    </row>
    <row r="41" spans="2:8" ht="30" customHeight="1" x14ac:dyDescent="0.25">
      <c r="B41" s="136"/>
      <c r="C41" s="245" t="s">
        <v>52</v>
      </c>
      <c r="D41" s="240"/>
      <c r="E41" s="242" t="s">
        <v>53</v>
      </c>
      <c r="F41" s="243"/>
      <c r="G41" s="133"/>
      <c r="H41" s="135"/>
    </row>
    <row r="42" spans="2:8" ht="35.25" customHeight="1" x14ac:dyDescent="0.25">
      <c r="B42" s="136"/>
      <c r="C42" s="245" t="s">
        <v>54</v>
      </c>
      <c r="D42" s="240"/>
      <c r="E42" s="242" t="s">
        <v>55</v>
      </c>
      <c r="F42" s="243"/>
      <c r="G42" s="133"/>
      <c r="H42" s="135"/>
    </row>
    <row r="43" spans="2:8" ht="31.5" customHeight="1" x14ac:dyDescent="0.25">
      <c r="B43" s="136"/>
      <c r="C43" s="245" t="s">
        <v>56</v>
      </c>
      <c r="D43" s="240"/>
      <c r="E43" s="242" t="s">
        <v>57</v>
      </c>
      <c r="F43" s="243"/>
      <c r="G43" s="133"/>
      <c r="H43" s="135"/>
    </row>
    <row r="44" spans="2:8" ht="54" customHeight="1" x14ac:dyDescent="0.25">
      <c r="B44" s="136"/>
      <c r="C44" s="245" t="s">
        <v>58</v>
      </c>
      <c r="D44" s="240"/>
      <c r="E44" s="242" t="s">
        <v>59</v>
      </c>
      <c r="F44" s="243"/>
      <c r="G44" s="133"/>
      <c r="H44" s="135"/>
    </row>
    <row r="45" spans="2:8" ht="59.25" customHeight="1" x14ac:dyDescent="0.25">
      <c r="B45" s="136"/>
      <c r="C45" s="245" t="s">
        <v>60</v>
      </c>
      <c r="D45" s="240"/>
      <c r="E45" s="242" t="s">
        <v>61</v>
      </c>
      <c r="F45" s="243"/>
      <c r="G45" s="133"/>
      <c r="H45" s="135"/>
    </row>
    <row r="46" spans="2:8" ht="84" customHeight="1" x14ac:dyDescent="0.25">
      <c r="B46" s="136"/>
      <c r="C46" s="245" t="s">
        <v>62</v>
      </c>
      <c r="D46" s="240"/>
      <c r="E46" s="242" t="s">
        <v>63</v>
      </c>
      <c r="F46" s="243"/>
      <c r="G46" s="133"/>
      <c r="H46" s="135"/>
    </row>
    <row r="47" spans="2:8" ht="46.5" customHeight="1" thickBot="1" x14ac:dyDescent="0.3">
      <c r="B47" s="136"/>
      <c r="C47" s="246"/>
      <c r="D47" s="247"/>
      <c r="E47" s="248"/>
      <c r="F47" s="249"/>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160</v>
      </c>
      <c r="D3" s="10" t="s">
        <v>335</v>
      </c>
    </row>
    <row r="4" spans="1:4" ht="51" x14ac:dyDescent="0.2">
      <c r="A4" s="10" t="s">
        <v>304</v>
      </c>
      <c r="D4" s="10" t="s">
        <v>336</v>
      </c>
    </row>
    <row r="5" spans="1:4" ht="51" x14ac:dyDescent="0.2">
      <c r="A5" s="10" t="s">
        <v>198</v>
      </c>
      <c r="D5" s="10" t="s">
        <v>337</v>
      </c>
    </row>
    <row r="6" spans="1:4" ht="89.25" x14ac:dyDescent="0.2">
      <c r="A6" s="10" t="s">
        <v>307</v>
      </c>
      <c r="D6" s="10" t="s">
        <v>338</v>
      </c>
    </row>
    <row r="7" spans="1:4" ht="63.75" x14ac:dyDescent="0.2">
      <c r="A7" s="10" t="s">
        <v>161</v>
      </c>
      <c r="D7" s="10" t="s">
        <v>339</v>
      </c>
    </row>
    <row r="8" spans="1:4" x14ac:dyDescent="0.2">
      <c r="A8" s="10" t="s">
        <v>162</v>
      </c>
      <c r="D8" s="10"/>
    </row>
    <row r="9" spans="1:4" x14ac:dyDescent="0.2">
      <c r="A9" s="10" t="s">
        <v>313</v>
      </c>
    </row>
    <row r="10" spans="1:4" x14ac:dyDescent="0.2">
      <c r="A10" s="10" t="s">
        <v>163</v>
      </c>
      <c r="D10" s="10" t="s">
        <v>340</v>
      </c>
    </row>
    <row r="11" spans="1:4" x14ac:dyDescent="0.2">
      <c r="A11" s="10" t="s">
        <v>316</v>
      </c>
    </row>
    <row r="12" spans="1:4" x14ac:dyDescent="0.2">
      <c r="A12" s="10" t="s">
        <v>341</v>
      </c>
      <c r="D12" s="10"/>
    </row>
    <row r="13" spans="1:4" x14ac:dyDescent="0.2">
      <c r="A13" s="10" t="s">
        <v>342</v>
      </c>
    </row>
    <row r="14" spans="1:4" x14ac:dyDescent="0.2">
      <c r="A14" s="10" t="s">
        <v>343</v>
      </c>
    </row>
    <row r="16" spans="1:4" x14ac:dyDescent="0.2">
      <c r="A16" s="10" t="s">
        <v>344</v>
      </c>
    </row>
    <row r="17" spans="1:1" x14ac:dyDescent="0.2">
      <c r="A17" s="10" t="s">
        <v>322</v>
      </c>
    </row>
    <row r="18" spans="1:1" x14ac:dyDescent="0.2">
      <c r="A18" s="10" t="s">
        <v>324</v>
      </c>
    </row>
    <row r="20" spans="1:1" x14ac:dyDescent="0.2">
      <c r="A20" s="10" t="s">
        <v>327</v>
      </c>
    </row>
    <row r="21" spans="1:1" x14ac:dyDescent="0.2">
      <c r="A21" s="10"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6" zoomScale="91" zoomScaleNormal="91" workbookViewId="0">
      <selection activeCell="E42" sqref="E42:F42"/>
    </sheetView>
  </sheetViews>
  <sheetFormatPr baseColWidth="10" defaultColWidth="11.42578125" defaultRowHeight="14.25" x14ac:dyDescent="0.2"/>
  <cols>
    <col min="1" max="1" width="7.5703125" style="172" customWidth="1"/>
    <col min="2" max="2" width="16.7109375" style="172" customWidth="1" collapsed="1"/>
    <col min="3" max="3" width="29.7109375" style="172" customWidth="1" collapsed="1"/>
    <col min="4" max="4" width="43.7109375" style="172" customWidth="1" collapsed="1"/>
    <col min="5" max="5" width="39.28515625" style="172" customWidth="1" collapsed="1"/>
    <col min="6" max="6" width="39.28515625" style="172" customWidth="1"/>
    <col min="7" max="14" width="11.42578125" style="172"/>
    <col min="15" max="15" width="37" style="172" customWidth="1"/>
    <col min="16" max="50" width="11.42578125" style="172"/>
    <col min="51" max="51" width="6.140625" style="172" customWidth="1"/>
    <col min="52" max="52" width="130.5703125" style="172" customWidth="1"/>
    <col min="53" max="16384" width="11.42578125" style="172"/>
  </cols>
  <sheetData>
    <row r="1" spans="2:52" ht="16.5" customHeight="1" thickBot="1" x14ac:dyDescent="0.25">
      <c r="AZ1" s="173" t="s">
        <v>69</v>
      </c>
    </row>
    <row r="2" spans="2:52" ht="18" customHeight="1" thickBot="1" x14ac:dyDescent="0.25">
      <c r="B2" s="278"/>
      <c r="C2" s="280" t="s">
        <v>70</v>
      </c>
      <c r="D2" s="281"/>
      <c r="E2" s="281"/>
      <c r="F2" s="145" t="s">
        <v>71</v>
      </c>
      <c r="AZ2" s="173" t="s">
        <v>72</v>
      </c>
    </row>
    <row r="3" spans="2:52" ht="18" customHeight="1" thickBot="1" x14ac:dyDescent="0.25">
      <c r="B3" s="279"/>
      <c r="C3" s="282"/>
      <c r="D3" s="283"/>
      <c r="E3" s="283"/>
      <c r="F3" s="146" t="s">
        <v>73</v>
      </c>
      <c r="AZ3" s="173" t="s">
        <v>74</v>
      </c>
    </row>
    <row r="4" spans="2:52" ht="18" customHeight="1" thickBot="1" x14ac:dyDescent="0.25">
      <c r="B4" s="279"/>
      <c r="C4" s="282"/>
      <c r="D4" s="283"/>
      <c r="E4" s="283"/>
      <c r="F4" s="171" t="s">
        <v>75</v>
      </c>
      <c r="AZ4" s="173" t="s">
        <v>76</v>
      </c>
    </row>
    <row r="5" spans="2:52" ht="18" customHeight="1" thickBot="1" x14ac:dyDescent="0.25">
      <c r="B5" s="279"/>
      <c r="C5" s="282"/>
      <c r="D5" s="283"/>
      <c r="E5" s="283"/>
      <c r="F5" s="182" t="s">
        <v>77</v>
      </c>
      <c r="AZ5" s="174"/>
    </row>
    <row r="6" spans="2:52" ht="18" customHeight="1" thickBot="1" x14ac:dyDescent="0.25">
      <c r="B6" s="291" t="s">
        <v>78</v>
      </c>
      <c r="C6" s="292"/>
      <c r="D6" s="292"/>
      <c r="E6" s="292"/>
      <c r="F6" s="293"/>
      <c r="AZ6" s="174"/>
    </row>
    <row r="7" spans="2:52" ht="33.4" customHeight="1" x14ac:dyDescent="0.2">
      <c r="B7" s="183" t="s">
        <v>79</v>
      </c>
      <c r="C7" s="284" t="s">
        <v>80</v>
      </c>
      <c r="D7" s="285"/>
      <c r="E7" s="285"/>
      <c r="F7" s="286"/>
      <c r="AZ7" s="174"/>
    </row>
    <row r="8" spans="2:52" ht="33.6" customHeight="1" thickBot="1" x14ac:dyDescent="0.25">
      <c r="B8" s="175" t="s">
        <v>81</v>
      </c>
      <c r="C8" s="287" t="s">
        <v>82</v>
      </c>
      <c r="D8" s="288"/>
      <c r="E8" s="288"/>
      <c r="F8" s="289"/>
      <c r="AZ8" s="174"/>
    </row>
    <row r="9" spans="2:52" ht="16.5" thickBot="1" x14ac:dyDescent="0.25">
      <c r="B9" s="290"/>
      <c r="C9" s="290"/>
      <c r="D9" s="290"/>
      <c r="E9" s="290"/>
      <c r="F9" s="290"/>
    </row>
    <row r="10" spans="2:52" ht="15.6" customHeight="1" thickBot="1" x14ac:dyDescent="0.25">
      <c r="B10" s="294" t="s">
        <v>83</v>
      </c>
      <c r="C10" s="295"/>
      <c r="D10" s="295"/>
      <c r="E10" s="295"/>
      <c r="F10" s="296"/>
    </row>
    <row r="11" spans="2:52" ht="32.25" thickBot="1" x14ac:dyDescent="0.25">
      <c r="B11" s="297" t="s">
        <v>84</v>
      </c>
      <c r="C11" s="298"/>
      <c r="D11" s="176" t="s">
        <v>85</v>
      </c>
      <c r="E11" s="176" t="s">
        <v>86</v>
      </c>
      <c r="F11" s="177" t="s">
        <v>87</v>
      </c>
    </row>
    <row r="12" spans="2:52" ht="82.15" customHeight="1" x14ac:dyDescent="0.2">
      <c r="B12" s="302" t="s">
        <v>88</v>
      </c>
      <c r="C12" s="303"/>
      <c r="D12" s="329" t="s">
        <v>89</v>
      </c>
      <c r="E12" s="332" t="s">
        <v>90</v>
      </c>
      <c r="F12" s="335" t="s">
        <v>91</v>
      </c>
    </row>
    <row r="13" spans="2:52" ht="36.75" customHeight="1" x14ac:dyDescent="0.2">
      <c r="B13" s="299"/>
      <c r="C13" s="300"/>
      <c r="D13" s="330"/>
      <c r="E13" s="333"/>
      <c r="F13" s="336"/>
    </row>
    <row r="14" spans="2:52" ht="30.6" customHeight="1" x14ac:dyDescent="0.2">
      <c r="B14" s="299"/>
      <c r="C14" s="300"/>
      <c r="D14" s="330"/>
      <c r="E14" s="333"/>
      <c r="F14" s="336"/>
    </row>
    <row r="15" spans="2:52" ht="34.5" customHeight="1" x14ac:dyDescent="0.2">
      <c r="B15" s="299"/>
      <c r="C15" s="300"/>
      <c r="D15" s="330"/>
      <c r="E15" s="333"/>
      <c r="F15" s="336"/>
    </row>
    <row r="16" spans="2:52" ht="29.45" customHeight="1" x14ac:dyDescent="0.2">
      <c r="B16" s="299"/>
      <c r="C16" s="300"/>
      <c r="D16" s="330"/>
      <c r="E16" s="333"/>
      <c r="F16" s="336"/>
    </row>
    <row r="17" spans="2:6" ht="33.6" customHeight="1" thickBot="1" x14ac:dyDescent="0.25">
      <c r="B17" s="338"/>
      <c r="C17" s="339"/>
      <c r="D17" s="331"/>
      <c r="E17" s="334"/>
      <c r="F17" s="337"/>
    </row>
    <row r="18" spans="2:6" ht="18.75" thickBot="1" x14ac:dyDescent="0.25">
      <c r="B18" s="301" t="s">
        <v>92</v>
      </c>
      <c r="C18" s="301"/>
      <c r="D18" s="301"/>
      <c r="E18" s="301"/>
      <c r="F18" s="301"/>
    </row>
    <row r="19" spans="2:6" ht="16.5" thickBot="1" x14ac:dyDescent="0.25">
      <c r="B19" s="250" t="s">
        <v>93</v>
      </c>
      <c r="C19" s="252"/>
      <c r="D19" s="251"/>
      <c r="E19" s="250" t="s">
        <v>94</v>
      </c>
      <c r="F19" s="251"/>
    </row>
    <row r="20" spans="2:6" ht="15" customHeight="1" x14ac:dyDescent="0.2">
      <c r="B20" s="257" t="s">
        <v>95</v>
      </c>
      <c r="C20" s="258"/>
      <c r="D20" s="259"/>
      <c r="E20" s="260" t="s">
        <v>96</v>
      </c>
      <c r="F20" s="261"/>
    </row>
    <row r="21" spans="2:6" ht="15" customHeight="1" x14ac:dyDescent="0.2">
      <c r="B21" s="262" t="s">
        <v>97</v>
      </c>
      <c r="C21" s="263"/>
      <c r="D21" s="264"/>
      <c r="E21" s="265" t="s">
        <v>98</v>
      </c>
      <c r="F21" s="266"/>
    </row>
    <row r="22" spans="2:6" ht="15" customHeight="1" x14ac:dyDescent="0.2">
      <c r="B22" s="267" t="s">
        <v>99</v>
      </c>
      <c r="C22" s="268"/>
      <c r="D22" s="269"/>
      <c r="E22" s="265" t="s">
        <v>100</v>
      </c>
      <c r="F22" s="266"/>
    </row>
    <row r="23" spans="2:6" ht="15" customHeight="1" x14ac:dyDescent="0.2">
      <c r="B23" s="267" t="s">
        <v>101</v>
      </c>
      <c r="C23" s="268"/>
      <c r="D23" s="269"/>
      <c r="E23" s="265" t="s">
        <v>102</v>
      </c>
      <c r="F23" s="266"/>
    </row>
    <row r="24" spans="2:6" ht="15" customHeight="1" x14ac:dyDescent="0.3">
      <c r="B24" s="270" t="s">
        <v>103</v>
      </c>
      <c r="C24" s="271"/>
      <c r="D24" s="272"/>
      <c r="E24" s="273"/>
      <c r="F24" s="274"/>
    </row>
    <row r="25" spans="2:6" ht="15" customHeight="1" x14ac:dyDescent="0.3">
      <c r="B25" s="270" t="s">
        <v>104</v>
      </c>
      <c r="C25" s="271"/>
      <c r="D25" s="272"/>
      <c r="E25" s="273"/>
      <c r="F25" s="274"/>
    </row>
    <row r="26" spans="2:6" ht="15" customHeight="1" x14ac:dyDescent="0.2">
      <c r="B26" s="275" t="s">
        <v>105</v>
      </c>
      <c r="C26" s="276"/>
      <c r="D26" s="277"/>
      <c r="E26" s="304"/>
      <c r="F26" s="305"/>
    </row>
    <row r="27" spans="2:6" ht="15.75" customHeight="1" x14ac:dyDescent="0.2">
      <c r="B27" s="306"/>
      <c r="C27" s="307"/>
      <c r="D27" s="274"/>
      <c r="E27" s="273"/>
      <c r="F27" s="274"/>
    </row>
    <row r="28" spans="2:6" x14ac:dyDescent="0.2">
      <c r="B28" s="308"/>
      <c r="C28" s="309"/>
      <c r="D28" s="310"/>
      <c r="E28" s="311"/>
      <c r="F28" s="312"/>
    </row>
    <row r="29" spans="2:6" ht="15" customHeight="1" x14ac:dyDescent="0.2">
      <c r="B29" s="313"/>
      <c r="C29" s="314"/>
      <c r="D29" s="315"/>
      <c r="E29" s="316"/>
      <c r="F29" s="317"/>
    </row>
    <row r="30" spans="2:6" ht="15" customHeight="1" x14ac:dyDescent="0.2">
      <c r="B30" s="308"/>
      <c r="C30" s="309"/>
      <c r="D30" s="310"/>
      <c r="E30" s="316"/>
      <c r="F30" s="317"/>
    </row>
    <row r="31" spans="2:6" ht="15" customHeight="1" x14ac:dyDescent="0.2">
      <c r="B31" s="308"/>
      <c r="C31" s="309"/>
      <c r="D31" s="310"/>
      <c r="E31" s="316"/>
      <c r="F31" s="317"/>
    </row>
    <row r="32" spans="2:6" ht="15" customHeight="1" x14ac:dyDescent="0.2">
      <c r="B32" s="308"/>
      <c r="C32" s="309"/>
      <c r="D32" s="310"/>
      <c r="E32" s="318"/>
      <c r="F32" s="319"/>
    </row>
    <row r="33" spans="2:6" ht="15" customHeight="1" thickBot="1" x14ac:dyDescent="0.25">
      <c r="B33" s="320"/>
      <c r="C33" s="321"/>
      <c r="D33" s="322"/>
      <c r="E33" s="323"/>
      <c r="F33" s="324"/>
    </row>
    <row r="34" spans="2:6" ht="15" customHeight="1" thickBot="1" x14ac:dyDescent="0.25">
      <c r="B34" s="325" t="s">
        <v>106</v>
      </c>
      <c r="C34" s="326"/>
      <c r="D34" s="326"/>
      <c r="E34" s="250" t="s">
        <v>107</v>
      </c>
      <c r="F34" s="251"/>
    </row>
    <row r="35" spans="2:6" ht="15.75" customHeight="1" x14ac:dyDescent="0.2">
      <c r="B35" s="257" t="s">
        <v>108</v>
      </c>
      <c r="C35" s="258"/>
      <c r="D35" s="259"/>
      <c r="E35" s="344" t="s">
        <v>109</v>
      </c>
      <c r="F35" s="345"/>
    </row>
    <row r="36" spans="2:6" ht="16.5" x14ac:dyDescent="0.2">
      <c r="B36" s="267" t="s">
        <v>110</v>
      </c>
      <c r="C36" s="268"/>
      <c r="D36" s="269"/>
      <c r="E36" s="265" t="s">
        <v>111</v>
      </c>
      <c r="F36" s="266"/>
    </row>
    <row r="37" spans="2:6" ht="16.5" x14ac:dyDescent="0.2">
      <c r="B37" s="267" t="s">
        <v>112</v>
      </c>
      <c r="C37" s="268"/>
      <c r="D37" s="269"/>
      <c r="E37" s="265" t="s">
        <v>113</v>
      </c>
      <c r="F37" s="266"/>
    </row>
    <row r="38" spans="2:6" x14ac:dyDescent="0.2">
      <c r="B38" s="327"/>
      <c r="C38" s="328"/>
      <c r="D38" s="305"/>
      <c r="E38" s="340"/>
      <c r="F38" s="341"/>
    </row>
    <row r="39" spans="2:6" x14ac:dyDescent="0.2">
      <c r="B39" s="327"/>
      <c r="C39" s="328"/>
      <c r="D39" s="305"/>
      <c r="E39" s="342"/>
      <c r="F39" s="343"/>
    </row>
    <row r="40" spans="2:6" x14ac:dyDescent="0.2">
      <c r="B40" s="327"/>
      <c r="C40" s="328"/>
      <c r="D40" s="305"/>
      <c r="E40" s="327"/>
      <c r="F40" s="305"/>
    </row>
    <row r="41" spans="2:6" x14ac:dyDescent="0.2">
      <c r="B41" s="327"/>
      <c r="C41" s="328"/>
      <c r="D41" s="305"/>
      <c r="E41" s="306"/>
      <c r="F41" s="274"/>
    </row>
    <row r="42" spans="2:6" x14ac:dyDescent="0.2">
      <c r="B42" s="327"/>
      <c r="C42" s="328"/>
      <c r="D42" s="305"/>
      <c r="E42" s="306"/>
      <c r="F42" s="274"/>
    </row>
    <row r="43" spans="2:6" x14ac:dyDescent="0.2">
      <c r="B43" s="306"/>
      <c r="C43" s="307"/>
      <c r="D43" s="274"/>
      <c r="E43" s="306"/>
      <c r="F43" s="274"/>
    </row>
    <row r="44" spans="2:6" x14ac:dyDescent="0.2">
      <c r="B44" s="351"/>
      <c r="C44" s="352"/>
      <c r="D44" s="353"/>
      <c r="E44" s="351"/>
      <c r="F44" s="353"/>
    </row>
    <row r="45" spans="2:6" ht="15" thickBot="1" x14ac:dyDescent="0.25">
      <c r="B45" s="346"/>
      <c r="C45" s="347"/>
      <c r="D45" s="348"/>
      <c r="E45" s="349"/>
      <c r="F45" s="350"/>
    </row>
    <row r="46" spans="2:6" ht="15" thickBot="1" x14ac:dyDescent="0.25"/>
    <row r="47" spans="2:6" ht="16.5" thickTop="1" thickBot="1" x14ac:dyDescent="0.25">
      <c r="B47" s="253" t="s">
        <v>114</v>
      </c>
      <c r="C47" s="253"/>
      <c r="D47" s="253"/>
      <c r="E47" s="253"/>
      <c r="F47" s="253"/>
    </row>
    <row r="48" spans="2:6" ht="16.5" thickTop="1" thickBot="1" x14ac:dyDescent="0.3">
      <c r="B48" s="181" t="s">
        <v>115</v>
      </c>
      <c r="C48" s="181" t="s">
        <v>116</v>
      </c>
      <c r="D48" s="254" t="s">
        <v>117</v>
      </c>
      <c r="E48" s="254"/>
      <c r="F48" s="181" t="s">
        <v>118</v>
      </c>
    </row>
    <row r="49" spans="2:6" ht="44.25" customHeight="1" thickTop="1" x14ac:dyDescent="0.2">
      <c r="B49" s="178" t="s">
        <v>119</v>
      </c>
      <c r="C49" s="179">
        <v>45723</v>
      </c>
      <c r="D49" s="255" t="s">
        <v>120</v>
      </c>
      <c r="E49" s="256"/>
      <c r="F49" s="180" t="s">
        <v>121</v>
      </c>
    </row>
  </sheetData>
  <mergeCells count="75">
    <mergeCell ref="B45:D45"/>
    <mergeCell ref="E45:F45"/>
    <mergeCell ref="B42:D42"/>
    <mergeCell ref="E42:F42"/>
    <mergeCell ref="B43:D43"/>
    <mergeCell ref="E43:F43"/>
    <mergeCell ref="B44:D44"/>
    <mergeCell ref="E44:F4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37:D37"/>
    <mergeCell ref="E37:F37"/>
    <mergeCell ref="B32:D32"/>
    <mergeCell ref="E32:F32"/>
    <mergeCell ref="B33:D33"/>
    <mergeCell ref="E33:F33"/>
    <mergeCell ref="B34:D34"/>
    <mergeCell ref="E34:F34"/>
    <mergeCell ref="B30:D30"/>
    <mergeCell ref="E30:F30"/>
    <mergeCell ref="B31:D31"/>
    <mergeCell ref="E31:F31"/>
    <mergeCell ref="E36:F36"/>
    <mergeCell ref="B27:D27"/>
    <mergeCell ref="E27:F27"/>
    <mergeCell ref="B28:D28"/>
    <mergeCell ref="E28:F28"/>
    <mergeCell ref="B29:D29"/>
    <mergeCell ref="E29:F29"/>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8"/>
  <sheetViews>
    <sheetView tabSelected="1" topLeftCell="A65" zoomScale="110" zoomScaleNormal="110" workbookViewId="0">
      <selection activeCell="AH71" sqref="AH71"/>
    </sheetView>
  </sheetViews>
  <sheetFormatPr baseColWidth="10" defaultColWidth="11.42578125" defaultRowHeight="16.5" x14ac:dyDescent="0.3"/>
  <cols>
    <col min="1" max="1" width="4" style="2" bestFit="1" customWidth="1"/>
    <col min="2" max="2" width="14.140625" style="2" customWidth="1"/>
    <col min="3" max="3" width="23.28515625" style="2" customWidth="1"/>
    <col min="4" max="4" width="25.28515625" style="2" customWidth="1"/>
    <col min="5" max="5" width="38.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1406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5703125" style="1" customWidth="1"/>
    <col min="32" max="32" width="22.140625" style="1" customWidth="1"/>
    <col min="33" max="33" width="20.85546875" style="1" customWidth="1"/>
    <col min="34" max="35" width="14.5703125" style="1" customWidth="1"/>
    <col min="36" max="16384" width="11.42578125" style="1"/>
  </cols>
  <sheetData>
    <row r="1" spans="1:67" ht="15" customHeight="1" x14ac:dyDescent="0.3">
      <c r="A1" s="426"/>
      <c r="B1" s="427"/>
      <c r="C1" s="427"/>
      <c r="D1" s="427"/>
      <c r="E1" s="396" t="s">
        <v>345</v>
      </c>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8" t="s">
        <v>71</v>
      </c>
      <c r="AI1" s="398"/>
    </row>
    <row r="2" spans="1:67" ht="15" customHeight="1" x14ac:dyDescent="0.3">
      <c r="A2" s="428"/>
      <c r="B2" s="429"/>
      <c r="C2" s="429"/>
      <c r="D2" s="429"/>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8" t="s">
        <v>73</v>
      </c>
      <c r="AI2" s="398"/>
    </row>
    <row r="3" spans="1:67" ht="15" customHeight="1" x14ac:dyDescent="0.3">
      <c r="A3" s="428"/>
      <c r="B3" s="429"/>
      <c r="C3" s="429"/>
      <c r="D3" s="429"/>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9" t="s">
        <v>75</v>
      </c>
      <c r="AI3" s="399"/>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30"/>
      <c r="B4" s="431"/>
      <c r="C4" s="431"/>
      <c r="D4" s="431"/>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8" t="s">
        <v>77</v>
      </c>
      <c r="AI4" s="39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09" t="s">
        <v>122</v>
      </c>
      <c r="B6" s="410"/>
      <c r="C6" s="436" t="s">
        <v>80</v>
      </c>
      <c r="D6" s="437"/>
      <c r="E6" s="437"/>
      <c r="F6" s="437"/>
      <c r="G6" s="437"/>
      <c r="H6" s="437"/>
      <c r="I6" s="437"/>
      <c r="J6" s="437"/>
      <c r="K6" s="437"/>
      <c r="L6" s="437"/>
      <c r="M6" s="437"/>
      <c r="N6" s="438"/>
      <c r="O6" s="445"/>
      <c r="P6" s="445"/>
      <c r="Q6" s="44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1.5" customHeight="1" x14ac:dyDescent="0.3">
      <c r="A7" s="409" t="s">
        <v>123</v>
      </c>
      <c r="B7" s="410"/>
      <c r="C7" s="417" t="s">
        <v>124</v>
      </c>
      <c r="D7" s="418"/>
      <c r="E7" s="418"/>
      <c r="F7" s="418"/>
      <c r="G7" s="418"/>
      <c r="H7" s="418"/>
      <c r="I7" s="418"/>
      <c r="J7" s="418"/>
      <c r="K7" s="418"/>
      <c r="L7" s="418"/>
      <c r="M7" s="418"/>
      <c r="N7" s="419"/>
      <c r="O7" s="8"/>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4.5" customHeight="1" x14ac:dyDescent="0.3">
      <c r="A8" s="409" t="s">
        <v>125</v>
      </c>
      <c r="B8" s="410"/>
      <c r="C8" s="420" t="s">
        <v>82</v>
      </c>
      <c r="D8" s="421"/>
      <c r="E8" s="421"/>
      <c r="F8" s="421"/>
      <c r="G8" s="421"/>
      <c r="H8" s="421"/>
      <c r="I8" s="421"/>
      <c r="J8" s="421"/>
      <c r="K8" s="421"/>
      <c r="L8" s="421"/>
      <c r="M8" s="421"/>
      <c r="N8" s="422"/>
      <c r="O8" s="8"/>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39" t="s">
        <v>126</v>
      </c>
      <c r="B9" s="440"/>
      <c r="C9" s="440"/>
      <c r="D9" s="440"/>
      <c r="E9" s="440"/>
      <c r="F9" s="440"/>
      <c r="G9" s="441"/>
      <c r="H9" s="439" t="s">
        <v>127</v>
      </c>
      <c r="I9" s="440"/>
      <c r="J9" s="440"/>
      <c r="K9" s="440"/>
      <c r="L9" s="440"/>
      <c r="M9" s="440"/>
      <c r="N9" s="441"/>
      <c r="O9" s="439" t="s">
        <v>128</v>
      </c>
      <c r="P9" s="440"/>
      <c r="Q9" s="440"/>
      <c r="R9" s="440"/>
      <c r="S9" s="440"/>
      <c r="T9" s="440"/>
      <c r="U9" s="440"/>
      <c r="V9" s="440"/>
      <c r="W9" s="441"/>
      <c r="X9" s="439" t="s">
        <v>129</v>
      </c>
      <c r="Y9" s="440"/>
      <c r="Z9" s="440"/>
      <c r="AA9" s="440"/>
      <c r="AB9" s="440"/>
      <c r="AC9" s="440"/>
      <c r="AD9" s="441"/>
      <c r="AE9" s="446" t="s">
        <v>130</v>
      </c>
      <c r="AF9" s="447"/>
      <c r="AG9" s="447"/>
      <c r="AH9" s="447"/>
      <c r="AI9" s="44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11" t="s">
        <v>131</v>
      </c>
      <c r="B10" s="414" t="s">
        <v>26</v>
      </c>
      <c r="C10" s="404" t="s">
        <v>28</v>
      </c>
      <c r="D10" s="404" t="s">
        <v>30</v>
      </c>
      <c r="E10" s="413" t="s">
        <v>32</v>
      </c>
      <c r="F10" s="408" t="s">
        <v>34</v>
      </c>
      <c r="G10" s="404" t="s">
        <v>132</v>
      </c>
      <c r="H10" s="405" t="s">
        <v>133</v>
      </c>
      <c r="I10" s="406" t="s">
        <v>134</v>
      </c>
      <c r="J10" s="408" t="s">
        <v>135</v>
      </c>
      <c r="K10" s="408" t="s">
        <v>136</v>
      </c>
      <c r="L10" s="423" t="s">
        <v>137</v>
      </c>
      <c r="M10" s="406" t="s">
        <v>134</v>
      </c>
      <c r="N10" s="404" t="s">
        <v>40</v>
      </c>
      <c r="O10" s="415" t="s">
        <v>138</v>
      </c>
      <c r="P10" s="397" t="s">
        <v>42</v>
      </c>
      <c r="Q10" s="408" t="s">
        <v>44</v>
      </c>
      <c r="R10" s="397" t="s">
        <v>139</v>
      </c>
      <c r="S10" s="397"/>
      <c r="T10" s="397"/>
      <c r="U10" s="397"/>
      <c r="V10" s="397"/>
      <c r="W10" s="397"/>
      <c r="X10" s="403" t="s">
        <v>140</v>
      </c>
      <c r="Y10" s="403" t="s">
        <v>141</v>
      </c>
      <c r="Z10" s="403" t="s">
        <v>134</v>
      </c>
      <c r="AA10" s="403" t="s">
        <v>142</v>
      </c>
      <c r="AB10" s="403" t="s">
        <v>134</v>
      </c>
      <c r="AC10" s="403" t="s">
        <v>143</v>
      </c>
      <c r="AD10" s="415" t="s">
        <v>60</v>
      </c>
      <c r="AE10" s="397" t="s">
        <v>130</v>
      </c>
      <c r="AF10" s="397" t="s">
        <v>118</v>
      </c>
      <c r="AG10" s="397" t="s">
        <v>144</v>
      </c>
      <c r="AH10" s="397" t="s">
        <v>145</v>
      </c>
      <c r="AI10" s="408" t="s">
        <v>146</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12"/>
      <c r="B11" s="414"/>
      <c r="C11" s="397"/>
      <c r="D11" s="397"/>
      <c r="E11" s="414"/>
      <c r="F11" s="404"/>
      <c r="G11" s="397"/>
      <c r="H11" s="404"/>
      <c r="I11" s="407"/>
      <c r="J11" s="404"/>
      <c r="K11" s="404"/>
      <c r="L11" s="407"/>
      <c r="M11" s="407"/>
      <c r="N11" s="397"/>
      <c r="O11" s="416"/>
      <c r="P11" s="397"/>
      <c r="Q11" s="404"/>
      <c r="R11" s="7" t="s">
        <v>147</v>
      </c>
      <c r="S11" s="7" t="s">
        <v>148</v>
      </c>
      <c r="T11" s="7" t="s">
        <v>149</v>
      </c>
      <c r="U11" s="7" t="s">
        <v>150</v>
      </c>
      <c r="V11" s="7" t="s">
        <v>151</v>
      </c>
      <c r="W11" s="7" t="s">
        <v>152</v>
      </c>
      <c r="X11" s="403"/>
      <c r="Y11" s="403"/>
      <c r="Z11" s="403"/>
      <c r="AA11" s="403"/>
      <c r="AB11" s="403"/>
      <c r="AC11" s="403"/>
      <c r="AD11" s="416"/>
      <c r="AE11" s="397"/>
      <c r="AF11" s="397"/>
      <c r="AG11" s="397"/>
      <c r="AH11" s="397"/>
      <c r="AI11" s="40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9.25" customHeight="1" x14ac:dyDescent="0.25">
      <c r="A12" s="374">
        <v>1</v>
      </c>
      <c r="B12" s="378" t="s">
        <v>153</v>
      </c>
      <c r="C12" s="378" t="s">
        <v>154</v>
      </c>
      <c r="D12" s="378" t="s">
        <v>155</v>
      </c>
      <c r="E12" s="381" t="s">
        <v>156</v>
      </c>
      <c r="F12" s="378" t="s">
        <v>157</v>
      </c>
      <c r="G12" s="400">
        <v>50</v>
      </c>
      <c r="H12" s="393" t="str">
        <f>IF(G12&lt;=0,"",IF(G12&lt;=2,"Muy Baja",IF(G12&lt;=24,"Baja",IF(G12&lt;=500,"Media",IF(G12&lt;=5000,"Alta","Muy Alta")))))</f>
        <v>Media</v>
      </c>
      <c r="I12" s="387">
        <f>IF(H12="","",IF(H12="Muy Baja",0.2,IF(H12="Baja",0.4,IF(H12="Media",0.6,IF(H12="Alta",0.8,IF(H12="Muy Alta",1,))))))</f>
        <v>0.6</v>
      </c>
      <c r="J12" s="390" t="s">
        <v>158</v>
      </c>
      <c r="K12" s="387" t="str">
        <f>IF(NOT(ISERROR(MATCH(J12,'Tabla Impacto'!$B$221:$B$223,0))),'Tabla Impacto'!$F$223&amp;"Por favor no seleccionar los criterios de impacto(Afectación Económica o presupuestal y Pérdida Reputacional)",J12)</f>
        <v xml:space="preserve">     Entre 100 y 500 SMLMV </v>
      </c>
      <c r="L12" s="393" t="str">
        <f>IF(OR(K12='Tabla Impacto'!$C$11,K12='Tabla Impacto'!$D$11),"Leve",IF(OR(K12='Tabla Impacto'!$C$12,K12='Tabla Impacto'!$D$12),"Menor",IF(OR(K12='Tabla Impacto'!$C$13,K12='Tabla Impacto'!$D$13),"Moderado",IF(OR(K12='Tabla Impacto'!$C$14,K12='Tabla Impacto'!$D$14),"Mayor",IF(OR(K12='Tabla Impacto'!$C$15,K12='Tabla Impacto'!$D$15),"Catastrófico","")))))</f>
        <v>Mayor</v>
      </c>
      <c r="M12" s="387">
        <f>IF(L12="","",IF(L12="Leve",0.2,IF(L12="Menor",0.4,IF(L12="Moderado",0.6,IF(L12="Mayor",0.8,IF(L12="Catastrófico",1,))))))</f>
        <v>0.8</v>
      </c>
      <c r="N12" s="38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66" t="s">
        <v>159</v>
      </c>
      <c r="Q12" s="152" t="str">
        <f>IF(OR(R12="Preventivo",R12="Detectivo"),"Probabilidad",IF(R12="Correctivo","Impacto",""))</f>
        <v>Probabilidad</v>
      </c>
      <c r="R12" s="147" t="s">
        <v>160</v>
      </c>
      <c r="S12" s="147" t="s">
        <v>161</v>
      </c>
      <c r="T12" s="148" t="str">
        <f>IF(AND(R12="Preventivo",S12="Automático"),"50%",IF(AND(R12="Preventivo",S12="Manual"),"40%",IF(AND(R12="Detectivo",S12="Automático"),"40%",IF(AND(R12="Detectivo",S12="Manual"),"30%",IF(AND(R12="Correctivo",S12="Automático"),"35%",IF(AND(R12="Correctivo",S12="Manual"),"25%",""))))))</f>
        <v>40%</v>
      </c>
      <c r="U12" s="147" t="s">
        <v>162</v>
      </c>
      <c r="V12" s="147" t="s">
        <v>163</v>
      </c>
      <c r="W12" s="147" t="s">
        <v>164</v>
      </c>
      <c r="X12" s="149">
        <f>IFERROR(IF(Q12="Probabilidad",(I12-(+I12*T12)),IF(Q12="Impacto",I12,"")),"")</f>
        <v>0.36</v>
      </c>
      <c r="Y12" s="150" t="str">
        <f>IFERROR(IF(X12="","",IF(X12&lt;=0.2,"Muy Baja",IF(X12&lt;=0.4,"Baja",IF(X12&lt;=0.6,"Media",IF(X12&lt;=0.8,"Alta","Muy Alta"))))),"")</f>
        <v>Baja</v>
      </c>
      <c r="Z12" s="151">
        <f>+X12</f>
        <v>0.36</v>
      </c>
      <c r="AA12" s="150" t="str">
        <f>IFERROR(IF(AB12="","",IF(AB12&lt;=0.2,"Leve",IF(AB12&lt;=0.4,"Menor",IF(AB12&lt;=0.6,"Moderado",IF(AB12&lt;=0.8,"Mayor","Catastrófico"))))),"")</f>
        <v>Mayor</v>
      </c>
      <c r="AB12" s="151">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3" t="s">
        <v>165</v>
      </c>
      <c r="AE12" s="166" t="s">
        <v>166</v>
      </c>
      <c r="AF12" s="163" t="s">
        <v>167</v>
      </c>
      <c r="AG12" s="163" t="s">
        <v>168</v>
      </c>
      <c r="AH12" s="164">
        <v>45748</v>
      </c>
      <c r="AI12" s="164">
        <v>46006</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75"/>
      <c r="B13" s="379"/>
      <c r="C13" s="379"/>
      <c r="D13" s="379"/>
      <c r="E13" s="382"/>
      <c r="F13" s="379"/>
      <c r="G13" s="401"/>
      <c r="H13" s="394"/>
      <c r="I13" s="388"/>
      <c r="J13" s="391"/>
      <c r="K13" s="388">
        <f>IF(NOT(ISERROR(MATCH(J13,_xlfn.ANCHORARRAY(E24),0))),I27&amp;"Por favor no seleccionar los criterios de impacto",J13)</f>
        <v>0</v>
      </c>
      <c r="L13" s="394"/>
      <c r="M13" s="388"/>
      <c r="N13" s="385"/>
      <c r="O13" s="6">
        <v>2</v>
      </c>
      <c r="P13" s="166"/>
      <c r="Q13" s="152" t="str">
        <f>IF(OR(R13="Preventivo",R13="Detectivo"),"Probabilidad",IF(R13="Correctivo","Impacto",""))</f>
        <v/>
      </c>
      <c r="R13" s="147"/>
      <c r="S13" s="147"/>
      <c r="T13" s="148" t="str">
        <f t="shared" ref="T13:T17" si="0">IF(AND(R13="Preventivo",S13="Automático"),"50%",IF(AND(R13="Preventivo",S13="Manual"),"40%",IF(AND(R13="Detectivo",S13="Automático"),"40%",IF(AND(R13="Detectivo",S13="Manual"),"30%",IF(AND(R13="Correctivo",S13="Automático"),"35%",IF(AND(R13="Correctivo",S13="Manual"),"25%",""))))))</f>
        <v/>
      </c>
      <c r="U13" s="147"/>
      <c r="V13" s="147"/>
      <c r="W13" s="147"/>
      <c r="X13" s="149" t="str">
        <f>IFERROR(IF(AND(Q12="Probabilidad",Q13="Probabilidad"),(Z12-(+Z12*T13)),IF(Q13="Probabilidad",(I12-(+I12*T13)),IF(Q13="Impacto",Z12,""))),"")</f>
        <v/>
      </c>
      <c r="Y13" s="150" t="str">
        <f t="shared" ref="Y13:Y75" si="1">IFERROR(IF(X13="","",IF(X13&lt;=0.2,"Muy Baja",IF(X13&lt;=0.4,"Baja",IF(X13&lt;=0.6,"Media",IF(X13&lt;=0.8,"Alta","Muy Alta"))))),"")</f>
        <v/>
      </c>
      <c r="Z13" s="151" t="str">
        <f t="shared" ref="Z13:Z17" si="2">+X13</f>
        <v/>
      </c>
      <c r="AA13" s="150" t="str">
        <f t="shared" ref="AA13:AA75" si="3">IFERROR(IF(AB13="","",IF(AB13&lt;=0.2,"Leve",IF(AB13&lt;=0.4,"Menor",IF(AB13&lt;=0.6,"Moderado",IF(AB13&lt;=0.8,"Mayor","Catastrófico"))))),"")</f>
        <v/>
      </c>
      <c r="AB13" s="151" t="str">
        <f>IFERROR(IF(AND(Q12="Impacto",Q13="Impacto"),(AB12-(+AB12*T13)),IF(Q13="Impacto",(M12-(+M12*T13)),IF(Q13="Probabilidad",AB12,""))),"")</f>
        <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3"/>
      <c r="AE13" s="163"/>
      <c r="AF13" s="163"/>
      <c r="AG13" s="163"/>
      <c r="AH13" s="164"/>
      <c r="AI13" s="164"/>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75"/>
      <c r="B14" s="379"/>
      <c r="C14" s="379"/>
      <c r="D14" s="379"/>
      <c r="E14" s="382"/>
      <c r="F14" s="379"/>
      <c r="G14" s="401"/>
      <c r="H14" s="394"/>
      <c r="I14" s="388"/>
      <c r="J14" s="391"/>
      <c r="K14" s="388">
        <f>IF(NOT(ISERROR(MATCH(J14,_xlfn.ANCHORARRAY(E26),0))),I28&amp;"Por favor no seleccionar los criterios de impacto",J14)</f>
        <v>0</v>
      </c>
      <c r="L14" s="394"/>
      <c r="M14" s="388"/>
      <c r="N14" s="385"/>
      <c r="O14" s="106">
        <v>3</v>
      </c>
      <c r="P14" s="167"/>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75"/>
      <c r="B15" s="379"/>
      <c r="C15" s="379"/>
      <c r="D15" s="379"/>
      <c r="E15" s="382"/>
      <c r="F15" s="379"/>
      <c r="G15" s="401"/>
      <c r="H15" s="394"/>
      <c r="I15" s="388"/>
      <c r="J15" s="391"/>
      <c r="K15" s="388">
        <f>IF(NOT(ISERROR(MATCH(J15,_xlfn.ANCHORARRAY(E27),0))),I29&amp;"Por favor no seleccionar los criterios de impacto",J15)</f>
        <v>0</v>
      </c>
      <c r="L15" s="394"/>
      <c r="M15" s="388"/>
      <c r="N15" s="385"/>
      <c r="O15" s="106">
        <v>4</v>
      </c>
      <c r="P15" s="166"/>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75"/>
      <c r="B16" s="379"/>
      <c r="C16" s="379"/>
      <c r="D16" s="379"/>
      <c r="E16" s="382"/>
      <c r="F16" s="379"/>
      <c r="G16" s="401"/>
      <c r="H16" s="394"/>
      <c r="I16" s="388"/>
      <c r="J16" s="391"/>
      <c r="K16" s="388">
        <f>IF(NOT(ISERROR(MATCH(J16,_xlfn.ANCHORARRAY(E28),0))),I30&amp;"Por favor no seleccionar los criterios de impacto",J16)</f>
        <v>0</v>
      </c>
      <c r="L16" s="394"/>
      <c r="M16" s="388"/>
      <c r="N16" s="385"/>
      <c r="O16" s="106">
        <v>5</v>
      </c>
      <c r="P16" s="166"/>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76"/>
      <c r="B17" s="380"/>
      <c r="C17" s="380"/>
      <c r="D17" s="380"/>
      <c r="E17" s="383"/>
      <c r="F17" s="380"/>
      <c r="G17" s="402"/>
      <c r="H17" s="395"/>
      <c r="I17" s="389"/>
      <c r="J17" s="392"/>
      <c r="K17" s="389">
        <f>IF(NOT(ISERROR(MATCH(J17,_xlfn.ANCHORARRAY(E29),0))),I31&amp;"Por favor no seleccionar los criterios de impacto",J17)</f>
        <v>0</v>
      </c>
      <c r="L17" s="395"/>
      <c r="M17" s="389"/>
      <c r="N17" s="386"/>
      <c r="O17" s="106">
        <v>6</v>
      </c>
      <c r="P17" s="166"/>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86.25" customHeight="1" x14ac:dyDescent="0.3">
      <c r="A18" s="374">
        <v>2</v>
      </c>
      <c r="B18" s="378" t="s">
        <v>153</v>
      </c>
      <c r="C18" s="378" t="s">
        <v>169</v>
      </c>
      <c r="D18" s="378" t="s">
        <v>170</v>
      </c>
      <c r="E18" s="381" t="s">
        <v>171</v>
      </c>
      <c r="F18" s="378" t="s">
        <v>157</v>
      </c>
      <c r="G18" s="400">
        <v>12</v>
      </c>
      <c r="H18" s="393" t="str">
        <f>IF(G18&lt;=0,"",IF(G18&lt;=2,"Muy Baja",IF(G18&lt;=24,"Baja",IF(G18&lt;=500,"Media",IF(G18&lt;=5000,"Alta","Muy Alta")))))</f>
        <v>Baja</v>
      </c>
      <c r="I18" s="387">
        <f>IF(H18="","",IF(H18="Muy Baja",0.2,IF(H18="Baja",0.4,IF(H18="Media",0.6,IF(H18="Alta",0.8,IF(H18="Muy Alta",1,))))))</f>
        <v>0.4</v>
      </c>
      <c r="J18" s="390" t="s">
        <v>158</v>
      </c>
      <c r="K18" s="387" t="str">
        <f>IF(NOT(ISERROR(MATCH(J18,'Tabla Impacto'!$B$221:$B$223,0))),'Tabla Impacto'!$F$223&amp;"Por favor no seleccionar los criterios de impacto(Afectación Económica o presupuestal y Pérdida Reputacional)",J18)</f>
        <v xml:space="preserve">     Entre 100 y 500 SMLMV </v>
      </c>
      <c r="L18" s="393" t="str">
        <f>IF(OR(K18='Tabla Impacto'!$C$11,K18='Tabla Impacto'!$D$11),"Leve",IF(OR(K18='Tabla Impacto'!$C$12,K18='Tabla Impacto'!$D$12),"Menor",IF(OR(K18='Tabla Impacto'!$C$13,K18='Tabla Impacto'!$D$13),"Moderado",IF(OR(K18='Tabla Impacto'!$C$14,K18='Tabla Impacto'!$D$14),"Mayor",IF(OR(K18='Tabla Impacto'!$C$15,K18='Tabla Impacto'!$D$15),"Catastrófico","")))))</f>
        <v>Mayor</v>
      </c>
      <c r="M18" s="387">
        <f>IF(L18="","",IF(L18="Leve",0.2,IF(L18="Menor",0.4,IF(L18="Moderado",0.6,IF(L18="Mayor",0.8,IF(L18="Catastrófico",1,))))))</f>
        <v>0.8</v>
      </c>
      <c r="N18" s="38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06">
        <v>1</v>
      </c>
      <c r="P18" s="166" t="s">
        <v>172</v>
      </c>
      <c r="Q18" s="152" t="str">
        <f>IF(OR(R18="Preventivo",R18="Detectivo"),"Probabilidad",IF(R18="Correctivo","Impacto",""))</f>
        <v>Probabilidad</v>
      </c>
      <c r="R18" s="157" t="s">
        <v>160</v>
      </c>
      <c r="S18" s="157" t="s">
        <v>161</v>
      </c>
      <c r="T18" s="158" t="str">
        <f>IF(AND(R18="Preventivo",S18="Automático"),"50%",IF(AND(R18="Preventivo",S18="Manual"),"40%",IF(AND(R18="Detectivo",S18="Automático"),"40%",IF(AND(R18="Detectivo",S18="Manual"),"30%",IF(AND(R18="Correctivo",S18="Automático"),"35%",IF(AND(R18="Correctivo",S18="Manual"),"25%",""))))))</f>
        <v>40%</v>
      </c>
      <c r="U18" s="157" t="s">
        <v>162</v>
      </c>
      <c r="V18" s="157" t="s">
        <v>163</v>
      </c>
      <c r="W18" s="157" t="s">
        <v>164</v>
      </c>
      <c r="X18" s="149">
        <f>IFERROR(IF(Q18="Probabilidad",(I18-(+I18*T18)),IF(Q18="Impacto",I18,"")),"")</f>
        <v>0.24</v>
      </c>
      <c r="Y18" s="159" t="str">
        <f>IFERROR(IF(X18="","",IF(X18&lt;=0.2,"Muy Baja",IF(X18&lt;=0.4,"Baja",IF(X18&lt;=0.6,"Media",IF(X18&lt;=0.8,"Alta","Muy Alta"))))),"")</f>
        <v>Baja</v>
      </c>
      <c r="Z18" s="160">
        <f>+X18</f>
        <v>0.24</v>
      </c>
      <c r="AA18" s="159" t="str">
        <f>IFERROR(IF(AB18="","",IF(AB18&lt;=0.2,"Leve",IF(AB18&lt;=0.4,"Menor",IF(AB18&lt;=0.6,"Moderado",IF(AB18&lt;=0.8,"Mayor","Catastrófico"))))),"")</f>
        <v>Mayor</v>
      </c>
      <c r="AB18" s="160">
        <f>IFERROR(IF(Q18="Impacto",(M18-(+M18*T18)),IF(Q18="Probabilidad",M18,"")),"")</f>
        <v>0.8</v>
      </c>
      <c r="AC18" s="16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62" t="s">
        <v>165</v>
      </c>
      <c r="AE18" s="166" t="s">
        <v>173</v>
      </c>
      <c r="AF18" s="163" t="s">
        <v>174</v>
      </c>
      <c r="AG18" s="163" t="s">
        <v>175</v>
      </c>
      <c r="AH18" s="164">
        <v>45658</v>
      </c>
      <c r="AI18" s="164">
        <v>46006</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75"/>
      <c r="B19" s="379"/>
      <c r="C19" s="379"/>
      <c r="D19" s="379"/>
      <c r="E19" s="382"/>
      <c r="F19" s="379"/>
      <c r="G19" s="401"/>
      <c r="H19" s="394"/>
      <c r="I19" s="388"/>
      <c r="J19" s="391"/>
      <c r="K19" s="388">
        <f>IF(NOT(ISERROR(MATCH(J19,_xlfn.ANCHORARRAY(E31),0))),I35&amp;"Por favor no seleccionar los criterios de impacto",J19)</f>
        <v>0</v>
      </c>
      <c r="L19" s="394"/>
      <c r="M19" s="388"/>
      <c r="N19" s="385"/>
      <c r="O19" s="106">
        <v>2</v>
      </c>
      <c r="P19" s="166"/>
      <c r="Q19" s="152" t="str">
        <f>IF(OR(R19="Preventivo",R19="Detectivo"),"Probabilidad",IF(R19="Correctivo","Impacto",""))</f>
        <v/>
      </c>
      <c r="R19" s="157"/>
      <c r="S19" s="157"/>
      <c r="T19" s="158" t="str">
        <f t="shared" ref="T19:T23" si="8">IF(AND(R19="Preventivo",S19="Automático"),"50%",IF(AND(R19="Preventivo",S19="Manual"),"40%",IF(AND(R19="Detectivo",S19="Automático"),"40%",IF(AND(R19="Detectivo",S19="Manual"),"30%",IF(AND(R19="Correctivo",S19="Automático"),"35%",IF(AND(R19="Correctivo",S19="Manual"),"25%",""))))))</f>
        <v/>
      </c>
      <c r="U19" s="157"/>
      <c r="V19" s="157"/>
      <c r="W19" s="157"/>
      <c r="X19" s="149" t="str">
        <f>IFERROR(IF(AND(Q18="Probabilidad",Q19="Probabilidad"),(Z18-(+Z18*T19)),IF(Q19="Probabilidad",(I18-(+I18*T19)),IF(Q19="Impacto",Z18,""))),"")</f>
        <v/>
      </c>
      <c r="Y19" s="159" t="str">
        <f t="shared" si="1"/>
        <v/>
      </c>
      <c r="Z19" s="160" t="str">
        <f t="shared" ref="Z19:Z23" si="9">+X19</f>
        <v/>
      </c>
      <c r="AA19" s="159" t="str">
        <f t="shared" si="3"/>
        <v/>
      </c>
      <c r="AB19" s="160" t="str">
        <f>IFERROR(IF(AND(Q18="Impacto",Q19="Impacto"),(AB18-(+AB18*T19)),IF(Q19="Impacto",(M18-(+M18*T19)),IF(Q19="Probabilidad",AB18,""))),"")</f>
        <v/>
      </c>
      <c r="AC19" s="16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2"/>
      <c r="AE19" s="163"/>
      <c r="AF19" s="163"/>
      <c r="AG19" s="163"/>
      <c r="AH19" s="164"/>
      <c r="AI19" s="164"/>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75"/>
      <c r="B20" s="379"/>
      <c r="C20" s="379"/>
      <c r="D20" s="379"/>
      <c r="E20" s="382"/>
      <c r="F20" s="379"/>
      <c r="G20" s="401"/>
      <c r="H20" s="394"/>
      <c r="I20" s="388"/>
      <c r="J20" s="391"/>
      <c r="K20" s="388">
        <f>IF(NOT(ISERROR(MATCH(J20,_xlfn.ANCHORARRAY(E34),0))),I36&amp;"Por favor no seleccionar los criterios de impacto",J20)</f>
        <v>0</v>
      </c>
      <c r="L20" s="394"/>
      <c r="M20" s="388"/>
      <c r="N20" s="385"/>
      <c r="O20" s="106">
        <v>3</v>
      </c>
      <c r="P20" s="168"/>
      <c r="Q20" s="152" t="str">
        <f>IF(OR(R20="Preventivo",R20="Detectivo"),"Probabilidad",IF(R20="Correctivo","Impacto",""))</f>
        <v/>
      </c>
      <c r="R20" s="157"/>
      <c r="S20" s="157"/>
      <c r="T20" s="158" t="str">
        <f t="shared" si="8"/>
        <v/>
      </c>
      <c r="U20" s="157"/>
      <c r="V20" s="157"/>
      <c r="W20" s="157"/>
      <c r="X20" s="149" t="str">
        <f>IFERROR(IF(AND(Q19="Probabilidad",Q20="Probabilidad"),(Z19-(+Z19*T20)),IF(AND(Q19="Impacto",Q20="Probabilidad"),(Z18-(+Z18*T20)),IF(Q20="Impacto",Z19,""))),"")</f>
        <v/>
      </c>
      <c r="Y20" s="159" t="str">
        <f t="shared" si="1"/>
        <v/>
      </c>
      <c r="Z20" s="160" t="str">
        <f t="shared" si="9"/>
        <v/>
      </c>
      <c r="AA20" s="159" t="str">
        <f t="shared" si="3"/>
        <v/>
      </c>
      <c r="AB20" s="160" t="str">
        <f>IFERROR(IF(AND(Q19="Impacto",Q20="Impacto"),(AB19-(+AB19*T20)),IF(AND(Q19="Probabilidad",Q20="Impacto"),(AB18-(+AB18*T20)),IF(Q20="Probabilidad",AB19,""))),"")</f>
        <v/>
      </c>
      <c r="AC20" s="161" t="str">
        <f t="shared" si="10"/>
        <v/>
      </c>
      <c r="AD20" s="162"/>
      <c r="AE20" s="163"/>
      <c r="AF20" s="165"/>
      <c r="AG20" s="165"/>
      <c r="AH20" s="164"/>
      <c r="AI20" s="164"/>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75"/>
      <c r="B21" s="379"/>
      <c r="C21" s="379"/>
      <c r="D21" s="379"/>
      <c r="E21" s="382"/>
      <c r="F21" s="379"/>
      <c r="G21" s="401"/>
      <c r="H21" s="394"/>
      <c r="I21" s="388"/>
      <c r="J21" s="391"/>
      <c r="K21" s="388">
        <f>IF(NOT(ISERROR(MATCH(J21,_xlfn.ANCHORARRAY(E35),0))),I37&amp;"Por favor no seleccionar los criterios de impacto",J21)</f>
        <v>0</v>
      </c>
      <c r="L21" s="394"/>
      <c r="M21" s="388"/>
      <c r="N21" s="385"/>
      <c r="O21" s="106">
        <v>4</v>
      </c>
      <c r="P21" s="166"/>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6"/>
      <c r="AH21" s="117"/>
      <c r="AI21" s="11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75"/>
      <c r="B22" s="379"/>
      <c r="C22" s="379"/>
      <c r="D22" s="379"/>
      <c r="E22" s="382"/>
      <c r="F22" s="379"/>
      <c r="G22" s="401"/>
      <c r="H22" s="394"/>
      <c r="I22" s="388"/>
      <c r="J22" s="391"/>
      <c r="K22" s="388">
        <f>IF(NOT(ISERROR(MATCH(J22,_xlfn.ANCHORARRAY(E36),0))),I38&amp;"Por favor no seleccionar los criterios de impacto",J22)</f>
        <v>0</v>
      </c>
      <c r="L22" s="394"/>
      <c r="M22" s="388"/>
      <c r="N22" s="385"/>
      <c r="O22" s="106">
        <v>5</v>
      </c>
      <c r="P22" s="166"/>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76"/>
      <c r="B23" s="380"/>
      <c r="C23" s="380"/>
      <c r="D23" s="380"/>
      <c r="E23" s="383"/>
      <c r="F23" s="380"/>
      <c r="G23" s="402"/>
      <c r="H23" s="395"/>
      <c r="I23" s="389"/>
      <c r="J23" s="392"/>
      <c r="K23" s="389">
        <f>IF(NOT(ISERROR(MATCH(J23,_xlfn.ANCHORARRAY(E37),0))),I39&amp;"Por favor no seleccionar los criterios de impacto",J23)</f>
        <v>0</v>
      </c>
      <c r="L23" s="395"/>
      <c r="M23" s="389"/>
      <c r="N23" s="386"/>
      <c r="O23" s="106">
        <v>6</v>
      </c>
      <c r="P23" s="166"/>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6.150000000000006" customHeight="1" x14ac:dyDescent="0.3">
      <c r="A24" s="374">
        <v>3</v>
      </c>
      <c r="B24" s="378" t="s">
        <v>153</v>
      </c>
      <c r="C24" s="378" t="s">
        <v>176</v>
      </c>
      <c r="D24" s="378" t="s">
        <v>177</v>
      </c>
      <c r="E24" s="381" t="s">
        <v>178</v>
      </c>
      <c r="F24" s="378" t="s">
        <v>157</v>
      </c>
      <c r="G24" s="400">
        <v>50</v>
      </c>
      <c r="H24" s="393" t="str">
        <f>IF(G24&lt;=0,"",IF(G24&lt;=2,"Muy Baja",IF(G24&lt;=24,"Baja",IF(G24&lt;=500,"Media",IF(G24&lt;=5000,"Alta","Muy Alta")))))</f>
        <v>Media</v>
      </c>
      <c r="I24" s="387">
        <f>IF(H24="","",IF(H24="Muy Baja",0.2,IF(H24="Baja",0.4,IF(H24="Media",0.6,IF(H24="Alta",0.8,IF(H24="Muy Alta",1,))))))</f>
        <v>0.6</v>
      </c>
      <c r="J24" s="390" t="s">
        <v>158</v>
      </c>
      <c r="K24" s="387" t="str">
        <f>IF(NOT(ISERROR(MATCH(J24,'Tabla Impacto'!$B$221:$B$223,0))),'Tabla Impacto'!$F$223&amp;"Por favor no seleccionar los criterios de impacto(Afectación Económica o presupuestal y Pérdida Reputacional)",J24)</f>
        <v xml:space="preserve">     Entre 100 y 500 SMLMV </v>
      </c>
      <c r="L24" s="393" t="str">
        <f>IF(OR(K24='Tabla Impacto'!$C$11,K24='Tabla Impacto'!$D$11),"Leve",IF(OR(K24='Tabla Impacto'!$C$12,K24='Tabla Impacto'!$D$12),"Menor",IF(OR(K24='Tabla Impacto'!$C$13,K24='Tabla Impacto'!$D$13),"Moderado",IF(OR(K24='Tabla Impacto'!$C$14,K24='Tabla Impacto'!$D$14),"Mayor",IF(OR(K24='Tabla Impacto'!$C$15,K24='Tabla Impacto'!$D$15),"Catastrófico","")))))</f>
        <v>Mayor</v>
      </c>
      <c r="M24" s="387">
        <f>IF(L24="","",IF(L24="Leve",0.2,IF(L24="Menor",0.4,IF(L24="Moderado",0.6,IF(L24="Mayor",0.8,IF(L24="Catastrófico",1,))))))</f>
        <v>0.8</v>
      </c>
      <c r="N24" s="38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356">
        <v>1</v>
      </c>
      <c r="P24" s="354" t="s">
        <v>179</v>
      </c>
      <c r="Q24" s="358" t="str">
        <f>IF(OR(R24="Preventivo",R24="Detectivo"),"Probabilidad",IF(R24="Correctivo","Impacto",""))</f>
        <v>Probabilidad</v>
      </c>
      <c r="R24" s="360" t="s">
        <v>160</v>
      </c>
      <c r="S24" s="360" t="s">
        <v>161</v>
      </c>
      <c r="T24" s="362" t="str">
        <f>IF(AND(R24="Preventivo",S24="Automático"),"50%",IF(AND(R24="Preventivo",S24="Manual"),"40%",IF(AND(R24="Detectivo",S24="Automático"),"40%",IF(AND(R24="Detectivo",S24="Manual"),"30%",IF(AND(R24="Correctivo",S24="Automático"),"35%",IF(AND(R24="Correctivo",S24="Manual"),"25%",""))))))</f>
        <v>40%</v>
      </c>
      <c r="U24" s="360" t="s">
        <v>162</v>
      </c>
      <c r="V24" s="360" t="s">
        <v>163</v>
      </c>
      <c r="W24" s="360" t="s">
        <v>164</v>
      </c>
      <c r="X24" s="149">
        <f>IFERROR(IF(Q24="Probabilidad",(I24-(+I24*T24)),IF(Q24="Impacto",I24,"")),"")</f>
        <v>0.36</v>
      </c>
      <c r="Y24" s="364" t="str">
        <f>IFERROR(IF(X24="","",IF(X24&lt;=0.2,"Muy Baja",IF(X24&lt;=0.4,"Baja",IF(X24&lt;=0.6,"Media",IF(X24&lt;=0.8,"Alta","Muy Alta"))))),"")</f>
        <v>Baja</v>
      </c>
      <c r="Z24" s="362">
        <f>+X24</f>
        <v>0.36</v>
      </c>
      <c r="AA24" s="364" t="str">
        <f>IFERROR(IF(AB24="","",IF(AB24&lt;=0.2,"Leve",IF(AB24&lt;=0.4,"Menor",IF(AB24&lt;=0.6,"Moderado",IF(AB24&lt;=0.8,"Mayor","Catastrófico"))))),"")</f>
        <v>Mayor</v>
      </c>
      <c r="AB24" s="362">
        <f>IFERROR(IF(Q24="Impacto",(M24-(+M24*T24)),IF(Q24="Probabilidad",M24,"")),"")</f>
        <v>0.8</v>
      </c>
      <c r="AC24" s="36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360" t="s">
        <v>165</v>
      </c>
      <c r="AE24" s="166" t="s">
        <v>180</v>
      </c>
      <c r="AF24" s="163" t="s">
        <v>181</v>
      </c>
      <c r="AG24" s="163" t="s">
        <v>182</v>
      </c>
      <c r="AH24" s="164">
        <v>45748</v>
      </c>
      <c r="AI24" s="164">
        <v>46006</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62.25" customHeight="1" x14ac:dyDescent="0.3">
      <c r="A25" s="375"/>
      <c r="B25" s="379"/>
      <c r="C25" s="379"/>
      <c r="D25" s="379"/>
      <c r="E25" s="382"/>
      <c r="F25" s="379"/>
      <c r="G25" s="401"/>
      <c r="H25" s="394"/>
      <c r="I25" s="388"/>
      <c r="J25" s="391"/>
      <c r="K25" s="388"/>
      <c r="L25" s="394"/>
      <c r="M25" s="388"/>
      <c r="N25" s="385"/>
      <c r="O25" s="372"/>
      <c r="P25" s="355"/>
      <c r="Q25" s="377"/>
      <c r="R25" s="368"/>
      <c r="S25" s="368"/>
      <c r="T25" s="370"/>
      <c r="U25" s="368"/>
      <c r="V25" s="368"/>
      <c r="W25" s="368"/>
      <c r="X25" s="149"/>
      <c r="Y25" s="369"/>
      <c r="Z25" s="370"/>
      <c r="AA25" s="369"/>
      <c r="AB25" s="370"/>
      <c r="AC25" s="371"/>
      <c r="AD25" s="368"/>
      <c r="AE25" s="166" t="s">
        <v>183</v>
      </c>
      <c r="AF25" s="163" t="s">
        <v>181</v>
      </c>
      <c r="AG25" s="163" t="s">
        <v>184</v>
      </c>
      <c r="AH25" s="164">
        <v>45748</v>
      </c>
      <c r="AI25" s="164">
        <v>46006</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7.25" customHeight="1" x14ac:dyDescent="0.3">
      <c r="A26" s="375"/>
      <c r="B26" s="379"/>
      <c r="C26" s="379"/>
      <c r="D26" s="379"/>
      <c r="E26" s="382"/>
      <c r="F26" s="379"/>
      <c r="G26" s="401"/>
      <c r="H26" s="394"/>
      <c r="I26" s="388"/>
      <c r="J26" s="391"/>
      <c r="K26" s="388">
        <f>IF(NOT(ISERROR(MATCH(J26,_xlfn.ANCHORARRAY(E39),0))),I42&amp;"Por favor no seleccionar los criterios de impacto",J26)</f>
        <v>0</v>
      </c>
      <c r="L26" s="394"/>
      <c r="M26" s="388"/>
      <c r="N26" s="385"/>
      <c r="O26" s="106">
        <v>2</v>
      </c>
      <c r="P26" s="167"/>
      <c r="Q26" s="107" t="str">
        <f>IF(OR(R26="Preventivo",R26="Detectivo"),"Probabilidad",IF(R26="Correctivo","Impacto",""))</f>
        <v/>
      </c>
      <c r="R26" s="108"/>
      <c r="S26" s="108"/>
      <c r="T26" s="109" t="str">
        <f t="shared" ref="T26:T31" si="15">IF(AND(R26="Preventivo",S26="Automático"),"50%",IF(AND(R26="Preventivo",S26="Manual"),"40%",IF(AND(R26="Detectivo",S26="Automático"),"40%",IF(AND(R26="Detectivo",S26="Manual"),"30%",IF(AND(R26="Correctivo",S26="Automático"),"35%",IF(AND(R26="Correctivo",S26="Manual"),"25%",""))))))</f>
        <v/>
      </c>
      <c r="U26" s="108"/>
      <c r="V26" s="108"/>
      <c r="W26" s="108"/>
      <c r="X26" s="149" t="str">
        <f>IFERROR(IF(AND(Q24="Probabilidad",Q26="Probabilidad"),(Z24-(+Z24*T26)),IF(Q26="Probabilidad",(I24-(+I24*T26)),IF(Q26="Impacto",Z24,""))),"")</f>
        <v/>
      </c>
      <c r="Y26" s="111" t="str">
        <f t="shared" si="1"/>
        <v/>
      </c>
      <c r="Z26" s="112" t="str">
        <f t="shared" ref="Z26:Z30" si="16">+X26</f>
        <v/>
      </c>
      <c r="AA26" s="111" t="str">
        <f t="shared" si="3"/>
        <v/>
      </c>
      <c r="AB26" s="112" t="str">
        <f>IFERROR(IF(AND(Q25="Impacto",Q26="Impacto"),(AB25-(+AB25*T26)),IF(AND(Q25="Probabilidad",Q26="Impacto"),(AB23-(+AB23*T26)),IF(Q26="Probabilidad",AB25,""))),"")</f>
        <v/>
      </c>
      <c r="AC26" s="113" t="str">
        <f t="shared" ref="AC26:AC27"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14"/>
      <c r="AE26" s="184"/>
      <c r="AF26" s="163"/>
      <c r="AG26" s="163"/>
      <c r="AH26" s="164"/>
      <c r="AI26" s="164"/>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75"/>
      <c r="B27" s="379"/>
      <c r="C27" s="379"/>
      <c r="D27" s="379"/>
      <c r="E27" s="382"/>
      <c r="F27" s="379"/>
      <c r="G27" s="401"/>
      <c r="H27" s="394"/>
      <c r="I27" s="388"/>
      <c r="J27" s="391"/>
      <c r="K27" s="388">
        <f>IF(NOT(ISERROR(MATCH(J27,_xlfn.ANCHORARRAY(E41),0))),I43&amp;"Por favor no seleccionar los criterios de impacto",J27)</f>
        <v>0</v>
      </c>
      <c r="L27" s="394"/>
      <c r="M27" s="388"/>
      <c r="N27" s="385"/>
      <c r="O27" s="106">
        <v>3</v>
      </c>
      <c r="P27" s="167"/>
      <c r="Q27" s="107" t="str">
        <f>IF(OR(R27="Preventivo",R27="Detectivo"),"Probabilidad",IF(R27="Correctivo","Impacto",""))</f>
        <v/>
      </c>
      <c r="R27" s="108"/>
      <c r="S27" s="108"/>
      <c r="T27" s="109" t="str">
        <f t="shared" si="15"/>
        <v/>
      </c>
      <c r="U27" s="108"/>
      <c r="V27" s="108"/>
      <c r="W27" s="108"/>
      <c r="X27" s="110" t="str">
        <f>IFERROR(IF(AND(Q26="Probabilidad",Q27="Probabilidad"),(Z26-(+Z26*T27)),IF(AND(Q26="Impacto",Q27="Probabilidad"),(Z24-(+Z24*T27)),IF(Q27="Impacto",Z26,""))),"")</f>
        <v/>
      </c>
      <c r="Y27" s="111" t="str">
        <f t="shared" si="1"/>
        <v/>
      </c>
      <c r="Z27" s="112" t="str">
        <f t="shared" si="16"/>
        <v/>
      </c>
      <c r="AA27" s="111" t="str">
        <f t="shared" si="3"/>
        <v/>
      </c>
      <c r="AB27" s="112" t="str">
        <f>IFERROR(IF(AND(Q26="Impacto",Q27="Impacto"),(AB26-(+AB26*T27)),IF(AND(Q26="Probabilidad",Q27="Impacto"),(AB24-(+AB24*T27)),IF(Q27="Probabilidad",AB26,""))),"")</f>
        <v/>
      </c>
      <c r="AC27" s="113" t="str">
        <f t="shared" si="17"/>
        <v/>
      </c>
      <c r="AD27" s="114"/>
      <c r="AE27" s="115"/>
      <c r="AF27" s="116"/>
      <c r="AG27" s="116"/>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375"/>
      <c r="B28" s="379"/>
      <c r="C28" s="379"/>
      <c r="D28" s="379"/>
      <c r="E28" s="382"/>
      <c r="F28" s="379"/>
      <c r="G28" s="401"/>
      <c r="H28" s="394"/>
      <c r="I28" s="388"/>
      <c r="J28" s="391"/>
      <c r="K28" s="388">
        <f>IF(NOT(ISERROR(MATCH(J28,_xlfn.ANCHORARRAY(E42),0))),I44&amp;"Por favor no seleccionar los criterios de impacto",J28)</f>
        <v>0</v>
      </c>
      <c r="L28" s="394"/>
      <c r="M28" s="388"/>
      <c r="N28" s="385"/>
      <c r="O28" s="106">
        <v>4</v>
      </c>
      <c r="P28" s="166"/>
      <c r="Q28" s="107" t="str">
        <f t="shared" ref="Q28:Q30" si="18">IF(OR(R28="Preventivo",R28="Detectivo"),"Probabilidad",IF(R28="Correctivo","Impacto",""))</f>
        <v/>
      </c>
      <c r="R28" s="108"/>
      <c r="S28" s="108"/>
      <c r="T28" s="109" t="str">
        <f t="shared" si="15"/>
        <v/>
      </c>
      <c r="U28" s="108"/>
      <c r="V28" s="108"/>
      <c r="W28" s="108"/>
      <c r="X28" s="110" t="str">
        <f t="shared" ref="X28:X30" si="19">IFERROR(IF(AND(Q27="Probabilidad",Q28="Probabilidad"),(Z27-(+Z27*T28)),IF(AND(Q27="Impacto",Q28="Probabilidad"),(Z26-(+Z26*T28)),IF(Q28="Impacto",Z27,""))),"")</f>
        <v/>
      </c>
      <c r="Y28" s="111" t="str">
        <f t="shared" si="1"/>
        <v/>
      </c>
      <c r="Z28" s="112" t="str">
        <f t="shared" si="16"/>
        <v/>
      </c>
      <c r="AA28" s="111" t="str">
        <f t="shared" si="3"/>
        <v/>
      </c>
      <c r="AB28" s="112" t="str">
        <f t="shared" ref="AB28:AB30" si="20">IFERROR(IF(AND(Q27="Impacto",Q28="Impacto"),(AB27-(+AB27*T28)),IF(AND(Q27="Probabilidad",Q28="Impacto"),(AB26-(+AB26*T28)),IF(Q28="Probabilidad",AB27,""))),"")</f>
        <v/>
      </c>
      <c r="AC28" s="11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75"/>
      <c r="B29" s="379"/>
      <c r="C29" s="379"/>
      <c r="D29" s="379"/>
      <c r="E29" s="382"/>
      <c r="F29" s="379"/>
      <c r="G29" s="401"/>
      <c r="H29" s="394"/>
      <c r="I29" s="388"/>
      <c r="J29" s="391"/>
      <c r="K29" s="388">
        <f>IF(NOT(ISERROR(MATCH(J29,_xlfn.ANCHORARRAY(E43),0))),I45&amp;"Por favor no seleccionar los criterios de impacto",J29)</f>
        <v>0</v>
      </c>
      <c r="L29" s="394"/>
      <c r="M29" s="388"/>
      <c r="N29" s="385"/>
      <c r="O29" s="106">
        <v>5</v>
      </c>
      <c r="P29" s="166"/>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76"/>
      <c r="B30" s="380"/>
      <c r="C30" s="380"/>
      <c r="D30" s="380"/>
      <c r="E30" s="383"/>
      <c r="F30" s="380"/>
      <c r="G30" s="402"/>
      <c r="H30" s="395"/>
      <c r="I30" s="389"/>
      <c r="J30" s="392"/>
      <c r="K30" s="389">
        <f>IF(NOT(ISERROR(MATCH(J30,_xlfn.ANCHORARRAY(E44),0))),I46&amp;"Por favor no seleccionar los criterios de impacto",J30)</f>
        <v>0</v>
      </c>
      <c r="L30" s="395"/>
      <c r="M30" s="389"/>
      <c r="N30" s="386"/>
      <c r="O30" s="106">
        <v>6</v>
      </c>
      <c r="P30" s="166"/>
      <c r="Q30" s="107" t="str">
        <f t="shared" si="18"/>
        <v/>
      </c>
      <c r="R30" s="108"/>
      <c r="S30" s="108"/>
      <c r="T30" s="109" t="str">
        <f t="shared" si="15"/>
        <v/>
      </c>
      <c r="U30" s="108"/>
      <c r="V30" s="108"/>
      <c r="W30" s="108"/>
      <c r="X30" s="110" t="str">
        <f t="shared" si="19"/>
        <v/>
      </c>
      <c r="Y30" s="111" t="str">
        <f t="shared" si="1"/>
        <v/>
      </c>
      <c r="Z30" s="112" t="str">
        <f t="shared" si="16"/>
        <v/>
      </c>
      <c r="AA30" s="111" t="str">
        <f t="shared" si="3"/>
        <v/>
      </c>
      <c r="AB30" s="112" t="str">
        <f t="shared" si="20"/>
        <v/>
      </c>
      <c r="AC30" s="113" t="str">
        <f t="shared" si="21"/>
        <v/>
      </c>
      <c r="AD30" s="114"/>
      <c r="AE30" s="115"/>
      <c r="AF30" s="116"/>
      <c r="AG30" s="116"/>
      <c r="AH30" s="117"/>
      <c r="AI30" s="11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75" customHeight="1" x14ac:dyDescent="0.3">
      <c r="A31" s="374">
        <v>4</v>
      </c>
      <c r="B31" s="378" t="s">
        <v>153</v>
      </c>
      <c r="C31" s="378" t="s">
        <v>185</v>
      </c>
      <c r="D31" s="378" t="s">
        <v>186</v>
      </c>
      <c r="E31" s="381" t="s">
        <v>187</v>
      </c>
      <c r="F31" s="378" t="s">
        <v>157</v>
      </c>
      <c r="G31" s="400">
        <v>360</v>
      </c>
      <c r="H31" s="393" t="str">
        <f>IF(G31&lt;=0,"",IF(G31&lt;=2,"Muy Baja",IF(G31&lt;=24,"Baja",IF(G31&lt;=500,"Media",IF(G31&lt;=5000,"Alta","Muy Alta")))))</f>
        <v>Media</v>
      </c>
      <c r="I31" s="387">
        <f>IF(H31="","",IF(H31="Muy Baja",0.2,IF(H31="Baja",0.4,IF(H31="Media",0.6,IF(H31="Alta",0.8,IF(H31="Muy Alta",1,))))))</f>
        <v>0.6</v>
      </c>
      <c r="J31" s="390" t="s">
        <v>188</v>
      </c>
      <c r="K31" s="387" t="str">
        <f>IF(NOT(ISERROR(MATCH(J31,'Tabla Impacto'!$B$221:$B$223,0))),'Tabla Impacto'!$F$223&amp;"Por favor no seleccionar los criterios de impacto(Afectación Económica o presupuestal y Pérdida Reputacional)",J31)</f>
        <v xml:space="preserve">     El riesgo afecta la imagen de la entidad con algunos usuarios de relevancia frente al logro de los objetivos</v>
      </c>
      <c r="L31" s="393" t="str">
        <f>IF(OR(K31='Tabla Impacto'!$C$11,K31='Tabla Impacto'!$D$11),"Leve",IF(OR(K31='Tabla Impacto'!$C$12,K31='Tabla Impacto'!$D$12),"Menor",IF(OR(K31='Tabla Impacto'!$C$13,K31='Tabla Impacto'!$D$13),"Moderado",IF(OR(K31='Tabla Impacto'!$C$14,K31='Tabla Impacto'!$D$14),"Mayor",IF(OR(K31='Tabla Impacto'!$C$15,K31='Tabla Impacto'!$D$15),"Catastrófico","")))))</f>
        <v>Moderado</v>
      </c>
      <c r="M31" s="387">
        <f>IF(L31="","",IF(L31="Leve",0.2,IF(L31="Menor",0.4,IF(L31="Moderado",0.6,IF(L31="Mayor",0.8,IF(L31="Catastrófico",1,))))))</f>
        <v>0.6</v>
      </c>
      <c r="N31" s="384"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374">
        <v>1</v>
      </c>
      <c r="P31" s="354" t="s">
        <v>189</v>
      </c>
      <c r="Q31" s="358" t="str">
        <f>IF(OR(R31="Preventivo",R31="Detectivo"),"Probabilidad",IF(R31="Correctivo","Impacto",""))</f>
        <v>Probabilidad</v>
      </c>
      <c r="R31" s="360" t="s">
        <v>160</v>
      </c>
      <c r="S31" s="360" t="s">
        <v>161</v>
      </c>
      <c r="T31" s="362" t="str">
        <f t="shared" si="15"/>
        <v>40%</v>
      </c>
      <c r="U31" s="360" t="s">
        <v>162</v>
      </c>
      <c r="V31" s="360" t="s">
        <v>163</v>
      </c>
      <c r="W31" s="360" t="s">
        <v>164</v>
      </c>
      <c r="X31" s="149">
        <f>IFERROR(IF(Q31="Probabilidad",(I31-(+I31*T31)),IF(Q31="Impacto",I31,"")),"")</f>
        <v>0.36</v>
      </c>
      <c r="Y31" s="364" t="str">
        <f>IFERROR(IF(X31="","",IF(X31&lt;=0.2,"Muy Baja",IF(X31&lt;=0.4,"Baja",IF(X31&lt;=0.6,"Media",IF(X31&lt;=0.8,"Alta","Muy Alta"))))),"")</f>
        <v>Baja</v>
      </c>
      <c r="Z31" s="362">
        <f>+X31</f>
        <v>0.36</v>
      </c>
      <c r="AA31" s="364" t="str">
        <f>IFERROR(IF(AB31="","",IF(AB31&lt;=0.2,"Leve",IF(AB31&lt;=0.4,"Menor",IF(AB31&lt;=0.6,"Moderado",IF(AB31&lt;=0.8,"Mayor","Catastrófico"))))),"")</f>
        <v>Moderado</v>
      </c>
      <c r="AB31" s="362">
        <f>IFERROR(IF(Q31="Impacto",(M31-(+M31*T31)),IF(Q31="Probabilidad",M31,"")),"")</f>
        <v>0.6</v>
      </c>
      <c r="AC31" s="36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360" t="s">
        <v>165</v>
      </c>
      <c r="AE31" s="186" t="s">
        <v>190</v>
      </c>
      <c r="AF31" s="163" t="s">
        <v>181</v>
      </c>
      <c r="AG31" s="185" t="s">
        <v>191</v>
      </c>
      <c r="AH31" s="164">
        <v>45716</v>
      </c>
      <c r="AI31" s="164">
        <v>45930</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53.25" customHeight="1" x14ac:dyDescent="0.3">
      <c r="A32" s="375"/>
      <c r="B32" s="379"/>
      <c r="C32" s="379"/>
      <c r="D32" s="379"/>
      <c r="E32" s="382"/>
      <c r="F32" s="379"/>
      <c r="G32" s="401"/>
      <c r="H32" s="394"/>
      <c r="I32" s="388"/>
      <c r="J32" s="391"/>
      <c r="K32" s="388"/>
      <c r="L32" s="394"/>
      <c r="M32" s="388"/>
      <c r="N32" s="385"/>
      <c r="O32" s="375"/>
      <c r="P32" s="355"/>
      <c r="Q32" s="377"/>
      <c r="R32" s="368"/>
      <c r="S32" s="368"/>
      <c r="T32" s="370"/>
      <c r="U32" s="368"/>
      <c r="V32" s="368"/>
      <c r="W32" s="368"/>
      <c r="X32" s="149"/>
      <c r="Y32" s="369"/>
      <c r="Z32" s="370"/>
      <c r="AA32" s="369"/>
      <c r="AB32" s="370"/>
      <c r="AC32" s="371"/>
      <c r="AD32" s="368"/>
      <c r="AE32" s="186" t="s">
        <v>192</v>
      </c>
      <c r="AF32" s="187" t="s">
        <v>181</v>
      </c>
      <c r="AG32" s="185" t="s">
        <v>193</v>
      </c>
      <c r="AH32" s="164">
        <v>45658</v>
      </c>
      <c r="AI32" s="164">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53.25" customHeight="1" x14ac:dyDescent="0.3">
      <c r="A33" s="375"/>
      <c r="B33" s="379"/>
      <c r="C33" s="379"/>
      <c r="D33" s="379"/>
      <c r="E33" s="382"/>
      <c r="F33" s="379"/>
      <c r="G33" s="401"/>
      <c r="H33" s="394"/>
      <c r="I33" s="388"/>
      <c r="J33" s="391"/>
      <c r="K33" s="388"/>
      <c r="L33" s="394"/>
      <c r="M33" s="388"/>
      <c r="N33" s="385"/>
      <c r="O33" s="376"/>
      <c r="P33" s="373"/>
      <c r="Q33" s="377"/>
      <c r="R33" s="368"/>
      <c r="S33" s="368"/>
      <c r="T33" s="370"/>
      <c r="U33" s="368"/>
      <c r="V33" s="368"/>
      <c r="W33" s="368"/>
      <c r="X33" s="149"/>
      <c r="Y33" s="369"/>
      <c r="Z33" s="370"/>
      <c r="AA33" s="369"/>
      <c r="AB33" s="370"/>
      <c r="AC33" s="371"/>
      <c r="AD33" s="368"/>
      <c r="AE33" s="186" t="s">
        <v>194</v>
      </c>
      <c r="AF33" s="187" t="s">
        <v>181</v>
      </c>
      <c r="AG33" s="185" t="s">
        <v>195</v>
      </c>
      <c r="AH33" s="164">
        <v>45658</v>
      </c>
      <c r="AI33" s="164">
        <v>46021</v>
      </c>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75"/>
      <c r="B34" s="379"/>
      <c r="C34" s="379"/>
      <c r="D34" s="379"/>
      <c r="E34" s="382"/>
      <c r="F34" s="379"/>
      <c r="G34" s="401"/>
      <c r="H34" s="394"/>
      <c r="I34" s="388"/>
      <c r="J34" s="391"/>
      <c r="K34" s="388">
        <f>IF(NOT(ISERROR(MATCH(J34,_xlfn.ANCHORARRAY(E46),0))),I48&amp;"Por favor no seleccionar los criterios de impacto",J34)</f>
        <v>0</v>
      </c>
      <c r="L34" s="394"/>
      <c r="M34" s="388"/>
      <c r="N34" s="385"/>
      <c r="O34" s="6">
        <v>2</v>
      </c>
      <c r="P34" s="166"/>
      <c r="Q34" s="107" t="str">
        <f t="shared" ref="Q34:Q35" si="22">IF(OR(R34="Preventivo",R34="Detectivo"),"Probabilidad",IF(R34="Correctivo","Impacto",""))</f>
        <v/>
      </c>
      <c r="R34" s="108"/>
      <c r="S34" s="108"/>
      <c r="T34" s="109" t="str">
        <f t="shared" ref="T34:T35" si="23">IF(AND(R34="Preventivo",S34="Automático"),"50%",IF(AND(R34="Preventivo",S34="Manual"),"40%",IF(AND(R34="Detectivo",S34="Automático"),"40%",IF(AND(R34="Detectivo",S34="Manual"),"30%",IF(AND(R34="Correctivo",S34="Automático"),"35%",IF(AND(R34="Correctivo",S34="Manual"),"25%",""))))))</f>
        <v/>
      </c>
      <c r="U34" s="108"/>
      <c r="V34" s="108"/>
      <c r="W34" s="108"/>
      <c r="X34" s="110" t="str">
        <f t="shared" ref="X34:X35" si="24">IFERROR(IF(AND(Q33="Probabilidad",Q34="Probabilidad"),(Z33-(+Z33*T34)),IF(AND(Q33="Impacto",Q34="Probabilidad"),(Z32-(+Z32*T34)),IF(Q34="Impacto",Z33,""))),"")</f>
        <v/>
      </c>
      <c r="Y34" s="111" t="str">
        <f t="shared" ref="Y34" si="25">IFERROR(IF(X34="","",IF(X34&lt;=0.2,"Muy Baja",IF(X34&lt;=0.4,"Baja",IF(X34&lt;=0.6,"Media",IF(X34&lt;=0.8,"Alta","Muy Alta"))))),"")</f>
        <v/>
      </c>
      <c r="Z34" s="112" t="str">
        <f t="shared" ref="Z34:Z35" si="26">+X34</f>
        <v/>
      </c>
      <c r="AA34" s="111" t="str">
        <f t="shared" ref="AA34:AA35" si="27">IFERROR(IF(AB34="","",IF(AB34&lt;=0.2,"Leve",IF(AB34&lt;=0.4,"Menor",IF(AB34&lt;=0.6,"Moderado",IF(AB34&lt;=0.8,"Mayor","Catastrófico"))))),"")</f>
        <v/>
      </c>
      <c r="AB34" s="112" t="str">
        <f t="shared" ref="AB34:AB35" si="28">IFERROR(IF(AND(Q33="Impacto",Q34="Impacto"),(AB33-(+AB33*T34)),IF(AND(Q33="Probabilidad",Q34="Impacto"),(AB32-(+AB32*T34)),IF(Q34="Probabilidad",AB33,""))),"")</f>
        <v/>
      </c>
      <c r="AC34" s="11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86"/>
      <c r="AF34" s="187"/>
      <c r="AG34" s="185"/>
      <c r="AH34" s="164"/>
      <c r="AI34" s="164"/>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75"/>
      <c r="B35" s="379"/>
      <c r="C35" s="379"/>
      <c r="D35" s="379"/>
      <c r="E35" s="382"/>
      <c r="F35" s="379"/>
      <c r="G35" s="401"/>
      <c r="H35" s="394"/>
      <c r="I35" s="388"/>
      <c r="J35" s="391"/>
      <c r="K35" s="388">
        <f>IF(NOT(ISERROR(MATCH(J35,_xlfn.ANCHORARRAY(E47),0))),I49&amp;"Por favor no seleccionar los criterios de impacto",J35)</f>
        <v>0</v>
      </c>
      <c r="L35" s="394"/>
      <c r="M35" s="388"/>
      <c r="N35" s="385"/>
      <c r="O35" s="6">
        <v>3</v>
      </c>
      <c r="P35" s="166"/>
      <c r="Q35" s="107" t="str">
        <f t="shared" si="22"/>
        <v/>
      </c>
      <c r="R35" s="108"/>
      <c r="S35" s="108"/>
      <c r="T35" s="109" t="str">
        <f t="shared" si="23"/>
        <v/>
      </c>
      <c r="U35" s="108"/>
      <c r="V35" s="108"/>
      <c r="W35" s="108"/>
      <c r="X35" s="110" t="str">
        <f t="shared" si="24"/>
        <v/>
      </c>
      <c r="Y35" s="111" t="str">
        <f>IFERROR(IF(X35="","",IF(X35&lt;=0.2,"Muy Baja",IF(X35&lt;=0.4,"Baja",IF(X35&lt;=0.6,"Media",IF(X35&lt;=0.8,"Alta","Muy Alta"))))),"")</f>
        <v/>
      </c>
      <c r="Z35" s="112" t="str">
        <f t="shared" si="26"/>
        <v/>
      </c>
      <c r="AA35" s="111" t="str">
        <f t="shared" si="27"/>
        <v/>
      </c>
      <c r="AB35" s="112" t="str">
        <f t="shared" si="28"/>
        <v/>
      </c>
      <c r="AC35" s="113" t="str">
        <f t="shared" ref="AC35" si="29">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86"/>
      <c r="AF35" s="187"/>
      <c r="AG35" s="185"/>
      <c r="AH35" s="164"/>
      <c r="AI35" s="164"/>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75"/>
      <c r="B36" s="379"/>
      <c r="C36" s="379"/>
      <c r="D36" s="379"/>
      <c r="E36" s="382"/>
      <c r="F36" s="379"/>
      <c r="G36" s="401"/>
      <c r="H36" s="394"/>
      <c r="I36" s="388"/>
      <c r="J36" s="391"/>
      <c r="K36" s="388">
        <f>IF(NOT(ISERROR(MATCH(J36,_xlfn.ANCHORARRAY(E48),0))),I50&amp;"Por favor no seleccionar los criterios de impacto",J36)</f>
        <v>0</v>
      </c>
      <c r="L36" s="394"/>
      <c r="M36" s="388"/>
      <c r="N36" s="385"/>
      <c r="O36" s="6">
        <v>4</v>
      </c>
      <c r="P36" s="166"/>
      <c r="Q36" s="107" t="str">
        <f t="shared" ref="Q36:Q39" si="30">IF(OR(R36="Preventivo",R36="Detectivo"),"Probabilidad",IF(R36="Correctivo","Impacto",""))</f>
        <v/>
      </c>
      <c r="R36" s="108"/>
      <c r="S36" s="108"/>
      <c r="T36" s="109" t="str">
        <f t="shared" ref="T36:T39" si="31">IF(AND(R36="Preventivo",S36="Automático"),"50%",IF(AND(R36="Preventivo",S36="Manual"),"40%",IF(AND(R36="Detectivo",S36="Automático"),"40%",IF(AND(R36="Detectivo",S36="Manual"),"30%",IF(AND(R36="Correctivo",S36="Automático"),"35%",IF(AND(R36="Correctivo",S36="Manual"),"25%",""))))))</f>
        <v/>
      </c>
      <c r="U36" s="108"/>
      <c r="V36" s="108"/>
      <c r="W36" s="108"/>
      <c r="X36" s="110" t="str">
        <f t="shared" ref="X36:X38" si="32">IFERROR(IF(AND(Q35="Probabilidad",Q36="Probabilidad"),(Z35-(+Z35*T36)),IF(AND(Q35="Impacto",Q36="Probabilidad"),(Z34-(+Z34*T36)),IF(Q36="Impacto",Z35,""))),"")</f>
        <v/>
      </c>
      <c r="Y36" s="111" t="str">
        <f t="shared" si="1"/>
        <v/>
      </c>
      <c r="Z36" s="112" t="str">
        <f t="shared" ref="Z36:Z38" si="33">+X36</f>
        <v/>
      </c>
      <c r="AA36" s="111" t="str">
        <f t="shared" si="3"/>
        <v/>
      </c>
      <c r="AB36" s="112" t="str">
        <f t="shared" ref="AB36:AB38" si="34">IFERROR(IF(AND(Q35="Impacto",Q36="Impacto"),(AB35-(+AB35*T36)),IF(AND(Q35="Probabilidad",Q36="Impacto"),(AB34-(+AB34*T36)),IF(Q36="Probabilidad",AB35,""))),"")</f>
        <v/>
      </c>
      <c r="AC36" s="11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75"/>
      <c r="B37" s="379"/>
      <c r="C37" s="379"/>
      <c r="D37" s="379"/>
      <c r="E37" s="382"/>
      <c r="F37" s="379"/>
      <c r="G37" s="401"/>
      <c r="H37" s="394"/>
      <c r="I37" s="388"/>
      <c r="J37" s="391"/>
      <c r="K37" s="388">
        <f>IF(NOT(ISERROR(MATCH(J37,_xlfn.ANCHORARRAY(E49),0))),I51&amp;"Por favor no seleccionar los criterios de impacto",J37)</f>
        <v>0</v>
      </c>
      <c r="L37" s="394"/>
      <c r="M37" s="388"/>
      <c r="N37" s="385"/>
      <c r="O37" s="6">
        <v>5</v>
      </c>
      <c r="P37" s="166"/>
      <c r="Q37" s="107" t="str">
        <f t="shared" si="30"/>
        <v/>
      </c>
      <c r="R37" s="108"/>
      <c r="S37" s="108"/>
      <c r="T37" s="109" t="str">
        <f t="shared" si="31"/>
        <v/>
      </c>
      <c r="U37" s="108"/>
      <c r="V37" s="108"/>
      <c r="W37" s="108"/>
      <c r="X37" s="110" t="str">
        <f t="shared" si="32"/>
        <v/>
      </c>
      <c r="Y37" s="111" t="str">
        <f>IFERROR(IF(X37="","",IF(X37&lt;=0.2,"Muy Baja",IF(X37&lt;=0.4,"Baja",IF(X37&lt;=0.6,"Media",IF(X37&lt;=0.8,"Alta","Muy Alta"))))),"")</f>
        <v/>
      </c>
      <c r="Z37" s="112" t="str">
        <f t="shared" si="33"/>
        <v/>
      </c>
      <c r="AA37" s="111" t="str">
        <f t="shared" si="3"/>
        <v/>
      </c>
      <c r="AB37" s="112" t="str">
        <f t="shared" si="34"/>
        <v/>
      </c>
      <c r="AC37" s="113" t="str">
        <f t="shared" ref="AC37:AC38" si="3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6"/>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76"/>
      <c r="B38" s="380"/>
      <c r="C38" s="380"/>
      <c r="D38" s="380"/>
      <c r="E38" s="383"/>
      <c r="F38" s="380"/>
      <c r="G38" s="402"/>
      <c r="H38" s="395"/>
      <c r="I38" s="389"/>
      <c r="J38" s="392"/>
      <c r="K38" s="389">
        <f>IF(NOT(ISERROR(MATCH(J38,_xlfn.ANCHORARRAY(E50),0))),I52&amp;"Por favor no seleccionar los criterios de impacto",J38)</f>
        <v>0</v>
      </c>
      <c r="L38" s="395"/>
      <c r="M38" s="389"/>
      <c r="N38" s="386"/>
      <c r="O38" s="6">
        <v>6</v>
      </c>
      <c r="P38" s="166"/>
      <c r="Q38" s="107" t="str">
        <f t="shared" si="30"/>
        <v/>
      </c>
      <c r="R38" s="108"/>
      <c r="S38" s="108"/>
      <c r="T38" s="109" t="str">
        <f t="shared" si="31"/>
        <v/>
      </c>
      <c r="U38" s="108"/>
      <c r="V38" s="108"/>
      <c r="W38" s="108"/>
      <c r="X38" s="110" t="str">
        <f t="shared" si="32"/>
        <v/>
      </c>
      <c r="Y38" s="111" t="str">
        <f t="shared" si="1"/>
        <v/>
      </c>
      <c r="Z38" s="112" t="str">
        <f t="shared" si="33"/>
        <v/>
      </c>
      <c r="AA38" s="111" t="str">
        <f t="shared" si="3"/>
        <v/>
      </c>
      <c r="AB38" s="112" t="str">
        <f t="shared" si="34"/>
        <v/>
      </c>
      <c r="AC38" s="113" t="str">
        <f t="shared" si="35"/>
        <v/>
      </c>
      <c r="AD38" s="114"/>
      <c r="AE38" s="115"/>
      <c r="AF38" s="116"/>
      <c r="AG38" s="11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66" customHeight="1" x14ac:dyDescent="0.3">
      <c r="A39" s="374">
        <v>5</v>
      </c>
      <c r="B39" s="378" t="s">
        <v>153</v>
      </c>
      <c r="C39" s="378" t="s">
        <v>185</v>
      </c>
      <c r="D39" s="378" t="s">
        <v>346</v>
      </c>
      <c r="E39" s="381" t="s">
        <v>196</v>
      </c>
      <c r="F39" s="378" t="s">
        <v>157</v>
      </c>
      <c r="G39" s="400">
        <v>365</v>
      </c>
      <c r="H39" s="393" t="str">
        <f>IF(G39&lt;=0,"",IF(G39&lt;=2,"Muy Baja",IF(G39&lt;=24,"Baja",IF(G39&lt;=500,"Media",IF(G39&lt;=5000,"Alta","Muy Alta")))))</f>
        <v>Media</v>
      </c>
      <c r="I39" s="387">
        <f>IF(H39="","",IF(H39="Muy Baja",0.2,IF(H39="Baja",0.4,IF(H39="Media",0.6,IF(H39="Alta",0.8,IF(H39="Muy Alta",1,))))))</f>
        <v>0.6</v>
      </c>
      <c r="J39" s="390" t="s">
        <v>158</v>
      </c>
      <c r="K39" s="387" t="str">
        <f>IF(NOT(ISERROR(MATCH(J39,'Tabla Impacto'!$B$221:$B$223,0))),'Tabla Impacto'!$F$223&amp;"Por favor no seleccionar los criterios de impacto(Afectación Económica o presupuestal y Pérdida Reputacional)",J39)</f>
        <v xml:space="preserve">     Entre 100 y 500 SMLMV </v>
      </c>
      <c r="L39" s="393" t="str">
        <f>IF(OR(K39='Tabla Impacto'!$C$11,K39='Tabla Impacto'!$D$11),"Leve",IF(OR(K39='Tabla Impacto'!$C$12,K39='Tabla Impacto'!$D$12),"Menor",IF(OR(K39='Tabla Impacto'!$C$13,K39='Tabla Impacto'!$D$13),"Moderado",IF(OR(K39='Tabla Impacto'!$C$14,K39='Tabla Impacto'!$D$14),"Mayor",IF(OR(K39='Tabla Impacto'!$C$15,K39='Tabla Impacto'!$D$15),"Catastrófico","")))))</f>
        <v>Mayor</v>
      </c>
      <c r="M39" s="387">
        <f>IF(L39="","",IF(L39="Leve",0.2,IF(L39="Menor",0.4,IF(L39="Moderado",0.6,IF(L39="Mayor",0.8,IF(L39="Catastrófico",1,))))))</f>
        <v>0.8</v>
      </c>
      <c r="N39" s="384"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Alto</v>
      </c>
      <c r="O39" s="356">
        <v>1</v>
      </c>
      <c r="P39" s="354" t="s">
        <v>197</v>
      </c>
      <c r="Q39" s="358" t="str">
        <f t="shared" si="30"/>
        <v>Impacto</v>
      </c>
      <c r="R39" s="360" t="s">
        <v>198</v>
      </c>
      <c r="S39" s="360" t="s">
        <v>161</v>
      </c>
      <c r="T39" s="362" t="str">
        <f t="shared" si="31"/>
        <v>25%</v>
      </c>
      <c r="U39" s="360" t="s">
        <v>162</v>
      </c>
      <c r="V39" s="360" t="s">
        <v>163</v>
      </c>
      <c r="W39" s="360" t="s">
        <v>164</v>
      </c>
      <c r="X39" s="149">
        <f>IFERROR(IF(Q39="Probabilidad",(I39-(+I39*T39)),IF(Q39="Impacto",I39,"")),"")</f>
        <v>0.6</v>
      </c>
      <c r="Y39" s="364" t="str">
        <f>IFERROR(IF(X39="","",IF(X39&lt;=0.2,"Muy Baja",IF(X39&lt;=0.4,"Baja",IF(X39&lt;=0.6,"Media",IF(X39&lt;=0.8,"Alta","Muy Alta"))))),"")</f>
        <v>Media</v>
      </c>
      <c r="Z39" s="362">
        <f>+X39</f>
        <v>0.6</v>
      </c>
      <c r="AA39" s="364" t="str">
        <f>IFERROR(IF(AB39="","",IF(AB39&lt;=0.2,"Leve",IF(AB39&lt;=0.4,"Menor",IF(AB39&lt;=0.6,"Moderado",IF(AB39&lt;=0.8,"Mayor","Catastrófico"))))),"")</f>
        <v>Moderado</v>
      </c>
      <c r="AB39" s="362">
        <f>IFERROR(IF(Q39="Impacto",(M39-(+M39*T39)),IF(Q39="Probabilidad",M39,"")),"")</f>
        <v>0.60000000000000009</v>
      </c>
      <c r="AC39" s="366"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360" t="s">
        <v>165</v>
      </c>
      <c r="AE39" s="186" t="s">
        <v>199</v>
      </c>
      <c r="AF39" s="163" t="s">
        <v>181</v>
      </c>
      <c r="AG39" s="163" t="s">
        <v>200</v>
      </c>
      <c r="AH39" s="188">
        <v>45748</v>
      </c>
      <c r="AI39" s="188">
        <v>45869</v>
      </c>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42.75" customHeight="1" x14ac:dyDescent="0.3">
      <c r="A40" s="375"/>
      <c r="B40" s="379"/>
      <c r="C40" s="379"/>
      <c r="D40" s="379"/>
      <c r="E40" s="382"/>
      <c r="F40" s="379"/>
      <c r="G40" s="401"/>
      <c r="H40" s="394"/>
      <c r="I40" s="388"/>
      <c r="J40" s="391"/>
      <c r="K40" s="388"/>
      <c r="L40" s="394"/>
      <c r="M40" s="388"/>
      <c r="N40" s="385"/>
      <c r="O40" s="357"/>
      <c r="P40" s="355"/>
      <c r="Q40" s="359"/>
      <c r="R40" s="361"/>
      <c r="S40" s="361"/>
      <c r="T40" s="363"/>
      <c r="U40" s="361"/>
      <c r="V40" s="361"/>
      <c r="W40" s="361"/>
      <c r="X40" s="149"/>
      <c r="Y40" s="365"/>
      <c r="Z40" s="363"/>
      <c r="AA40" s="365"/>
      <c r="AB40" s="363"/>
      <c r="AC40" s="367"/>
      <c r="AD40" s="361"/>
      <c r="AE40" s="186" t="s">
        <v>201</v>
      </c>
      <c r="AF40" s="163" t="s">
        <v>181</v>
      </c>
      <c r="AG40" s="155" t="s">
        <v>202</v>
      </c>
      <c r="AH40" s="188">
        <v>45870</v>
      </c>
      <c r="AI40" s="188">
        <v>45961</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6.5" customHeight="1" x14ac:dyDescent="0.3">
      <c r="A41" s="375"/>
      <c r="B41" s="379"/>
      <c r="C41" s="379"/>
      <c r="D41" s="379"/>
      <c r="E41" s="382"/>
      <c r="F41" s="379"/>
      <c r="G41" s="401"/>
      <c r="H41" s="394"/>
      <c r="I41" s="388"/>
      <c r="J41" s="391"/>
      <c r="K41" s="388">
        <f>IF(NOT(ISERROR(MATCH(J41,_xlfn.ANCHORARRAY(E52),0))),I54&amp;"Por favor no seleccionar los criterios de impacto",J41)</f>
        <v>0</v>
      </c>
      <c r="L41" s="394"/>
      <c r="M41" s="388"/>
      <c r="N41" s="385"/>
      <c r="O41" s="106">
        <v>2</v>
      </c>
      <c r="P41" s="167"/>
      <c r="Q41" s="107" t="str">
        <f>IF(OR(R41="Preventivo",R41="Detectivo"),"Probabilidad",IF(R41="Correctivo","Impacto",""))</f>
        <v/>
      </c>
      <c r="R41" s="108"/>
      <c r="S41" s="108"/>
      <c r="T41" s="109" t="str">
        <f t="shared" ref="T41" si="36">IF(AND(R41="Preventivo",S41="Automático"),"50%",IF(AND(R41="Preventivo",S41="Manual"),"40%",IF(AND(R41="Detectivo",S41="Automático"),"40%",IF(AND(R41="Detectivo",S41="Manual"),"30%",IF(AND(R41="Correctivo",S41="Automático"),"35%",IF(AND(R41="Correctivo",S41="Manual"),"25%",""))))))</f>
        <v/>
      </c>
      <c r="U41" s="108"/>
      <c r="V41" s="108"/>
      <c r="W41" s="108"/>
      <c r="X41" s="110" t="str">
        <f>IFERROR(IF(AND(Q40="Probabilidad",Q41="Probabilidad"),(Z40-(+Z40*T41)),IF(AND(Q40="Impacto",Q41="Probabilidad"),(Z38-(+Z38*T41)),IF(Q41="Impacto",Z40,""))),"")</f>
        <v/>
      </c>
      <c r="Y41" s="111" t="str">
        <f t="shared" ref="Y41" si="37">IFERROR(IF(X41="","",IF(X41&lt;=0.2,"Muy Baja",IF(X41&lt;=0.4,"Baja",IF(X41&lt;=0.6,"Media",IF(X41&lt;=0.8,"Alta","Muy Alta"))))),"")</f>
        <v/>
      </c>
      <c r="Z41" s="112" t="str">
        <f t="shared" ref="Z41" si="38">+X41</f>
        <v/>
      </c>
      <c r="AA41" s="111" t="str">
        <f t="shared" ref="AA41" si="39">IFERROR(IF(AB41="","",IF(AB41&lt;=0.2,"Leve",IF(AB41&lt;=0.4,"Menor",IF(AB41&lt;=0.6,"Moderado",IF(AB41&lt;=0.8,"Mayor","Catastrófico"))))),"")</f>
        <v/>
      </c>
      <c r="AB41" s="112" t="str">
        <f>IFERROR(IF(AND(Q40="Impacto",Q41="Impacto"),(AB40-(+AB40*T41)),IF(AND(Q40="Probabilidad",Q41="Impacto"),(AB38-(+AB38*T41)),IF(Q41="Probabilidad",AB40,""))),"")</f>
        <v/>
      </c>
      <c r="AC41" s="113" t="str">
        <f t="shared" ref="AC41" si="40">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89"/>
      <c r="AF41" s="163"/>
      <c r="AG41" s="155"/>
      <c r="AH41" s="188"/>
      <c r="AI41" s="18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75"/>
      <c r="B42" s="379"/>
      <c r="C42" s="379"/>
      <c r="D42" s="379"/>
      <c r="E42" s="382"/>
      <c r="F42" s="379"/>
      <c r="G42" s="401"/>
      <c r="H42" s="394"/>
      <c r="I42" s="388"/>
      <c r="J42" s="391"/>
      <c r="K42" s="388">
        <f>IF(NOT(ISERROR(MATCH(J42,_xlfn.ANCHORARRAY(E53),0))),I55&amp;"Por favor no seleccionar los criterios de impacto",J42)</f>
        <v>0</v>
      </c>
      <c r="L42" s="394"/>
      <c r="M42" s="388"/>
      <c r="N42" s="385"/>
      <c r="O42" s="106">
        <v>3</v>
      </c>
      <c r="P42" s="167"/>
      <c r="Q42" s="107" t="str">
        <f>IF(OR(R42="Preventivo",R42="Detectivo"),"Probabilidad",IF(R42="Correctivo","Impacto",""))</f>
        <v/>
      </c>
      <c r="R42" s="108"/>
      <c r="S42" s="108"/>
      <c r="T42" s="109" t="str">
        <f t="shared" ref="T42:T46" si="41">IF(AND(R42="Preventivo",S42="Automático"),"50%",IF(AND(R42="Preventivo",S42="Manual"),"40%",IF(AND(R42="Detectivo",S42="Automático"),"40%",IF(AND(R42="Detectivo",S42="Manual"),"30%",IF(AND(R42="Correctivo",S42="Automático"),"35%",IF(AND(R42="Correctivo",S42="Manual"),"25%",""))))))</f>
        <v/>
      </c>
      <c r="U42" s="108"/>
      <c r="V42" s="108"/>
      <c r="W42" s="108"/>
      <c r="X42" s="110" t="str">
        <f>IFERROR(IF(AND(Q41="Probabilidad",Q42="Probabilidad"),(Z41-(+Z41*T42)),IF(AND(Q41="Impacto",Q42="Probabilidad"),(Z39-(+Z39*T42)),IF(Q42="Impacto",Z41,""))),"")</f>
        <v/>
      </c>
      <c r="Y42" s="111" t="str">
        <f t="shared" si="1"/>
        <v/>
      </c>
      <c r="Z42" s="112" t="str">
        <f t="shared" ref="Z42:Z45" si="42">+X42</f>
        <v/>
      </c>
      <c r="AA42" s="111" t="str">
        <f t="shared" si="3"/>
        <v/>
      </c>
      <c r="AB42" s="112" t="str">
        <f>IFERROR(IF(AND(Q41="Impacto",Q42="Impacto"),(AB41-(+AB41*T42)),IF(AND(Q41="Probabilidad",Q42="Impacto"),(AB39-(+AB39*T42)),IF(Q42="Probabilidad",AB41,""))),"")</f>
        <v/>
      </c>
      <c r="AC42" s="113" t="str">
        <f t="shared" ref="AC42" si="43">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75"/>
      <c r="B43" s="379"/>
      <c r="C43" s="379"/>
      <c r="D43" s="379"/>
      <c r="E43" s="382"/>
      <c r="F43" s="379"/>
      <c r="G43" s="401"/>
      <c r="H43" s="394"/>
      <c r="I43" s="388"/>
      <c r="J43" s="391"/>
      <c r="K43" s="388">
        <f>IF(NOT(ISERROR(MATCH(J43,_xlfn.ANCHORARRAY(E54),0))),I56&amp;"Por favor no seleccionar los criterios de impacto",J43)</f>
        <v>0</v>
      </c>
      <c r="L43" s="394"/>
      <c r="M43" s="388"/>
      <c r="N43" s="385"/>
      <c r="O43" s="106">
        <v>4</v>
      </c>
      <c r="P43" s="166"/>
      <c r="Q43" s="107" t="str">
        <f t="shared" ref="Q43:Q46" si="44">IF(OR(R43="Preventivo",R43="Detectivo"),"Probabilidad",IF(R43="Correctivo","Impacto",""))</f>
        <v/>
      </c>
      <c r="R43" s="108"/>
      <c r="S43" s="108"/>
      <c r="T43" s="109" t="str">
        <f t="shared" si="41"/>
        <v/>
      </c>
      <c r="U43" s="108"/>
      <c r="V43" s="108"/>
      <c r="W43" s="108"/>
      <c r="X43" s="110" t="str">
        <f t="shared" ref="X43:X45" si="45">IFERROR(IF(AND(Q42="Probabilidad",Q43="Probabilidad"),(Z42-(+Z42*T43)),IF(AND(Q42="Impacto",Q43="Probabilidad"),(Z41-(+Z41*T43)),IF(Q43="Impacto",Z42,""))),"")</f>
        <v/>
      </c>
      <c r="Y43" s="111" t="str">
        <f t="shared" si="1"/>
        <v/>
      </c>
      <c r="Z43" s="112" t="str">
        <f t="shared" si="42"/>
        <v/>
      </c>
      <c r="AA43" s="111" t="str">
        <f t="shared" si="3"/>
        <v/>
      </c>
      <c r="AB43" s="112" t="str">
        <f t="shared" ref="AB43:AB45" si="46">IFERROR(IF(AND(Q42="Impacto",Q43="Impacto"),(AB42-(+AB42*T43)),IF(AND(Q42="Probabilidad",Q43="Impacto"),(AB41-(+AB41*T43)),IF(Q43="Probabilidad",AB42,""))),"")</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75"/>
      <c r="B44" s="379"/>
      <c r="C44" s="379"/>
      <c r="D44" s="379"/>
      <c r="E44" s="382"/>
      <c r="F44" s="379"/>
      <c r="G44" s="401"/>
      <c r="H44" s="394"/>
      <c r="I44" s="388"/>
      <c r="J44" s="391"/>
      <c r="K44" s="388">
        <f>IF(NOT(ISERROR(MATCH(J44,_xlfn.ANCHORARRAY(E55),0))),I57&amp;"Por favor no seleccionar los criterios de impacto",J44)</f>
        <v>0</v>
      </c>
      <c r="L44" s="394"/>
      <c r="M44" s="388"/>
      <c r="N44" s="385"/>
      <c r="O44" s="106">
        <v>5</v>
      </c>
      <c r="P44" s="166"/>
      <c r="Q44" s="107" t="str">
        <f t="shared" si="44"/>
        <v/>
      </c>
      <c r="R44" s="108"/>
      <c r="S44" s="108"/>
      <c r="T44" s="109" t="str">
        <f t="shared" si="41"/>
        <v/>
      </c>
      <c r="U44" s="108"/>
      <c r="V44" s="108"/>
      <c r="W44" s="108"/>
      <c r="X44" s="110" t="str">
        <f t="shared" si="45"/>
        <v/>
      </c>
      <c r="Y44" s="111" t="str">
        <f t="shared" si="1"/>
        <v/>
      </c>
      <c r="Z44" s="112" t="str">
        <f t="shared" si="42"/>
        <v/>
      </c>
      <c r="AA44" s="111" t="str">
        <f t="shared" si="3"/>
        <v/>
      </c>
      <c r="AB44" s="112" t="str">
        <f t="shared" si="46"/>
        <v/>
      </c>
      <c r="AC44" s="113" t="str">
        <f t="shared" ref="AC44:AC45" si="47">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6"/>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76"/>
      <c r="B45" s="380"/>
      <c r="C45" s="380"/>
      <c r="D45" s="380"/>
      <c r="E45" s="383"/>
      <c r="F45" s="380"/>
      <c r="G45" s="402"/>
      <c r="H45" s="395"/>
      <c r="I45" s="389"/>
      <c r="J45" s="392"/>
      <c r="K45" s="389">
        <f>IF(NOT(ISERROR(MATCH(J45,_xlfn.ANCHORARRAY(E56),0))),I58&amp;"Por favor no seleccionar los criterios de impacto",J45)</f>
        <v>0</v>
      </c>
      <c r="L45" s="395"/>
      <c r="M45" s="389"/>
      <c r="N45" s="386"/>
      <c r="O45" s="106">
        <v>6</v>
      </c>
      <c r="P45" s="166"/>
      <c r="Q45" s="107" t="str">
        <f t="shared" si="44"/>
        <v/>
      </c>
      <c r="R45" s="108"/>
      <c r="S45" s="108"/>
      <c r="T45" s="109" t="str">
        <f t="shared" si="41"/>
        <v/>
      </c>
      <c r="U45" s="108"/>
      <c r="V45" s="108"/>
      <c r="W45" s="108"/>
      <c r="X45" s="110" t="str">
        <f t="shared" si="45"/>
        <v/>
      </c>
      <c r="Y45" s="111" t="str">
        <f t="shared" si="1"/>
        <v/>
      </c>
      <c r="Z45" s="112" t="str">
        <f t="shared" si="42"/>
        <v/>
      </c>
      <c r="AA45" s="111" t="str">
        <f t="shared" si="3"/>
        <v/>
      </c>
      <c r="AB45" s="112" t="str">
        <f t="shared" si="46"/>
        <v/>
      </c>
      <c r="AC45" s="113" t="str">
        <f t="shared" si="47"/>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83.25" customHeight="1" x14ac:dyDescent="0.3">
      <c r="A46" s="374">
        <v>6</v>
      </c>
      <c r="B46" s="378" t="s">
        <v>203</v>
      </c>
      <c r="C46" s="378" t="s">
        <v>204</v>
      </c>
      <c r="D46" s="378" t="s">
        <v>205</v>
      </c>
      <c r="E46" s="381" t="s">
        <v>206</v>
      </c>
      <c r="F46" s="378" t="s">
        <v>157</v>
      </c>
      <c r="G46" s="400">
        <v>360</v>
      </c>
      <c r="H46" s="393" t="str">
        <f>IF(G46&lt;=0,"",IF(G46&lt;=2,"Muy Baja",IF(G46&lt;=24,"Baja",IF(G46&lt;=500,"Media",IF(G46&lt;=5000,"Alta","Muy Alta")))))</f>
        <v>Media</v>
      </c>
      <c r="I46" s="387">
        <f>IF(H46="","",IF(H46="Muy Baja",0.2,IF(H46="Baja",0.4,IF(H46="Media",0.6,IF(H46="Alta",0.8,IF(H46="Muy Alta",1,))))))</f>
        <v>0.6</v>
      </c>
      <c r="J46" s="390" t="s">
        <v>188</v>
      </c>
      <c r="K46" s="387"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393" t="str">
        <f>IF(OR(K46='Tabla Impacto'!$C$11,K46='Tabla Impacto'!$D$11),"Leve",IF(OR(K46='Tabla Impacto'!$C$12,K46='Tabla Impacto'!$D$12),"Menor",IF(OR(K46='Tabla Impacto'!$C$13,K46='Tabla Impacto'!$D$13),"Moderado",IF(OR(K46='Tabla Impacto'!$C$14,K46='Tabla Impacto'!$D$14),"Mayor",IF(OR(K46='Tabla Impacto'!$C$15,K46='Tabla Impacto'!$D$15),"Catastrófico","")))))</f>
        <v>Moderado</v>
      </c>
      <c r="M46" s="387">
        <f>IF(L46="","",IF(L46="Leve",0.2,IF(L46="Menor",0.4,IF(L46="Moderado",0.6,IF(L46="Mayor",0.8,IF(L46="Catastrófico",1,))))))</f>
        <v>0.6</v>
      </c>
      <c r="N46" s="38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166" t="s">
        <v>207</v>
      </c>
      <c r="Q46" s="152" t="str">
        <f t="shared" si="44"/>
        <v>Probabilidad</v>
      </c>
      <c r="R46" s="157" t="s">
        <v>160</v>
      </c>
      <c r="S46" s="157" t="s">
        <v>161</v>
      </c>
      <c r="T46" s="158" t="str">
        <f t="shared" si="41"/>
        <v>40%</v>
      </c>
      <c r="U46" s="157" t="s">
        <v>162</v>
      </c>
      <c r="V46" s="157" t="s">
        <v>163</v>
      </c>
      <c r="W46" s="157" t="s">
        <v>164</v>
      </c>
      <c r="X46" s="149">
        <f>IFERROR(IF(Q46="Probabilidad",(I46-(+I46*T46)),IF(Q46="Impacto",I46,"")),"")</f>
        <v>0.36</v>
      </c>
      <c r="Y46" s="159" t="str">
        <f>IFERROR(IF(X46="","",IF(X46&lt;=0.2,"Muy Baja",IF(X46&lt;=0.4,"Baja",IF(X46&lt;=0.6,"Media",IF(X46&lt;=0.8,"Alta","Muy Alta"))))),"")</f>
        <v>Baja</v>
      </c>
      <c r="Z46" s="160">
        <f>+X46</f>
        <v>0.36</v>
      </c>
      <c r="AA46" s="159" t="str">
        <f>IFERROR(IF(AB46="","",IF(AB46&lt;=0.2,"Leve",IF(AB46&lt;=0.4,"Menor",IF(AB46&lt;=0.6,"Moderado",IF(AB46&lt;=0.8,"Mayor","Catastrófico"))))),"")</f>
        <v>Moderado</v>
      </c>
      <c r="AB46" s="160">
        <f>IFERROR(IF(Q46="Impacto",(M46-(+M46*T46)),IF(Q46="Probabilidad",M46,"")),"")</f>
        <v>0.6</v>
      </c>
      <c r="AC46" s="16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62" t="s">
        <v>165</v>
      </c>
      <c r="AE46" s="186" t="s">
        <v>208</v>
      </c>
      <c r="AF46" s="190" t="s">
        <v>209</v>
      </c>
      <c r="AG46" s="187" t="s">
        <v>210</v>
      </c>
      <c r="AH46" s="191">
        <v>45658</v>
      </c>
      <c r="AI46" s="191">
        <v>46021</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75"/>
      <c r="B47" s="379"/>
      <c r="C47" s="379"/>
      <c r="D47" s="379"/>
      <c r="E47" s="382"/>
      <c r="F47" s="379"/>
      <c r="G47" s="401"/>
      <c r="H47" s="394"/>
      <c r="I47" s="388"/>
      <c r="J47" s="391"/>
      <c r="K47" s="388">
        <f>IF(NOT(ISERROR(MATCH(J47,_xlfn.ANCHORARRAY(E58),0))),I60&amp;"Por favor no seleccionar los criterios de impacto",J47)</f>
        <v>0</v>
      </c>
      <c r="L47" s="394"/>
      <c r="M47" s="388"/>
      <c r="N47" s="385"/>
      <c r="O47" s="106">
        <v>2</v>
      </c>
      <c r="P47" s="166"/>
      <c r="Q47" s="107" t="str">
        <f>IF(OR(R47="Preventivo",R47="Detectivo"),"Probabilidad",IF(R47="Correctivo","Impacto",""))</f>
        <v/>
      </c>
      <c r="R47" s="108"/>
      <c r="S47" s="108"/>
      <c r="T47" s="109" t="str">
        <f t="shared" ref="T47:T51" si="48">IF(AND(R47="Preventivo",S47="Automático"),"50%",IF(AND(R47="Preventivo",S47="Manual"),"40%",IF(AND(R47="Detectivo",S47="Automático"),"40%",IF(AND(R47="Detectivo",S47="Manual"),"30%",IF(AND(R47="Correctivo",S47="Automático"),"35%",IF(AND(R47="Correctivo",S47="Manual"),"25%",""))))))</f>
        <v/>
      </c>
      <c r="U47" s="108"/>
      <c r="V47" s="108"/>
      <c r="W47" s="108"/>
      <c r="X47" s="110" t="str">
        <f>IFERROR(IF(AND(Q46="Probabilidad",Q47="Probabilidad"),(Z46-(+Z46*T47)),IF(Q47="Probabilidad",(I46-(+I46*T47)),IF(Q47="Impacto",Z46,""))),"")</f>
        <v/>
      </c>
      <c r="Y47" s="111" t="str">
        <f t="shared" si="1"/>
        <v/>
      </c>
      <c r="Z47" s="112" t="str">
        <f t="shared" ref="Z47:Z51" si="49">+X47</f>
        <v/>
      </c>
      <c r="AA47" s="111" t="str">
        <f t="shared" si="3"/>
        <v/>
      </c>
      <c r="AB47" s="112" t="str">
        <f>IFERROR(IF(AND(Q46="Impacto",Q47="Impacto"),(AB46-(+AB46*T47)),IF(Q47="Impacto",(M46-(+M46*T47)),IF(Q47="Probabilidad",AB46,""))),"")</f>
        <v/>
      </c>
      <c r="AC47" s="11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75"/>
      <c r="B48" s="379"/>
      <c r="C48" s="379"/>
      <c r="D48" s="379"/>
      <c r="E48" s="382"/>
      <c r="F48" s="379"/>
      <c r="G48" s="401"/>
      <c r="H48" s="394"/>
      <c r="I48" s="388"/>
      <c r="J48" s="391"/>
      <c r="K48" s="388">
        <f>IF(NOT(ISERROR(MATCH(J48,_xlfn.ANCHORARRAY(E59),0))),I61&amp;"Por favor no seleccionar los criterios de impacto",J48)</f>
        <v>0</v>
      </c>
      <c r="L48" s="394"/>
      <c r="M48" s="388"/>
      <c r="N48" s="385"/>
      <c r="O48" s="106">
        <v>3</v>
      </c>
      <c r="P48" s="167"/>
      <c r="Q48" s="107" t="str">
        <f>IF(OR(R48="Preventivo",R48="Detectivo"),"Probabilidad",IF(R48="Correctivo","Impacto",""))</f>
        <v/>
      </c>
      <c r="R48" s="108"/>
      <c r="S48" s="108"/>
      <c r="T48" s="109" t="str">
        <f t="shared" si="48"/>
        <v/>
      </c>
      <c r="U48" s="108"/>
      <c r="V48" s="108"/>
      <c r="W48" s="108"/>
      <c r="X48" s="110" t="str">
        <f>IFERROR(IF(AND(Q47="Probabilidad",Q48="Probabilidad"),(Z47-(+Z47*T48)),IF(AND(Q47="Impacto",Q48="Probabilidad"),(Z46-(+Z46*T48)),IF(Q48="Impacto",Z47,""))),"")</f>
        <v/>
      </c>
      <c r="Y48" s="111" t="str">
        <f t="shared" si="1"/>
        <v/>
      </c>
      <c r="Z48" s="112" t="str">
        <f t="shared" si="49"/>
        <v/>
      </c>
      <c r="AA48" s="111" t="str">
        <f t="shared" si="3"/>
        <v/>
      </c>
      <c r="AB48" s="112" t="str">
        <f>IFERROR(IF(AND(Q47="Impacto",Q48="Impacto"),(AB47-(+AB47*T48)),IF(AND(Q47="Probabilidad",Q48="Impacto"),(AB46-(+AB46*T48)),IF(Q48="Probabilidad",AB47,""))),"")</f>
        <v/>
      </c>
      <c r="AC48" s="113" t="str">
        <f t="shared" si="50"/>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75"/>
      <c r="B49" s="379"/>
      <c r="C49" s="379"/>
      <c r="D49" s="379"/>
      <c r="E49" s="382"/>
      <c r="F49" s="379"/>
      <c r="G49" s="401"/>
      <c r="H49" s="394"/>
      <c r="I49" s="388"/>
      <c r="J49" s="391"/>
      <c r="K49" s="388">
        <f>IF(NOT(ISERROR(MATCH(J49,_xlfn.ANCHORARRAY(E60),0))),I62&amp;"Por favor no seleccionar los criterios de impacto",J49)</f>
        <v>0</v>
      </c>
      <c r="L49" s="394"/>
      <c r="M49" s="388"/>
      <c r="N49" s="385"/>
      <c r="O49" s="106">
        <v>4</v>
      </c>
      <c r="P49" s="166"/>
      <c r="Q49" s="107" t="str">
        <f t="shared" ref="Q49:Q51" si="51">IF(OR(R49="Preventivo",R49="Detectivo"),"Probabilidad",IF(R49="Correctivo","Impacto",""))</f>
        <v/>
      </c>
      <c r="R49" s="108"/>
      <c r="S49" s="108"/>
      <c r="T49" s="109" t="str">
        <f t="shared" si="48"/>
        <v/>
      </c>
      <c r="U49" s="108"/>
      <c r="V49" s="108"/>
      <c r="W49" s="108"/>
      <c r="X49" s="110" t="str">
        <f t="shared" ref="X49:X51" si="52">IFERROR(IF(AND(Q48="Probabilidad",Q49="Probabilidad"),(Z48-(+Z48*T49)),IF(AND(Q48="Impacto",Q49="Probabilidad"),(Z47-(+Z47*T49)),IF(Q49="Impacto",Z48,""))),"")</f>
        <v/>
      </c>
      <c r="Y49" s="111" t="str">
        <f t="shared" si="1"/>
        <v/>
      </c>
      <c r="Z49" s="112" t="str">
        <f t="shared" si="49"/>
        <v/>
      </c>
      <c r="AA49" s="111" t="str">
        <f t="shared" si="3"/>
        <v/>
      </c>
      <c r="AB49" s="112" t="str">
        <f t="shared" ref="AB49:AB51" si="53">IFERROR(IF(AND(Q48="Impacto",Q49="Impacto"),(AB48-(+AB48*T49)),IF(AND(Q48="Probabilidad",Q49="Impacto"),(AB47-(+AB47*T49)),IF(Q49="Probabilidad",AB48,""))),"")</f>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75"/>
      <c r="B50" s="379"/>
      <c r="C50" s="379"/>
      <c r="D50" s="379"/>
      <c r="E50" s="382"/>
      <c r="F50" s="379"/>
      <c r="G50" s="401"/>
      <c r="H50" s="394"/>
      <c r="I50" s="388"/>
      <c r="J50" s="391"/>
      <c r="K50" s="388">
        <f>IF(NOT(ISERROR(MATCH(J50,_xlfn.ANCHORARRAY(E61),0))),I63&amp;"Por favor no seleccionar los criterios de impacto",J50)</f>
        <v>0</v>
      </c>
      <c r="L50" s="394"/>
      <c r="M50" s="388"/>
      <c r="N50" s="385"/>
      <c r="O50" s="106">
        <v>5</v>
      </c>
      <c r="P50" s="166"/>
      <c r="Q50" s="107" t="str">
        <f t="shared" si="51"/>
        <v/>
      </c>
      <c r="R50" s="108"/>
      <c r="S50" s="108"/>
      <c r="T50" s="109" t="str">
        <f t="shared" si="48"/>
        <v/>
      </c>
      <c r="U50" s="108"/>
      <c r="V50" s="108"/>
      <c r="W50" s="108"/>
      <c r="X50" s="110" t="str">
        <f t="shared" si="52"/>
        <v/>
      </c>
      <c r="Y50" s="111" t="str">
        <f t="shared" si="1"/>
        <v/>
      </c>
      <c r="Z50" s="112" t="str">
        <f t="shared" si="49"/>
        <v/>
      </c>
      <c r="AA50" s="111" t="str">
        <f t="shared" si="3"/>
        <v/>
      </c>
      <c r="AB50" s="112" t="str">
        <f t="shared" si="53"/>
        <v/>
      </c>
      <c r="AC50" s="113" t="str">
        <f t="shared" ref="AC50"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6"/>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76"/>
      <c r="B51" s="380"/>
      <c r="C51" s="380"/>
      <c r="D51" s="380"/>
      <c r="E51" s="383"/>
      <c r="F51" s="380"/>
      <c r="G51" s="402"/>
      <c r="H51" s="395"/>
      <c r="I51" s="389"/>
      <c r="J51" s="392"/>
      <c r="K51" s="389">
        <f>IF(NOT(ISERROR(MATCH(J51,_xlfn.ANCHORARRAY(E62),0))),I64&amp;"Por favor no seleccionar los criterios de impacto",J51)</f>
        <v>0</v>
      </c>
      <c r="L51" s="395"/>
      <c r="M51" s="389"/>
      <c r="N51" s="386"/>
      <c r="O51" s="106">
        <v>6</v>
      </c>
      <c r="P51" s="166"/>
      <c r="Q51" s="107" t="str">
        <f t="shared" si="51"/>
        <v/>
      </c>
      <c r="R51" s="108"/>
      <c r="S51" s="108"/>
      <c r="T51" s="109" t="str">
        <f t="shared" si="48"/>
        <v/>
      </c>
      <c r="U51" s="108"/>
      <c r="V51" s="108"/>
      <c r="W51" s="108"/>
      <c r="X51" s="110" t="str">
        <f t="shared" si="52"/>
        <v/>
      </c>
      <c r="Y51" s="111" t="str">
        <f t="shared" si="1"/>
        <v/>
      </c>
      <c r="Z51" s="112" t="str">
        <f t="shared" si="49"/>
        <v/>
      </c>
      <c r="AA51" s="111" t="str">
        <f>IFERROR(IF(AB51="","",IF(AB51&lt;=0.2,"Leve",IF(AB51&lt;=0.4,"Menor",IF(AB51&lt;=0.6,"Moderado",IF(AB51&lt;=0.8,"Mayor","Catastrófico"))))),"")</f>
        <v/>
      </c>
      <c r="AB51" s="112" t="str">
        <f t="shared" si="53"/>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99" customHeight="1" x14ac:dyDescent="0.3">
      <c r="A52" s="374">
        <v>7</v>
      </c>
      <c r="B52" s="378" t="s">
        <v>203</v>
      </c>
      <c r="C52" s="378" t="s">
        <v>348</v>
      </c>
      <c r="D52" s="378" t="s">
        <v>347</v>
      </c>
      <c r="E52" s="381" t="s">
        <v>211</v>
      </c>
      <c r="F52" s="378" t="s">
        <v>157</v>
      </c>
      <c r="G52" s="400">
        <v>24</v>
      </c>
      <c r="H52" s="393" t="str">
        <f>IF(G52&lt;=0,"",IF(G52&lt;=2,"Muy Baja",IF(G52&lt;=24,"Baja",IF(G52&lt;=500,"Media",IF(G52&lt;=5000,"Alta","Muy Alta")))))</f>
        <v>Baja</v>
      </c>
      <c r="I52" s="387">
        <f>IF(H52="","",IF(H52="Muy Baja",0.2,IF(H52="Baja",0.4,IF(H52="Media",0.6,IF(H52="Alta",0.8,IF(H52="Muy Alta",1,))))))</f>
        <v>0.4</v>
      </c>
      <c r="J52" s="390" t="s">
        <v>188</v>
      </c>
      <c r="K52" s="387" t="str">
        <f>IF(NOT(ISERROR(MATCH(J52,'Tabla Impacto'!$B$221:$B$223,0))),'Tabla Impacto'!$F$223&amp;"Por favor no seleccionar los criterios de impacto(Afectación Económica o presupuestal y Pérdida Reputacional)",J52)</f>
        <v xml:space="preserve">     El riesgo afecta la imagen de la entidad con algunos usuarios de relevancia frente al logro de los objetivos</v>
      </c>
      <c r="L52" s="393" t="str">
        <f>IF(OR(K52='Tabla Impacto'!$C$11,K52='Tabla Impacto'!$D$11),"Leve",IF(OR(K52='Tabla Impacto'!$C$12,K52='Tabla Impacto'!$D$12),"Menor",IF(OR(K52='Tabla Impacto'!$C$13,K52='Tabla Impacto'!$D$13),"Moderado",IF(OR(K52='Tabla Impacto'!$C$14,K52='Tabla Impacto'!$D$14),"Mayor",IF(OR(K52='Tabla Impacto'!$C$15,K52='Tabla Impacto'!$D$15),"Catastrófico","")))))</f>
        <v>Moderado</v>
      </c>
      <c r="M52" s="387">
        <f>IF(L52="","",IF(L52="Leve",0.2,IF(L52="Menor",0.4,IF(L52="Moderado",0.6,IF(L52="Mayor",0.8,IF(L52="Catastrófico",1,))))))</f>
        <v>0.6</v>
      </c>
      <c r="N52" s="38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Moderado</v>
      </c>
      <c r="O52" s="106">
        <v>1</v>
      </c>
      <c r="P52" s="192" t="s">
        <v>212</v>
      </c>
      <c r="Q52" s="152" t="str">
        <f>IF(OR(R52="Preventivo",R52="Detectivo"),"Probabilidad",IF(R52="Correctivo","Impacto",""))</f>
        <v>Probabilidad</v>
      </c>
      <c r="R52" s="157" t="s">
        <v>160</v>
      </c>
      <c r="S52" s="157" t="s">
        <v>161</v>
      </c>
      <c r="T52" s="158" t="str">
        <f>IF(AND(R52="Preventivo",S52="Automático"),"50%",IF(AND(R52="Preventivo",S52="Manual"),"40%",IF(AND(R52="Detectivo",S52="Automático"),"40%",IF(AND(R52="Detectivo",S52="Manual"),"30%",IF(AND(R52="Correctivo",S52="Automático"),"35%",IF(AND(R52="Correctivo",S52="Manual"),"25%",""))))))</f>
        <v>40%</v>
      </c>
      <c r="U52" s="157" t="s">
        <v>162</v>
      </c>
      <c r="V52" s="157" t="s">
        <v>163</v>
      </c>
      <c r="W52" s="157" t="s">
        <v>164</v>
      </c>
      <c r="X52" s="149">
        <f>IFERROR(IF(Q52="Probabilidad",(I52-(+I52*T52)),IF(Q52="Impacto",I52,"")),"")</f>
        <v>0.24</v>
      </c>
      <c r="Y52" s="159" t="str">
        <f>IFERROR(IF(X52="","",IF(X52&lt;=0.2,"Muy Baja",IF(X52&lt;=0.4,"Baja",IF(X52&lt;=0.6,"Media",IF(X52&lt;=0.8,"Alta","Muy Alta"))))),"")</f>
        <v>Baja</v>
      </c>
      <c r="Z52" s="160">
        <f>+X52</f>
        <v>0.24</v>
      </c>
      <c r="AA52" s="159" t="str">
        <f>IFERROR(IF(AB52="","",IF(AB52&lt;=0.2,"Leve",IF(AB52&lt;=0.4,"Menor",IF(AB52&lt;=0.6,"Moderado",IF(AB52&lt;=0.8,"Mayor","Catastrófico"))))),"")</f>
        <v>Moderado</v>
      </c>
      <c r="AB52" s="160">
        <f>IFERROR(IF(Q52="Impacto",(M52-(+M52*T52)),IF(Q52="Probabilidad",M52,"")),"")</f>
        <v>0.6</v>
      </c>
      <c r="AC52" s="16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62" t="s">
        <v>165</v>
      </c>
      <c r="AE52" s="186" t="s">
        <v>213</v>
      </c>
      <c r="AF52" s="163" t="s">
        <v>214</v>
      </c>
      <c r="AG52" s="193" t="s">
        <v>215</v>
      </c>
      <c r="AH52" s="156">
        <v>45658</v>
      </c>
      <c r="AI52" s="156">
        <v>46021</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375"/>
      <c r="B53" s="379"/>
      <c r="C53" s="379"/>
      <c r="D53" s="379"/>
      <c r="E53" s="382"/>
      <c r="F53" s="379"/>
      <c r="G53" s="401"/>
      <c r="H53" s="394"/>
      <c r="I53" s="388"/>
      <c r="J53" s="391"/>
      <c r="K53" s="388">
        <f>IF(NOT(ISERROR(MATCH(J53,_xlfn.ANCHORARRAY(E64),0))),I66&amp;"Por favor no seleccionar los criterios de impacto",J53)</f>
        <v>0</v>
      </c>
      <c r="L53" s="394"/>
      <c r="M53" s="388"/>
      <c r="N53" s="385"/>
      <c r="O53" s="106">
        <v>2</v>
      </c>
      <c r="P53" s="166"/>
      <c r="Q53" s="152" t="str">
        <f>IF(OR(R53="Preventivo",R53="Detectivo"),"Probabilidad",IF(R53="Correctivo","Impacto",""))</f>
        <v/>
      </c>
      <c r="R53" s="157"/>
      <c r="S53" s="157"/>
      <c r="T53" s="158" t="str">
        <f t="shared" ref="T53:T57" si="55">IF(AND(R53="Preventivo",S53="Automático"),"50%",IF(AND(R53="Preventivo",S53="Manual"),"40%",IF(AND(R53="Detectivo",S53="Automático"),"40%",IF(AND(R53="Detectivo",S53="Manual"),"30%",IF(AND(R53="Correctivo",S53="Automático"),"35%",IF(AND(R53="Correctivo",S53="Manual"),"25%",""))))))</f>
        <v/>
      </c>
      <c r="U53" s="157"/>
      <c r="V53" s="157"/>
      <c r="W53" s="157"/>
      <c r="X53" s="149" t="str">
        <f>IFERROR(IF(AND(Q52="Probabilidad",Q53="Probabilidad"),(Z52-(+Z52*T53)),IF(Q53="Probabilidad",(I52-(+I52*T53)),IF(Q53="Impacto",Z52,""))),"")</f>
        <v/>
      </c>
      <c r="Y53" s="159" t="str">
        <f t="shared" si="1"/>
        <v/>
      </c>
      <c r="Z53" s="160" t="str">
        <f t="shared" ref="Z53:Z57" si="56">+X53</f>
        <v/>
      </c>
      <c r="AA53" s="159" t="str">
        <f t="shared" si="3"/>
        <v/>
      </c>
      <c r="AB53" s="160" t="str">
        <f>IFERROR(IF(AND(Q52="Impacto",Q53="Impacto"),(AB52-(+AB52*T53)),IF(Q53="Impacto",(M52-(+M52*T53)),IF(Q53="Probabilidad",AB52,""))),"")</f>
        <v/>
      </c>
      <c r="AC53" s="16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2"/>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75"/>
      <c r="B54" s="379"/>
      <c r="C54" s="379"/>
      <c r="D54" s="379"/>
      <c r="E54" s="382"/>
      <c r="F54" s="379"/>
      <c r="G54" s="401"/>
      <c r="H54" s="394"/>
      <c r="I54" s="388"/>
      <c r="J54" s="391"/>
      <c r="K54" s="388">
        <f>IF(NOT(ISERROR(MATCH(J54,_xlfn.ANCHORARRAY(E65),0))),I67&amp;"Por favor no seleccionar los criterios de impacto",J54)</f>
        <v>0</v>
      </c>
      <c r="L54" s="394"/>
      <c r="M54" s="388"/>
      <c r="N54" s="385"/>
      <c r="O54" s="106">
        <v>3</v>
      </c>
      <c r="P54" s="167"/>
      <c r="Q54" s="107" t="str">
        <f>IF(OR(R54="Preventivo",R54="Detectivo"),"Probabilidad",IF(R54="Correctivo","Impacto",""))</f>
        <v/>
      </c>
      <c r="R54" s="108"/>
      <c r="S54" s="108"/>
      <c r="T54" s="109" t="str">
        <f t="shared" si="55"/>
        <v/>
      </c>
      <c r="U54" s="108"/>
      <c r="V54" s="108"/>
      <c r="W54" s="108"/>
      <c r="X54" s="110" t="str">
        <f>IFERROR(IF(AND(Q53="Probabilidad",Q54="Probabilidad"),(Z53-(+Z53*T54)),IF(AND(Q53="Impacto",Q54="Probabilidad"),(Z52-(+Z52*T54)),IF(Q54="Impacto",Z53,""))),"")</f>
        <v/>
      </c>
      <c r="Y54" s="111" t="str">
        <f t="shared" si="1"/>
        <v/>
      </c>
      <c r="Z54" s="112" t="str">
        <f t="shared" si="56"/>
        <v/>
      </c>
      <c r="AA54" s="111" t="str">
        <f t="shared" si="3"/>
        <v/>
      </c>
      <c r="AB54" s="112" t="str">
        <f>IFERROR(IF(AND(Q53="Impacto",Q54="Impacto"),(AB53-(+AB53*T54)),IF(AND(Q53="Probabilidad",Q54="Impacto"),(AB52-(+AB52*T54)),IF(Q54="Probabilidad",AB53,""))),"")</f>
        <v/>
      </c>
      <c r="AC54" s="113" t="str">
        <f t="shared" si="57"/>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75"/>
      <c r="B55" s="379"/>
      <c r="C55" s="379"/>
      <c r="D55" s="379"/>
      <c r="E55" s="382"/>
      <c r="F55" s="379"/>
      <c r="G55" s="401"/>
      <c r="H55" s="394"/>
      <c r="I55" s="388"/>
      <c r="J55" s="391"/>
      <c r="K55" s="388">
        <f>IF(NOT(ISERROR(MATCH(J55,_xlfn.ANCHORARRAY(E66),0))),I68&amp;"Por favor no seleccionar los criterios de impacto",J55)</f>
        <v>0</v>
      </c>
      <c r="L55" s="394"/>
      <c r="M55" s="388"/>
      <c r="N55" s="385"/>
      <c r="O55" s="106">
        <v>4</v>
      </c>
      <c r="P55" s="166"/>
      <c r="Q55" s="107" t="str">
        <f t="shared" ref="Q55:Q58" si="58">IF(OR(R55="Preventivo",R55="Detectivo"),"Probabilidad",IF(R55="Correctivo","Impacto",""))</f>
        <v/>
      </c>
      <c r="R55" s="108"/>
      <c r="S55" s="108"/>
      <c r="T55" s="109" t="str">
        <f t="shared" si="55"/>
        <v/>
      </c>
      <c r="U55" s="108"/>
      <c r="V55" s="108"/>
      <c r="W55" s="108"/>
      <c r="X55" s="110" t="str">
        <f t="shared" ref="X55:X57" si="59">IFERROR(IF(AND(Q54="Probabilidad",Q55="Probabilidad"),(Z54-(+Z54*T55)),IF(AND(Q54="Impacto",Q55="Probabilidad"),(Z53-(+Z53*T55)),IF(Q55="Impacto",Z54,""))),"")</f>
        <v/>
      </c>
      <c r="Y55" s="111" t="str">
        <f t="shared" si="1"/>
        <v/>
      </c>
      <c r="Z55" s="112" t="str">
        <f t="shared" si="56"/>
        <v/>
      </c>
      <c r="AA55" s="111" t="str">
        <f t="shared" si="3"/>
        <v/>
      </c>
      <c r="AB55" s="112" t="str">
        <f t="shared" ref="AB55:AB57" si="60">IFERROR(IF(AND(Q54="Impacto",Q55="Impacto"),(AB54-(+AB54*T55)),IF(AND(Q54="Probabilidad",Q55="Impacto"),(AB53-(+AB53*T55)),IF(Q55="Probabilidad",AB54,""))),"")</f>
        <v/>
      </c>
      <c r="AC55" s="11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375"/>
      <c r="B56" s="379"/>
      <c r="C56" s="379"/>
      <c r="D56" s="379"/>
      <c r="E56" s="382"/>
      <c r="F56" s="379"/>
      <c r="G56" s="401"/>
      <c r="H56" s="394"/>
      <c r="I56" s="388"/>
      <c r="J56" s="391"/>
      <c r="K56" s="388">
        <f>IF(NOT(ISERROR(MATCH(J56,_xlfn.ANCHORARRAY(E67),0))),I69&amp;"Por favor no seleccionar los criterios de impacto",J56)</f>
        <v>0</v>
      </c>
      <c r="L56" s="394"/>
      <c r="M56" s="388"/>
      <c r="N56" s="385"/>
      <c r="O56" s="106">
        <v>5</v>
      </c>
      <c r="P56" s="166"/>
      <c r="Q56" s="107" t="str">
        <f t="shared" si="58"/>
        <v/>
      </c>
      <c r="R56" s="108"/>
      <c r="S56" s="108"/>
      <c r="T56" s="109" t="str">
        <f t="shared" si="55"/>
        <v/>
      </c>
      <c r="U56" s="108"/>
      <c r="V56" s="108"/>
      <c r="W56" s="108"/>
      <c r="X56" s="110" t="str">
        <f t="shared" si="59"/>
        <v/>
      </c>
      <c r="Y56" s="111" t="str">
        <f t="shared" si="1"/>
        <v/>
      </c>
      <c r="Z56" s="112" t="str">
        <f t="shared" si="56"/>
        <v/>
      </c>
      <c r="AA56" s="111" t="str">
        <f t="shared" si="3"/>
        <v/>
      </c>
      <c r="AB56" s="112" t="str">
        <f t="shared" si="60"/>
        <v/>
      </c>
      <c r="AC56" s="11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376"/>
      <c r="B57" s="380"/>
      <c r="C57" s="380"/>
      <c r="D57" s="380"/>
      <c r="E57" s="383"/>
      <c r="F57" s="380"/>
      <c r="G57" s="402"/>
      <c r="H57" s="395"/>
      <c r="I57" s="389"/>
      <c r="J57" s="392"/>
      <c r="K57" s="389">
        <f>IF(NOT(ISERROR(MATCH(J57,_xlfn.ANCHORARRAY(E68),0))),I70&amp;"Por favor no seleccionar los criterios de impacto",J57)</f>
        <v>0</v>
      </c>
      <c r="L57" s="395"/>
      <c r="M57" s="389"/>
      <c r="N57" s="386"/>
      <c r="O57" s="106">
        <v>6</v>
      </c>
      <c r="P57" s="166"/>
      <c r="Q57" s="107" t="str">
        <f t="shared" si="58"/>
        <v/>
      </c>
      <c r="R57" s="108"/>
      <c r="S57" s="108"/>
      <c r="T57" s="109" t="str">
        <f t="shared" si="55"/>
        <v/>
      </c>
      <c r="U57" s="108"/>
      <c r="V57" s="108"/>
      <c r="W57" s="108"/>
      <c r="X57" s="110" t="str">
        <f t="shared" si="59"/>
        <v/>
      </c>
      <c r="Y57" s="111" t="str">
        <f t="shared" si="1"/>
        <v/>
      </c>
      <c r="Z57" s="112" t="str">
        <f t="shared" si="56"/>
        <v/>
      </c>
      <c r="AA57" s="111" t="str">
        <f t="shared" si="3"/>
        <v/>
      </c>
      <c r="AB57" s="112" t="str">
        <f t="shared" si="60"/>
        <v/>
      </c>
      <c r="AC57" s="113" t="str">
        <f t="shared" si="61"/>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75" customHeight="1" x14ac:dyDescent="0.3">
      <c r="A58" s="374">
        <v>8</v>
      </c>
      <c r="B58" s="378" t="s">
        <v>203</v>
      </c>
      <c r="C58" s="378" t="s">
        <v>216</v>
      </c>
      <c r="D58" s="378" t="s">
        <v>349</v>
      </c>
      <c r="E58" s="381" t="s">
        <v>217</v>
      </c>
      <c r="F58" s="378" t="s">
        <v>157</v>
      </c>
      <c r="G58" s="400">
        <v>2</v>
      </c>
      <c r="H58" s="393" t="str">
        <f>IF(G58&lt;=0,"",IF(G58&lt;=2,"Muy Baja",IF(G58&lt;=24,"Baja",IF(G58&lt;=500,"Media",IF(G58&lt;=5000,"Alta","Muy Alta")))))</f>
        <v>Muy Baja</v>
      </c>
      <c r="I58" s="387">
        <f>IF(H58="","",IF(H58="Muy Baja",0.2,IF(H58="Baja",0.4,IF(H58="Media",0.6,IF(H58="Alta",0.8,IF(H58="Muy Alta",1,))))))</f>
        <v>0.2</v>
      </c>
      <c r="J58" s="390" t="s">
        <v>188</v>
      </c>
      <c r="K58" s="387" t="str">
        <f>IF(NOT(ISERROR(MATCH(J58,'Tabla Impacto'!$B$221:$B$223,0))),'Tabla Impacto'!$F$223&amp;"Por favor no seleccionar los criterios de impacto(Afectación Económica o presupuestal y Pérdida Reputacional)",J58)</f>
        <v xml:space="preserve">     El riesgo afecta la imagen de la entidad con algunos usuarios de relevancia frente al logro de los objetivos</v>
      </c>
      <c r="L58" s="393" t="str">
        <f>IF(OR(K58='Tabla Impacto'!$C$11,K58='Tabla Impacto'!$D$11),"Leve",IF(OR(K58='Tabla Impacto'!$C$12,K58='Tabla Impacto'!$D$12),"Menor",IF(OR(K58='Tabla Impacto'!$C$13,K58='Tabla Impacto'!$D$13),"Moderado",IF(OR(K58='Tabla Impacto'!$C$14,K58='Tabla Impacto'!$D$14),"Mayor",IF(OR(K58='Tabla Impacto'!$C$15,K58='Tabla Impacto'!$D$15),"Catastrófico","")))))</f>
        <v>Moderado</v>
      </c>
      <c r="M58" s="387">
        <f>IF(L58="","",IF(L58="Leve",0.2,IF(L58="Menor",0.4,IF(L58="Moderado",0.6,IF(L58="Mayor",0.8,IF(L58="Catastrófico",1,))))))</f>
        <v>0.6</v>
      </c>
      <c r="N58" s="38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Moderado</v>
      </c>
      <c r="O58" s="106">
        <v>1</v>
      </c>
      <c r="P58" s="166" t="s">
        <v>218</v>
      </c>
      <c r="Q58" s="107" t="str">
        <f t="shared" si="58"/>
        <v>Probabilidad</v>
      </c>
      <c r="R58" s="157" t="s">
        <v>160</v>
      </c>
      <c r="S58" s="157" t="s">
        <v>161</v>
      </c>
      <c r="T58" s="158" t="str">
        <f>IF(AND(R58="Preventivo",S58="Automático"),"50%",IF(AND(R58="Preventivo",S58="Manual"),"40%",IF(AND(R58="Detectivo",S58="Automático"),"40%",IF(AND(R58="Detectivo",S58="Manual"),"30%",IF(AND(R58="Correctivo",S58="Automático"),"35%",IF(AND(R58="Correctivo",S58="Manual"),"25%",""))))))</f>
        <v>40%</v>
      </c>
      <c r="U58" s="157" t="s">
        <v>162</v>
      </c>
      <c r="V58" s="157" t="s">
        <v>163</v>
      </c>
      <c r="W58" s="157" t="s">
        <v>164</v>
      </c>
      <c r="X58" s="149">
        <f>IFERROR(IF(Q58="Probabilidad",(I58-(+I58*T58)),IF(Q58="Impacto",I58,"")),"")</f>
        <v>0.12</v>
      </c>
      <c r="Y58" s="159" t="str">
        <f>IFERROR(IF(X58="","",IF(X58&lt;=0.2,"Muy Baja",IF(X58&lt;=0.4,"Baja",IF(X58&lt;=0.6,"Media",IF(X58&lt;=0.8,"Alta","Muy Alta"))))),"")</f>
        <v>Muy Baja</v>
      </c>
      <c r="Z58" s="160">
        <f>+X58</f>
        <v>0.12</v>
      </c>
      <c r="AA58" s="159" t="str">
        <f>IFERROR(IF(AB58="","",IF(AB58&lt;=0.2,"Leve",IF(AB58&lt;=0.4,"Menor",IF(AB58&lt;=0.6,"Moderado",IF(AB58&lt;=0.8,"Mayor","Catastrófico"))))),"")</f>
        <v>Moderado</v>
      </c>
      <c r="AB58" s="160">
        <f>IFERROR(IF(Q58="Impacto",(M58-(+M58*T58)),IF(Q58="Probabilidad",M58,"")),"")</f>
        <v>0.6</v>
      </c>
      <c r="AC58" s="16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162" t="s">
        <v>165</v>
      </c>
      <c r="AE58" s="186" t="s">
        <v>219</v>
      </c>
      <c r="AF58" s="184" t="s">
        <v>220</v>
      </c>
      <c r="AG58" s="184" t="s">
        <v>221</v>
      </c>
      <c r="AH58" s="194">
        <v>45748</v>
      </c>
      <c r="AI58" s="195">
        <v>46010</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75"/>
      <c r="B59" s="379"/>
      <c r="C59" s="379"/>
      <c r="D59" s="379"/>
      <c r="E59" s="382"/>
      <c r="F59" s="379"/>
      <c r="G59" s="401"/>
      <c r="H59" s="394"/>
      <c r="I59" s="388"/>
      <c r="J59" s="391"/>
      <c r="K59" s="388">
        <f>IF(NOT(ISERROR(MATCH(J59,_xlfn.ANCHORARRAY(E70),0))),I72&amp;"Por favor no seleccionar los criterios de impacto",J59)</f>
        <v>0</v>
      </c>
      <c r="L59" s="394"/>
      <c r="M59" s="388"/>
      <c r="N59" s="385"/>
      <c r="O59" s="106">
        <v>2</v>
      </c>
      <c r="P59" s="166"/>
      <c r="Q59" s="107" t="str">
        <f>IF(OR(R59="Preventivo",R59="Detectivo"),"Probabilidad",IF(R59="Correctivo","Impacto",""))</f>
        <v/>
      </c>
      <c r="R59" s="108"/>
      <c r="S59" s="108"/>
      <c r="T59" s="109" t="str">
        <f t="shared" ref="T59:T63" si="62">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1"/>
        <v/>
      </c>
      <c r="Z59" s="112" t="str">
        <f t="shared" ref="Z59:Z63" si="63">+X59</f>
        <v/>
      </c>
      <c r="AA59" s="111" t="str">
        <f t="shared" si="3"/>
        <v/>
      </c>
      <c r="AB59" s="112" t="str">
        <f>IFERROR(IF(AND(Q58="Impacto",Q59="Impacto"),(AB58-(+AB58*T59)),IF(Q59="Impacto",(M58-(+M58*T59)),IF(Q59="Probabilidad",AB58,""))),"")</f>
        <v/>
      </c>
      <c r="AC59" s="11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75"/>
      <c r="B60" s="379"/>
      <c r="C60" s="379"/>
      <c r="D60" s="379"/>
      <c r="E60" s="382"/>
      <c r="F60" s="379"/>
      <c r="G60" s="401"/>
      <c r="H60" s="394"/>
      <c r="I60" s="388"/>
      <c r="J60" s="391"/>
      <c r="K60" s="388">
        <f>IF(NOT(ISERROR(MATCH(J60,_xlfn.ANCHORARRAY(E71),0))),I73&amp;"Por favor no seleccionar los criterios de impacto",J60)</f>
        <v>0</v>
      </c>
      <c r="L60" s="394"/>
      <c r="M60" s="388"/>
      <c r="N60" s="385"/>
      <c r="O60" s="106">
        <v>3</v>
      </c>
      <c r="P60" s="167"/>
      <c r="Q60" s="107" t="str">
        <f>IF(OR(R60="Preventivo",R60="Detectivo"),"Probabilidad",IF(R60="Correctivo","Impacto",""))</f>
        <v/>
      </c>
      <c r="R60" s="108"/>
      <c r="S60" s="108"/>
      <c r="T60" s="109" t="str">
        <f t="shared" si="62"/>
        <v/>
      </c>
      <c r="U60" s="108"/>
      <c r="V60" s="108"/>
      <c r="W60" s="108"/>
      <c r="X60" s="110" t="str">
        <f>IFERROR(IF(AND(Q59="Probabilidad",Q60="Probabilidad"),(Z59-(+Z59*T60)),IF(AND(Q59="Impacto",Q60="Probabilidad"),(Z58-(+Z58*T60)),IF(Q60="Impacto",Z59,""))),"")</f>
        <v/>
      </c>
      <c r="Y60" s="111" t="str">
        <f t="shared" si="1"/>
        <v/>
      </c>
      <c r="Z60" s="112" t="str">
        <f t="shared" si="63"/>
        <v/>
      </c>
      <c r="AA60" s="111" t="str">
        <f t="shared" si="3"/>
        <v/>
      </c>
      <c r="AB60" s="112" t="str">
        <f>IFERROR(IF(AND(Q59="Impacto",Q60="Impacto"),(AB59-(+AB59*T60)),IF(AND(Q59="Probabilidad",Q60="Impacto"),(AB58-(+AB58*T60)),IF(Q60="Probabilidad",AB59,""))),"")</f>
        <v/>
      </c>
      <c r="AC60" s="113" t="str">
        <f t="shared" si="64"/>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75"/>
      <c r="B61" s="379"/>
      <c r="C61" s="379"/>
      <c r="D61" s="379"/>
      <c r="E61" s="382"/>
      <c r="F61" s="379"/>
      <c r="G61" s="401"/>
      <c r="H61" s="394"/>
      <c r="I61" s="388"/>
      <c r="J61" s="391"/>
      <c r="K61" s="388">
        <f>IF(NOT(ISERROR(MATCH(J61,_xlfn.ANCHORARRAY(E72),0))),I74&amp;"Por favor no seleccionar los criterios de impacto",J61)</f>
        <v>0</v>
      </c>
      <c r="L61" s="394"/>
      <c r="M61" s="388"/>
      <c r="N61" s="385"/>
      <c r="O61" s="106">
        <v>4</v>
      </c>
      <c r="P61" s="166"/>
      <c r="Q61" s="107" t="str">
        <f t="shared" ref="Q61:Q64" si="65">IF(OR(R61="Preventivo",R61="Detectivo"),"Probabilidad",IF(R61="Correctivo","Impacto",""))</f>
        <v/>
      </c>
      <c r="R61" s="108"/>
      <c r="S61" s="108"/>
      <c r="T61" s="109" t="str">
        <f t="shared" si="62"/>
        <v/>
      </c>
      <c r="U61" s="108"/>
      <c r="V61" s="108"/>
      <c r="W61" s="108"/>
      <c r="X61" s="110" t="str">
        <f t="shared" ref="X61:X63" si="66">IFERROR(IF(AND(Q60="Probabilidad",Q61="Probabilidad"),(Z60-(+Z60*T61)),IF(AND(Q60="Impacto",Q61="Probabilidad"),(Z59-(+Z59*T61)),IF(Q61="Impacto",Z60,""))),"")</f>
        <v/>
      </c>
      <c r="Y61" s="111" t="str">
        <f t="shared" si="1"/>
        <v/>
      </c>
      <c r="Z61" s="112" t="str">
        <f t="shared" si="63"/>
        <v/>
      </c>
      <c r="AA61" s="111" t="str">
        <f t="shared" si="3"/>
        <v/>
      </c>
      <c r="AB61" s="112" t="str">
        <f t="shared" ref="AB61:AB63" si="67">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375"/>
      <c r="B62" s="379"/>
      <c r="C62" s="379"/>
      <c r="D62" s="379"/>
      <c r="E62" s="382"/>
      <c r="F62" s="379"/>
      <c r="G62" s="401"/>
      <c r="H62" s="394"/>
      <c r="I62" s="388"/>
      <c r="J62" s="391"/>
      <c r="K62" s="388">
        <f>IF(NOT(ISERROR(MATCH(J62,_xlfn.ANCHORARRAY(E73),0))),I75&amp;"Por favor no seleccionar los criterios de impacto",J62)</f>
        <v>0</v>
      </c>
      <c r="L62" s="394"/>
      <c r="M62" s="388"/>
      <c r="N62" s="385"/>
      <c r="O62" s="106">
        <v>5</v>
      </c>
      <c r="P62" s="166"/>
      <c r="Q62" s="107" t="str">
        <f t="shared" si="65"/>
        <v/>
      </c>
      <c r="R62" s="108"/>
      <c r="S62" s="108"/>
      <c r="T62" s="109" t="str">
        <f t="shared" si="62"/>
        <v/>
      </c>
      <c r="U62" s="108"/>
      <c r="V62" s="108"/>
      <c r="W62" s="108"/>
      <c r="X62" s="110" t="str">
        <f t="shared" si="66"/>
        <v/>
      </c>
      <c r="Y62" s="111" t="str">
        <f t="shared" si="1"/>
        <v/>
      </c>
      <c r="Z62" s="112" t="str">
        <f t="shared" si="63"/>
        <v/>
      </c>
      <c r="AA62" s="111" t="str">
        <f t="shared" si="3"/>
        <v/>
      </c>
      <c r="AB62" s="112" t="str">
        <f t="shared" si="67"/>
        <v/>
      </c>
      <c r="AC62" s="11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376"/>
      <c r="B63" s="380"/>
      <c r="C63" s="380"/>
      <c r="D63" s="380"/>
      <c r="E63" s="383"/>
      <c r="F63" s="380"/>
      <c r="G63" s="402"/>
      <c r="H63" s="395"/>
      <c r="I63" s="389"/>
      <c r="J63" s="392"/>
      <c r="K63" s="389">
        <f>IF(NOT(ISERROR(MATCH(J63,_xlfn.ANCHORARRAY(E74),0))),I76&amp;"Por favor no seleccionar los criterios de impacto",J63)</f>
        <v>0</v>
      </c>
      <c r="L63" s="395"/>
      <c r="M63" s="389"/>
      <c r="N63" s="386"/>
      <c r="O63" s="106">
        <v>6</v>
      </c>
      <c r="P63" s="166"/>
      <c r="Q63" s="107" t="str">
        <f t="shared" si="65"/>
        <v/>
      </c>
      <c r="R63" s="108"/>
      <c r="S63" s="108"/>
      <c r="T63" s="109" t="str">
        <f t="shared" si="62"/>
        <v/>
      </c>
      <c r="U63" s="108"/>
      <c r="V63" s="108"/>
      <c r="W63" s="108"/>
      <c r="X63" s="110" t="str">
        <f t="shared" si="66"/>
        <v/>
      </c>
      <c r="Y63" s="111" t="str">
        <f t="shared" si="1"/>
        <v/>
      </c>
      <c r="Z63" s="112" t="str">
        <f t="shared" si="63"/>
        <v/>
      </c>
      <c r="AA63" s="111" t="str">
        <f t="shared" si="3"/>
        <v/>
      </c>
      <c r="AB63" s="112" t="str">
        <f t="shared" si="67"/>
        <v/>
      </c>
      <c r="AC63" s="113" t="str">
        <f t="shared" si="68"/>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08.75" customHeight="1" x14ac:dyDescent="0.3">
      <c r="A64" s="374">
        <v>9</v>
      </c>
      <c r="B64" s="378" t="s">
        <v>203</v>
      </c>
      <c r="C64" s="378" t="s">
        <v>222</v>
      </c>
      <c r="D64" s="378" t="s">
        <v>223</v>
      </c>
      <c r="E64" s="381" t="s">
        <v>224</v>
      </c>
      <c r="F64" s="378" t="s">
        <v>157</v>
      </c>
      <c r="G64" s="400">
        <v>369</v>
      </c>
      <c r="H64" s="393" t="str">
        <f>IF(G64&lt;=0,"",IF(G64&lt;=2,"Muy Baja",IF(G64&lt;=24,"Baja",IF(G64&lt;=500,"Media",IF(G64&lt;=5000,"Alta","Muy Alta")))))</f>
        <v>Media</v>
      </c>
      <c r="I64" s="387">
        <f>IF(H64="","",IF(H64="Muy Baja",0.2,IF(H64="Baja",0.4,IF(H64="Media",0.6,IF(H64="Alta",0.8,IF(H64="Muy Alta",1,))))))</f>
        <v>0.6</v>
      </c>
      <c r="J64" s="390" t="s">
        <v>188</v>
      </c>
      <c r="K64" s="387"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393" t="str">
        <f>IF(OR(K64='Tabla Impacto'!$C$11,K64='Tabla Impacto'!$D$11),"Leve",IF(OR(K64='Tabla Impacto'!$C$12,K64='Tabla Impacto'!$D$12),"Menor",IF(OR(K64='Tabla Impacto'!$C$13,K64='Tabla Impacto'!$D$13),"Moderado",IF(OR(K64='Tabla Impacto'!$C$14,K64='Tabla Impacto'!$D$14),"Mayor",IF(OR(K64='Tabla Impacto'!$C$15,K64='Tabla Impacto'!$D$15),"Catastrófico","")))))</f>
        <v>Moderado</v>
      </c>
      <c r="M64" s="387">
        <f>IF(L64="","",IF(L64="Leve",0.2,IF(L64="Menor",0.4,IF(L64="Moderado",0.6,IF(L64="Mayor",0.8,IF(L64="Catastrófico",1,))))))</f>
        <v>0.6</v>
      </c>
      <c r="N64" s="38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6">
        <v>1</v>
      </c>
      <c r="P64" s="166" t="s">
        <v>225</v>
      </c>
      <c r="Q64" s="152" t="str">
        <f t="shared" si="65"/>
        <v>Probabilidad</v>
      </c>
      <c r="R64" s="157" t="s">
        <v>160</v>
      </c>
      <c r="S64" s="157" t="s">
        <v>161</v>
      </c>
      <c r="T64" s="158" t="str">
        <f>IF(AND(R64="Preventivo",S64="Automático"),"50%",IF(AND(R64="Preventivo",S64="Manual"),"40%",IF(AND(R64="Detectivo",S64="Automático"),"40%",IF(AND(R64="Detectivo",S64="Manual"),"30%",IF(AND(R64="Correctivo",S64="Automático"),"35%",IF(AND(R64="Correctivo",S64="Manual"),"25%",""))))))</f>
        <v>40%</v>
      </c>
      <c r="U64" s="157" t="s">
        <v>162</v>
      </c>
      <c r="V64" s="157" t="s">
        <v>163</v>
      </c>
      <c r="W64" s="157" t="s">
        <v>164</v>
      </c>
      <c r="X64" s="149">
        <f>IFERROR(IF(Q64="Probabilidad",(I64-(+I64*T64)),IF(Q64="Impacto",I64,"")),"")</f>
        <v>0.36</v>
      </c>
      <c r="Y64" s="159" t="str">
        <f>IFERROR(IF(X64="","",IF(X64&lt;=0.2,"Muy Baja",IF(X64&lt;=0.4,"Baja",IF(X64&lt;=0.6,"Media",IF(X64&lt;=0.8,"Alta","Muy Alta"))))),"")</f>
        <v>Baja</v>
      </c>
      <c r="Z64" s="160">
        <f>+X64</f>
        <v>0.36</v>
      </c>
      <c r="AA64" s="159" t="str">
        <f>IFERROR(IF(AB64="","",IF(AB64&lt;=0.2,"Leve",IF(AB64&lt;=0.4,"Menor",IF(AB64&lt;=0.6,"Moderado",IF(AB64&lt;=0.8,"Mayor","Catastrófico"))))),"")</f>
        <v>Moderado</v>
      </c>
      <c r="AB64" s="160">
        <f>IFERROR(IF(Q64="Impacto",(M64-(+M64*T64)),IF(Q64="Probabilidad",M64,"")),"")</f>
        <v>0.6</v>
      </c>
      <c r="AC64" s="16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62" t="s">
        <v>165</v>
      </c>
      <c r="AE64" s="186" t="s">
        <v>226</v>
      </c>
      <c r="AF64" s="163" t="s">
        <v>227</v>
      </c>
      <c r="AG64" s="163" t="s">
        <v>228</v>
      </c>
      <c r="AH64" s="156">
        <v>45689</v>
      </c>
      <c r="AI64" s="156">
        <v>46010</v>
      </c>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375"/>
      <c r="B65" s="379"/>
      <c r="C65" s="379"/>
      <c r="D65" s="379"/>
      <c r="E65" s="382"/>
      <c r="F65" s="379"/>
      <c r="G65" s="401"/>
      <c r="H65" s="394"/>
      <c r="I65" s="388"/>
      <c r="J65" s="391"/>
      <c r="K65" s="388">
        <f>IF(NOT(ISERROR(MATCH(J65,_xlfn.ANCHORARRAY(E76),0))),I78&amp;"Por favor no seleccionar los criterios de impacto",J65)</f>
        <v>0</v>
      </c>
      <c r="L65" s="394"/>
      <c r="M65" s="388"/>
      <c r="N65" s="385"/>
      <c r="O65" s="106">
        <v>2</v>
      </c>
      <c r="P65" s="166"/>
      <c r="Q65" s="107" t="str">
        <f>IF(OR(R65="Preventivo",R65="Detectivo"),"Probabilidad",IF(R65="Correctivo","Impacto",""))</f>
        <v/>
      </c>
      <c r="R65" s="108"/>
      <c r="S65" s="108"/>
      <c r="T65" s="109" t="str">
        <f t="shared" ref="T65:T69" si="69">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1"/>
        <v/>
      </c>
      <c r="Z65" s="112" t="str">
        <f t="shared" ref="Z65:Z69" si="70">+X65</f>
        <v/>
      </c>
      <c r="AA65" s="111" t="str">
        <f t="shared" si="3"/>
        <v/>
      </c>
      <c r="AB65" s="112" t="str">
        <f>IFERROR(IF(AND(Q64="Impacto",Q65="Impacto"),(AB64-(+AB64*T65)),IF(Q65="Impacto",(M64-(+M64*T65)),IF(Q65="Probabilidad",AB64,""))),"")</f>
        <v/>
      </c>
      <c r="AC65" s="11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375"/>
      <c r="B66" s="379"/>
      <c r="C66" s="379"/>
      <c r="D66" s="379"/>
      <c r="E66" s="382"/>
      <c r="F66" s="379"/>
      <c r="G66" s="401"/>
      <c r="H66" s="394"/>
      <c r="I66" s="388"/>
      <c r="J66" s="391"/>
      <c r="K66" s="388">
        <f>IF(NOT(ISERROR(MATCH(J66,_xlfn.ANCHORARRAY(E77),0))),I79&amp;"Por favor no seleccionar los criterios de impacto",J66)</f>
        <v>0</v>
      </c>
      <c r="L66" s="394"/>
      <c r="M66" s="388"/>
      <c r="N66" s="385"/>
      <c r="O66" s="106">
        <v>3</v>
      </c>
      <c r="P66" s="167"/>
      <c r="Q66" s="107" t="str">
        <f>IF(OR(R66="Preventivo",R66="Detectivo"),"Probabilidad",IF(R66="Correctivo","Impacto",""))</f>
        <v/>
      </c>
      <c r="R66" s="108"/>
      <c r="S66" s="108"/>
      <c r="T66" s="109" t="str">
        <f t="shared" si="69"/>
        <v/>
      </c>
      <c r="U66" s="108"/>
      <c r="V66" s="108"/>
      <c r="W66" s="108"/>
      <c r="X66" s="110" t="str">
        <f>IFERROR(IF(AND(Q65="Probabilidad",Q66="Probabilidad"),(Z65-(+Z65*T66)),IF(AND(Q65="Impacto",Q66="Probabilidad"),(Z64-(+Z64*T66)),IF(Q66="Impacto",Z65,""))),"")</f>
        <v/>
      </c>
      <c r="Y66" s="111" t="str">
        <f t="shared" si="1"/>
        <v/>
      </c>
      <c r="Z66" s="112" t="str">
        <f t="shared" si="70"/>
        <v/>
      </c>
      <c r="AA66" s="111" t="str">
        <f t="shared" si="3"/>
        <v/>
      </c>
      <c r="AB66" s="112" t="str">
        <f>IFERROR(IF(AND(Q65="Impacto",Q66="Impacto"),(AB65-(+AB65*T66)),IF(AND(Q65="Probabilidad",Q66="Impacto"),(AB64-(+AB64*T66)),IF(Q66="Probabilidad",AB65,""))),"")</f>
        <v/>
      </c>
      <c r="AC66" s="113" t="str">
        <f t="shared" si="71"/>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375"/>
      <c r="B67" s="379"/>
      <c r="C67" s="379"/>
      <c r="D67" s="379"/>
      <c r="E67" s="382"/>
      <c r="F67" s="379"/>
      <c r="G67" s="401"/>
      <c r="H67" s="394"/>
      <c r="I67" s="388"/>
      <c r="J67" s="391"/>
      <c r="K67" s="388">
        <f>IF(NOT(ISERROR(MATCH(J67,_xlfn.ANCHORARRAY(E78),0))),I80&amp;"Por favor no seleccionar los criterios de impacto",J67)</f>
        <v>0</v>
      </c>
      <c r="L67" s="394"/>
      <c r="M67" s="388"/>
      <c r="N67" s="385"/>
      <c r="O67" s="106">
        <v>4</v>
      </c>
      <c r="P67" s="166"/>
      <c r="Q67" s="107" t="str">
        <f t="shared" ref="Q67:Q70" si="72">IF(OR(R67="Preventivo",R67="Detectivo"),"Probabilidad",IF(R67="Correctivo","Impacto",""))</f>
        <v/>
      </c>
      <c r="R67" s="108"/>
      <c r="S67" s="108"/>
      <c r="T67" s="109" t="str">
        <f t="shared" si="69"/>
        <v/>
      </c>
      <c r="U67" s="108"/>
      <c r="V67" s="108"/>
      <c r="W67" s="108"/>
      <c r="X67" s="110" t="str">
        <f t="shared" ref="X67:X68" si="73">IFERROR(IF(AND(Q66="Probabilidad",Q67="Probabilidad"),(Z66-(+Z66*T67)),IF(AND(Q66="Impacto",Q67="Probabilidad"),(Z65-(+Z65*T67)),IF(Q67="Impacto",Z66,""))),"")</f>
        <v/>
      </c>
      <c r="Y67" s="111" t="str">
        <f t="shared" si="1"/>
        <v/>
      </c>
      <c r="Z67" s="112" t="str">
        <f t="shared" si="70"/>
        <v/>
      </c>
      <c r="AA67" s="111" t="str">
        <f t="shared" si="3"/>
        <v/>
      </c>
      <c r="AB67" s="112" t="str">
        <f t="shared" ref="AB67:AB68" si="74">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375"/>
      <c r="B68" s="379"/>
      <c r="C68" s="379"/>
      <c r="D68" s="379"/>
      <c r="E68" s="382"/>
      <c r="F68" s="379"/>
      <c r="G68" s="401"/>
      <c r="H68" s="394"/>
      <c r="I68" s="388"/>
      <c r="J68" s="391"/>
      <c r="K68" s="388">
        <f>IF(NOT(ISERROR(MATCH(J68,_xlfn.ANCHORARRAY(E79),0))),I81&amp;"Por favor no seleccionar los criterios de impacto",J68)</f>
        <v>0</v>
      </c>
      <c r="L68" s="394"/>
      <c r="M68" s="388"/>
      <c r="N68" s="385"/>
      <c r="O68" s="106">
        <v>5</v>
      </c>
      <c r="P68" s="166"/>
      <c r="Q68" s="107" t="str">
        <f t="shared" si="72"/>
        <v/>
      </c>
      <c r="R68" s="108"/>
      <c r="S68" s="108"/>
      <c r="T68" s="109" t="str">
        <f t="shared" si="69"/>
        <v/>
      </c>
      <c r="U68" s="108"/>
      <c r="V68" s="108"/>
      <c r="W68" s="108"/>
      <c r="X68" s="110" t="str">
        <f t="shared" si="73"/>
        <v/>
      </c>
      <c r="Y68" s="111" t="str">
        <f t="shared" si="1"/>
        <v/>
      </c>
      <c r="Z68" s="112" t="str">
        <f t="shared" si="70"/>
        <v/>
      </c>
      <c r="AA68" s="111" t="str">
        <f t="shared" si="3"/>
        <v/>
      </c>
      <c r="AB68" s="112" t="str">
        <f t="shared" si="74"/>
        <v/>
      </c>
      <c r="AC68" s="11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customHeight="1" x14ac:dyDescent="0.3">
      <c r="A69" s="376"/>
      <c r="B69" s="380"/>
      <c r="C69" s="380"/>
      <c r="D69" s="380"/>
      <c r="E69" s="383"/>
      <c r="F69" s="380"/>
      <c r="G69" s="402"/>
      <c r="H69" s="395"/>
      <c r="I69" s="389"/>
      <c r="J69" s="392"/>
      <c r="K69" s="389">
        <f>IF(NOT(ISERROR(MATCH(J69,_xlfn.ANCHORARRAY(E80),0))),I82&amp;"Por favor no seleccionar los criterios de impacto",J69)</f>
        <v>0</v>
      </c>
      <c r="L69" s="395"/>
      <c r="M69" s="389"/>
      <c r="N69" s="386"/>
      <c r="O69" s="106">
        <v>6</v>
      </c>
      <c r="P69" s="166"/>
      <c r="Q69" s="107" t="str">
        <f t="shared" si="72"/>
        <v/>
      </c>
      <c r="R69" s="108"/>
      <c r="S69" s="108"/>
      <c r="T69" s="109" t="str">
        <f t="shared" si="69"/>
        <v/>
      </c>
      <c r="U69" s="108"/>
      <c r="V69" s="108"/>
      <c r="W69" s="108"/>
      <c r="X69" s="110" t="str">
        <f>IFERROR(IF(AND(Q68="Probabilidad",Q69="Probabilidad"),(Z68-(+Z68*T69)),IF(AND(Q68="Impacto",Q69="Probabilidad"),(Z67-(+Z67*T69)),IF(Q69="Impacto",Z68,""))),"")</f>
        <v/>
      </c>
      <c r="Y69" s="111" t="str">
        <f t="shared" si="1"/>
        <v/>
      </c>
      <c r="Z69" s="112" t="str">
        <f t="shared" si="70"/>
        <v/>
      </c>
      <c r="AA69" s="111" t="str">
        <f t="shared" si="3"/>
        <v/>
      </c>
      <c r="AB69" s="112" t="str">
        <f>IFERROR(IF(AND(Q68="Impacto",Q69="Impacto"),(AB68-(+AB68*T69)),IF(AND(Q68="Probabilidad",Q69="Impacto"),(AB67-(+AB67*T69)),IF(Q69="Probabilidad",AB68,""))),"")</f>
        <v/>
      </c>
      <c r="AC69" s="113" t="str">
        <f t="shared" si="75"/>
        <v/>
      </c>
      <c r="AD69" s="114"/>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06.5" customHeight="1" x14ac:dyDescent="0.3">
      <c r="A70" s="432">
        <v>10</v>
      </c>
      <c r="B70" s="378" t="s">
        <v>203</v>
      </c>
      <c r="C70" s="378" t="s">
        <v>350</v>
      </c>
      <c r="D70" s="378" t="s">
        <v>353</v>
      </c>
      <c r="E70" s="381" t="s">
        <v>352</v>
      </c>
      <c r="F70" s="378" t="s">
        <v>157</v>
      </c>
      <c r="G70" s="435">
        <v>756194</v>
      </c>
      <c r="H70" s="393" t="str">
        <f>IF(G70&lt;=0,"",IF(G70&lt;=2,"Muy Baja",IF(G70&lt;=24,"Baja",IF(G70&lt;=500,"Media",IF(G70&lt;=5000,"Alta","Muy Alta")))))</f>
        <v>Muy Alta</v>
      </c>
      <c r="I70" s="387">
        <f>IF(H70="","",IF(H70="Muy Baja",0.2,IF(H70="Baja",0.4,IF(H70="Media",0.6,IF(H70="Alta",0.8,IF(H70="Muy Alta",1,))))))</f>
        <v>1</v>
      </c>
      <c r="J70" s="390" t="s">
        <v>289</v>
      </c>
      <c r="K70" s="442" t="str">
        <f>IF(NOT(ISERROR(MATCH(J70,'Tabla Impacto'!$B$221:$B$223,0))),'Tabla Impacto'!$F$223&amp;"Por favor no seleccionar los criterios de impacto(Afectación Económica o presupuestal y Pérdida Reputacional)",J70)</f>
        <v xml:space="preserve">     El riesgo afecta la imagen de de la entidad con efecto publicitario sostenido a nivel de sector administrativo, nivel departamental o municipal</v>
      </c>
      <c r="L70" s="393" t="str">
        <f>IF(OR(K70='Tabla Impacto'!$C$11,K70='Tabla Impacto'!$D$11),"Leve",IF(OR(K70='Tabla Impacto'!$C$12,K70='Tabla Impacto'!$D$12),"Menor",IF(OR(K70='Tabla Impacto'!$C$13,K70='Tabla Impacto'!$D$13),"Moderado",IF(OR(K70='Tabla Impacto'!$C$14,K70='Tabla Impacto'!$D$14),"Mayor",IF(OR(K70='Tabla Impacto'!$C$15,K70='Tabla Impacto'!$D$15),"Catastrófico","")))))</f>
        <v>Mayor</v>
      </c>
      <c r="M70" s="387">
        <f>IF(L70="","",IF(L70="Leve",0.2,IF(L70="Menor",0.4,IF(L70="Moderado",0.6,IF(L70="Mayor",0.8,IF(L70="Catastrófico",1,))))))</f>
        <v>0.8</v>
      </c>
      <c r="N70" s="384"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Alto</v>
      </c>
      <c r="O70" s="106">
        <v>1</v>
      </c>
      <c r="P70" s="186" t="s">
        <v>354</v>
      </c>
      <c r="Q70" s="152" t="str">
        <f t="shared" si="72"/>
        <v>Probabilidad</v>
      </c>
      <c r="R70" s="157" t="s">
        <v>160</v>
      </c>
      <c r="S70" s="157" t="s">
        <v>161</v>
      </c>
      <c r="T70" s="158" t="str">
        <f>IF(AND(R70="Preventivo",S70="Automático"),"50%",IF(AND(R70="Preventivo",S70="Manual"),"40%",IF(AND(R70="Detectivo",S70="Automático"),"40%",IF(AND(R70="Detectivo",S70="Manual"),"30%",IF(AND(R70="Correctivo",S70="Automático"),"35%",IF(AND(R70="Correctivo",S70="Manual"),"25%",""))))))</f>
        <v>40%</v>
      </c>
      <c r="U70" s="157" t="s">
        <v>162</v>
      </c>
      <c r="V70" s="157" t="s">
        <v>163</v>
      </c>
      <c r="W70" s="157" t="s">
        <v>164</v>
      </c>
      <c r="X70" s="149">
        <f>IFERROR(IF(Q70="Probabilidad",(I70-(+I70*T70)),IF(Q70="Impacto",I70,"")),"")</f>
        <v>0.6</v>
      </c>
      <c r="Y70" s="159" t="str">
        <f>IFERROR(IF(X70="","",IF(X70&lt;=0.2,"Muy Baja",IF(X70&lt;=0.4,"Baja",IF(X70&lt;=0.6,"Media",IF(X70&lt;=0.8,"Alta","Muy Alta"))))),"")</f>
        <v>Media</v>
      </c>
      <c r="Z70" s="160">
        <f>+X70</f>
        <v>0.6</v>
      </c>
      <c r="AA70" s="159" t="str">
        <f>IFERROR(IF(AB70="","",IF(AB70&lt;=0.2,"Leve",IF(AB70&lt;=0.4,"Menor",IF(AB70&lt;=0.6,"Moderado",IF(AB70&lt;=0.8,"Mayor","Catastrófico"))))),"")</f>
        <v>Mayor</v>
      </c>
      <c r="AB70" s="160">
        <f>IFERROR(IF(Q70="Impacto",(M70-(+M70*T70)),IF(Q70="Probabilidad",M70,"")),"")</f>
        <v>0.8</v>
      </c>
      <c r="AC70" s="16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Alto</v>
      </c>
      <c r="AD70" s="162" t="s">
        <v>165</v>
      </c>
      <c r="AE70" s="186" t="s">
        <v>355</v>
      </c>
      <c r="AF70" s="184" t="s">
        <v>227</v>
      </c>
      <c r="AG70" s="163" t="s">
        <v>351</v>
      </c>
      <c r="AH70" s="156">
        <v>45924</v>
      </c>
      <c r="AI70" s="156">
        <v>46010</v>
      </c>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75" customHeight="1" x14ac:dyDescent="0.3">
      <c r="A71" s="433"/>
      <c r="B71" s="379"/>
      <c r="C71" s="379"/>
      <c r="D71" s="379"/>
      <c r="E71" s="382"/>
      <c r="F71" s="379"/>
      <c r="G71" s="401"/>
      <c r="H71" s="394"/>
      <c r="I71" s="388"/>
      <c r="J71" s="391"/>
      <c r="K71" s="443">
        <f>IF(NOT(ISERROR(MATCH(J71,_xlfn.ANCHORARRAY(E82),0))),I84&amp;"Por favor no seleccionar los criterios de impacto",J71)</f>
        <v>0</v>
      </c>
      <c r="L71" s="394"/>
      <c r="M71" s="388"/>
      <c r="N71" s="385"/>
      <c r="O71" s="106">
        <v>2</v>
      </c>
      <c r="P71" s="166"/>
      <c r="Q71" s="107" t="str">
        <f>IF(OR(R71="Preventivo",R71="Detectivo"),"Probabilidad",IF(R71="Correctivo","Impacto",""))</f>
        <v/>
      </c>
      <c r="R71" s="108"/>
      <c r="S71" s="108"/>
      <c r="T71" s="109" t="str">
        <f t="shared" ref="T71:T75" si="76">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1"/>
        <v/>
      </c>
      <c r="Z71" s="112" t="str">
        <f t="shared" ref="Z71:Z75" si="77">+X71</f>
        <v/>
      </c>
      <c r="AA71" s="111" t="str">
        <f t="shared" si="3"/>
        <v/>
      </c>
      <c r="AB71" s="112" t="str">
        <f>IFERROR(IF(AND(Q70="Impacto",Q71="Impacto"),(AB70-(+AB70*T71)),IF(Q71="Impacto",(M70-(+M70*T71)),IF(Q71="Probabilidad",AB70,""))),"")</f>
        <v/>
      </c>
      <c r="AC71" s="113" t="str">
        <f t="shared" ref="AC71:AC72" si="78">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96"/>
      <c r="AF71" s="197"/>
      <c r="AG71" s="116"/>
      <c r="AH71" s="117"/>
      <c r="AI71" s="117"/>
    </row>
    <row r="72" spans="1:67" ht="18" customHeight="1" x14ac:dyDescent="0.3">
      <c r="A72" s="433"/>
      <c r="B72" s="379"/>
      <c r="C72" s="379"/>
      <c r="D72" s="379"/>
      <c r="E72" s="382"/>
      <c r="F72" s="379"/>
      <c r="G72" s="401"/>
      <c r="H72" s="394"/>
      <c r="I72" s="388"/>
      <c r="J72" s="391"/>
      <c r="K72" s="443">
        <f>IF(NOT(ISERROR(MATCH(J72,_xlfn.ANCHORARRAY(E83),0))),I85&amp;"Por favor no seleccionar los criterios de impacto",J72)</f>
        <v>0</v>
      </c>
      <c r="L72" s="394"/>
      <c r="M72" s="388"/>
      <c r="N72" s="385"/>
      <c r="O72" s="106">
        <v>3</v>
      </c>
      <c r="P72" s="167"/>
      <c r="Q72" s="107" t="str">
        <f>IF(OR(R72="Preventivo",R72="Detectivo"),"Probabilidad",IF(R72="Correctivo","Impacto",""))</f>
        <v/>
      </c>
      <c r="R72" s="108"/>
      <c r="S72" s="108"/>
      <c r="T72" s="109" t="str">
        <f t="shared" si="76"/>
        <v/>
      </c>
      <c r="U72" s="108"/>
      <c r="V72" s="108"/>
      <c r="W72" s="108"/>
      <c r="X72" s="110" t="str">
        <f>IFERROR(IF(AND(Q71="Probabilidad",Q72="Probabilidad"),(Z71-(+Z71*T72)),IF(AND(Q71="Impacto",Q72="Probabilidad"),(Z70-(+Z70*T72)),IF(Q72="Impacto",Z71,""))),"")</f>
        <v/>
      </c>
      <c r="Y72" s="111" t="str">
        <f t="shared" si="1"/>
        <v/>
      </c>
      <c r="Z72" s="112" t="str">
        <f t="shared" si="77"/>
        <v/>
      </c>
      <c r="AA72" s="111" t="str">
        <f t="shared" si="3"/>
        <v/>
      </c>
      <c r="AB72" s="112" t="str">
        <f>IFERROR(IF(AND(Q71="Impacto",Q72="Impacto"),(AB71-(+AB71*T72)),IF(AND(Q71="Probabilidad",Q72="Impacto"),(AB70-(+AB70*T72)),IF(Q72="Probabilidad",AB71,""))),"")</f>
        <v/>
      </c>
      <c r="AC72" s="113" t="str">
        <f t="shared" si="78"/>
        <v/>
      </c>
      <c r="AD72" s="114"/>
      <c r="AE72" s="115"/>
      <c r="AF72" s="116"/>
      <c r="AG72" s="116"/>
      <c r="AH72" s="117"/>
      <c r="AI72" s="117"/>
    </row>
    <row r="73" spans="1:67" ht="18" customHeight="1" x14ac:dyDescent="0.3">
      <c r="A73" s="433"/>
      <c r="B73" s="379"/>
      <c r="C73" s="379"/>
      <c r="D73" s="379"/>
      <c r="E73" s="382"/>
      <c r="F73" s="379"/>
      <c r="G73" s="401"/>
      <c r="H73" s="394"/>
      <c r="I73" s="388"/>
      <c r="J73" s="391"/>
      <c r="K73" s="443">
        <f>IF(NOT(ISERROR(MATCH(J73,_xlfn.ANCHORARRAY(E84),0))),I86&amp;"Por favor no seleccionar los criterios de impacto",J73)</f>
        <v>0</v>
      </c>
      <c r="L73" s="394"/>
      <c r="M73" s="388"/>
      <c r="N73" s="385"/>
      <c r="O73" s="106">
        <v>4</v>
      </c>
      <c r="P73" s="166"/>
      <c r="Q73" s="107" t="str">
        <f t="shared" ref="Q73:Q75" si="79">IF(OR(R73="Preventivo",R73="Detectivo"),"Probabilidad",IF(R73="Correctivo","Impacto",""))</f>
        <v/>
      </c>
      <c r="R73" s="108"/>
      <c r="S73" s="108"/>
      <c r="T73" s="109" t="str">
        <f t="shared" si="76"/>
        <v/>
      </c>
      <c r="U73" s="108"/>
      <c r="V73" s="108"/>
      <c r="W73" s="108"/>
      <c r="X73" s="110" t="str">
        <f t="shared" ref="X73:X74" si="80">IFERROR(IF(AND(Q72="Probabilidad",Q73="Probabilidad"),(Z72-(+Z72*T73)),IF(AND(Q72="Impacto",Q73="Probabilidad"),(Z71-(+Z71*T73)),IF(Q73="Impacto",Z72,""))),"")</f>
        <v/>
      </c>
      <c r="Y73" s="111" t="str">
        <f t="shared" si="1"/>
        <v/>
      </c>
      <c r="Z73" s="112" t="str">
        <f t="shared" si="77"/>
        <v/>
      </c>
      <c r="AA73" s="111" t="str">
        <f t="shared" si="3"/>
        <v/>
      </c>
      <c r="AB73" s="112" t="str">
        <f t="shared" ref="AB73:AB74" si="81">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customHeight="1" x14ac:dyDescent="0.3">
      <c r="A74" s="433"/>
      <c r="B74" s="379"/>
      <c r="C74" s="379"/>
      <c r="D74" s="379"/>
      <c r="E74" s="382"/>
      <c r="F74" s="379"/>
      <c r="G74" s="401"/>
      <c r="H74" s="394"/>
      <c r="I74" s="388"/>
      <c r="J74" s="391"/>
      <c r="K74" s="443">
        <f>IF(NOT(ISERROR(MATCH(J74,_xlfn.ANCHORARRAY(E85),0))),I87&amp;"Por favor no seleccionar los criterios de impacto",J74)</f>
        <v>0</v>
      </c>
      <c r="L74" s="394"/>
      <c r="M74" s="388"/>
      <c r="N74" s="385"/>
      <c r="O74" s="106">
        <v>5</v>
      </c>
      <c r="P74" s="166"/>
      <c r="Q74" s="107" t="str">
        <f t="shared" si="79"/>
        <v/>
      </c>
      <c r="R74" s="108"/>
      <c r="S74" s="108"/>
      <c r="T74" s="109" t="str">
        <f t="shared" si="76"/>
        <v/>
      </c>
      <c r="U74" s="108"/>
      <c r="V74" s="108"/>
      <c r="W74" s="108"/>
      <c r="X74" s="110" t="str">
        <f t="shared" si="80"/>
        <v/>
      </c>
      <c r="Y74" s="111" t="str">
        <f t="shared" si="1"/>
        <v/>
      </c>
      <c r="Z74" s="112" t="str">
        <f t="shared" si="77"/>
        <v/>
      </c>
      <c r="AA74" s="111" t="str">
        <f t="shared" si="3"/>
        <v/>
      </c>
      <c r="AB74" s="112" t="str">
        <f t="shared" si="81"/>
        <v/>
      </c>
      <c r="AC74" s="113" t="str">
        <f t="shared" ref="AC74:AC75" si="82">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6"/>
      <c r="AH74" s="117"/>
      <c r="AI74" s="117"/>
    </row>
    <row r="75" spans="1:67" ht="18" customHeight="1" x14ac:dyDescent="0.3">
      <c r="A75" s="434"/>
      <c r="B75" s="380"/>
      <c r="C75" s="380"/>
      <c r="D75" s="380"/>
      <c r="E75" s="383"/>
      <c r="F75" s="380"/>
      <c r="G75" s="402"/>
      <c r="H75" s="395"/>
      <c r="I75" s="389"/>
      <c r="J75" s="392"/>
      <c r="K75" s="444">
        <f>IF(NOT(ISERROR(MATCH(J75,_xlfn.ANCHORARRAY(E86),0))),I88&amp;"Por favor no seleccionar los criterios de impacto",J75)</f>
        <v>0</v>
      </c>
      <c r="L75" s="395"/>
      <c r="M75" s="389"/>
      <c r="N75" s="386"/>
      <c r="O75" s="106">
        <v>6</v>
      </c>
      <c r="P75" s="166"/>
      <c r="Q75" s="107" t="str">
        <f t="shared" si="79"/>
        <v/>
      </c>
      <c r="R75" s="108"/>
      <c r="S75" s="108"/>
      <c r="T75" s="109" t="str">
        <f t="shared" si="76"/>
        <v/>
      </c>
      <c r="U75" s="108"/>
      <c r="V75" s="108"/>
      <c r="W75" s="108"/>
      <c r="X75" s="110" t="str">
        <f>IFERROR(IF(AND(Q74="Probabilidad",Q75="Probabilidad"),(Z74-(+Z74*T75)),IF(AND(Q74="Impacto",Q75="Probabilidad"),(Z73-(+Z73*T75)),IF(Q75="Impacto",Z74,""))),"")</f>
        <v/>
      </c>
      <c r="Y75" s="111" t="str">
        <f t="shared" si="1"/>
        <v/>
      </c>
      <c r="Z75" s="112" t="str">
        <f t="shared" si="77"/>
        <v/>
      </c>
      <c r="AA75" s="111" t="str">
        <f t="shared" si="3"/>
        <v/>
      </c>
      <c r="AB75" s="112" t="str">
        <f>IFERROR(IF(AND(Q74="Impacto",Q75="Impacto"),(AB74-(+AB74*T75)),IF(AND(Q74="Probabilidad",Q75="Impacto"),(AB73-(+AB73*T75)),IF(Q75="Probabilidad",AB74,""))),"")</f>
        <v/>
      </c>
      <c r="AC75" s="113" t="str">
        <f t="shared" si="82"/>
        <v/>
      </c>
      <c r="AD75" s="114"/>
      <c r="AE75" s="115"/>
      <c r="AF75" s="116"/>
      <c r="AG75" s="116"/>
      <c r="AH75" s="117"/>
      <c r="AI75" s="117"/>
    </row>
    <row r="76" spans="1:67" ht="34.5" customHeight="1" x14ac:dyDescent="0.3">
      <c r="A76" s="6"/>
      <c r="B76" s="424" t="s">
        <v>229</v>
      </c>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row>
    <row r="78" spans="1:67" x14ac:dyDescent="0.3">
      <c r="A78" s="1"/>
      <c r="B78" s="24" t="s">
        <v>230</v>
      </c>
      <c r="C78" s="1"/>
      <c r="D78" s="1"/>
      <c r="F78" s="1"/>
    </row>
  </sheetData>
  <dataConsolidate/>
  <mergeCells count="234">
    <mergeCell ref="L52:L57"/>
    <mergeCell ref="J46:J51"/>
    <mergeCell ref="K46:K51"/>
    <mergeCell ref="L46:L51"/>
    <mergeCell ref="G39:G45"/>
    <mergeCell ref="H39:H45"/>
    <mergeCell ref="A39:A45"/>
    <mergeCell ref="B39:B45"/>
    <mergeCell ref="C39:C45"/>
    <mergeCell ref="A46:A51"/>
    <mergeCell ref="A64:A69"/>
    <mergeCell ref="B64:B69"/>
    <mergeCell ref="C64:C69"/>
    <mergeCell ref="D64:D69"/>
    <mergeCell ref="E64:E69"/>
    <mergeCell ref="F64:F69"/>
    <mergeCell ref="G64:G69"/>
    <mergeCell ref="H64:H69"/>
    <mergeCell ref="I64:I69"/>
    <mergeCell ref="K70:K75"/>
    <mergeCell ref="L70:L75"/>
    <mergeCell ref="M70:M75"/>
    <mergeCell ref="N70:N75"/>
    <mergeCell ref="I70:I75"/>
    <mergeCell ref="AI10:AI11"/>
    <mergeCell ref="O6:Q6"/>
    <mergeCell ref="O9:W9"/>
    <mergeCell ref="X9:AD9"/>
    <mergeCell ref="M24:M30"/>
    <mergeCell ref="N24:N30"/>
    <mergeCell ref="J31:J38"/>
    <mergeCell ref="K31:K38"/>
    <mergeCell ref="L31:L38"/>
    <mergeCell ref="M31:M38"/>
    <mergeCell ref="N31:N38"/>
    <mergeCell ref="K18:K23"/>
    <mergeCell ref="M39:M45"/>
    <mergeCell ref="N39:N45"/>
    <mergeCell ref="M46:M51"/>
    <mergeCell ref="AG10:AG11"/>
    <mergeCell ref="AE9:AI9"/>
    <mergeCell ref="J52:J57"/>
    <mergeCell ref="K52:K57"/>
    <mergeCell ref="N46:N51"/>
    <mergeCell ref="A1:D4"/>
    <mergeCell ref="A70:A75"/>
    <mergeCell ref="B70:B75"/>
    <mergeCell ref="C70:C75"/>
    <mergeCell ref="D70:D75"/>
    <mergeCell ref="E70:E75"/>
    <mergeCell ref="F70:F75"/>
    <mergeCell ref="G70:G75"/>
    <mergeCell ref="H70:H75"/>
    <mergeCell ref="C6:N6"/>
    <mergeCell ref="A9:G9"/>
    <mergeCell ref="H9:N9"/>
    <mergeCell ref="I39:I45"/>
    <mergeCell ref="J39:J45"/>
    <mergeCell ref="G46:G51"/>
    <mergeCell ref="H46:H51"/>
    <mergeCell ref="I46:I51"/>
    <mergeCell ref="K39:K45"/>
    <mergeCell ref="L39:L45"/>
    <mergeCell ref="A58:A63"/>
    <mergeCell ref="E58:E63"/>
    <mergeCell ref="A52:A57"/>
    <mergeCell ref="B52:B57"/>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J70:J75"/>
    <mergeCell ref="D58:D63"/>
    <mergeCell ref="C46:C51"/>
    <mergeCell ref="D46:D51"/>
    <mergeCell ref="E46:E51"/>
    <mergeCell ref="F46:F51"/>
    <mergeCell ref="D39:D45"/>
    <mergeCell ref="E39:E45"/>
    <mergeCell ref="F39:F45"/>
    <mergeCell ref="A31:A38"/>
    <mergeCell ref="B31:B38"/>
    <mergeCell ref="C31:C38"/>
    <mergeCell ref="D31:D38"/>
    <mergeCell ref="E31:E38"/>
    <mergeCell ref="F31:F38"/>
    <mergeCell ref="C52:C57"/>
    <mergeCell ref="B46:B51"/>
    <mergeCell ref="E52:E57"/>
    <mergeCell ref="D52:D57"/>
    <mergeCell ref="G31:G38"/>
    <mergeCell ref="H31:H38"/>
    <mergeCell ref="I31:I38"/>
    <mergeCell ref="L18:L23"/>
    <mergeCell ref="M18:M23"/>
    <mergeCell ref="N18:N23"/>
    <mergeCell ref="A24:A30"/>
    <mergeCell ref="B24:B30"/>
    <mergeCell ref="C24:C30"/>
    <mergeCell ref="D24:D30"/>
    <mergeCell ref="E24:E30"/>
    <mergeCell ref="F24:F30"/>
    <mergeCell ref="G24:G30"/>
    <mergeCell ref="H24:H30"/>
    <mergeCell ref="I24:I30"/>
    <mergeCell ref="J24:J30"/>
    <mergeCell ref="K24:K30"/>
    <mergeCell ref="L24:L30"/>
    <mergeCell ref="F18:F23"/>
    <mergeCell ref="G18:G23"/>
    <mergeCell ref="H18:H23"/>
    <mergeCell ref="I18:I23"/>
    <mergeCell ref="J18:J23"/>
    <mergeCell ref="A18:A23"/>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C12:C17"/>
    <mergeCell ref="D12:D17"/>
    <mergeCell ref="E12:E17"/>
    <mergeCell ref="N12:N17"/>
    <mergeCell ref="I12:I17"/>
    <mergeCell ref="J12:J17"/>
    <mergeCell ref="K12:K17"/>
    <mergeCell ref="L12:L17"/>
    <mergeCell ref="M12:M17"/>
    <mergeCell ref="U24:U25"/>
    <mergeCell ref="V24:V25"/>
    <mergeCell ref="W24:W25"/>
    <mergeCell ref="Y24:Y25"/>
    <mergeCell ref="Z24:Z25"/>
    <mergeCell ref="AA24:AA25"/>
    <mergeCell ref="AB24:AB25"/>
    <mergeCell ref="AC24:AC25"/>
    <mergeCell ref="AD24:AD25"/>
    <mergeCell ref="P24:P25"/>
    <mergeCell ref="O24:O25"/>
    <mergeCell ref="P31:P33"/>
    <mergeCell ref="O31:O33"/>
    <mergeCell ref="Q24:Q25"/>
    <mergeCell ref="R24:R25"/>
    <mergeCell ref="S24:S25"/>
    <mergeCell ref="T24:T25"/>
    <mergeCell ref="Q31:Q33"/>
    <mergeCell ref="R31:R33"/>
    <mergeCell ref="S31:S33"/>
    <mergeCell ref="T31:T33"/>
    <mergeCell ref="Y39:Y40"/>
    <mergeCell ref="Z39:Z40"/>
    <mergeCell ref="AA39:AA40"/>
    <mergeCell ref="AB39:AB40"/>
    <mergeCell ref="AC39:AC40"/>
    <mergeCell ref="AD39:AD40"/>
    <mergeCell ref="U31:U33"/>
    <mergeCell ref="V31:V33"/>
    <mergeCell ref="W31:W33"/>
    <mergeCell ref="Y31:Y33"/>
    <mergeCell ref="Z31:Z33"/>
    <mergeCell ref="AA31:AA33"/>
    <mergeCell ref="AB31:AB33"/>
    <mergeCell ref="AC31:AC33"/>
    <mergeCell ref="AD31:AD33"/>
    <mergeCell ref="P39:P40"/>
    <mergeCell ref="O39:O40"/>
    <mergeCell ref="Q39:Q40"/>
    <mergeCell ref="R39:R40"/>
    <mergeCell ref="S39:S40"/>
    <mergeCell ref="T39:T40"/>
    <mergeCell ref="U39:U40"/>
    <mergeCell ref="V39:V40"/>
    <mergeCell ref="W39:W40"/>
  </mergeCells>
  <conditionalFormatting sqref="H12 H18">
    <cfRule type="cellIs" dxfId="145" priority="535" operator="equal">
      <formula>"Muy Alta"</formula>
    </cfRule>
    <cfRule type="cellIs" dxfId="144" priority="536" operator="equal">
      <formula>"Alta"</formula>
    </cfRule>
    <cfRule type="cellIs" dxfId="143" priority="537" operator="equal">
      <formula>"Media"</formula>
    </cfRule>
    <cfRule type="cellIs" dxfId="142" priority="538" operator="equal">
      <formula>"Baja"</formula>
    </cfRule>
    <cfRule type="cellIs" dxfId="141" priority="539" operator="equal">
      <formula>"Muy Baja"</formula>
    </cfRule>
  </conditionalFormatting>
  <conditionalFormatting sqref="H24:H25">
    <cfRule type="cellIs" dxfId="140" priority="437" operator="equal">
      <formula>"Muy Alta"</formula>
    </cfRule>
    <cfRule type="cellIs" dxfId="139" priority="438" operator="equal">
      <formula>"Alta"</formula>
    </cfRule>
    <cfRule type="cellIs" dxfId="138" priority="439" operator="equal">
      <formula>"Media"</formula>
    </cfRule>
    <cfRule type="cellIs" dxfId="137" priority="440" operator="equal">
      <formula>"Baja"</formula>
    </cfRule>
    <cfRule type="cellIs" dxfId="136" priority="441" operator="equal">
      <formula>"Muy Baja"</formula>
    </cfRule>
  </conditionalFormatting>
  <conditionalFormatting sqref="H31:H33 H39:H40">
    <cfRule type="cellIs" dxfId="135" priority="409" operator="equal">
      <formula>"Muy Alta"</formula>
    </cfRule>
    <cfRule type="cellIs" dxfId="134" priority="410" operator="equal">
      <formula>"Alta"</formula>
    </cfRule>
    <cfRule type="cellIs" dxfId="133" priority="411" operator="equal">
      <formula>"Media"</formula>
    </cfRule>
    <cfRule type="cellIs" dxfId="132" priority="412" operator="equal">
      <formula>"Baja"</formula>
    </cfRule>
    <cfRule type="cellIs" dxfId="131" priority="413" operator="equal">
      <formula>"Muy Baja"</formula>
    </cfRule>
  </conditionalFormatting>
  <conditionalFormatting sqref="H46">
    <cfRule type="cellIs" dxfId="130" priority="353" operator="equal">
      <formula>"Muy Alta"</formula>
    </cfRule>
    <cfRule type="cellIs" dxfId="129" priority="354" operator="equal">
      <formula>"Alta"</formula>
    </cfRule>
    <cfRule type="cellIs" dxfId="128" priority="355" operator="equal">
      <formula>"Media"</formula>
    </cfRule>
    <cfRule type="cellIs" dxfId="127" priority="356" operator="equal">
      <formula>"Baja"</formula>
    </cfRule>
    <cfRule type="cellIs" dxfId="126" priority="357" operator="equal">
      <formula>"Muy Baja"</formula>
    </cfRule>
  </conditionalFormatting>
  <conditionalFormatting sqref="H52">
    <cfRule type="cellIs" dxfId="125" priority="325" operator="equal">
      <formula>"Muy Alta"</formula>
    </cfRule>
    <cfRule type="cellIs" dxfId="124" priority="326" operator="equal">
      <formula>"Alta"</formula>
    </cfRule>
    <cfRule type="cellIs" dxfId="123" priority="327" operator="equal">
      <formula>"Media"</formula>
    </cfRule>
    <cfRule type="cellIs" dxfId="122" priority="328" operator="equal">
      <formula>"Baja"</formula>
    </cfRule>
    <cfRule type="cellIs" dxfId="121" priority="329" operator="equal">
      <formula>"Muy Baja"</formula>
    </cfRule>
  </conditionalFormatting>
  <conditionalFormatting sqref="H58">
    <cfRule type="cellIs" dxfId="120" priority="297" operator="equal">
      <formula>"Muy Alta"</formula>
    </cfRule>
    <cfRule type="cellIs" dxfId="119" priority="298" operator="equal">
      <formula>"Alta"</formula>
    </cfRule>
    <cfRule type="cellIs" dxfId="118" priority="299" operator="equal">
      <formula>"Media"</formula>
    </cfRule>
    <cfRule type="cellIs" dxfId="117" priority="300" operator="equal">
      <formula>"Baja"</formula>
    </cfRule>
    <cfRule type="cellIs" dxfId="116" priority="301" operator="equal">
      <formula>"Muy Baja"</formula>
    </cfRule>
  </conditionalFormatting>
  <conditionalFormatting sqref="H64">
    <cfRule type="cellIs" dxfId="115" priority="269" operator="equal">
      <formula>"Muy Alta"</formula>
    </cfRule>
    <cfRule type="cellIs" dxfId="114" priority="270" operator="equal">
      <formula>"Alta"</formula>
    </cfRule>
    <cfRule type="cellIs" dxfId="113" priority="271" operator="equal">
      <formula>"Media"</formula>
    </cfRule>
    <cfRule type="cellIs" dxfId="112" priority="272" operator="equal">
      <formula>"Baja"</formula>
    </cfRule>
    <cfRule type="cellIs" dxfId="111" priority="273" operator="equal">
      <formula>"Muy Baja"</formula>
    </cfRule>
  </conditionalFormatting>
  <conditionalFormatting sqref="H70">
    <cfRule type="cellIs" dxfId="110" priority="241" operator="equal">
      <formula>"Muy Alta"</formula>
    </cfRule>
    <cfRule type="cellIs" dxfId="109" priority="242" operator="equal">
      <formula>"Alta"</formula>
    </cfRule>
    <cfRule type="cellIs" dxfId="108" priority="243" operator="equal">
      <formula>"Media"</formula>
    </cfRule>
    <cfRule type="cellIs" dxfId="107" priority="244" operator="equal">
      <formula>"Baja"</formula>
    </cfRule>
    <cfRule type="cellIs" dxfId="106" priority="245" operator="equal">
      <formula>"Muy Baja"</formula>
    </cfRule>
  </conditionalFormatting>
  <conditionalFormatting sqref="K12:K75">
    <cfRule type="containsText" dxfId="105" priority="217" operator="containsText" text="❌">
      <formula>NOT(ISERROR(SEARCH("❌",K12)))</formula>
    </cfRule>
  </conditionalFormatting>
  <conditionalFormatting sqref="L12 L18 L24:L25 L31:L33 L39:L40 L46 L52 L58 L64 L70">
    <cfRule type="cellIs" dxfId="104" priority="530" operator="equal">
      <formula>"Catastrófico"</formula>
    </cfRule>
    <cfRule type="cellIs" dxfId="103" priority="531" operator="equal">
      <formula>"Mayor"</formula>
    </cfRule>
    <cfRule type="cellIs" dxfId="102" priority="532" operator="equal">
      <formula>"Moderado"</formula>
    </cfRule>
    <cfRule type="cellIs" dxfId="101" priority="533" operator="equal">
      <formula>"Menor"</formula>
    </cfRule>
    <cfRule type="cellIs" dxfId="100" priority="534" operator="equal">
      <formula>"Leve"</formula>
    </cfRule>
  </conditionalFormatting>
  <conditionalFormatting sqref="N12">
    <cfRule type="cellIs" dxfId="99" priority="526" operator="equal">
      <formula>"Extremo"</formula>
    </cfRule>
    <cfRule type="cellIs" dxfId="98" priority="527" operator="equal">
      <formula>"Alto"</formula>
    </cfRule>
    <cfRule type="cellIs" dxfId="97" priority="528" operator="equal">
      <formula>"Moderado"</formula>
    </cfRule>
    <cfRule type="cellIs" dxfId="96" priority="529" operator="equal">
      <formula>"Bajo"</formula>
    </cfRule>
  </conditionalFormatting>
  <conditionalFormatting sqref="N18">
    <cfRule type="cellIs" dxfId="95" priority="456" operator="equal">
      <formula>"Extremo"</formula>
    </cfRule>
    <cfRule type="cellIs" dxfId="94" priority="457" operator="equal">
      <formula>"Alto"</formula>
    </cfRule>
    <cfRule type="cellIs" dxfId="93" priority="458" operator="equal">
      <formula>"Moderado"</formula>
    </cfRule>
    <cfRule type="cellIs" dxfId="92" priority="459" operator="equal">
      <formula>"Bajo"</formula>
    </cfRule>
  </conditionalFormatting>
  <conditionalFormatting sqref="N24:N25">
    <cfRule type="cellIs" dxfId="91" priority="428" operator="equal">
      <formula>"Extremo"</formula>
    </cfRule>
    <cfRule type="cellIs" dxfId="90" priority="429" operator="equal">
      <formula>"Alto"</formula>
    </cfRule>
    <cfRule type="cellIs" dxfId="89" priority="430" operator="equal">
      <formula>"Moderado"</formula>
    </cfRule>
    <cfRule type="cellIs" dxfId="88" priority="431" operator="equal">
      <formula>"Bajo"</formula>
    </cfRule>
  </conditionalFormatting>
  <conditionalFormatting sqref="N31:N33">
    <cfRule type="cellIs" dxfId="87" priority="400" operator="equal">
      <formula>"Extremo"</formula>
    </cfRule>
    <cfRule type="cellIs" dxfId="86" priority="401" operator="equal">
      <formula>"Alto"</formula>
    </cfRule>
    <cfRule type="cellIs" dxfId="85" priority="402" operator="equal">
      <formula>"Moderado"</formula>
    </cfRule>
    <cfRule type="cellIs" dxfId="84" priority="403" operator="equal">
      <formula>"Bajo"</formula>
    </cfRule>
  </conditionalFormatting>
  <conditionalFormatting sqref="N39:N40">
    <cfRule type="cellIs" dxfId="83" priority="372" operator="equal">
      <formula>"Extremo"</formula>
    </cfRule>
    <cfRule type="cellIs" dxfId="82" priority="373" operator="equal">
      <formula>"Alto"</formula>
    </cfRule>
    <cfRule type="cellIs" dxfId="81" priority="374" operator="equal">
      <formula>"Moderado"</formula>
    </cfRule>
    <cfRule type="cellIs" dxfId="80" priority="375" operator="equal">
      <formula>"Bajo"</formula>
    </cfRule>
  </conditionalFormatting>
  <conditionalFormatting sqref="N46">
    <cfRule type="cellIs" dxfId="79" priority="344" operator="equal">
      <formula>"Extremo"</formula>
    </cfRule>
    <cfRule type="cellIs" dxfId="78" priority="345" operator="equal">
      <formula>"Alto"</formula>
    </cfRule>
    <cfRule type="cellIs" dxfId="77" priority="346" operator="equal">
      <formula>"Moderado"</formula>
    </cfRule>
    <cfRule type="cellIs" dxfId="76" priority="347" operator="equal">
      <formula>"Bajo"</formula>
    </cfRule>
  </conditionalFormatting>
  <conditionalFormatting sqref="N52">
    <cfRule type="cellIs" dxfId="75" priority="316" operator="equal">
      <formula>"Extremo"</formula>
    </cfRule>
    <cfRule type="cellIs" dxfId="74" priority="317" operator="equal">
      <formula>"Alto"</formula>
    </cfRule>
    <cfRule type="cellIs" dxfId="73" priority="318" operator="equal">
      <formula>"Moderado"</formula>
    </cfRule>
    <cfRule type="cellIs" dxfId="72" priority="319" operator="equal">
      <formula>"Bajo"</formula>
    </cfRule>
  </conditionalFormatting>
  <conditionalFormatting sqref="N58">
    <cfRule type="cellIs" dxfId="71" priority="288" operator="equal">
      <formula>"Extremo"</formula>
    </cfRule>
    <cfRule type="cellIs" dxfId="70" priority="289" operator="equal">
      <formula>"Alto"</formula>
    </cfRule>
    <cfRule type="cellIs" dxfId="69" priority="290" operator="equal">
      <formula>"Moderado"</formula>
    </cfRule>
    <cfRule type="cellIs" dxfId="68" priority="291" operator="equal">
      <formula>"Bajo"</formula>
    </cfRule>
  </conditionalFormatting>
  <conditionalFormatting sqref="N64">
    <cfRule type="cellIs" dxfId="67" priority="260" operator="equal">
      <formula>"Extremo"</formula>
    </cfRule>
    <cfRule type="cellIs" dxfId="66" priority="261" operator="equal">
      <formula>"Alto"</formula>
    </cfRule>
    <cfRule type="cellIs" dxfId="65" priority="262" operator="equal">
      <formula>"Moderado"</formula>
    </cfRule>
    <cfRule type="cellIs" dxfId="64" priority="263" operator="equal">
      <formula>"Bajo"</formula>
    </cfRule>
  </conditionalFormatting>
  <conditionalFormatting sqref="N70">
    <cfRule type="cellIs" dxfId="63" priority="232" operator="equal">
      <formula>"Extremo"</formula>
    </cfRule>
    <cfRule type="cellIs" dxfId="62" priority="233" operator="equal">
      <formula>"Alto"</formula>
    </cfRule>
    <cfRule type="cellIs" dxfId="61" priority="234" operator="equal">
      <formula>"Moderado"</formula>
    </cfRule>
    <cfRule type="cellIs" dxfId="60" priority="235" operator="equal">
      <formula>"Bajo"</formula>
    </cfRule>
  </conditionalFormatting>
  <conditionalFormatting sqref="Y12:Y24 Y36:Y39 Y42:Y75 Y26:Y31">
    <cfRule type="cellIs" dxfId="59" priority="227" operator="equal">
      <formula>"Muy Alta"</formula>
    </cfRule>
    <cfRule type="cellIs" dxfId="58" priority="228" operator="equal">
      <formula>"Alta"</formula>
    </cfRule>
    <cfRule type="cellIs" dxfId="57" priority="229" operator="equal">
      <formula>"Media"</formula>
    </cfRule>
    <cfRule type="cellIs" dxfId="56" priority="230" operator="equal">
      <formula>"Baja"</formula>
    </cfRule>
    <cfRule type="cellIs" dxfId="55" priority="231" operator="equal">
      <formula>"Muy Baja"</formula>
    </cfRule>
  </conditionalFormatting>
  <conditionalFormatting sqref="AA12:AA24 AA36:AA39 AA42:AA75 AA26:AA31">
    <cfRule type="cellIs" dxfId="54" priority="222" operator="equal">
      <formula>"Catastrófico"</formula>
    </cfRule>
    <cfRule type="cellIs" dxfId="53" priority="223" operator="equal">
      <formula>"Mayor"</formula>
    </cfRule>
    <cfRule type="cellIs" dxfId="52" priority="224" operator="equal">
      <formula>"Moderado"</formula>
    </cfRule>
    <cfRule type="cellIs" dxfId="51" priority="225" operator="equal">
      <formula>"Menor"</formula>
    </cfRule>
    <cfRule type="cellIs" dxfId="50" priority="226" operator="equal">
      <formula>"Leve"</formula>
    </cfRule>
  </conditionalFormatting>
  <conditionalFormatting sqref="AC12:AC24 AC36:AC39 AC42:AC75 AC26:AC31">
    <cfRule type="cellIs" dxfId="49" priority="218" operator="equal">
      <formula>"Extremo"</formula>
    </cfRule>
    <cfRule type="cellIs" dxfId="48" priority="219" operator="equal">
      <formula>"Alto"</formula>
    </cfRule>
    <cfRule type="cellIs" dxfId="47" priority="220" operator="equal">
      <formula>"Moderado"</formula>
    </cfRule>
    <cfRule type="cellIs" dxfId="46" priority="221" operator="equal">
      <formula>"Bajo"</formula>
    </cfRule>
  </conditionalFormatting>
  <conditionalFormatting sqref="Y34">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34">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34">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3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3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3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4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4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4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R12:R24 R26:R31 R34:R39 R41:R75</xm:sqref>
        </x14:dataValidation>
        <x14:dataValidation type="list" allowBlank="1" showInputMessage="1" showErrorMessage="1" xr:uid="{00000000-0002-0000-0200-000001000000}">
          <x14:formula1>
            <xm:f>'Tabla Valoración controles'!$D$7:$D$8</xm:f>
          </x14:formula1>
          <xm:sqref>S12:S24 S26:S31 S34:S39 S41:S75</xm:sqref>
        </x14:dataValidation>
        <x14:dataValidation type="list" allowBlank="1" showInputMessage="1" showErrorMessage="1" xr:uid="{00000000-0002-0000-0200-000002000000}">
          <x14:formula1>
            <xm:f>'Tabla Valoración controles'!$D$9:$D$10</xm:f>
          </x14:formula1>
          <xm:sqref>U12:U24 U26:U31 U34:U39 U41:U75</xm:sqref>
        </x14:dataValidation>
        <x14:dataValidation type="list" allowBlank="1" showInputMessage="1" showErrorMessage="1" xr:uid="{00000000-0002-0000-0200-000003000000}">
          <x14:formula1>
            <xm:f>'Tabla Valoración controles'!$D$11:$D$12</xm:f>
          </x14:formula1>
          <xm:sqref>V12:V24 V26:V31 V34:V39 V41:V75</xm:sqref>
        </x14:dataValidation>
        <x14:dataValidation type="list" allowBlank="1" showInputMessage="1" showErrorMessage="1" xr:uid="{00000000-0002-0000-0200-000004000000}">
          <x14:formula1>
            <xm:f>'Tabla Valoración controles'!$D$13:$D$14</xm:f>
          </x14:formula1>
          <xm:sqref>W12:W24 W26:W31 W34:W39 W41:W75</xm:sqref>
        </x14:dataValidation>
        <x14:dataValidation type="list" allowBlank="1" showInputMessage="1" showErrorMessage="1" xr:uid="{00000000-0002-0000-0200-000005000000}">
          <x14:formula1>
            <xm:f>'Opciones Tratamiento'!$B$13:$B$19</xm:f>
          </x14:formula1>
          <xm:sqref>F12:F75</xm:sqref>
        </x14:dataValidation>
        <x14:dataValidation type="list" allowBlank="1" showInputMessage="1" showErrorMessage="1" xr:uid="{00000000-0002-0000-0200-000006000000}">
          <x14:formula1>
            <xm:f>'Opciones Tratamiento'!$E$2:$E$4</xm:f>
          </x14:formula1>
          <xm:sqref>B12:B75</xm:sqref>
        </x14:dataValidation>
        <x14:dataValidation type="list" allowBlank="1" showInputMessage="1" showErrorMessage="1" xr:uid="{00000000-0002-0000-0200-000007000000}">
          <x14:formula1>
            <xm:f>'Opciones Tratamiento'!$B$2:$B$5</xm:f>
          </x14:formula1>
          <xm:sqref>AD12:AD24 AD26:AD31 AD34:AD39 AD41:AD75</xm:sqref>
        </x14:dataValidation>
        <x14:dataValidation type="list" allowBlank="1" showInputMessage="1" showErrorMessage="1" xr:uid="{00000000-0002-0000-0200-000008000000}">
          <x14:formula1>
            <xm:f>'Tabla Impacto'!$F$210:$F$221</xm:f>
          </x14:formula1>
          <xm:sqref>J12:J75</xm:sqref>
        </x14:dataValidation>
        <x14:dataValidation type="custom" allowBlank="1" showInputMessage="1" showErrorMessage="1" error="Recuerde que las acciones se generan bajo la medida de mitigar el riesgo" xr:uid="{00000000-0002-0000-0200-000009000000}">
          <x14:formula1>
            <xm:f>IF(OR(AD13='Opciones Tratamiento'!$B$2,AD13='Opciones Tratamiento'!$B$3,AD13='Opciones Tratamiento'!$B$4),ISBLANK(AD13),ISTEXT(AD13))</xm:f>
          </x14:formula1>
          <xm:sqref>AE13:AE17 AE19:AE23 AE27:AE30 AE36:AE38 AE42:AE45 AE47:AE51 AE53:AE57 AE59:AE63 AE65:AE75</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AF13:AG17 AF19:AG23 AF27:AG30 AF36:AG38 AF42:AG45 AF47:AG51 AF53:AG57 AF59:AG63 AF72:AF75 AF65:AG69 AG71:AG75</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AH13:AI17 AH19:AI23 AH27:AI30 AH36:AI38 AH42:AI45 AH47:AI51 AH53:AI57 AH59:AI63 AH65:AI69 AH71:AI75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9" t="s">
        <v>231</v>
      </c>
      <c r="C2" s="449"/>
      <c r="D2" s="449"/>
      <c r="E2" s="449"/>
      <c r="F2" s="449"/>
      <c r="G2" s="449"/>
      <c r="H2" s="449"/>
      <c r="I2" s="449"/>
      <c r="J2" s="486" t="s">
        <v>26</v>
      </c>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9"/>
      <c r="C3" s="449"/>
      <c r="D3" s="449"/>
      <c r="E3" s="449"/>
      <c r="F3" s="449"/>
      <c r="G3" s="449"/>
      <c r="H3" s="449"/>
      <c r="I3" s="449"/>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9"/>
      <c r="C4" s="449"/>
      <c r="D4" s="449"/>
      <c r="E4" s="449"/>
      <c r="F4" s="449"/>
      <c r="G4" s="449"/>
      <c r="H4" s="449"/>
      <c r="I4" s="449"/>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7" t="s">
        <v>232</v>
      </c>
      <c r="C6" s="497"/>
      <c r="D6" s="498"/>
      <c r="E6" s="487" t="s">
        <v>233</v>
      </c>
      <c r="F6" s="488"/>
      <c r="G6" s="488"/>
      <c r="H6" s="488"/>
      <c r="I6" s="489"/>
      <c r="J6" s="483" t="str">
        <f>IF(AND('Mapa de Riesgos'!$H$12="Muy Alta",'Mapa de Riesgos'!$L$12="Leve"),CONCATENATE("R",'Mapa de Riesgos'!$A$12),"")</f>
        <v/>
      </c>
      <c r="K6" s="484"/>
      <c r="L6" s="484" t="str">
        <f>IF(AND('Mapa de Riesgos'!$H$18="Muy Alta",'Mapa de Riesgos'!$L$18="Leve"),CONCATENATE("R",'Mapa de Riesgos'!$A$18),"")</f>
        <v/>
      </c>
      <c r="M6" s="484"/>
      <c r="N6" s="484" t="str">
        <f>IF(AND('Mapa de Riesgos'!$H$24="Muy Alta",'Mapa de Riesgos'!$L$24="Leve"),CONCATENATE("R",'Mapa de Riesgos'!$A$24),"")</f>
        <v/>
      </c>
      <c r="O6" s="485"/>
      <c r="P6" s="483" t="str">
        <f>IF(AND('Mapa de Riesgos'!$H$12="Muy Alta",'Mapa de Riesgos'!$L$12="Menor"),CONCATENATE("R",'Mapa de Riesgos'!$A$12),"")</f>
        <v/>
      </c>
      <c r="Q6" s="484"/>
      <c r="R6" s="484" t="str">
        <f>IF(AND('Mapa de Riesgos'!$H$18="Muy Alta",'Mapa de Riesgos'!$L$18="Menor"),CONCATENATE("R",'Mapa de Riesgos'!$A$18),"")</f>
        <v/>
      </c>
      <c r="S6" s="484"/>
      <c r="T6" s="484" t="str">
        <f>IF(AND('Mapa de Riesgos'!$H$24="Muy Alta",'Mapa de Riesgos'!$L$24="Menor"),CONCATENATE("R",'Mapa de Riesgos'!$A$24),"")</f>
        <v/>
      </c>
      <c r="U6" s="485"/>
      <c r="V6" s="483" t="str">
        <f>IF(AND('Mapa de Riesgos'!$H$12="Muy Alta",'Mapa de Riesgos'!$L$12="Moderado"),CONCATENATE("R",'Mapa de Riesgos'!$A$12),"")</f>
        <v/>
      </c>
      <c r="W6" s="484"/>
      <c r="X6" s="484" t="str">
        <f>IF(AND('Mapa de Riesgos'!$H$18="Muy Alta",'Mapa de Riesgos'!$L$18="Moderado"),CONCATENATE("R",'Mapa de Riesgos'!$A$18),"")</f>
        <v/>
      </c>
      <c r="Y6" s="484"/>
      <c r="Z6" s="484" t="str">
        <f>IF(AND('Mapa de Riesgos'!$H$24="Muy Alta",'Mapa de Riesgos'!$L$24="Moderado"),CONCATENATE("R",'Mapa de Riesgos'!$A$24),"")</f>
        <v/>
      </c>
      <c r="AA6" s="485"/>
      <c r="AB6" s="483" t="str">
        <f>IF(AND('Mapa de Riesgos'!$H$12="Muy Alta",'Mapa de Riesgos'!$L$12="Mayor"),CONCATENATE("R",'Mapa de Riesgos'!$A$12),"")</f>
        <v/>
      </c>
      <c r="AC6" s="484"/>
      <c r="AD6" s="484" t="str">
        <f>IF(AND('Mapa de Riesgos'!$H$18="Muy Alta",'Mapa de Riesgos'!$L$18="Mayor"),CONCATENATE("R",'Mapa de Riesgos'!$A$18),"")</f>
        <v/>
      </c>
      <c r="AE6" s="484"/>
      <c r="AF6" s="484" t="str">
        <f>IF(AND('Mapa de Riesgos'!$H$24="Muy Alta",'Mapa de Riesgos'!$L$24="Mayor"),CONCATENATE("R",'Mapa de Riesgos'!$A$24),"")</f>
        <v/>
      </c>
      <c r="AG6" s="485"/>
      <c r="AH6" s="474" t="str">
        <f>IF(AND('Mapa de Riesgos'!$H$12="Muy Alta",'Mapa de Riesgos'!$L$12="Catastrófico"),CONCATENATE("R",'Mapa de Riesgos'!$A$12),"")</f>
        <v/>
      </c>
      <c r="AI6" s="475"/>
      <c r="AJ6" s="475" t="str">
        <f>IF(AND('Mapa de Riesgos'!$H$18="Muy Alta",'Mapa de Riesgos'!$L$18="Catastrófico"),CONCATENATE("R",'Mapa de Riesgos'!$A$18),"")</f>
        <v/>
      </c>
      <c r="AK6" s="475"/>
      <c r="AL6" s="475" t="str">
        <f>IF(AND('Mapa de Riesgos'!$H$24="Muy Alta",'Mapa de Riesgos'!$L$24="Catastrófico"),CONCATENATE("R",'Mapa de Riesgos'!$A$24),"")</f>
        <v/>
      </c>
      <c r="AM6" s="476"/>
      <c r="AO6" s="499" t="s">
        <v>234</v>
      </c>
      <c r="AP6" s="500"/>
      <c r="AQ6" s="500"/>
      <c r="AR6" s="500"/>
      <c r="AS6" s="500"/>
      <c r="AT6" s="50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7"/>
      <c r="C7" s="497"/>
      <c r="D7" s="498"/>
      <c r="E7" s="490"/>
      <c r="F7" s="491"/>
      <c r="G7" s="491"/>
      <c r="H7" s="491"/>
      <c r="I7" s="492"/>
      <c r="J7" s="477"/>
      <c r="K7" s="478"/>
      <c r="L7" s="478"/>
      <c r="M7" s="478"/>
      <c r="N7" s="478"/>
      <c r="O7" s="479"/>
      <c r="P7" s="477"/>
      <c r="Q7" s="478"/>
      <c r="R7" s="478"/>
      <c r="S7" s="478"/>
      <c r="T7" s="478"/>
      <c r="U7" s="479"/>
      <c r="V7" s="477"/>
      <c r="W7" s="478"/>
      <c r="X7" s="478"/>
      <c r="Y7" s="478"/>
      <c r="Z7" s="478"/>
      <c r="AA7" s="479"/>
      <c r="AB7" s="477"/>
      <c r="AC7" s="478"/>
      <c r="AD7" s="478"/>
      <c r="AE7" s="478"/>
      <c r="AF7" s="478"/>
      <c r="AG7" s="479"/>
      <c r="AH7" s="468"/>
      <c r="AI7" s="469"/>
      <c r="AJ7" s="469"/>
      <c r="AK7" s="469"/>
      <c r="AL7" s="469"/>
      <c r="AM7" s="470"/>
      <c r="AN7" s="83"/>
      <c r="AO7" s="502"/>
      <c r="AP7" s="503"/>
      <c r="AQ7" s="503"/>
      <c r="AR7" s="503"/>
      <c r="AS7" s="503"/>
      <c r="AT7" s="50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7"/>
      <c r="C8" s="497"/>
      <c r="D8" s="498"/>
      <c r="E8" s="490"/>
      <c r="F8" s="491"/>
      <c r="G8" s="491"/>
      <c r="H8" s="491"/>
      <c r="I8" s="492"/>
      <c r="J8" s="477" t="str">
        <f>IF(AND('Mapa de Riesgos'!$H$31="Muy Alta",'Mapa de Riesgos'!$L$31="Leve"),CONCATENATE("R",'Mapa de Riesgos'!$A$31),"")</f>
        <v/>
      </c>
      <c r="K8" s="478"/>
      <c r="L8" s="478" t="str">
        <f>IF(AND('Mapa de Riesgos'!$H$39="Muy Alta",'Mapa de Riesgos'!$L$39="Leve"),CONCATENATE("R",'Mapa de Riesgos'!$A$39),"")</f>
        <v/>
      </c>
      <c r="M8" s="478"/>
      <c r="N8" s="478" t="str">
        <f>IF(AND('Mapa de Riesgos'!$H$46="Muy Alta",'Mapa de Riesgos'!$L$46="Leve"),CONCATENATE("R",'Mapa de Riesgos'!$A$46),"")</f>
        <v/>
      </c>
      <c r="O8" s="479"/>
      <c r="P8" s="477" t="str">
        <f>IF(AND('Mapa de Riesgos'!$H$31="Muy Alta",'Mapa de Riesgos'!$L$31="Menor"),CONCATENATE("R",'Mapa de Riesgos'!$A$31),"")</f>
        <v/>
      </c>
      <c r="Q8" s="478"/>
      <c r="R8" s="478" t="str">
        <f>IF(AND('Mapa de Riesgos'!$H$39="Muy Alta",'Mapa de Riesgos'!$L$39="Menor"),CONCATENATE("R",'Mapa de Riesgos'!$A$39),"")</f>
        <v/>
      </c>
      <c r="S8" s="478"/>
      <c r="T8" s="478" t="str">
        <f>IF(AND('Mapa de Riesgos'!$H$46="Muy Alta",'Mapa de Riesgos'!$L$46="Menor"),CONCATENATE("R",'Mapa de Riesgos'!$A$46),"")</f>
        <v/>
      </c>
      <c r="U8" s="479"/>
      <c r="V8" s="477" t="str">
        <f>IF(AND('Mapa de Riesgos'!$H$31="Muy Alta",'Mapa de Riesgos'!$L$31="Moderado"),CONCATENATE("R",'Mapa de Riesgos'!$A$31),"")</f>
        <v/>
      </c>
      <c r="W8" s="478"/>
      <c r="X8" s="478" t="str">
        <f>IF(AND('Mapa de Riesgos'!$H$39="Muy Alta",'Mapa de Riesgos'!$L$39="Moderado"),CONCATENATE("R",'Mapa de Riesgos'!$A$39),"")</f>
        <v/>
      </c>
      <c r="Y8" s="478"/>
      <c r="Z8" s="478" t="str">
        <f>IF(AND('Mapa de Riesgos'!$H$46="Muy Alta",'Mapa de Riesgos'!$L$46="Moderado"),CONCATENATE("R",'Mapa de Riesgos'!$A$46),"")</f>
        <v/>
      </c>
      <c r="AA8" s="479"/>
      <c r="AB8" s="477" t="str">
        <f>IF(AND('Mapa de Riesgos'!$H$31="Muy Alta",'Mapa de Riesgos'!$L$31="Mayor"),CONCATENATE("R",'Mapa de Riesgos'!$A$31),"")</f>
        <v/>
      </c>
      <c r="AC8" s="478"/>
      <c r="AD8" s="478" t="str">
        <f>IF(AND('Mapa de Riesgos'!$H$39="Muy Alta",'Mapa de Riesgos'!$L$39="Mayor"),CONCATENATE("R",'Mapa de Riesgos'!$A$39),"")</f>
        <v/>
      </c>
      <c r="AE8" s="478"/>
      <c r="AF8" s="478" t="str">
        <f>IF(AND('Mapa de Riesgos'!$H$46="Muy Alta",'Mapa de Riesgos'!$L$46="Mayor"),CONCATENATE("R",'Mapa de Riesgos'!$A$46),"")</f>
        <v/>
      </c>
      <c r="AG8" s="479"/>
      <c r="AH8" s="468" t="str">
        <f>IF(AND('Mapa de Riesgos'!$H$31="Muy Alta",'Mapa de Riesgos'!$L$31="Catastrófico"),CONCATENATE("R",'Mapa de Riesgos'!$A$31),"")</f>
        <v/>
      </c>
      <c r="AI8" s="469"/>
      <c r="AJ8" s="469" t="str">
        <f>IF(AND('Mapa de Riesgos'!$H$39="Muy Alta",'Mapa de Riesgos'!$L$39="Catastrófico"),CONCATENATE("R",'Mapa de Riesgos'!$A$39),"")</f>
        <v/>
      </c>
      <c r="AK8" s="469"/>
      <c r="AL8" s="469" t="str">
        <f>IF(AND('Mapa de Riesgos'!$H$46="Muy Alta",'Mapa de Riesgos'!$L$46="Catastrófico"),CONCATENATE("R",'Mapa de Riesgos'!$A$46),"")</f>
        <v/>
      </c>
      <c r="AM8" s="470"/>
      <c r="AN8" s="83"/>
      <c r="AO8" s="502"/>
      <c r="AP8" s="503"/>
      <c r="AQ8" s="503"/>
      <c r="AR8" s="503"/>
      <c r="AS8" s="503"/>
      <c r="AT8" s="50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7"/>
      <c r="C9" s="497"/>
      <c r="D9" s="498"/>
      <c r="E9" s="490"/>
      <c r="F9" s="491"/>
      <c r="G9" s="491"/>
      <c r="H9" s="491"/>
      <c r="I9" s="492"/>
      <c r="J9" s="477"/>
      <c r="K9" s="478"/>
      <c r="L9" s="478"/>
      <c r="M9" s="478"/>
      <c r="N9" s="478"/>
      <c r="O9" s="479"/>
      <c r="P9" s="477"/>
      <c r="Q9" s="478"/>
      <c r="R9" s="478"/>
      <c r="S9" s="478"/>
      <c r="T9" s="478"/>
      <c r="U9" s="479"/>
      <c r="V9" s="477"/>
      <c r="W9" s="478"/>
      <c r="X9" s="478"/>
      <c r="Y9" s="478"/>
      <c r="Z9" s="478"/>
      <c r="AA9" s="479"/>
      <c r="AB9" s="477"/>
      <c r="AC9" s="478"/>
      <c r="AD9" s="478"/>
      <c r="AE9" s="478"/>
      <c r="AF9" s="478"/>
      <c r="AG9" s="479"/>
      <c r="AH9" s="468"/>
      <c r="AI9" s="469"/>
      <c r="AJ9" s="469"/>
      <c r="AK9" s="469"/>
      <c r="AL9" s="469"/>
      <c r="AM9" s="470"/>
      <c r="AN9" s="83"/>
      <c r="AO9" s="502"/>
      <c r="AP9" s="503"/>
      <c r="AQ9" s="503"/>
      <c r="AR9" s="503"/>
      <c r="AS9" s="503"/>
      <c r="AT9" s="50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7"/>
      <c r="C10" s="497"/>
      <c r="D10" s="498"/>
      <c r="E10" s="490"/>
      <c r="F10" s="491"/>
      <c r="G10" s="491"/>
      <c r="H10" s="491"/>
      <c r="I10" s="492"/>
      <c r="J10" s="477" t="str">
        <f>IF(AND('Mapa de Riesgos'!$H$52="Muy Alta",'Mapa de Riesgos'!$L$52="Leve"),CONCATENATE("R",'Mapa de Riesgos'!$A$52),"")</f>
        <v/>
      </c>
      <c r="K10" s="478"/>
      <c r="L10" s="478" t="str">
        <f>IF(AND('Mapa de Riesgos'!$H$58="Muy Alta",'Mapa de Riesgos'!$L$58="Leve"),CONCATENATE("R",'Mapa de Riesgos'!$A$58),"")</f>
        <v/>
      </c>
      <c r="M10" s="478"/>
      <c r="N10" s="478" t="str">
        <f>IF(AND('Mapa de Riesgos'!$H$64="Muy Alta",'Mapa de Riesgos'!$L$64="Leve"),CONCATENATE("R",'Mapa de Riesgos'!$A$64),"")</f>
        <v/>
      </c>
      <c r="O10" s="479"/>
      <c r="P10" s="477" t="str">
        <f>IF(AND('Mapa de Riesgos'!$H$52="Muy Alta",'Mapa de Riesgos'!$L$52="Menor"),CONCATENATE("R",'Mapa de Riesgos'!$A$52),"")</f>
        <v/>
      </c>
      <c r="Q10" s="478"/>
      <c r="R10" s="478" t="str">
        <f>IF(AND('Mapa de Riesgos'!$H$58="Muy Alta",'Mapa de Riesgos'!$L$58="Menor"),CONCATENATE("R",'Mapa de Riesgos'!$A$58),"")</f>
        <v/>
      </c>
      <c r="S10" s="478"/>
      <c r="T10" s="478" t="str">
        <f>IF(AND('Mapa de Riesgos'!$H$64="Muy Alta",'Mapa de Riesgos'!$L$64="Menor"),CONCATENATE("R",'Mapa de Riesgos'!$A$64),"")</f>
        <v/>
      </c>
      <c r="U10" s="479"/>
      <c r="V10" s="477" t="str">
        <f>IF(AND('Mapa de Riesgos'!$H$52="Muy Alta",'Mapa de Riesgos'!$L$52="Moderado"),CONCATENATE("R",'Mapa de Riesgos'!$A$52),"")</f>
        <v/>
      </c>
      <c r="W10" s="478"/>
      <c r="X10" s="478" t="str">
        <f>IF(AND('Mapa de Riesgos'!$H$58="Muy Alta",'Mapa de Riesgos'!$L$58="Moderado"),CONCATENATE("R",'Mapa de Riesgos'!$A$58),"")</f>
        <v/>
      </c>
      <c r="Y10" s="478"/>
      <c r="Z10" s="478" t="str">
        <f>IF(AND('Mapa de Riesgos'!$H$64="Muy Alta",'Mapa de Riesgos'!$L$64="Moderado"),CONCATENATE("R",'Mapa de Riesgos'!$A$64),"")</f>
        <v/>
      </c>
      <c r="AA10" s="479"/>
      <c r="AB10" s="477" t="str">
        <f>IF(AND('Mapa de Riesgos'!$H$52="Muy Alta",'Mapa de Riesgos'!$L$52="Mayor"),CONCATENATE("R",'Mapa de Riesgos'!$A$52),"")</f>
        <v/>
      </c>
      <c r="AC10" s="478"/>
      <c r="AD10" s="478" t="str">
        <f>IF(AND('Mapa de Riesgos'!$H$58="Muy Alta",'Mapa de Riesgos'!$L$58="Mayor"),CONCATENATE("R",'Mapa de Riesgos'!$A$58),"")</f>
        <v/>
      </c>
      <c r="AE10" s="478"/>
      <c r="AF10" s="478" t="str">
        <f>IF(AND('Mapa de Riesgos'!$H$64="Muy Alta",'Mapa de Riesgos'!$L$64="Mayor"),CONCATENATE("R",'Mapa de Riesgos'!$A$64),"")</f>
        <v/>
      </c>
      <c r="AG10" s="479"/>
      <c r="AH10" s="468" t="str">
        <f>IF(AND('Mapa de Riesgos'!$H$52="Muy Alta",'Mapa de Riesgos'!$L$52="Catastrófico"),CONCATENATE("R",'Mapa de Riesgos'!$A$52),"")</f>
        <v/>
      </c>
      <c r="AI10" s="469"/>
      <c r="AJ10" s="469" t="str">
        <f>IF(AND('Mapa de Riesgos'!$H$58="Muy Alta",'Mapa de Riesgos'!$L$58="Catastrófico"),CONCATENATE("R",'Mapa de Riesgos'!$A$58),"")</f>
        <v/>
      </c>
      <c r="AK10" s="469"/>
      <c r="AL10" s="469" t="str">
        <f>IF(AND('Mapa de Riesgos'!$H$64="Muy Alta",'Mapa de Riesgos'!$L$64="Catastrófico"),CONCATENATE("R",'Mapa de Riesgos'!$A$64),"")</f>
        <v/>
      </c>
      <c r="AM10" s="470"/>
      <c r="AN10" s="83"/>
      <c r="AO10" s="502"/>
      <c r="AP10" s="503"/>
      <c r="AQ10" s="503"/>
      <c r="AR10" s="503"/>
      <c r="AS10" s="503"/>
      <c r="AT10" s="50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7"/>
      <c r="C11" s="497"/>
      <c r="D11" s="498"/>
      <c r="E11" s="490"/>
      <c r="F11" s="491"/>
      <c r="G11" s="491"/>
      <c r="H11" s="491"/>
      <c r="I11" s="492"/>
      <c r="J11" s="477"/>
      <c r="K11" s="478"/>
      <c r="L11" s="478"/>
      <c r="M11" s="478"/>
      <c r="N11" s="478"/>
      <c r="O11" s="479"/>
      <c r="P11" s="477"/>
      <c r="Q11" s="478"/>
      <c r="R11" s="478"/>
      <c r="S11" s="478"/>
      <c r="T11" s="478"/>
      <c r="U11" s="479"/>
      <c r="V11" s="477"/>
      <c r="W11" s="478"/>
      <c r="X11" s="478"/>
      <c r="Y11" s="478"/>
      <c r="Z11" s="478"/>
      <c r="AA11" s="479"/>
      <c r="AB11" s="477"/>
      <c r="AC11" s="478"/>
      <c r="AD11" s="478"/>
      <c r="AE11" s="478"/>
      <c r="AF11" s="478"/>
      <c r="AG11" s="479"/>
      <c r="AH11" s="468"/>
      <c r="AI11" s="469"/>
      <c r="AJ11" s="469"/>
      <c r="AK11" s="469"/>
      <c r="AL11" s="469"/>
      <c r="AM11" s="470"/>
      <c r="AN11" s="83"/>
      <c r="AO11" s="502"/>
      <c r="AP11" s="503"/>
      <c r="AQ11" s="503"/>
      <c r="AR11" s="503"/>
      <c r="AS11" s="503"/>
      <c r="AT11" s="50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7"/>
      <c r="C12" s="497"/>
      <c r="D12" s="498"/>
      <c r="E12" s="490"/>
      <c r="F12" s="491"/>
      <c r="G12" s="491"/>
      <c r="H12" s="491"/>
      <c r="I12" s="492"/>
      <c r="J12" s="477" t="str">
        <f>IF(AND('Mapa de Riesgos'!$H$70="Muy Alta",'Mapa de Riesgos'!$L$70="Leve"),CONCATENATE("R",'Mapa de Riesgos'!$A$70),"")</f>
        <v/>
      </c>
      <c r="K12" s="478"/>
      <c r="L12" s="478" t="str">
        <f>IF(AND('Mapa de Riesgos'!$H$76="Muy Alta",'Mapa de Riesgos'!$L$76="Leve"),CONCATENATE("R",'Mapa de Riesgos'!$A$76),"")</f>
        <v/>
      </c>
      <c r="M12" s="478"/>
      <c r="N12" s="478" t="str">
        <f>IF(AND('Mapa de Riesgos'!$H$82="Muy Alta",'Mapa de Riesgos'!$L$82="Leve"),CONCATENATE("R",'Mapa de Riesgos'!$A$82),"")</f>
        <v/>
      </c>
      <c r="O12" s="479"/>
      <c r="P12" s="477" t="str">
        <f>IF(AND('Mapa de Riesgos'!$H$70="Muy Alta",'Mapa de Riesgos'!$L$70="Menor"),CONCATENATE("R",'Mapa de Riesgos'!$A$70),"")</f>
        <v/>
      </c>
      <c r="Q12" s="478"/>
      <c r="R12" s="478" t="str">
        <f>IF(AND('Mapa de Riesgos'!$H$76="Muy Alta",'Mapa de Riesgos'!$L$76="Menor"),CONCATENATE("R",'Mapa de Riesgos'!$A$76),"")</f>
        <v/>
      </c>
      <c r="S12" s="478"/>
      <c r="T12" s="478" t="str">
        <f>IF(AND('Mapa de Riesgos'!$H$82="Muy Alta",'Mapa de Riesgos'!$L$82="Menor"),CONCATENATE("R",'Mapa de Riesgos'!$A$82),"")</f>
        <v/>
      </c>
      <c r="U12" s="479"/>
      <c r="V12" s="477" t="str">
        <f>IF(AND('Mapa de Riesgos'!$H$70="Muy Alta",'Mapa de Riesgos'!$L$70="Moderado"),CONCATENATE("R",'Mapa de Riesgos'!$A$70),"")</f>
        <v/>
      </c>
      <c r="W12" s="478"/>
      <c r="X12" s="478" t="str">
        <f>IF(AND('Mapa de Riesgos'!$H$76="Muy Alta",'Mapa de Riesgos'!$L$76="Moderado"),CONCATENATE("R",'Mapa de Riesgos'!$A$76),"")</f>
        <v/>
      </c>
      <c r="Y12" s="478"/>
      <c r="Z12" s="478" t="str">
        <f>IF(AND('Mapa de Riesgos'!$H$82="Muy Alta",'Mapa de Riesgos'!$L$82="Moderado"),CONCATENATE("R",'Mapa de Riesgos'!$A$82),"")</f>
        <v/>
      </c>
      <c r="AA12" s="479"/>
      <c r="AB12" s="477" t="str">
        <f>IF(AND('Mapa de Riesgos'!$H$70="Muy Alta",'Mapa de Riesgos'!$L$70="Mayor"),CONCATENATE("R",'Mapa de Riesgos'!$A$70),"")</f>
        <v>R10</v>
      </c>
      <c r="AC12" s="478"/>
      <c r="AD12" s="478" t="str">
        <f>IF(AND('Mapa de Riesgos'!$H$76="Muy Alta",'Mapa de Riesgos'!$L$76="Mayor"),CONCATENATE("R",'Mapa de Riesgos'!$A$76),"")</f>
        <v/>
      </c>
      <c r="AE12" s="478"/>
      <c r="AF12" s="478" t="str">
        <f>IF(AND('Mapa de Riesgos'!$H$82="Muy Alta",'Mapa de Riesgos'!$L$82="Mayor"),CONCATENATE("R",'Mapa de Riesgos'!$A$82),"")</f>
        <v/>
      </c>
      <c r="AG12" s="479"/>
      <c r="AH12" s="468" t="str">
        <f>IF(AND('Mapa de Riesgos'!$H$70="Muy Alta",'Mapa de Riesgos'!$L$70="Catastrófico"),CONCATENATE("R",'Mapa de Riesgos'!$A$70),"")</f>
        <v/>
      </c>
      <c r="AI12" s="469"/>
      <c r="AJ12" s="469" t="str">
        <f>IF(AND('Mapa de Riesgos'!$H$76="Muy Alta",'Mapa de Riesgos'!$L$76="Catastrófico"),CONCATENATE("R",'Mapa de Riesgos'!$A$76),"")</f>
        <v/>
      </c>
      <c r="AK12" s="469"/>
      <c r="AL12" s="469" t="str">
        <f>IF(AND('Mapa de Riesgos'!$H$82="Muy Alta",'Mapa de Riesgos'!$L$82="Catastrófico"),CONCATENATE("R",'Mapa de Riesgos'!$A$82),"")</f>
        <v/>
      </c>
      <c r="AM12" s="470"/>
      <c r="AN12" s="83"/>
      <c r="AO12" s="502"/>
      <c r="AP12" s="503"/>
      <c r="AQ12" s="503"/>
      <c r="AR12" s="503"/>
      <c r="AS12" s="503"/>
      <c r="AT12" s="50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7"/>
      <c r="C13" s="497"/>
      <c r="D13" s="498"/>
      <c r="E13" s="493"/>
      <c r="F13" s="494"/>
      <c r="G13" s="494"/>
      <c r="H13" s="494"/>
      <c r="I13" s="495"/>
      <c r="J13" s="477"/>
      <c r="K13" s="478"/>
      <c r="L13" s="478"/>
      <c r="M13" s="478"/>
      <c r="N13" s="478"/>
      <c r="O13" s="479"/>
      <c r="P13" s="477"/>
      <c r="Q13" s="478"/>
      <c r="R13" s="478"/>
      <c r="S13" s="478"/>
      <c r="T13" s="478"/>
      <c r="U13" s="479"/>
      <c r="V13" s="477"/>
      <c r="W13" s="478"/>
      <c r="X13" s="478"/>
      <c r="Y13" s="478"/>
      <c r="Z13" s="478"/>
      <c r="AA13" s="479"/>
      <c r="AB13" s="477"/>
      <c r="AC13" s="478"/>
      <c r="AD13" s="478"/>
      <c r="AE13" s="478"/>
      <c r="AF13" s="478"/>
      <c r="AG13" s="479"/>
      <c r="AH13" s="471"/>
      <c r="AI13" s="472"/>
      <c r="AJ13" s="472"/>
      <c r="AK13" s="472"/>
      <c r="AL13" s="472"/>
      <c r="AM13" s="473"/>
      <c r="AN13" s="83"/>
      <c r="AO13" s="505"/>
      <c r="AP13" s="506"/>
      <c r="AQ13" s="506"/>
      <c r="AR13" s="506"/>
      <c r="AS13" s="506"/>
      <c r="AT13" s="50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7"/>
      <c r="C14" s="497"/>
      <c r="D14" s="498"/>
      <c r="E14" s="487" t="s">
        <v>235</v>
      </c>
      <c r="F14" s="488"/>
      <c r="G14" s="488"/>
      <c r="H14" s="488"/>
      <c r="I14" s="488"/>
      <c r="J14" s="465" t="str">
        <f>IF(AND('Mapa de Riesgos'!$H$12="Alta",'Mapa de Riesgos'!$L$12="Leve"),CONCATENATE("R",'Mapa de Riesgos'!$A$12),"")</f>
        <v/>
      </c>
      <c r="K14" s="466"/>
      <c r="L14" s="466" t="str">
        <f>IF(AND('Mapa de Riesgos'!$H$18="Alta",'Mapa de Riesgos'!$L$18="Leve"),CONCATENATE("R",'Mapa de Riesgos'!$A$18),"")</f>
        <v/>
      </c>
      <c r="M14" s="466"/>
      <c r="N14" s="466" t="str">
        <f>IF(AND('Mapa de Riesgos'!$H$24="Alta",'Mapa de Riesgos'!$L$24="Leve"),CONCATENATE("R",'Mapa de Riesgos'!$A$24),"")</f>
        <v/>
      </c>
      <c r="O14" s="467"/>
      <c r="P14" s="465" t="str">
        <f>IF(AND('Mapa de Riesgos'!$H$12="Alta",'Mapa de Riesgos'!$L$12="Menor"),CONCATENATE("R",'Mapa de Riesgos'!$A$12),"")</f>
        <v/>
      </c>
      <c r="Q14" s="466"/>
      <c r="R14" s="466" t="str">
        <f>IF(AND('Mapa de Riesgos'!$H$18="Alta",'Mapa de Riesgos'!$L$18="Menor"),CONCATENATE("R",'Mapa de Riesgos'!$A$18),"")</f>
        <v/>
      </c>
      <c r="S14" s="466"/>
      <c r="T14" s="466" t="str">
        <f>IF(AND('Mapa de Riesgos'!$H$24="Alta",'Mapa de Riesgos'!$L$24="Menor"),CONCATENATE("R",'Mapa de Riesgos'!$A$24),"")</f>
        <v/>
      </c>
      <c r="U14" s="467"/>
      <c r="V14" s="483" t="str">
        <f>IF(AND('Mapa de Riesgos'!$H$12="Alta",'Mapa de Riesgos'!$L$12="Moderado"),CONCATENATE("R",'Mapa de Riesgos'!$A$12),"")</f>
        <v/>
      </c>
      <c r="W14" s="484"/>
      <c r="X14" s="484" t="str">
        <f>IF(AND('Mapa de Riesgos'!$H$18="Alta",'Mapa de Riesgos'!$L$18="Moderado"),CONCATENATE("R",'Mapa de Riesgos'!$A$18),"")</f>
        <v/>
      </c>
      <c r="Y14" s="484"/>
      <c r="Z14" s="484" t="str">
        <f>IF(AND('Mapa de Riesgos'!$H$24="Alta",'Mapa de Riesgos'!$L$24="Moderado"),CONCATENATE("R",'Mapa de Riesgos'!$A$24),"")</f>
        <v/>
      </c>
      <c r="AA14" s="485"/>
      <c r="AB14" s="483" t="str">
        <f>IF(AND('Mapa de Riesgos'!$H$12="Alta",'Mapa de Riesgos'!$L$12="Mayor"),CONCATENATE("R",'Mapa de Riesgos'!$A$12),"")</f>
        <v/>
      </c>
      <c r="AC14" s="484"/>
      <c r="AD14" s="484" t="str">
        <f>IF(AND('Mapa de Riesgos'!$H$18="Alta",'Mapa de Riesgos'!$L$18="Mayor"),CONCATENATE("R",'Mapa de Riesgos'!$A$18),"")</f>
        <v/>
      </c>
      <c r="AE14" s="484"/>
      <c r="AF14" s="484" t="str">
        <f>IF(AND('Mapa de Riesgos'!$H$24="Alta",'Mapa de Riesgos'!$L$24="Mayor"),CONCATENATE("R",'Mapa de Riesgos'!$A$24),"")</f>
        <v/>
      </c>
      <c r="AG14" s="485"/>
      <c r="AH14" s="474" t="str">
        <f>IF(AND('Mapa de Riesgos'!$H$12="Alta",'Mapa de Riesgos'!$L$12="Catastrófico"),CONCATENATE("R",'Mapa de Riesgos'!$A$12),"")</f>
        <v/>
      </c>
      <c r="AI14" s="475"/>
      <c r="AJ14" s="475" t="str">
        <f>IF(AND('Mapa de Riesgos'!$H$18="Alta",'Mapa de Riesgos'!$L$18="Catastrófico"),CONCATENATE("R",'Mapa de Riesgos'!$A$18),"")</f>
        <v/>
      </c>
      <c r="AK14" s="475"/>
      <c r="AL14" s="475" t="str">
        <f>IF(AND('Mapa de Riesgos'!$H$24="Alta",'Mapa de Riesgos'!$L$24="Catastrófico"),CONCATENATE("R",'Mapa de Riesgos'!$A$24),"")</f>
        <v/>
      </c>
      <c r="AM14" s="476"/>
      <c r="AN14" s="83"/>
      <c r="AO14" s="508" t="s">
        <v>236</v>
      </c>
      <c r="AP14" s="509"/>
      <c r="AQ14" s="509"/>
      <c r="AR14" s="509"/>
      <c r="AS14" s="509"/>
      <c r="AT14" s="51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7"/>
      <c r="C15" s="497"/>
      <c r="D15" s="498"/>
      <c r="E15" s="490"/>
      <c r="F15" s="491"/>
      <c r="G15" s="491"/>
      <c r="H15" s="491"/>
      <c r="I15" s="491"/>
      <c r="J15" s="459"/>
      <c r="K15" s="460"/>
      <c r="L15" s="460"/>
      <c r="M15" s="460"/>
      <c r="N15" s="460"/>
      <c r="O15" s="461"/>
      <c r="P15" s="459"/>
      <c r="Q15" s="460"/>
      <c r="R15" s="460"/>
      <c r="S15" s="460"/>
      <c r="T15" s="460"/>
      <c r="U15" s="461"/>
      <c r="V15" s="477"/>
      <c r="W15" s="478"/>
      <c r="X15" s="478"/>
      <c r="Y15" s="478"/>
      <c r="Z15" s="478"/>
      <c r="AA15" s="479"/>
      <c r="AB15" s="477"/>
      <c r="AC15" s="478"/>
      <c r="AD15" s="478"/>
      <c r="AE15" s="478"/>
      <c r="AF15" s="478"/>
      <c r="AG15" s="479"/>
      <c r="AH15" s="468"/>
      <c r="AI15" s="469"/>
      <c r="AJ15" s="469"/>
      <c r="AK15" s="469"/>
      <c r="AL15" s="469"/>
      <c r="AM15" s="470"/>
      <c r="AN15" s="83"/>
      <c r="AO15" s="511"/>
      <c r="AP15" s="512"/>
      <c r="AQ15" s="512"/>
      <c r="AR15" s="512"/>
      <c r="AS15" s="512"/>
      <c r="AT15" s="51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7"/>
      <c r="C16" s="497"/>
      <c r="D16" s="498"/>
      <c r="E16" s="490"/>
      <c r="F16" s="491"/>
      <c r="G16" s="491"/>
      <c r="H16" s="491"/>
      <c r="I16" s="491"/>
      <c r="J16" s="459" t="str">
        <f>IF(AND('Mapa de Riesgos'!$H$31="Alta",'Mapa de Riesgos'!$L$31="Leve"),CONCATENATE("R",'Mapa de Riesgos'!$A$31),"")</f>
        <v/>
      </c>
      <c r="K16" s="460"/>
      <c r="L16" s="460" t="str">
        <f>IF(AND('Mapa de Riesgos'!$H$39="Alta",'Mapa de Riesgos'!$L$39="Leve"),CONCATENATE("R",'Mapa de Riesgos'!$A$39),"")</f>
        <v/>
      </c>
      <c r="M16" s="460"/>
      <c r="N16" s="460" t="str">
        <f>IF(AND('Mapa de Riesgos'!$H$46="Alta",'Mapa de Riesgos'!$L$46="Leve"),CONCATENATE("R",'Mapa de Riesgos'!$A$46),"")</f>
        <v/>
      </c>
      <c r="O16" s="461"/>
      <c r="P16" s="459" t="str">
        <f>IF(AND('Mapa de Riesgos'!$H$31="Alta",'Mapa de Riesgos'!$L$31="Menor"),CONCATENATE("R",'Mapa de Riesgos'!$A$31),"")</f>
        <v/>
      </c>
      <c r="Q16" s="460"/>
      <c r="R16" s="460" t="str">
        <f>IF(AND('Mapa de Riesgos'!$H$39="Alta",'Mapa de Riesgos'!$L$39="Menor"),CONCATENATE("R",'Mapa de Riesgos'!$A$39),"")</f>
        <v/>
      </c>
      <c r="S16" s="460"/>
      <c r="T16" s="460" t="str">
        <f>IF(AND('Mapa de Riesgos'!$H$46="Alta",'Mapa de Riesgos'!$L$46="Menor"),CONCATENATE("R",'Mapa de Riesgos'!$A$46),"")</f>
        <v/>
      </c>
      <c r="U16" s="461"/>
      <c r="V16" s="477" t="str">
        <f>IF(AND('Mapa de Riesgos'!$H$31="Alta",'Mapa de Riesgos'!$L$31="Moderado"),CONCATENATE("R",'Mapa de Riesgos'!$A$31),"")</f>
        <v/>
      </c>
      <c r="W16" s="478"/>
      <c r="X16" s="478" t="str">
        <f>IF(AND('Mapa de Riesgos'!$H$39="Alta",'Mapa de Riesgos'!$L$39="Moderado"),CONCATENATE("R",'Mapa de Riesgos'!$A$39),"")</f>
        <v/>
      </c>
      <c r="Y16" s="478"/>
      <c r="Z16" s="478" t="str">
        <f>IF(AND('Mapa de Riesgos'!$H$46="Alta",'Mapa de Riesgos'!$L$46="Moderado"),CONCATENATE("R",'Mapa de Riesgos'!$A$46),"")</f>
        <v/>
      </c>
      <c r="AA16" s="479"/>
      <c r="AB16" s="477" t="str">
        <f>IF(AND('Mapa de Riesgos'!$H$31="Alta",'Mapa de Riesgos'!$L$31="Mayor"),CONCATENATE("R",'Mapa de Riesgos'!$A$31),"")</f>
        <v/>
      </c>
      <c r="AC16" s="478"/>
      <c r="AD16" s="478" t="str">
        <f>IF(AND('Mapa de Riesgos'!$H$39="Alta",'Mapa de Riesgos'!$L$39="Mayor"),CONCATENATE("R",'Mapa de Riesgos'!$A$39),"")</f>
        <v/>
      </c>
      <c r="AE16" s="478"/>
      <c r="AF16" s="478" t="str">
        <f>IF(AND('Mapa de Riesgos'!$H$46="Alta",'Mapa de Riesgos'!$L$46="Mayor"),CONCATENATE("R",'Mapa de Riesgos'!$A$46),"")</f>
        <v/>
      </c>
      <c r="AG16" s="479"/>
      <c r="AH16" s="468" t="str">
        <f>IF(AND('Mapa de Riesgos'!$H$31="Alta",'Mapa de Riesgos'!$L$31="Catastrófico"),CONCATENATE("R",'Mapa de Riesgos'!$A$31),"")</f>
        <v/>
      </c>
      <c r="AI16" s="469"/>
      <c r="AJ16" s="469" t="str">
        <f>IF(AND('Mapa de Riesgos'!$H$39="Alta",'Mapa de Riesgos'!$L$39="Catastrófico"),CONCATENATE("R",'Mapa de Riesgos'!$A$39),"")</f>
        <v/>
      </c>
      <c r="AK16" s="469"/>
      <c r="AL16" s="469" t="str">
        <f>IF(AND('Mapa de Riesgos'!$H$46="Alta",'Mapa de Riesgos'!$L$46="Catastrófico"),CONCATENATE("R",'Mapa de Riesgos'!$A$46),"")</f>
        <v/>
      </c>
      <c r="AM16" s="470"/>
      <c r="AN16" s="83"/>
      <c r="AO16" s="511"/>
      <c r="AP16" s="512"/>
      <c r="AQ16" s="512"/>
      <c r="AR16" s="512"/>
      <c r="AS16" s="512"/>
      <c r="AT16" s="51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7"/>
      <c r="C17" s="497"/>
      <c r="D17" s="498"/>
      <c r="E17" s="490"/>
      <c r="F17" s="491"/>
      <c r="G17" s="491"/>
      <c r="H17" s="491"/>
      <c r="I17" s="491"/>
      <c r="J17" s="459"/>
      <c r="K17" s="460"/>
      <c r="L17" s="460"/>
      <c r="M17" s="460"/>
      <c r="N17" s="460"/>
      <c r="O17" s="461"/>
      <c r="P17" s="459"/>
      <c r="Q17" s="460"/>
      <c r="R17" s="460"/>
      <c r="S17" s="460"/>
      <c r="T17" s="460"/>
      <c r="U17" s="461"/>
      <c r="V17" s="477"/>
      <c r="W17" s="478"/>
      <c r="X17" s="478"/>
      <c r="Y17" s="478"/>
      <c r="Z17" s="478"/>
      <c r="AA17" s="479"/>
      <c r="AB17" s="477"/>
      <c r="AC17" s="478"/>
      <c r="AD17" s="478"/>
      <c r="AE17" s="478"/>
      <c r="AF17" s="478"/>
      <c r="AG17" s="479"/>
      <c r="AH17" s="468"/>
      <c r="AI17" s="469"/>
      <c r="AJ17" s="469"/>
      <c r="AK17" s="469"/>
      <c r="AL17" s="469"/>
      <c r="AM17" s="470"/>
      <c r="AN17" s="83"/>
      <c r="AO17" s="511"/>
      <c r="AP17" s="512"/>
      <c r="AQ17" s="512"/>
      <c r="AR17" s="512"/>
      <c r="AS17" s="512"/>
      <c r="AT17" s="51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7"/>
      <c r="C18" s="497"/>
      <c r="D18" s="498"/>
      <c r="E18" s="490"/>
      <c r="F18" s="491"/>
      <c r="G18" s="491"/>
      <c r="H18" s="491"/>
      <c r="I18" s="491"/>
      <c r="J18" s="459" t="str">
        <f>IF(AND('Mapa de Riesgos'!$H$52="Alta",'Mapa de Riesgos'!$L$52="Leve"),CONCATENATE("R",'Mapa de Riesgos'!$A$52),"")</f>
        <v/>
      </c>
      <c r="K18" s="460"/>
      <c r="L18" s="460" t="str">
        <f>IF(AND('Mapa de Riesgos'!$H$58="Alta",'Mapa de Riesgos'!$L$58="Leve"),CONCATENATE("R",'Mapa de Riesgos'!$A$58),"")</f>
        <v/>
      </c>
      <c r="M18" s="460"/>
      <c r="N18" s="460" t="str">
        <f>IF(AND('Mapa de Riesgos'!$H$64="Alta",'Mapa de Riesgos'!$L$64="Leve"),CONCATENATE("R",'Mapa de Riesgos'!$A$64),"")</f>
        <v/>
      </c>
      <c r="O18" s="461"/>
      <c r="P18" s="459" t="str">
        <f>IF(AND('Mapa de Riesgos'!$H$52="Alta",'Mapa de Riesgos'!$L$52="Menor"),CONCATENATE("R",'Mapa de Riesgos'!$A$52),"")</f>
        <v/>
      </c>
      <c r="Q18" s="460"/>
      <c r="R18" s="460" t="str">
        <f>IF(AND('Mapa de Riesgos'!$H$58="Alta",'Mapa de Riesgos'!$L$58="Menor"),CONCATENATE("R",'Mapa de Riesgos'!$A$58),"")</f>
        <v/>
      </c>
      <c r="S18" s="460"/>
      <c r="T18" s="460" t="str">
        <f>IF(AND('Mapa de Riesgos'!$H$64="Alta",'Mapa de Riesgos'!$L$64="Menor"),CONCATENATE("R",'Mapa de Riesgos'!$A$64),"")</f>
        <v/>
      </c>
      <c r="U18" s="461"/>
      <c r="V18" s="477" t="str">
        <f>IF(AND('Mapa de Riesgos'!$H$52="Alta",'Mapa de Riesgos'!$L$52="Moderado"),CONCATENATE("R",'Mapa de Riesgos'!$A$52),"")</f>
        <v/>
      </c>
      <c r="W18" s="478"/>
      <c r="X18" s="478" t="str">
        <f>IF(AND('Mapa de Riesgos'!$H$58="Alta",'Mapa de Riesgos'!$L$58="Moderado"),CONCATENATE("R",'Mapa de Riesgos'!$A$58),"")</f>
        <v/>
      </c>
      <c r="Y18" s="478"/>
      <c r="Z18" s="478" t="str">
        <f>IF(AND('Mapa de Riesgos'!$H$64="Alta",'Mapa de Riesgos'!$L$64="Moderado"),CONCATENATE("R",'Mapa de Riesgos'!$A$64),"")</f>
        <v/>
      </c>
      <c r="AA18" s="479"/>
      <c r="AB18" s="477" t="str">
        <f>IF(AND('Mapa de Riesgos'!$H$52="Alta",'Mapa de Riesgos'!$L$52="Mayor"),CONCATENATE("R",'Mapa de Riesgos'!$A$52),"")</f>
        <v/>
      </c>
      <c r="AC18" s="478"/>
      <c r="AD18" s="478" t="str">
        <f>IF(AND('Mapa de Riesgos'!$H$58="Alta",'Mapa de Riesgos'!$L$58="Mayor"),CONCATENATE("R",'Mapa de Riesgos'!$A$58),"")</f>
        <v/>
      </c>
      <c r="AE18" s="478"/>
      <c r="AF18" s="478" t="str">
        <f>IF(AND('Mapa de Riesgos'!$H$64="Alta",'Mapa de Riesgos'!$L$64="Mayor"),CONCATENATE("R",'Mapa de Riesgos'!$A$64),"")</f>
        <v/>
      </c>
      <c r="AG18" s="479"/>
      <c r="AH18" s="468" t="str">
        <f>IF(AND('Mapa de Riesgos'!$H$52="Alta",'Mapa de Riesgos'!$L$52="Catastrófico"),CONCATENATE("R",'Mapa de Riesgos'!$A$52),"")</f>
        <v/>
      </c>
      <c r="AI18" s="469"/>
      <c r="AJ18" s="469" t="str">
        <f>IF(AND('Mapa de Riesgos'!$H$58="Alta",'Mapa de Riesgos'!$L$58="Catastrófico"),CONCATENATE("R",'Mapa de Riesgos'!$A$58),"")</f>
        <v/>
      </c>
      <c r="AK18" s="469"/>
      <c r="AL18" s="469" t="str">
        <f>IF(AND('Mapa de Riesgos'!$H$64="Alta",'Mapa de Riesgos'!$L$64="Catastrófico"),CONCATENATE("R",'Mapa de Riesgos'!$A$64),"")</f>
        <v/>
      </c>
      <c r="AM18" s="470"/>
      <c r="AN18" s="83"/>
      <c r="AO18" s="511"/>
      <c r="AP18" s="512"/>
      <c r="AQ18" s="512"/>
      <c r="AR18" s="512"/>
      <c r="AS18" s="512"/>
      <c r="AT18" s="51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7"/>
      <c r="C19" s="497"/>
      <c r="D19" s="498"/>
      <c r="E19" s="490"/>
      <c r="F19" s="491"/>
      <c r="G19" s="491"/>
      <c r="H19" s="491"/>
      <c r="I19" s="491"/>
      <c r="J19" s="459"/>
      <c r="K19" s="460"/>
      <c r="L19" s="460"/>
      <c r="M19" s="460"/>
      <c r="N19" s="460"/>
      <c r="O19" s="461"/>
      <c r="P19" s="459"/>
      <c r="Q19" s="460"/>
      <c r="R19" s="460"/>
      <c r="S19" s="460"/>
      <c r="T19" s="460"/>
      <c r="U19" s="461"/>
      <c r="V19" s="477"/>
      <c r="W19" s="478"/>
      <c r="X19" s="478"/>
      <c r="Y19" s="478"/>
      <c r="Z19" s="478"/>
      <c r="AA19" s="479"/>
      <c r="AB19" s="477"/>
      <c r="AC19" s="478"/>
      <c r="AD19" s="478"/>
      <c r="AE19" s="478"/>
      <c r="AF19" s="478"/>
      <c r="AG19" s="479"/>
      <c r="AH19" s="468"/>
      <c r="AI19" s="469"/>
      <c r="AJ19" s="469"/>
      <c r="AK19" s="469"/>
      <c r="AL19" s="469"/>
      <c r="AM19" s="470"/>
      <c r="AN19" s="83"/>
      <c r="AO19" s="511"/>
      <c r="AP19" s="512"/>
      <c r="AQ19" s="512"/>
      <c r="AR19" s="512"/>
      <c r="AS19" s="512"/>
      <c r="AT19" s="51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7"/>
      <c r="C20" s="497"/>
      <c r="D20" s="498"/>
      <c r="E20" s="490"/>
      <c r="F20" s="491"/>
      <c r="G20" s="491"/>
      <c r="H20" s="491"/>
      <c r="I20" s="491"/>
      <c r="J20" s="459" t="str">
        <f>IF(AND('Mapa de Riesgos'!$H$70="Alta",'Mapa de Riesgos'!$L$70="Leve"),CONCATENATE("R",'Mapa de Riesgos'!$A$70),"")</f>
        <v/>
      </c>
      <c r="K20" s="460"/>
      <c r="L20" s="460" t="str">
        <f>IF(AND('Mapa de Riesgos'!$H$76="Alta",'Mapa de Riesgos'!$L$76="Leve"),CONCATENATE("R",'Mapa de Riesgos'!$A$76),"")</f>
        <v/>
      </c>
      <c r="M20" s="460"/>
      <c r="N20" s="460" t="str">
        <f>IF(AND('Mapa de Riesgos'!$H$82="Alta",'Mapa de Riesgos'!$L$82="Leve"),CONCATENATE("R",'Mapa de Riesgos'!$A$82),"")</f>
        <v/>
      </c>
      <c r="O20" s="461"/>
      <c r="P20" s="459" t="str">
        <f>IF(AND('Mapa de Riesgos'!$H$70="Alta",'Mapa de Riesgos'!$L$70="Menor"),CONCATENATE("R",'Mapa de Riesgos'!$A$70),"")</f>
        <v/>
      </c>
      <c r="Q20" s="460"/>
      <c r="R20" s="460" t="str">
        <f>IF(AND('Mapa de Riesgos'!$H$76="Alta",'Mapa de Riesgos'!$L$76="Menor"),CONCATENATE("R",'Mapa de Riesgos'!$A$76),"")</f>
        <v/>
      </c>
      <c r="S20" s="460"/>
      <c r="T20" s="460" t="str">
        <f>IF(AND('Mapa de Riesgos'!$H$82="Alta",'Mapa de Riesgos'!$L$82="Menor"),CONCATENATE("R",'Mapa de Riesgos'!$A$82),"")</f>
        <v/>
      </c>
      <c r="U20" s="461"/>
      <c r="V20" s="477" t="str">
        <f>IF(AND('Mapa de Riesgos'!$H$70="Alta",'Mapa de Riesgos'!$L$70="Moderado"),CONCATENATE("R",'Mapa de Riesgos'!$A$70),"")</f>
        <v/>
      </c>
      <c r="W20" s="478"/>
      <c r="X20" s="478" t="str">
        <f>IF(AND('Mapa de Riesgos'!$H$76="Alta",'Mapa de Riesgos'!$L$76="Moderado"),CONCATENATE("R",'Mapa de Riesgos'!$A$76),"")</f>
        <v/>
      </c>
      <c r="Y20" s="478"/>
      <c r="Z20" s="478" t="str">
        <f>IF(AND('Mapa de Riesgos'!$H$82="Alta",'Mapa de Riesgos'!$L$82="Moderado"),CONCATENATE("R",'Mapa de Riesgos'!$A$82),"")</f>
        <v/>
      </c>
      <c r="AA20" s="479"/>
      <c r="AB20" s="477" t="str">
        <f>IF(AND('Mapa de Riesgos'!$H$70="Alta",'Mapa de Riesgos'!$L$70="Mayor"),CONCATENATE("R",'Mapa de Riesgos'!$A$70),"")</f>
        <v/>
      </c>
      <c r="AC20" s="478"/>
      <c r="AD20" s="478" t="str">
        <f>IF(AND('Mapa de Riesgos'!$H$76="Alta",'Mapa de Riesgos'!$L$76="Mayor"),CONCATENATE("R",'Mapa de Riesgos'!$A$76),"")</f>
        <v/>
      </c>
      <c r="AE20" s="478"/>
      <c r="AF20" s="478" t="str">
        <f>IF(AND('Mapa de Riesgos'!$H$82="Alta",'Mapa de Riesgos'!$L$82="Mayor"),CONCATENATE("R",'Mapa de Riesgos'!$A$82),"")</f>
        <v/>
      </c>
      <c r="AG20" s="479"/>
      <c r="AH20" s="468" t="str">
        <f>IF(AND('Mapa de Riesgos'!$H$70="Alta",'Mapa de Riesgos'!$L$70="Catastrófico"),CONCATENATE("R",'Mapa de Riesgos'!$A$70),"")</f>
        <v/>
      </c>
      <c r="AI20" s="469"/>
      <c r="AJ20" s="469" t="str">
        <f>IF(AND('Mapa de Riesgos'!$H$76="Alta",'Mapa de Riesgos'!$L$76="Catastrófico"),CONCATENATE("R",'Mapa de Riesgos'!$A$76),"")</f>
        <v/>
      </c>
      <c r="AK20" s="469"/>
      <c r="AL20" s="469" t="str">
        <f>IF(AND('Mapa de Riesgos'!$H$82="Alta",'Mapa de Riesgos'!$L$82="Catastrófico"),CONCATENATE("R",'Mapa de Riesgos'!$A$82),"")</f>
        <v/>
      </c>
      <c r="AM20" s="470"/>
      <c r="AN20" s="83"/>
      <c r="AO20" s="511"/>
      <c r="AP20" s="512"/>
      <c r="AQ20" s="512"/>
      <c r="AR20" s="512"/>
      <c r="AS20" s="512"/>
      <c r="AT20" s="51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7"/>
      <c r="C21" s="497"/>
      <c r="D21" s="498"/>
      <c r="E21" s="493"/>
      <c r="F21" s="494"/>
      <c r="G21" s="494"/>
      <c r="H21" s="494"/>
      <c r="I21" s="494"/>
      <c r="J21" s="462"/>
      <c r="K21" s="463"/>
      <c r="L21" s="463"/>
      <c r="M21" s="463"/>
      <c r="N21" s="463"/>
      <c r="O21" s="464"/>
      <c r="P21" s="462"/>
      <c r="Q21" s="463"/>
      <c r="R21" s="463"/>
      <c r="S21" s="463"/>
      <c r="T21" s="463"/>
      <c r="U21" s="464"/>
      <c r="V21" s="480"/>
      <c r="W21" s="481"/>
      <c r="X21" s="481"/>
      <c r="Y21" s="481"/>
      <c r="Z21" s="481"/>
      <c r="AA21" s="482"/>
      <c r="AB21" s="480"/>
      <c r="AC21" s="481"/>
      <c r="AD21" s="481"/>
      <c r="AE21" s="481"/>
      <c r="AF21" s="481"/>
      <c r="AG21" s="482"/>
      <c r="AH21" s="471"/>
      <c r="AI21" s="472"/>
      <c r="AJ21" s="472"/>
      <c r="AK21" s="472"/>
      <c r="AL21" s="472"/>
      <c r="AM21" s="473"/>
      <c r="AN21" s="83"/>
      <c r="AO21" s="514"/>
      <c r="AP21" s="515"/>
      <c r="AQ21" s="515"/>
      <c r="AR21" s="515"/>
      <c r="AS21" s="515"/>
      <c r="AT21" s="51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7"/>
      <c r="C22" s="497"/>
      <c r="D22" s="498"/>
      <c r="E22" s="487" t="s">
        <v>237</v>
      </c>
      <c r="F22" s="488"/>
      <c r="G22" s="488"/>
      <c r="H22" s="488"/>
      <c r="I22" s="489"/>
      <c r="J22" s="465" t="str">
        <f>IF(AND('Mapa de Riesgos'!$H$12="Media",'Mapa de Riesgos'!$L$12="Leve"),CONCATENATE("R",'Mapa de Riesgos'!$A$12),"")</f>
        <v/>
      </c>
      <c r="K22" s="466"/>
      <c r="L22" s="466" t="str">
        <f>IF(AND('Mapa de Riesgos'!$H$18="Media",'Mapa de Riesgos'!$L$18="Leve"),CONCATENATE("R",'Mapa de Riesgos'!$A$18),"")</f>
        <v/>
      </c>
      <c r="M22" s="466"/>
      <c r="N22" s="466" t="str">
        <f>IF(AND('Mapa de Riesgos'!$H$24="Media",'Mapa de Riesgos'!$L$24="Leve"),CONCATENATE("R",'Mapa de Riesgos'!$A$24),"")</f>
        <v/>
      </c>
      <c r="O22" s="467"/>
      <c r="P22" s="465" t="str">
        <f>IF(AND('Mapa de Riesgos'!$H$12="Media",'Mapa de Riesgos'!$L$12="Menor"),CONCATENATE("R",'Mapa de Riesgos'!$A$12),"")</f>
        <v/>
      </c>
      <c r="Q22" s="466"/>
      <c r="R22" s="466" t="str">
        <f>IF(AND('Mapa de Riesgos'!$H$18="Media",'Mapa de Riesgos'!$L$18="Menor"),CONCATENATE("R",'Mapa de Riesgos'!$A$18),"")</f>
        <v/>
      </c>
      <c r="S22" s="466"/>
      <c r="T22" s="466" t="str">
        <f>IF(AND('Mapa de Riesgos'!$H$24="Media",'Mapa de Riesgos'!$L$24="Menor"),CONCATENATE("R",'Mapa de Riesgos'!$A$24),"")</f>
        <v/>
      </c>
      <c r="U22" s="467"/>
      <c r="V22" s="465" t="str">
        <f>IF(AND('Mapa de Riesgos'!$H$12="Media",'Mapa de Riesgos'!$L$12="Moderado"),CONCATENATE("R",'Mapa de Riesgos'!$A$12),"")</f>
        <v/>
      </c>
      <c r="W22" s="466"/>
      <c r="X22" s="466" t="str">
        <f>IF(AND('Mapa de Riesgos'!$H$18="Media",'Mapa de Riesgos'!$L$18="Moderado"),CONCATENATE("R",'Mapa de Riesgos'!$A$18),"")</f>
        <v/>
      </c>
      <c r="Y22" s="466"/>
      <c r="Z22" s="466" t="str">
        <f>IF(AND('Mapa de Riesgos'!$H$24="Media",'Mapa de Riesgos'!$L$24="Moderado"),CONCATENATE("R",'Mapa de Riesgos'!$A$24),"")</f>
        <v/>
      </c>
      <c r="AA22" s="467"/>
      <c r="AB22" s="483" t="str">
        <f>IF(AND('Mapa de Riesgos'!$H$12="Media",'Mapa de Riesgos'!$L$12="Mayor"),CONCATENATE("R",'Mapa de Riesgos'!$A$12),"")</f>
        <v>R1</v>
      </c>
      <c r="AC22" s="484"/>
      <c r="AD22" s="484" t="str">
        <f>IF(AND('Mapa de Riesgos'!$H$18="Media",'Mapa de Riesgos'!$L$18="Mayor"),CONCATENATE("R",'Mapa de Riesgos'!$A$18),"")</f>
        <v/>
      </c>
      <c r="AE22" s="484"/>
      <c r="AF22" s="484" t="str">
        <f>IF(AND('Mapa de Riesgos'!$H$24="Media",'Mapa de Riesgos'!$L$24="Mayor"),CONCATENATE("R",'Mapa de Riesgos'!$A$24),"")</f>
        <v>R3</v>
      </c>
      <c r="AG22" s="485"/>
      <c r="AH22" s="474" t="str">
        <f>IF(AND('Mapa de Riesgos'!$H$12="Media",'Mapa de Riesgos'!$L$12="Catastrófico"),CONCATENATE("R",'Mapa de Riesgos'!$A$12),"")</f>
        <v/>
      </c>
      <c r="AI22" s="475"/>
      <c r="AJ22" s="475" t="str">
        <f>IF(AND('Mapa de Riesgos'!$H$18="Media",'Mapa de Riesgos'!$L$18="Catastrófico"),CONCATENATE("R",'Mapa de Riesgos'!$A$18),"")</f>
        <v/>
      </c>
      <c r="AK22" s="475"/>
      <c r="AL22" s="475" t="str">
        <f>IF(AND('Mapa de Riesgos'!$H$24="Media",'Mapa de Riesgos'!$L$24="Catastrófico"),CONCATENATE("R",'Mapa de Riesgos'!$A$24),"")</f>
        <v/>
      </c>
      <c r="AM22" s="476"/>
      <c r="AN22" s="83"/>
      <c r="AO22" s="517" t="s">
        <v>238</v>
      </c>
      <c r="AP22" s="518"/>
      <c r="AQ22" s="518"/>
      <c r="AR22" s="518"/>
      <c r="AS22" s="518"/>
      <c r="AT22" s="51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7"/>
      <c r="C23" s="497"/>
      <c r="D23" s="498"/>
      <c r="E23" s="490"/>
      <c r="F23" s="491"/>
      <c r="G23" s="491"/>
      <c r="H23" s="491"/>
      <c r="I23" s="492"/>
      <c r="J23" s="459"/>
      <c r="K23" s="460"/>
      <c r="L23" s="460"/>
      <c r="M23" s="460"/>
      <c r="N23" s="460"/>
      <c r="O23" s="461"/>
      <c r="P23" s="459"/>
      <c r="Q23" s="460"/>
      <c r="R23" s="460"/>
      <c r="S23" s="460"/>
      <c r="T23" s="460"/>
      <c r="U23" s="461"/>
      <c r="V23" s="459"/>
      <c r="W23" s="460"/>
      <c r="X23" s="460"/>
      <c r="Y23" s="460"/>
      <c r="Z23" s="460"/>
      <c r="AA23" s="461"/>
      <c r="AB23" s="477"/>
      <c r="AC23" s="478"/>
      <c r="AD23" s="478"/>
      <c r="AE23" s="478"/>
      <c r="AF23" s="478"/>
      <c r="AG23" s="479"/>
      <c r="AH23" s="468"/>
      <c r="AI23" s="469"/>
      <c r="AJ23" s="469"/>
      <c r="AK23" s="469"/>
      <c r="AL23" s="469"/>
      <c r="AM23" s="470"/>
      <c r="AN23" s="83"/>
      <c r="AO23" s="520"/>
      <c r="AP23" s="521"/>
      <c r="AQ23" s="521"/>
      <c r="AR23" s="521"/>
      <c r="AS23" s="521"/>
      <c r="AT23" s="52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7"/>
      <c r="C24" s="497"/>
      <c r="D24" s="498"/>
      <c r="E24" s="490"/>
      <c r="F24" s="491"/>
      <c r="G24" s="491"/>
      <c r="H24" s="491"/>
      <c r="I24" s="492"/>
      <c r="J24" s="459" t="str">
        <f>IF(AND('Mapa de Riesgos'!$H$31="Media",'Mapa de Riesgos'!$L$31="Leve"),CONCATENATE("R",'Mapa de Riesgos'!$A$31),"")</f>
        <v/>
      </c>
      <c r="K24" s="460"/>
      <c r="L24" s="460" t="str">
        <f>IF(AND('Mapa de Riesgos'!$H$39="Media",'Mapa de Riesgos'!$L$39="Leve"),CONCATENATE("R",'Mapa de Riesgos'!$A$39),"")</f>
        <v/>
      </c>
      <c r="M24" s="460"/>
      <c r="N24" s="460" t="str">
        <f>IF(AND('Mapa de Riesgos'!$H$46="Media",'Mapa de Riesgos'!$L$46="Leve"),CONCATENATE("R",'Mapa de Riesgos'!$A$46),"")</f>
        <v/>
      </c>
      <c r="O24" s="461"/>
      <c r="P24" s="459" t="str">
        <f>IF(AND('Mapa de Riesgos'!$H$31="Media",'Mapa de Riesgos'!$L$31="Menor"),CONCATENATE("R",'Mapa de Riesgos'!$A$31),"")</f>
        <v/>
      </c>
      <c r="Q24" s="460"/>
      <c r="R24" s="460" t="str">
        <f>IF(AND('Mapa de Riesgos'!$H$39="Media",'Mapa de Riesgos'!$L$39="Menor"),CONCATENATE("R",'Mapa de Riesgos'!$A$39),"")</f>
        <v/>
      </c>
      <c r="S24" s="460"/>
      <c r="T24" s="460" t="str">
        <f>IF(AND('Mapa de Riesgos'!$H$46="Media",'Mapa de Riesgos'!$L$46="Menor"),CONCATENATE("R",'Mapa de Riesgos'!$A$46),"")</f>
        <v/>
      </c>
      <c r="U24" s="461"/>
      <c r="V24" s="459" t="str">
        <f>IF(AND('Mapa de Riesgos'!$H$31="Media",'Mapa de Riesgos'!$L$31="Moderado"),CONCATENATE("R",'Mapa de Riesgos'!$A$31),"")</f>
        <v>R4</v>
      </c>
      <c r="W24" s="460"/>
      <c r="X24" s="460" t="str">
        <f>IF(AND('Mapa de Riesgos'!$H$39="Media",'Mapa de Riesgos'!$L$39="Moderado"),CONCATENATE("R",'Mapa de Riesgos'!$A$39),"")</f>
        <v/>
      </c>
      <c r="Y24" s="460"/>
      <c r="Z24" s="460" t="str">
        <f>IF(AND('Mapa de Riesgos'!$H$46="Media",'Mapa de Riesgos'!$L$46="Moderado"),CONCATENATE("R",'Mapa de Riesgos'!$A$46),"")</f>
        <v>R6</v>
      </c>
      <c r="AA24" s="461"/>
      <c r="AB24" s="477" t="str">
        <f>IF(AND('Mapa de Riesgos'!$H$31="Media",'Mapa de Riesgos'!$L$31="Mayor"),CONCATENATE("R",'Mapa de Riesgos'!$A$31),"")</f>
        <v/>
      </c>
      <c r="AC24" s="478"/>
      <c r="AD24" s="478" t="str">
        <f>IF(AND('Mapa de Riesgos'!$H$39="Media",'Mapa de Riesgos'!$L$39="Mayor"),CONCATENATE("R",'Mapa de Riesgos'!$A$39),"")</f>
        <v>R5</v>
      </c>
      <c r="AE24" s="478"/>
      <c r="AF24" s="478" t="str">
        <f>IF(AND('Mapa de Riesgos'!$H$46="Media",'Mapa de Riesgos'!$L$46="Mayor"),CONCATENATE("R",'Mapa de Riesgos'!$A$46),"")</f>
        <v/>
      </c>
      <c r="AG24" s="479"/>
      <c r="AH24" s="468" t="str">
        <f>IF(AND('Mapa de Riesgos'!$H$31="Media",'Mapa de Riesgos'!$L$31="Catastrófico"),CONCATENATE("R",'Mapa de Riesgos'!$A$31),"")</f>
        <v/>
      </c>
      <c r="AI24" s="469"/>
      <c r="AJ24" s="469" t="str">
        <f>IF(AND('Mapa de Riesgos'!$H$39="Media",'Mapa de Riesgos'!$L$39="Catastrófico"),CONCATENATE("R",'Mapa de Riesgos'!$A$39),"")</f>
        <v/>
      </c>
      <c r="AK24" s="469"/>
      <c r="AL24" s="469" t="str">
        <f>IF(AND('Mapa de Riesgos'!$H$46="Media",'Mapa de Riesgos'!$L$46="Catastrófico"),CONCATENATE("R",'Mapa de Riesgos'!$A$46),"")</f>
        <v/>
      </c>
      <c r="AM24" s="470"/>
      <c r="AN24" s="83"/>
      <c r="AO24" s="520"/>
      <c r="AP24" s="521"/>
      <c r="AQ24" s="521"/>
      <c r="AR24" s="521"/>
      <c r="AS24" s="521"/>
      <c r="AT24" s="52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7"/>
      <c r="C25" s="497"/>
      <c r="D25" s="498"/>
      <c r="E25" s="490"/>
      <c r="F25" s="491"/>
      <c r="G25" s="491"/>
      <c r="H25" s="491"/>
      <c r="I25" s="492"/>
      <c r="J25" s="459"/>
      <c r="K25" s="460"/>
      <c r="L25" s="460"/>
      <c r="M25" s="460"/>
      <c r="N25" s="460"/>
      <c r="O25" s="461"/>
      <c r="P25" s="459"/>
      <c r="Q25" s="460"/>
      <c r="R25" s="460"/>
      <c r="S25" s="460"/>
      <c r="T25" s="460"/>
      <c r="U25" s="461"/>
      <c r="V25" s="459"/>
      <c r="W25" s="460"/>
      <c r="X25" s="460"/>
      <c r="Y25" s="460"/>
      <c r="Z25" s="460"/>
      <c r="AA25" s="461"/>
      <c r="AB25" s="477"/>
      <c r="AC25" s="478"/>
      <c r="AD25" s="478"/>
      <c r="AE25" s="478"/>
      <c r="AF25" s="478"/>
      <c r="AG25" s="479"/>
      <c r="AH25" s="468"/>
      <c r="AI25" s="469"/>
      <c r="AJ25" s="469"/>
      <c r="AK25" s="469"/>
      <c r="AL25" s="469"/>
      <c r="AM25" s="470"/>
      <c r="AN25" s="83"/>
      <c r="AO25" s="520"/>
      <c r="AP25" s="521"/>
      <c r="AQ25" s="521"/>
      <c r="AR25" s="521"/>
      <c r="AS25" s="521"/>
      <c r="AT25" s="52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7"/>
      <c r="C26" s="497"/>
      <c r="D26" s="498"/>
      <c r="E26" s="490"/>
      <c r="F26" s="491"/>
      <c r="G26" s="491"/>
      <c r="H26" s="491"/>
      <c r="I26" s="492"/>
      <c r="J26" s="459" t="str">
        <f>IF(AND('Mapa de Riesgos'!$H$52="Media",'Mapa de Riesgos'!$L$52="Leve"),CONCATENATE("R",'Mapa de Riesgos'!$A$52),"")</f>
        <v/>
      </c>
      <c r="K26" s="460"/>
      <c r="L26" s="460" t="str">
        <f>IF(AND('Mapa de Riesgos'!$H$58="Media",'Mapa de Riesgos'!$L$58="Leve"),CONCATENATE("R",'Mapa de Riesgos'!$A$58),"")</f>
        <v/>
      </c>
      <c r="M26" s="460"/>
      <c r="N26" s="460" t="str">
        <f>IF(AND('Mapa de Riesgos'!$H$64="Media",'Mapa de Riesgos'!$L$64="Leve"),CONCATENATE("R",'Mapa de Riesgos'!$A$64),"")</f>
        <v/>
      </c>
      <c r="O26" s="461"/>
      <c r="P26" s="459" t="str">
        <f>IF(AND('Mapa de Riesgos'!$H$52="Media",'Mapa de Riesgos'!$L$52="Menor"),CONCATENATE("R",'Mapa de Riesgos'!$A$52),"")</f>
        <v/>
      </c>
      <c r="Q26" s="460"/>
      <c r="R26" s="460" t="str">
        <f>IF(AND('Mapa de Riesgos'!$H$58="Media",'Mapa de Riesgos'!$L$58="Menor"),CONCATENATE("R",'Mapa de Riesgos'!$A$58),"")</f>
        <v/>
      </c>
      <c r="S26" s="460"/>
      <c r="T26" s="460" t="str">
        <f>IF(AND('Mapa de Riesgos'!$H$64="Media",'Mapa de Riesgos'!$L$64="Menor"),CONCATENATE("R",'Mapa de Riesgos'!$A$64),"")</f>
        <v/>
      </c>
      <c r="U26" s="461"/>
      <c r="V26" s="459" t="str">
        <f>IF(AND('Mapa de Riesgos'!$H$52="Media",'Mapa de Riesgos'!$L$52="Moderado"),CONCATENATE("R",'Mapa de Riesgos'!$A$52),"")</f>
        <v/>
      </c>
      <c r="W26" s="460"/>
      <c r="X26" s="460" t="str">
        <f>IF(AND('Mapa de Riesgos'!$H$58="Media",'Mapa de Riesgos'!$L$58="Moderado"),CONCATENATE("R",'Mapa de Riesgos'!$A$58),"")</f>
        <v/>
      </c>
      <c r="Y26" s="460"/>
      <c r="Z26" s="460" t="str">
        <f>IF(AND('Mapa de Riesgos'!$H$64="Media",'Mapa de Riesgos'!$L$64="Moderado"),CONCATENATE("R",'Mapa de Riesgos'!$A$64),"")</f>
        <v>R9</v>
      </c>
      <c r="AA26" s="461"/>
      <c r="AB26" s="477" t="str">
        <f>IF(AND('Mapa de Riesgos'!$H$52="Media",'Mapa de Riesgos'!$L$52="Mayor"),CONCATENATE("R",'Mapa de Riesgos'!$A$52),"")</f>
        <v/>
      </c>
      <c r="AC26" s="478"/>
      <c r="AD26" s="478" t="str">
        <f>IF(AND('Mapa de Riesgos'!$H$58="Media",'Mapa de Riesgos'!$L$58="Mayor"),CONCATENATE("R",'Mapa de Riesgos'!$A$58),"")</f>
        <v/>
      </c>
      <c r="AE26" s="478"/>
      <c r="AF26" s="478" t="str">
        <f>IF(AND('Mapa de Riesgos'!$H$64="Media",'Mapa de Riesgos'!$L$64="Mayor"),CONCATENATE("R",'Mapa de Riesgos'!$A$64),"")</f>
        <v/>
      </c>
      <c r="AG26" s="479"/>
      <c r="AH26" s="468" t="str">
        <f>IF(AND('Mapa de Riesgos'!$H$52="Media",'Mapa de Riesgos'!$L$52="Catastrófico"),CONCATENATE("R",'Mapa de Riesgos'!$A$52),"")</f>
        <v/>
      </c>
      <c r="AI26" s="469"/>
      <c r="AJ26" s="469" t="str">
        <f>IF(AND('Mapa de Riesgos'!$H$58="Media",'Mapa de Riesgos'!$L$58="Catastrófico"),CONCATENATE("R",'Mapa de Riesgos'!$A$58),"")</f>
        <v/>
      </c>
      <c r="AK26" s="469"/>
      <c r="AL26" s="469" t="str">
        <f>IF(AND('Mapa de Riesgos'!$H$64="Media",'Mapa de Riesgos'!$L$64="Catastrófico"),CONCATENATE("R",'Mapa de Riesgos'!$A$64),"")</f>
        <v/>
      </c>
      <c r="AM26" s="470"/>
      <c r="AN26" s="83"/>
      <c r="AO26" s="520"/>
      <c r="AP26" s="521"/>
      <c r="AQ26" s="521"/>
      <c r="AR26" s="521"/>
      <c r="AS26" s="521"/>
      <c r="AT26" s="52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7"/>
      <c r="C27" s="497"/>
      <c r="D27" s="498"/>
      <c r="E27" s="490"/>
      <c r="F27" s="491"/>
      <c r="G27" s="491"/>
      <c r="H27" s="491"/>
      <c r="I27" s="492"/>
      <c r="J27" s="459"/>
      <c r="K27" s="460"/>
      <c r="L27" s="460"/>
      <c r="M27" s="460"/>
      <c r="N27" s="460"/>
      <c r="O27" s="461"/>
      <c r="P27" s="459"/>
      <c r="Q27" s="460"/>
      <c r="R27" s="460"/>
      <c r="S27" s="460"/>
      <c r="T27" s="460"/>
      <c r="U27" s="461"/>
      <c r="V27" s="459"/>
      <c r="W27" s="460"/>
      <c r="X27" s="460"/>
      <c r="Y27" s="460"/>
      <c r="Z27" s="460"/>
      <c r="AA27" s="461"/>
      <c r="AB27" s="477"/>
      <c r="AC27" s="478"/>
      <c r="AD27" s="478"/>
      <c r="AE27" s="478"/>
      <c r="AF27" s="478"/>
      <c r="AG27" s="479"/>
      <c r="AH27" s="468"/>
      <c r="AI27" s="469"/>
      <c r="AJ27" s="469"/>
      <c r="AK27" s="469"/>
      <c r="AL27" s="469"/>
      <c r="AM27" s="470"/>
      <c r="AN27" s="83"/>
      <c r="AO27" s="520"/>
      <c r="AP27" s="521"/>
      <c r="AQ27" s="521"/>
      <c r="AR27" s="521"/>
      <c r="AS27" s="521"/>
      <c r="AT27" s="52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7"/>
      <c r="C28" s="497"/>
      <c r="D28" s="498"/>
      <c r="E28" s="490"/>
      <c r="F28" s="491"/>
      <c r="G28" s="491"/>
      <c r="H28" s="491"/>
      <c r="I28" s="492"/>
      <c r="J28" s="459" t="str">
        <f>IF(AND('Mapa de Riesgos'!$H$70="Media",'Mapa de Riesgos'!$L$70="Leve"),CONCATENATE("R",'Mapa de Riesgos'!$A$70),"")</f>
        <v/>
      </c>
      <c r="K28" s="460"/>
      <c r="L28" s="460" t="str">
        <f>IF(AND('Mapa de Riesgos'!$H$76="Media",'Mapa de Riesgos'!$L$76="Leve"),CONCATENATE("R",'Mapa de Riesgos'!$A$76),"")</f>
        <v/>
      </c>
      <c r="M28" s="460"/>
      <c r="N28" s="460" t="str">
        <f>IF(AND('Mapa de Riesgos'!$H$82="Media",'Mapa de Riesgos'!$L$82="Leve"),CONCATENATE("R",'Mapa de Riesgos'!$A$82),"")</f>
        <v/>
      </c>
      <c r="O28" s="461"/>
      <c r="P28" s="459" t="str">
        <f>IF(AND('Mapa de Riesgos'!$H$70="Media",'Mapa de Riesgos'!$L$70="Menor"),CONCATENATE("R",'Mapa de Riesgos'!$A$70),"")</f>
        <v/>
      </c>
      <c r="Q28" s="460"/>
      <c r="R28" s="460" t="str">
        <f>IF(AND('Mapa de Riesgos'!$H$76="Media",'Mapa de Riesgos'!$L$76="Menor"),CONCATENATE("R",'Mapa de Riesgos'!$A$76),"")</f>
        <v/>
      </c>
      <c r="S28" s="460"/>
      <c r="T28" s="460" t="str">
        <f>IF(AND('Mapa de Riesgos'!$H$82="Media",'Mapa de Riesgos'!$L$82="Menor"),CONCATENATE("R",'Mapa de Riesgos'!$A$82),"")</f>
        <v/>
      </c>
      <c r="U28" s="461"/>
      <c r="V28" s="459" t="str">
        <f>IF(AND('Mapa de Riesgos'!$H$70="Media",'Mapa de Riesgos'!$L$70="Moderado"),CONCATENATE("R",'Mapa de Riesgos'!$A$70),"")</f>
        <v/>
      </c>
      <c r="W28" s="460"/>
      <c r="X28" s="460" t="str">
        <f>IF(AND('Mapa de Riesgos'!$H$76="Media",'Mapa de Riesgos'!$L$76="Moderado"),CONCATENATE("R",'Mapa de Riesgos'!$A$76),"")</f>
        <v/>
      </c>
      <c r="Y28" s="460"/>
      <c r="Z28" s="460" t="str">
        <f>IF(AND('Mapa de Riesgos'!$H$82="Media",'Mapa de Riesgos'!$L$82="Moderado"),CONCATENATE("R",'Mapa de Riesgos'!$A$82),"")</f>
        <v/>
      </c>
      <c r="AA28" s="461"/>
      <c r="AB28" s="477" t="str">
        <f>IF(AND('Mapa de Riesgos'!$H$70="Media",'Mapa de Riesgos'!$L$70="Mayor"),CONCATENATE("R",'Mapa de Riesgos'!$A$70),"")</f>
        <v/>
      </c>
      <c r="AC28" s="478"/>
      <c r="AD28" s="478" t="str">
        <f>IF(AND('Mapa de Riesgos'!$H$76="Media",'Mapa de Riesgos'!$L$76="Mayor"),CONCATENATE("R",'Mapa de Riesgos'!$A$76),"")</f>
        <v/>
      </c>
      <c r="AE28" s="478"/>
      <c r="AF28" s="478" t="str">
        <f>IF(AND('Mapa de Riesgos'!$H$82="Media",'Mapa de Riesgos'!$L$82="Mayor"),CONCATENATE("R",'Mapa de Riesgos'!$A$82),"")</f>
        <v/>
      </c>
      <c r="AG28" s="479"/>
      <c r="AH28" s="468" t="str">
        <f>IF(AND('Mapa de Riesgos'!$H$70="Media",'Mapa de Riesgos'!$L$70="Catastrófico"),CONCATENATE("R",'Mapa de Riesgos'!$A$70),"")</f>
        <v/>
      </c>
      <c r="AI28" s="469"/>
      <c r="AJ28" s="469" t="str">
        <f>IF(AND('Mapa de Riesgos'!$H$76="Media",'Mapa de Riesgos'!$L$76="Catastrófico"),CONCATENATE("R",'Mapa de Riesgos'!$A$76),"")</f>
        <v/>
      </c>
      <c r="AK28" s="469"/>
      <c r="AL28" s="469" t="str">
        <f>IF(AND('Mapa de Riesgos'!$H$82="Media",'Mapa de Riesgos'!$L$82="Catastrófico"),CONCATENATE("R",'Mapa de Riesgos'!$A$82),"")</f>
        <v/>
      </c>
      <c r="AM28" s="470"/>
      <c r="AN28" s="83"/>
      <c r="AO28" s="520"/>
      <c r="AP28" s="521"/>
      <c r="AQ28" s="521"/>
      <c r="AR28" s="521"/>
      <c r="AS28" s="521"/>
      <c r="AT28" s="52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7"/>
      <c r="C29" s="497"/>
      <c r="D29" s="498"/>
      <c r="E29" s="493"/>
      <c r="F29" s="494"/>
      <c r="G29" s="494"/>
      <c r="H29" s="494"/>
      <c r="I29" s="495"/>
      <c r="J29" s="459"/>
      <c r="K29" s="460"/>
      <c r="L29" s="460"/>
      <c r="M29" s="460"/>
      <c r="N29" s="460"/>
      <c r="O29" s="461"/>
      <c r="P29" s="462"/>
      <c r="Q29" s="463"/>
      <c r="R29" s="463"/>
      <c r="S29" s="463"/>
      <c r="T29" s="463"/>
      <c r="U29" s="464"/>
      <c r="V29" s="462"/>
      <c r="W29" s="463"/>
      <c r="X29" s="463"/>
      <c r="Y29" s="463"/>
      <c r="Z29" s="463"/>
      <c r="AA29" s="464"/>
      <c r="AB29" s="480"/>
      <c r="AC29" s="481"/>
      <c r="AD29" s="481"/>
      <c r="AE29" s="481"/>
      <c r="AF29" s="481"/>
      <c r="AG29" s="482"/>
      <c r="AH29" s="471"/>
      <c r="AI29" s="472"/>
      <c r="AJ29" s="472"/>
      <c r="AK29" s="472"/>
      <c r="AL29" s="472"/>
      <c r="AM29" s="473"/>
      <c r="AN29" s="83"/>
      <c r="AO29" s="523"/>
      <c r="AP29" s="524"/>
      <c r="AQ29" s="524"/>
      <c r="AR29" s="524"/>
      <c r="AS29" s="524"/>
      <c r="AT29" s="52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7"/>
      <c r="C30" s="497"/>
      <c r="D30" s="498"/>
      <c r="E30" s="487" t="s">
        <v>239</v>
      </c>
      <c r="F30" s="488"/>
      <c r="G30" s="488"/>
      <c r="H30" s="488"/>
      <c r="I30" s="488"/>
      <c r="J30" s="456" t="str">
        <f>IF(AND('Mapa de Riesgos'!$H$12="Baja",'Mapa de Riesgos'!$L$12="Leve"),CONCATENATE("R",'Mapa de Riesgos'!$A$12),"")</f>
        <v/>
      </c>
      <c r="K30" s="457"/>
      <c r="L30" s="457" t="str">
        <f>IF(AND('Mapa de Riesgos'!$H$18="Baja",'Mapa de Riesgos'!$L$18="Leve"),CONCATENATE("R",'Mapa de Riesgos'!$A$18),"")</f>
        <v/>
      </c>
      <c r="M30" s="457"/>
      <c r="N30" s="457" t="str">
        <f>IF(AND('Mapa de Riesgos'!$H$24="Baja",'Mapa de Riesgos'!$L$24="Leve"),CONCATENATE("R",'Mapa de Riesgos'!$A$24),"")</f>
        <v/>
      </c>
      <c r="O30" s="458"/>
      <c r="P30" s="466" t="str">
        <f>IF(AND('Mapa de Riesgos'!$H$12="Baja",'Mapa de Riesgos'!$L$12="Menor"),CONCATENATE("R",'Mapa de Riesgos'!$A$12),"")</f>
        <v/>
      </c>
      <c r="Q30" s="466"/>
      <c r="R30" s="466" t="str">
        <f>IF(AND('Mapa de Riesgos'!$H$18="Baja",'Mapa de Riesgos'!$L$18="Menor"),CONCATENATE("R",'Mapa de Riesgos'!$A$18),"")</f>
        <v/>
      </c>
      <c r="S30" s="466"/>
      <c r="T30" s="466" t="str">
        <f>IF(AND('Mapa de Riesgos'!$H$24="Baja",'Mapa de Riesgos'!$L$24="Menor"),CONCATENATE("R",'Mapa de Riesgos'!$A$24),"")</f>
        <v/>
      </c>
      <c r="U30" s="467"/>
      <c r="V30" s="465" t="str">
        <f>IF(AND('Mapa de Riesgos'!$H$12="Baja",'Mapa de Riesgos'!$L$12="Moderado"),CONCATENATE("R",'Mapa de Riesgos'!$A$12),"")</f>
        <v/>
      </c>
      <c r="W30" s="466"/>
      <c r="X30" s="466" t="str">
        <f>IF(AND('Mapa de Riesgos'!$H$18="Baja",'Mapa de Riesgos'!$L$18="Moderado"),CONCATENATE("R",'Mapa de Riesgos'!$A$18),"")</f>
        <v/>
      </c>
      <c r="Y30" s="466"/>
      <c r="Z30" s="466" t="str">
        <f>IF(AND('Mapa de Riesgos'!$H$24="Baja",'Mapa de Riesgos'!$L$24="Moderado"),CONCATENATE("R",'Mapa de Riesgos'!$A$24),"")</f>
        <v/>
      </c>
      <c r="AA30" s="467"/>
      <c r="AB30" s="483" t="str">
        <f>IF(AND('Mapa de Riesgos'!$H$12="Baja",'Mapa de Riesgos'!$L$12="Mayor"),CONCATENATE("R",'Mapa de Riesgos'!$A$12),"")</f>
        <v/>
      </c>
      <c r="AC30" s="484"/>
      <c r="AD30" s="484" t="str">
        <f>IF(AND('Mapa de Riesgos'!$H$18="Baja",'Mapa de Riesgos'!$L$18="Mayor"),CONCATENATE("R",'Mapa de Riesgos'!$A$18),"")</f>
        <v>R2</v>
      </c>
      <c r="AE30" s="484"/>
      <c r="AF30" s="484" t="str">
        <f>IF(AND('Mapa de Riesgos'!$H$24="Baja",'Mapa de Riesgos'!$L$24="Mayor"),CONCATENATE("R",'Mapa de Riesgos'!$A$24),"")</f>
        <v/>
      </c>
      <c r="AG30" s="485"/>
      <c r="AH30" s="474" t="str">
        <f>IF(AND('Mapa de Riesgos'!$H$12="Baja",'Mapa de Riesgos'!$L$12="Catastrófico"),CONCATENATE("R",'Mapa de Riesgos'!$A$12),"")</f>
        <v/>
      </c>
      <c r="AI30" s="475"/>
      <c r="AJ30" s="475" t="str">
        <f>IF(AND('Mapa de Riesgos'!$H$18="Baja",'Mapa de Riesgos'!$L$18="Catastrófico"),CONCATENATE("R",'Mapa de Riesgos'!$A$18),"")</f>
        <v/>
      </c>
      <c r="AK30" s="475"/>
      <c r="AL30" s="475" t="str">
        <f>IF(AND('Mapa de Riesgos'!$H$24="Baja",'Mapa de Riesgos'!$L$24="Catastrófico"),CONCATENATE("R",'Mapa de Riesgos'!$A$24),"")</f>
        <v/>
      </c>
      <c r="AM30" s="476"/>
      <c r="AN30" s="83"/>
      <c r="AO30" s="526" t="s">
        <v>240</v>
      </c>
      <c r="AP30" s="527"/>
      <c r="AQ30" s="527"/>
      <c r="AR30" s="527"/>
      <c r="AS30" s="527"/>
      <c r="AT30" s="52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7"/>
      <c r="C31" s="497"/>
      <c r="D31" s="498"/>
      <c r="E31" s="490"/>
      <c r="F31" s="491"/>
      <c r="G31" s="491"/>
      <c r="H31" s="491"/>
      <c r="I31" s="491"/>
      <c r="J31" s="450"/>
      <c r="K31" s="451"/>
      <c r="L31" s="451"/>
      <c r="M31" s="451"/>
      <c r="N31" s="451"/>
      <c r="O31" s="452"/>
      <c r="P31" s="460"/>
      <c r="Q31" s="460"/>
      <c r="R31" s="460"/>
      <c r="S31" s="460"/>
      <c r="T31" s="460"/>
      <c r="U31" s="461"/>
      <c r="V31" s="459"/>
      <c r="W31" s="460"/>
      <c r="X31" s="460"/>
      <c r="Y31" s="460"/>
      <c r="Z31" s="460"/>
      <c r="AA31" s="461"/>
      <c r="AB31" s="477"/>
      <c r="AC31" s="478"/>
      <c r="AD31" s="478"/>
      <c r="AE31" s="478"/>
      <c r="AF31" s="478"/>
      <c r="AG31" s="479"/>
      <c r="AH31" s="468"/>
      <c r="AI31" s="469"/>
      <c r="AJ31" s="469"/>
      <c r="AK31" s="469"/>
      <c r="AL31" s="469"/>
      <c r="AM31" s="470"/>
      <c r="AN31" s="83"/>
      <c r="AO31" s="529"/>
      <c r="AP31" s="530"/>
      <c r="AQ31" s="530"/>
      <c r="AR31" s="530"/>
      <c r="AS31" s="530"/>
      <c r="AT31" s="53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7"/>
      <c r="C32" s="497"/>
      <c r="D32" s="498"/>
      <c r="E32" s="490"/>
      <c r="F32" s="491"/>
      <c r="G32" s="491"/>
      <c r="H32" s="491"/>
      <c r="I32" s="491"/>
      <c r="J32" s="450" t="str">
        <f>IF(AND('Mapa de Riesgos'!$H$31="Baja",'Mapa de Riesgos'!$L$31="Leve"),CONCATENATE("R",'Mapa de Riesgos'!$A$31),"")</f>
        <v/>
      </c>
      <c r="K32" s="451"/>
      <c r="L32" s="451" t="str">
        <f>IF(AND('Mapa de Riesgos'!$H$39="Baja",'Mapa de Riesgos'!$L$39="Leve"),CONCATENATE("R",'Mapa de Riesgos'!$A$39),"")</f>
        <v/>
      </c>
      <c r="M32" s="451"/>
      <c r="N32" s="451" t="str">
        <f>IF(AND('Mapa de Riesgos'!$H$46="Baja",'Mapa de Riesgos'!$L$46="Leve"),CONCATENATE("R",'Mapa de Riesgos'!$A$46),"")</f>
        <v/>
      </c>
      <c r="O32" s="452"/>
      <c r="P32" s="460" t="str">
        <f>IF(AND('Mapa de Riesgos'!$H$31="Baja",'Mapa de Riesgos'!$L$31="Menor"),CONCATENATE("R",'Mapa de Riesgos'!$A$31),"")</f>
        <v/>
      </c>
      <c r="Q32" s="460"/>
      <c r="R32" s="460" t="str">
        <f>IF(AND('Mapa de Riesgos'!$H$39="Baja",'Mapa de Riesgos'!$L$39="Menor"),CONCATENATE("R",'Mapa de Riesgos'!$A$39),"")</f>
        <v/>
      </c>
      <c r="S32" s="460"/>
      <c r="T32" s="460" t="str">
        <f>IF(AND('Mapa de Riesgos'!$H$46="Baja",'Mapa de Riesgos'!$L$46="Menor"),CONCATENATE("R",'Mapa de Riesgos'!$A$46),"")</f>
        <v/>
      </c>
      <c r="U32" s="461"/>
      <c r="V32" s="459" t="str">
        <f>IF(AND('Mapa de Riesgos'!$H$31="Baja",'Mapa de Riesgos'!$L$31="Moderado"),CONCATENATE("R",'Mapa de Riesgos'!$A$31),"")</f>
        <v/>
      </c>
      <c r="W32" s="460"/>
      <c r="X32" s="460" t="str">
        <f>IF(AND('Mapa de Riesgos'!$H$39="Baja",'Mapa de Riesgos'!$L$39="Moderado"),CONCATENATE("R",'Mapa de Riesgos'!$A$39),"")</f>
        <v/>
      </c>
      <c r="Y32" s="460"/>
      <c r="Z32" s="460" t="str">
        <f>IF(AND('Mapa de Riesgos'!$H$46="Baja",'Mapa de Riesgos'!$L$46="Moderado"),CONCATENATE("R",'Mapa de Riesgos'!$A$46),"")</f>
        <v/>
      </c>
      <c r="AA32" s="461"/>
      <c r="AB32" s="477" t="str">
        <f>IF(AND('Mapa de Riesgos'!$H$31="Baja",'Mapa de Riesgos'!$L$31="Mayor"),CONCATENATE("R",'Mapa de Riesgos'!$A$31),"")</f>
        <v/>
      </c>
      <c r="AC32" s="478"/>
      <c r="AD32" s="478" t="str">
        <f>IF(AND('Mapa de Riesgos'!$H$39="Baja",'Mapa de Riesgos'!$L$39="Mayor"),CONCATENATE("R",'Mapa de Riesgos'!$A$39),"")</f>
        <v/>
      </c>
      <c r="AE32" s="478"/>
      <c r="AF32" s="478" t="str">
        <f>IF(AND('Mapa de Riesgos'!$H$46="Baja",'Mapa de Riesgos'!$L$46="Mayor"),CONCATENATE("R",'Mapa de Riesgos'!$A$46),"")</f>
        <v/>
      </c>
      <c r="AG32" s="479"/>
      <c r="AH32" s="468" t="str">
        <f>IF(AND('Mapa de Riesgos'!$H$31="Baja",'Mapa de Riesgos'!$L$31="Catastrófico"),CONCATENATE("R",'Mapa de Riesgos'!$A$31),"")</f>
        <v/>
      </c>
      <c r="AI32" s="469"/>
      <c r="AJ32" s="469" t="str">
        <f>IF(AND('Mapa de Riesgos'!$H$39="Baja",'Mapa de Riesgos'!$L$39="Catastrófico"),CONCATENATE("R",'Mapa de Riesgos'!$A$39),"")</f>
        <v/>
      </c>
      <c r="AK32" s="469"/>
      <c r="AL32" s="469" t="str">
        <f>IF(AND('Mapa de Riesgos'!$H$46="Baja",'Mapa de Riesgos'!$L$46="Catastrófico"),CONCATENATE("R",'Mapa de Riesgos'!$A$46),"")</f>
        <v/>
      </c>
      <c r="AM32" s="470"/>
      <c r="AN32" s="83"/>
      <c r="AO32" s="529"/>
      <c r="AP32" s="530"/>
      <c r="AQ32" s="530"/>
      <c r="AR32" s="530"/>
      <c r="AS32" s="530"/>
      <c r="AT32" s="53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7"/>
      <c r="C33" s="497"/>
      <c r="D33" s="498"/>
      <c r="E33" s="490"/>
      <c r="F33" s="491"/>
      <c r="G33" s="491"/>
      <c r="H33" s="491"/>
      <c r="I33" s="491"/>
      <c r="J33" s="450"/>
      <c r="K33" s="451"/>
      <c r="L33" s="451"/>
      <c r="M33" s="451"/>
      <c r="N33" s="451"/>
      <c r="O33" s="452"/>
      <c r="P33" s="460"/>
      <c r="Q33" s="460"/>
      <c r="R33" s="460"/>
      <c r="S33" s="460"/>
      <c r="T33" s="460"/>
      <c r="U33" s="461"/>
      <c r="V33" s="459"/>
      <c r="W33" s="460"/>
      <c r="X33" s="460"/>
      <c r="Y33" s="460"/>
      <c r="Z33" s="460"/>
      <c r="AA33" s="461"/>
      <c r="AB33" s="477"/>
      <c r="AC33" s="478"/>
      <c r="AD33" s="478"/>
      <c r="AE33" s="478"/>
      <c r="AF33" s="478"/>
      <c r="AG33" s="479"/>
      <c r="AH33" s="468"/>
      <c r="AI33" s="469"/>
      <c r="AJ33" s="469"/>
      <c r="AK33" s="469"/>
      <c r="AL33" s="469"/>
      <c r="AM33" s="470"/>
      <c r="AN33" s="83"/>
      <c r="AO33" s="529"/>
      <c r="AP33" s="530"/>
      <c r="AQ33" s="530"/>
      <c r="AR33" s="530"/>
      <c r="AS33" s="530"/>
      <c r="AT33" s="53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7"/>
      <c r="C34" s="497"/>
      <c r="D34" s="498"/>
      <c r="E34" s="490"/>
      <c r="F34" s="491"/>
      <c r="G34" s="491"/>
      <c r="H34" s="491"/>
      <c r="I34" s="491"/>
      <c r="J34" s="450" t="str">
        <f>IF(AND('Mapa de Riesgos'!$H$52="Baja",'Mapa de Riesgos'!$L$52="Leve"),CONCATENATE("R",'Mapa de Riesgos'!$A$52),"")</f>
        <v/>
      </c>
      <c r="K34" s="451"/>
      <c r="L34" s="451" t="str">
        <f>IF(AND('Mapa de Riesgos'!$H$58="Baja",'Mapa de Riesgos'!$L$58="Leve"),CONCATENATE("R",'Mapa de Riesgos'!$A$58),"")</f>
        <v/>
      </c>
      <c r="M34" s="451"/>
      <c r="N34" s="451" t="str">
        <f>IF(AND('Mapa de Riesgos'!$H$64="Baja",'Mapa de Riesgos'!$L$64="Leve"),CONCATENATE("R",'Mapa de Riesgos'!$A$64),"")</f>
        <v/>
      </c>
      <c r="O34" s="452"/>
      <c r="P34" s="460" t="str">
        <f>IF(AND('Mapa de Riesgos'!$H$52="Baja",'Mapa de Riesgos'!$L$52="Menor"),CONCATENATE("R",'Mapa de Riesgos'!$A$52),"")</f>
        <v/>
      </c>
      <c r="Q34" s="460"/>
      <c r="R34" s="460" t="str">
        <f>IF(AND('Mapa de Riesgos'!$H$58="Baja",'Mapa de Riesgos'!$L$58="Menor"),CONCATENATE("R",'Mapa de Riesgos'!$A$58),"")</f>
        <v/>
      </c>
      <c r="S34" s="460"/>
      <c r="T34" s="460" t="str">
        <f>IF(AND('Mapa de Riesgos'!$H$64="Baja",'Mapa de Riesgos'!$L$64="Menor"),CONCATENATE("R",'Mapa de Riesgos'!$A$64),"")</f>
        <v/>
      </c>
      <c r="U34" s="461"/>
      <c r="V34" s="459" t="str">
        <f>IF(AND('Mapa de Riesgos'!$H$52="Baja",'Mapa de Riesgos'!$L$52="Moderado"),CONCATENATE("R",'Mapa de Riesgos'!$A$52),"")</f>
        <v>R7</v>
      </c>
      <c r="W34" s="460"/>
      <c r="X34" s="460" t="str">
        <f>IF(AND('Mapa de Riesgos'!$H$58="Baja",'Mapa de Riesgos'!$L$58="Moderado"),CONCATENATE("R",'Mapa de Riesgos'!$A$58),"")</f>
        <v/>
      </c>
      <c r="Y34" s="460"/>
      <c r="Z34" s="460" t="str">
        <f>IF(AND('Mapa de Riesgos'!$H$64="Baja",'Mapa de Riesgos'!$L$64="Moderado"),CONCATENATE("R",'Mapa de Riesgos'!$A$64),"")</f>
        <v/>
      </c>
      <c r="AA34" s="461"/>
      <c r="AB34" s="477" t="str">
        <f>IF(AND('Mapa de Riesgos'!$H$52="Baja",'Mapa de Riesgos'!$L$52="Mayor"),CONCATENATE("R",'Mapa de Riesgos'!$A$52),"")</f>
        <v/>
      </c>
      <c r="AC34" s="478"/>
      <c r="AD34" s="478" t="str">
        <f>IF(AND('Mapa de Riesgos'!$H$58="Baja",'Mapa de Riesgos'!$L$58="Mayor"),CONCATENATE("R",'Mapa de Riesgos'!$A$58),"")</f>
        <v/>
      </c>
      <c r="AE34" s="478"/>
      <c r="AF34" s="478" t="str">
        <f>IF(AND('Mapa de Riesgos'!$H$64="Baja",'Mapa de Riesgos'!$L$64="Mayor"),CONCATENATE("R",'Mapa de Riesgos'!$A$64),"")</f>
        <v/>
      </c>
      <c r="AG34" s="479"/>
      <c r="AH34" s="468" t="str">
        <f>IF(AND('Mapa de Riesgos'!$H$52="Baja",'Mapa de Riesgos'!$L$52="Catastrófico"),CONCATENATE("R",'Mapa de Riesgos'!$A$52),"")</f>
        <v/>
      </c>
      <c r="AI34" s="469"/>
      <c r="AJ34" s="469" t="str">
        <f>IF(AND('Mapa de Riesgos'!$H$58="Baja",'Mapa de Riesgos'!$L$58="Catastrófico"),CONCATENATE("R",'Mapa de Riesgos'!$A$58),"")</f>
        <v/>
      </c>
      <c r="AK34" s="469"/>
      <c r="AL34" s="469" t="str">
        <f>IF(AND('Mapa de Riesgos'!$H$64="Baja",'Mapa de Riesgos'!$L$64="Catastrófico"),CONCATENATE("R",'Mapa de Riesgos'!$A$64),"")</f>
        <v/>
      </c>
      <c r="AM34" s="470"/>
      <c r="AN34" s="83"/>
      <c r="AO34" s="529"/>
      <c r="AP34" s="530"/>
      <c r="AQ34" s="530"/>
      <c r="AR34" s="530"/>
      <c r="AS34" s="530"/>
      <c r="AT34" s="53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7"/>
      <c r="C35" s="497"/>
      <c r="D35" s="498"/>
      <c r="E35" s="490"/>
      <c r="F35" s="491"/>
      <c r="G35" s="491"/>
      <c r="H35" s="491"/>
      <c r="I35" s="491"/>
      <c r="J35" s="450"/>
      <c r="K35" s="451"/>
      <c r="L35" s="451"/>
      <c r="M35" s="451"/>
      <c r="N35" s="451"/>
      <c r="O35" s="452"/>
      <c r="P35" s="460"/>
      <c r="Q35" s="460"/>
      <c r="R35" s="460"/>
      <c r="S35" s="460"/>
      <c r="T35" s="460"/>
      <c r="U35" s="461"/>
      <c r="V35" s="459"/>
      <c r="W35" s="460"/>
      <c r="X35" s="460"/>
      <c r="Y35" s="460"/>
      <c r="Z35" s="460"/>
      <c r="AA35" s="461"/>
      <c r="AB35" s="477"/>
      <c r="AC35" s="478"/>
      <c r="AD35" s="478"/>
      <c r="AE35" s="478"/>
      <c r="AF35" s="478"/>
      <c r="AG35" s="479"/>
      <c r="AH35" s="468"/>
      <c r="AI35" s="469"/>
      <c r="AJ35" s="469"/>
      <c r="AK35" s="469"/>
      <c r="AL35" s="469"/>
      <c r="AM35" s="470"/>
      <c r="AN35" s="83"/>
      <c r="AO35" s="529"/>
      <c r="AP35" s="530"/>
      <c r="AQ35" s="530"/>
      <c r="AR35" s="530"/>
      <c r="AS35" s="530"/>
      <c r="AT35" s="53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7"/>
      <c r="C36" s="497"/>
      <c r="D36" s="498"/>
      <c r="E36" s="490"/>
      <c r="F36" s="491"/>
      <c r="G36" s="491"/>
      <c r="H36" s="491"/>
      <c r="I36" s="491"/>
      <c r="J36" s="450" t="str">
        <f>IF(AND('Mapa de Riesgos'!$H$70="Baja",'Mapa de Riesgos'!$L$70="Leve"),CONCATENATE("R",'Mapa de Riesgos'!$A$70),"")</f>
        <v/>
      </c>
      <c r="K36" s="451"/>
      <c r="L36" s="451" t="str">
        <f>IF(AND('Mapa de Riesgos'!$H$76="Baja",'Mapa de Riesgos'!$L$76="Leve"),CONCATENATE("R",'Mapa de Riesgos'!$A$76),"")</f>
        <v/>
      </c>
      <c r="M36" s="451"/>
      <c r="N36" s="451" t="str">
        <f>IF(AND('Mapa de Riesgos'!$H$82="Baja",'Mapa de Riesgos'!$L$82="Leve"),CONCATENATE("R",'Mapa de Riesgos'!$A$82),"")</f>
        <v/>
      </c>
      <c r="O36" s="452"/>
      <c r="P36" s="460" t="str">
        <f>IF(AND('Mapa de Riesgos'!$H$70="Baja",'Mapa de Riesgos'!$L$70="Menor"),CONCATENATE("R",'Mapa de Riesgos'!$A$70),"")</f>
        <v/>
      </c>
      <c r="Q36" s="460"/>
      <c r="R36" s="460" t="str">
        <f>IF(AND('Mapa de Riesgos'!$H$76="Baja",'Mapa de Riesgos'!$L$76="Menor"),CONCATENATE("R",'Mapa de Riesgos'!$A$76),"")</f>
        <v/>
      </c>
      <c r="S36" s="460"/>
      <c r="T36" s="460" t="str">
        <f>IF(AND('Mapa de Riesgos'!$H$82="Baja",'Mapa de Riesgos'!$L$82="Menor"),CONCATENATE("R",'Mapa de Riesgos'!$A$82),"")</f>
        <v/>
      </c>
      <c r="U36" s="461"/>
      <c r="V36" s="459" t="str">
        <f>IF(AND('Mapa de Riesgos'!$H$70="Baja",'Mapa de Riesgos'!$L$70="Moderado"),CONCATENATE("R",'Mapa de Riesgos'!$A$70),"")</f>
        <v/>
      </c>
      <c r="W36" s="460"/>
      <c r="X36" s="460" t="str">
        <f>IF(AND('Mapa de Riesgos'!$H$76="Baja",'Mapa de Riesgos'!$L$76="Moderado"),CONCATENATE("R",'Mapa de Riesgos'!$A$76),"")</f>
        <v/>
      </c>
      <c r="Y36" s="460"/>
      <c r="Z36" s="460" t="str">
        <f>IF(AND('Mapa de Riesgos'!$H$82="Baja",'Mapa de Riesgos'!$L$82="Moderado"),CONCATENATE("R",'Mapa de Riesgos'!$A$82),"")</f>
        <v/>
      </c>
      <c r="AA36" s="461"/>
      <c r="AB36" s="477" t="str">
        <f>IF(AND('Mapa de Riesgos'!$H$70="Baja",'Mapa de Riesgos'!$L$70="Mayor"),CONCATENATE("R",'Mapa de Riesgos'!$A$70),"")</f>
        <v/>
      </c>
      <c r="AC36" s="478"/>
      <c r="AD36" s="478" t="str">
        <f>IF(AND('Mapa de Riesgos'!$H$76="Baja",'Mapa de Riesgos'!$L$76="Mayor"),CONCATENATE("R",'Mapa de Riesgos'!$A$76),"")</f>
        <v/>
      </c>
      <c r="AE36" s="478"/>
      <c r="AF36" s="478" t="str">
        <f>IF(AND('Mapa de Riesgos'!$H$82="Baja",'Mapa de Riesgos'!$L$82="Mayor"),CONCATENATE("R",'Mapa de Riesgos'!$A$82),"")</f>
        <v/>
      </c>
      <c r="AG36" s="479"/>
      <c r="AH36" s="468" t="str">
        <f>IF(AND('Mapa de Riesgos'!$H$70="Baja",'Mapa de Riesgos'!$L$70="Catastrófico"),CONCATENATE("R",'Mapa de Riesgos'!$A$70),"")</f>
        <v/>
      </c>
      <c r="AI36" s="469"/>
      <c r="AJ36" s="469" t="str">
        <f>IF(AND('Mapa de Riesgos'!$H$76="Baja",'Mapa de Riesgos'!$L$76="Catastrófico"),CONCATENATE("R",'Mapa de Riesgos'!$A$76),"")</f>
        <v/>
      </c>
      <c r="AK36" s="469"/>
      <c r="AL36" s="469" t="str">
        <f>IF(AND('Mapa de Riesgos'!$H$82="Baja",'Mapa de Riesgos'!$L$82="Catastrófico"),CONCATENATE("R",'Mapa de Riesgos'!$A$82),"")</f>
        <v/>
      </c>
      <c r="AM36" s="470"/>
      <c r="AN36" s="83"/>
      <c r="AO36" s="529"/>
      <c r="AP36" s="530"/>
      <c r="AQ36" s="530"/>
      <c r="AR36" s="530"/>
      <c r="AS36" s="530"/>
      <c r="AT36" s="53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7"/>
      <c r="C37" s="497"/>
      <c r="D37" s="498"/>
      <c r="E37" s="493"/>
      <c r="F37" s="494"/>
      <c r="G37" s="494"/>
      <c r="H37" s="494"/>
      <c r="I37" s="494"/>
      <c r="J37" s="453"/>
      <c r="K37" s="454"/>
      <c r="L37" s="454"/>
      <c r="M37" s="454"/>
      <c r="N37" s="454"/>
      <c r="O37" s="455"/>
      <c r="P37" s="463"/>
      <c r="Q37" s="463"/>
      <c r="R37" s="463"/>
      <c r="S37" s="463"/>
      <c r="T37" s="463"/>
      <c r="U37" s="464"/>
      <c r="V37" s="462"/>
      <c r="W37" s="463"/>
      <c r="X37" s="463"/>
      <c r="Y37" s="463"/>
      <c r="Z37" s="463"/>
      <c r="AA37" s="464"/>
      <c r="AB37" s="480"/>
      <c r="AC37" s="481"/>
      <c r="AD37" s="481"/>
      <c r="AE37" s="481"/>
      <c r="AF37" s="481"/>
      <c r="AG37" s="482"/>
      <c r="AH37" s="471"/>
      <c r="AI37" s="472"/>
      <c r="AJ37" s="472"/>
      <c r="AK37" s="472"/>
      <c r="AL37" s="472"/>
      <c r="AM37" s="473"/>
      <c r="AN37" s="83"/>
      <c r="AO37" s="532"/>
      <c r="AP37" s="533"/>
      <c r="AQ37" s="533"/>
      <c r="AR37" s="533"/>
      <c r="AS37" s="533"/>
      <c r="AT37" s="53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7"/>
      <c r="C38" s="497"/>
      <c r="D38" s="498"/>
      <c r="E38" s="487" t="s">
        <v>241</v>
      </c>
      <c r="F38" s="488"/>
      <c r="G38" s="488"/>
      <c r="H38" s="488"/>
      <c r="I38" s="489"/>
      <c r="J38" s="456" t="str">
        <f>IF(AND('Mapa de Riesgos'!$H$12="Muy Baja",'Mapa de Riesgos'!$L$12="Leve"),CONCATENATE("R",'Mapa de Riesgos'!$A$12),"")</f>
        <v/>
      </c>
      <c r="K38" s="457"/>
      <c r="L38" s="457" t="str">
        <f>IF(AND('Mapa de Riesgos'!$H$18="Muy Baja",'Mapa de Riesgos'!$L$18="Leve"),CONCATENATE("R",'Mapa de Riesgos'!$A$18),"")</f>
        <v/>
      </c>
      <c r="M38" s="457"/>
      <c r="N38" s="457" t="str">
        <f>IF(AND('Mapa de Riesgos'!$H$24="Muy Baja",'Mapa de Riesgos'!$L$24="Leve"),CONCATENATE("R",'Mapa de Riesgos'!$A$24),"")</f>
        <v/>
      </c>
      <c r="O38" s="458"/>
      <c r="P38" s="456" t="str">
        <f>IF(AND('Mapa de Riesgos'!$H$12="Muy Baja",'Mapa de Riesgos'!$L$12="Menor"),CONCATENATE("R",'Mapa de Riesgos'!$A$12),"")</f>
        <v/>
      </c>
      <c r="Q38" s="457"/>
      <c r="R38" s="457" t="str">
        <f>IF(AND('Mapa de Riesgos'!$H$18="Muy Baja",'Mapa de Riesgos'!$L$18="Menor"),CONCATENATE("R",'Mapa de Riesgos'!$A$18),"")</f>
        <v/>
      </c>
      <c r="S38" s="457"/>
      <c r="T38" s="457" t="str">
        <f>IF(AND('Mapa de Riesgos'!$H$24="Muy Baja",'Mapa de Riesgos'!$L$24="Menor"),CONCATENATE("R",'Mapa de Riesgos'!$A$24),"")</f>
        <v/>
      </c>
      <c r="U38" s="458"/>
      <c r="V38" s="465" t="str">
        <f>IF(AND('Mapa de Riesgos'!$H$12="Muy Baja",'Mapa de Riesgos'!$L$12="Moderado"),CONCATENATE("R",'Mapa de Riesgos'!$A$12),"")</f>
        <v/>
      </c>
      <c r="W38" s="466"/>
      <c r="X38" s="466" t="str">
        <f>IF(AND('Mapa de Riesgos'!$H$18="Muy Baja",'Mapa de Riesgos'!$L$18="Moderado"),CONCATENATE("R",'Mapa de Riesgos'!$A$18),"")</f>
        <v/>
      </c>
      <c r="Y38" s="466"/>
      <c r="Z38" s="466" t="str">
        <f>IF(AND('Mapa de Riesgos'!$H$24="Muy Baja",'Mapa de Riesgos'!$L$24="Moderado"),CONCATENATE("R",'Mapa de Riesgos'!$A$24),"")</f>
        <v/>
      </c>
      <c r="AA38" s="467"/>
      <c r="AB38" s="483" t="str">
        <f>IF(AND('Mapa de Riesgos'!$H$12="Muy Baja",'Mapa de Riesgos'!$L$12="Mayor"),CONCATENATE("R",'Mapa de Riesgos'!$A$12),"")</f>
        <v/>
      </c>
      <c r="AC38" s="484"/>
      <c r="AD38" s="484" t="str">
        <f>IF(AND('Mapa de Riesgos'!$H$18="Muy Baja",'Mapa de Riesgos'!$L$18="Mayor"),CONCATENATE("R",'Mapa de Riesgos'!$A$18),"")</f>
        <v/>
      </c>
      <c r="AE38" s="484"/>
      <c r="AF38" s="484" t="str">
        <f>IF(AND('Mapa de Riesgos'!$H$24="Muy Baja",'Mapa de Riesgos'!$L$24="Mayor"),CONCATENATE("R",'Mapa de Riesgos'!$A$24),"")</f>
        <v/>
      </c>
      <c r="AG38" s="485"/>
      <c r="AH38" s="474" t="str">
        <f>IF(AND('Mapa de Riesgos'!$H$12="Muy Baja",'Mapa de Riesgos'!$L$12="Catastrófico"),CONCATENATE("R",'Mapa de Riesgos'!$A$12),"")</f>
        <v/>
      </c>
      <c r="AI38" s="475"/>
      <c r="AJ38" s="475" t="str">
        <f>IF(AND('Mapa de Riesgos'!$H$18="Muy Baja",'Mapa de Riesgos'!$L$18="Catastrófico"),CONCATENATE("R",'Mapa de Riesgos'!$A$18),"")</f>
        <v/>
      </c>
      <c r="AK38" s="475"/>
      <c r="AL38" s="475" t="str">
        <f>IF(AND('Mapa de Riesgos'!$H$24="Muy Baja",'Mapa de Riesgos'!$L$24="Catastrófico"),CONCATENATE("R",'Mapa de Riesgos'!$A$24),"")</f>
        <v/>
      </c>
      <c r="AM38" s="476"/>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7"/>
      <c r="C39" s="497"/>
      <c r="D39" s="498"/>
      <c r="E39" s="490"/>
      <c r="F39" s="491"/>
      <c r="G39" s="491"/>
      <c r="H39" s="491"/>
      <c r="I39" s="492"/>
      <c r="J39" s="450"/>
      <c r="K39" s="451"/>
      <c r="L39" s="451"/>
      <c r="M39" s="451"/>
      <c r="N39" s="451"/>
      <c r="O39" s="452"/>
      <c r="P39" s="450"/>
      <c r="Q39" s="451"/>
      <c r="R39" s="451"/>
      <c r="S39" s="451"/>
      <c r="T39" s="451"/>
      <c r="U39" s="452"/>
      <c r="V39" s="459"/>
      <c r="W39" s="460"/>
      <c r="X39" s="460"/>
      <c r="Y39" s="460"/>
      <c r="Z39" s="460"/>
      <c r="AA39" s="461"/>
      <c r="AB39" s="477"/>
      <c r="AC39" s="478"/>
      <c r="AD39" s="478"/>
      <c r="AE39" s="478"/>
      <c r="AF39" s="478"/>
      <c r="AG39" s="479"/>
      <c r="AH39" s="468"/>
      <c r="AI39" s="469"/>
      <c r="AJ39" s="469"/>
      <c r="AK39" s="469"/>
      <c r="AL39" s="469"/>
      <c r="AM39" s="470"/>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7"/>
      <c r="C40" s="497"/>
      <c r="D40" s="498"/>
      <c r="E40" s="490"/>
      <c r="F40" s="491"/>
      <c r="G40" s="491"/>
      <c r="H40" s="491"/>
      <c r="I40" s="492"/>
      <c r="J40" s="450" t="str">
        <f>IF(AND('Mapa de Riesgos'!$H$31="Muy Baja",'Mapa de Riesgos'!$L$31="Leve"),CONCATENATE("R",'Mapa de Riesgos'!$A$31),"")</f>
        <v/>
      </c>
      <c r="K40" s="451"/>
      <c r="L40" s="451" t="str">
        <f>IF(AND('Mapa de Riesgos'!$H$39="Muy Baja",'Mapa de Riesgos'!$L$39="Leve"),CONCATENATE("R",'Mapa de Riesgos'!$A$39),"")</f>
        <v/>
      </c>
      <c r="M40" s="451"/>
      <c r="N40" s="451" t="str">
        <f>IF(AND('Mapa de Riesgos'!$H$46="Muy Baja",'Mapa de Riesgos'!$L$46="Leve"),CONCATENATE("R",'Mapa de Riesgos'!$A$46),"")</f>
        <v/>
      </c>
      <c r="O40" s="452"/>
      <c r="P40" s="450" t="str">
        <f>IF(AND('Mapa de Riesgos'!$H$31="Muy Baja",'Mapa de Riesgos'!$L$31="Menor"),CONCATENATE("R",'Mapa de Riesgos'!$A$31),"")</f>
        <v/>
      </c>
      <c r="Q40" s="451"/>
      <c r="R40" s="451" t="str">
        <f>IF(AND('Mapa de Riesgos'!$H$39="Muy Baja",'Mapa de Riesgos'!$L$39="Menor"),CONCATENATE("R",'Mapa de Riesgos'!$A$39),"")</f>
        <v/>
      </c>
      <c r="S40" s="451"/>
      <c r="T40" s="451" t="str">
        <f>IF(AND('Mapa de Riesgos'!$H$46="Muy Baja",'Mapa de Riesgos'!$L$46="Menor"),CONCATENATE("R",'Mapa de Riesgos'!$A$46),"")</f>
        <v/>
      </c>
      <c r="U40" s="452"/>
      <c r="V40" s="459" t="str">
        <f>IF(AND('Mapa de Riesgos'!$H$31="Muy Baja",'Mapa de Riesgos'!$L$31="Moderado"),CONCATENATE("R",'Mapa de Riesgos'!$A$31),"")</f>
        <v/>
      </c>
      <c r="W40" s="460"/>
      <c r="X40" s="460" t="str">
        <f>IF(AND('Mapa de Riesgos'!$H$39="Muy Baja",'Mapa de Riesgos'!$L$39="Moderado"),CONCATENATE("R",'Mapa de Riesgos'!$A$39),"")</f>
        <v/>
      </c>
      <c r="Y40" s="460"/>
      <c r="Z40" s="460" t="str">
        <f>IF(AND('Mapa de Riesgos'!$H$46="Muy Baja",'Mapa de Riesgos'!$L$46="Moderado"),CONCATENATE("R",'Mapa de Riesgos'!$A$46),"")</f>
        <v/>
      </c>
      <c r="AA40" s="461"/>
      <c r="AB40" s="477" t="str">
        <f>IF(AND('Mapa de Riesgos'!$H$31="Muy Baja",'Mapa de Riesgos'!$L$31="Mayor"),CONCATENATE("R",'Mapa de Riesgos'!$A$31),"")</f>
        <v/>
      </c>
      <c r="AC40" s="478"/>
      <c r="AD40" s="478" t="str">
        <f>IF(AND('Mapa de Riesgos'!$H$39="Muy Baja",'Mapa de Riesgos'!$L$39="Mayor"),CONCATENATE("R",'Mapa de Riesgos'!$A$39),"")</f>
        <v/>
      </c>
      <c r="AE40" s="478"/>
      <c r="AF40" s="478" t="str">
        <f>IF(AND('Mapa de Riesgos'!$H$46="Muy Baja",'Mapa de Riesgos'!$L$46="Mayor"),CONCATENATE("R",'Mapa de Riesgos'!$A$46),"")</f>
        <v/>
      </c>
      <c r="AG40" s="479"/>
      <c r="AH40" s="468" t="str">
        <f>IF(AND('Mapa de Riesgos'!$H$31="Muy Baja",'Mapa de Riesgos'!$L$31="Catastrófico"),CONCATENATE("R",'Mapa de Riesgos'!$A$31),"")</f>
        <v/>
      </c>
      <c r="AI40" s="469"/>
      <c r="AJ40" s="469" t="str">
        <f>IF(AND('Mapa de Riesgos'!$H$39="Muy Baja",'Mapa de Riesgos'!$L$39="Catastrófico"),CONCATENATE("R",'Mapa de Riesgos'!$A$39),"")</f>
        <v/>
      </c>
      <c r="AK40" s="469"/>
      <c r="AL40" s="469" t="str">
        <f>IF(AND('Mapa de Riesgos'!$H$46="Muy Baja",'Mapa de Riesgos'!$L$46="Catastrófico"),CONCATENATE("R",'Mapa de Riesgos'!$A$46),"")</f>
        <v/>
      </c>
      <c r="AM40" s="470"/>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7"/>
      <c r="C41" s="497"/>
      <c r="D41" s="498"/>
      <c r="E41" s="490"/>
      <c r="F41" s="491"/>
      <c r="G41" s="491"/>
      <c r="H41" s="491"/>
      <c r="I41" s="492"/>
      <c r="J41" s="450"/>
      <c r="K41" s="451"/>
      <c r="L41" s="451"/>
      <c r="M41" s="451"/>
      <c r="N41" s="451"/>
      <c r="O41" s="452"/>
      <c r="P41" s="450"/>
      <c r="Q41" s="451"/>
      <c r="R41" s="451"/>
      <c r="S41" s="451"/>
      <c r="T41" s="451"/>
      <c r="U41" s="452"/>
      <c r="V41" s="459"/>
      <c r="W41" s="460"/>
      <c r="X41" s="460"/>
      <c r="Y41" s="460"/>
      <c r="Z41" s="460"/>
      <c r="AA41" s="461"/>
      <c r="AB41" s="477"/>
      <c r="AC41" s="478"/>
      <c r="AD41" s="478"/>
      <c r="AE41" s="478"/>
      <c r="AF41" s="478"/>
      <c r="AG41" s="479"/>
      <c r="AH41" s="468"/>
      <c r="AI41" s="469"/>
      <c r="AJ41" s="469"/>
      <c r="AK41" s="469"/>
      <c r="AL41" s="469"/>
      <c r="AM41" s="470"/>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7"/>
      <c r="C42" s="497"/>
      <c r="D42" s="498"/>
      <c r="E42" s="490"/>
      <c r="F42" s="491"/>
      <c r="G42" s="491"/>
      <c r="H42" s="491"/>
      <c r="I42" s="492"/>
      <c r="J42" s="450" t="str">
        <f>IF(AND('Mapa de Riesgos'!$H$52="Muy Baja",'Mapa de Riesgos'!$L$52="Leve"),CONCATENATE("R",'Mapa de Riesgos'!$A$52),"")</f>
        <v/>
      </c>
      <c r="K42" s="451"/>
      <c r="L42" s="451" t="str">
        <f>IF(AND('Mapa de Riesgos'!$H$58="Muy Baja",'Mapa de Riesgos'!$L$58="Leve"),CONCATENATE("R",'Mapa de Riesgos'!$A$58),"")</f>
        <v/>
      </c>
      <c r="M42" s="451"/>
      <c r="N42" s="451" t="str">
        <f>IF(AND('Mapa de Riesgos'!$H$64="Muy Baja",'Mapa de Riesgos'!$L$64="Leve"),CONCATENATE("R",'Mapa de Riesgos'!$A$64),"")</f>
        <v/>
      </c>
      <c r="O42" s="452"/>
      <c r="P42" s="450" t="str">
        <f>IF(AND('Mapa de Riesgos'!$H$52="Muy Baja",'Mapa de Riesgos'!$L$52="Menor"),CONCATENATE("R",'Mapa de Riesgos'!$A$52),"")</f>
        <v/>
      </c>
      <c r="Q42" s="451"/>
      <c r="R42" s="451" t="str">
        <f>IF(AND('Mapa de Riesgos'!$H$58="Muy Baja",'Mapa de Riesgos'!$L$58="Menor"),CONCATENATE("R",'Mapa de Riesgos'!$A$58),"")</f>
        <v/>
      </c>
      <c r="S42" s="451"/>
      <c r="T42" s="451" t="str">
        <f>IF(AND('Mapa de Riesgos'!$H$64="Muy Baja",'Mapa de Riesgos'!$L$64="Menor"),CONCATENATE("R",'Mapa de Riesgos'!$A$64),"")</f>
        <v/>
      </c>
      <c r="U42" s="452"/>
      <c r="V42" s="459" t="str">
        <f>IF(AND('Mapa de Riesgos'!$H$52="Muy Baja",'Mapa de Riesgos'!$L$52="Moderado"),CONCATENATE("R",'Mapa de Riesgos'!$A$52),"")</f>
        <v/>
      </c>
      <c r="W42" s="460"/>
      <c r="X42" s="460" t="str">
        <f>IF(AND('Mapa de Riesgos'!$H$58="Muy Baja",'Mapa de Riesgos'!$L$58="Moderado"),CONCATENATE("R",'Mapa de Riesgos'!$A$58),"")</f>
        <v>R8</v>
      </c>
      <c r="Y42" s="460"/>
      <c r="Z42" s="460" t="str">
        <f>IF(AND('Mapa de Riesgos'!$H$64="Muy Baja",'Mapa de Riesgos'!$L$64="Moderado"),CONCATENATE("R",'Mapa de Riesgos'!$A$64),"")</f>
        <v/>
      </c>
      <c r="AA42" s="461"/>
      <c r="AB42" s="477" t="str">
        <f>IF(AND('Mapa de Riesgos'!$H$52="Muy Baja",'Mapa de Riesgos'!$L$52="Mayor"),CONCATENATE("R",'Mapa de Riesgos'!$A$52),"")</f>
        <v/>
      </c>
      <c r="AC42" s="478"/>
      <c r="AD42" s="478" t="str">
        <f>IF(AND('Mapa de Riesgos'!$H$58="Muy Baja",'Mapa de Riesgos'!$L$58="Mayor"),CONCATENATE("R",'Mapa de Riesgos'!$A$58),"")</f>
        <v/>
      </c>
      <c r="AE42" s="478"/>
      <c r="AF42" s="478" t="str">
        <f>IF(AND('Mapa de Riesgos'!$H$64="Muy Baja",'Mapa de Riesgos'!$L$64="Mayor"),CONCATENATE("R",'Mapa de Riesgos'!$A$64),"")</f>
        <v/>
      </c>
      <c r="AG42" s="479"/>
      <c r="AH42" s="468" t="str">
        <f>IF(AND('Mapa de Riesgos'!$H$52="Muy Baja",'Mapa de Riesgos'!$L$52="Catastrófico"),CONCATENATE("R",'Mapa de Riesgos'!$A$52),"")</f>
        <v/>
      </c>
      <c r="AI42" s="469"/>
      <c r="AJ42" s="469" t="str">
        <f>IF(AND('Mapa de Riesgos'!$H$58="Muy Baja",'Mapa de Riesgos'!$L$58="Catastrófico"),CONCATENATE("R",'Mapa de Riesgos'!$A$58),"")</f>
        <v/>
      </c>
      <c r="AK42" s="469"/>
      <c r="AL42" s="469" t="str">
        <f>IF(AND('Mapa de Riesgos'!$H$64="Muy Baja",'Mapa de Riesgos'!$L$64="Catastrófico"),CONCATENATE("R",'Mapa de Riesgos'!$A$64),"")</f>
        <v/>
      </c>
      <c r="AM42" s="470"/>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7"/>
      <c r="C43" s="497"/>
      <c r="D43" s="498"/>
      <c r="E43" s="490"/>
      <c r="F43" s="491"/>
      <c r="G43" s="491"/>
      <c r="H43" s="491"/>
      <c r="I43" s="492"/>
      <c r="J43" s="450"/>
      <c r="K43" s="451"/>
      <c r="L43" s="451"/>
      <c r="M43" s="451"/>
      <c r="N43" s="451"/>
      <c r="O43" s="452"/>
      <c r="P43" s="450"/>
      <c r="Q43" s="451"/>
      <c r="R43" s="451"/>
      <c r="S43" s="451"/>
      <c r="T43" s="451"/>
      <c r="U43" s="452"/>
      <c r="V43" s="459"/>
      <c r="W43" s="460"/>
      <c r="X43" s="460"/>
      <c r="Y43" s="460"/>
      <c r="Z43" s="460"/>
      <c r="AA43" s="461"/>
      <c r="AB43" s="477"/>
      <c r="AC43" s="478"/>
      <c r="AD43" s="478"/>
      <c r="AE43" s="478"/>
      <c r="AF43" s="478"/>
      <c r="AG43" s="479"/>
      <c r="AH43" s="468"/>
      <c r="AI43" s="469"/>
      <c r="AJ43" s="469"/>
      <c r="AK43" s="469"/>
      <c r="AL43" s="469"/>
      <c r="AM43" s="470"/>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7"/>
      <c r="C44" s="497"/>
      <c r="D44" s="498"/>
      <c r="E44" s="490"/>
      <c r="F44" s="491"/>
      <c r="G44" s="491"/>
      <c r="H44" s="491"/>
      <c r="I44" s="492"/>
      <c r="J44" s="450" t="str">
        <f>IF(AND('Mapa de Riesgos'!$H$70="Muy Baja",'Mapa de Riesgos'!$L$70="Leve"),CONCATENATE("R",'Mapa de Riesgos'!$A$70),"")</f>
        <v/>
      </c>
      <c r="K44" s="451"/>
      <c r="L44" s="451" t="str">
        <f>IF(AND('Mapa de Riesgos'!$H$76="Muy Baja",'Mapa de Riesgos'!$L$76="Leve"),CONCATENATE("R",'Mapa de Riesgos'!$A$76),"")</f>
        <v/>
      </c>
      <c r="M44" s="451"/>
      <c r="N44" s="451" t="str">
        <f>IF(AND('Mapa de Riesgos'!$H$82="Muy Baja",'Mapa de Riesgos'!$L$82="Leve"),CONCATENATE("R",'Mapa de Riesgos'!$A$82),"")</f>
        <v/>
      </c>
      <c r="O44" s="452"/>
      <c r="P44" s="450" t="str">
        <f>IF(AND('Mapa de Riesgos'!$H$70="Muy Baja",'Mapa de Riesgos'!$L$70="Menor"),CONCATENATE("R",'Mapa de Riesgos'!$A$70),"")</f>
        <v/>
      </c>
      <c r="Q44" s="451"/>
      <c r="R44" s="451" t="str">
        <f>IF(AND('Mapa de Riesgos'!$H$76="Muy Baja",'Mapa de Riesgos'!$L$76="Menor"),CONCATENATE("R",'Mapa de Riesgos'!$A$76),"")</f>
        <v/>
      </c>
      <c r="S44" s="451"/>
      <c r="T44" s="451" t="str">
        <f>IF(AND('Mapa de Riesgos'!$H$82="Muy Baja",'Mapa de Riesgos'!$L$82="Menor"),CONCATENATE("R",'Mapa de Riesgos'!$A$82),"")</f>
        <v/>
      </c>
      <c r="U44" s="452"/>
      <c r="V44" s="459" t="str">
        <f>IF(AND('Mapa de Riesgos'!$H$70="Muy Baja",'Mapa de Riesgos'!$L$70="Moderado"),CONCATENATE("R",'Mapa de Riesgos'!$A$70),"")</f>
        <v/>
      </c>
      <c r="W44" s="460"/>
      <c r="X44" s="460" t="str">
        <f>IF(AND('Mapa de Riesgos'!$H$76="Muy Baja",'Mapa de Riesgos'!$L$76="Moderado"),CONCATENATE("R",'Mapa de Riesgos'!$A$76),"")</f>
        <v/>
      </c>
      <c r="Y44" s="460"/>
      <c r="Z44" s="460" t="str">
        <f>IF(AND('Mapa de Riesgos'!$H$82="Muy Baja",'Mapa de Riesgos'!$L$82="Moderado"),CONCATENATE("R",'Mapa de Riesgos'!$A$82),"")</f>
        <v/>
      </c>
      <c r="AA44" s="461"/>
      <c r="AB44" s="477" t="str">
        <f>IF(AND('Mapa de Riesgos'!$H$70="Muy Baja",'Mapa de Riesgos'!$L$70="Mayor"),CONCATENATE("R",'Mapa de Riesgos'!$A$70),"")</f>
        <v/>
      </c>
      <c r="AC44" s="478"/>
      <c r="AD44" s="478" t="str">
        <f>IF(AND('Mapa de Riesgos'!$H$76="Muy Baja",'Mapa de Riesgos'!$L$76="Mayor"),CONCATENATE("R",'Mapa de Riesgos'!$A$76),"")</f>
        <v/>
      </c>
      <c r="AE44" s="478"/>
      <c r="AF44" s="478" t="str">
        <f>IF(AND('Mapa de Riesgos'!$H$82="Muy Baja",'Mapa de Riesgos'!$L$82="Mayor"),CONCATENATE("R",'Mapa de Riesgos'!$A$82),"")</f>
        <v/>
      </c>
      <c r="AG44" s="479"/>
      <c r="AH44" s="468" t="str">
        <f>IF(AND('Mapa de Riesgos'!$H$70="Muy Baja",'Mapa de Riesgos'!$L$70="Catastrófico"),CONCATENATE("R",'Mapa de Riesgos'!$A$70),"")</f>
        <v/>
      </c>
      <c r="AI44" s="469"/>
      <c r="AJ44" s="469" t="str">
        <f>IF(AND('Mapa de Riesgos'!$H$76="Muy Baja",'Mapa de Riesgos'!$L$76="Catastrófico"),CONCATENATE("R",'Mapa de Riesgos'!$A$76),"")</f>
        <v/>
      </c>
      <c r="AK44" s="469"/>
      <c r="AL44" s="469" t="str">
        <f>IF(AND('Mapa de Riesgos'!$H$82="Muy Baja",'Mapa de Riesgos'!$L$82="Catastrófico"),CONCATENATE("R",'Mapa de Riesgos'!$A$82),"")</f>
        <v/>
      </c>
      <c r="AM44" s="470"/>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7"/>
      <c r="C45" s="497"/>
      <c r="D45" s="498"/>
      <c r="E45" s="493"/>
      <c r="F45" s="494"/>
      <c r="G45" s="494"/>
      <c r="H45" s="494"/>
      <c r="I45" s="495"/>
      <c r="J45" s="453"/>
      <c r="K45" s="454"/>
      <c r="L45" s="454"/>
      <c r="M45" s="454"/>
      <c r="N45" s="454"/>
      <c r="O45" s="455"/>
      <c r="P45" s="453"/>
      <c r="Q45" s="454"/>
      <c r="R45" s="454"/>
      <c r="S45" s="454"/>
      <c r="T45" s="454"/>
      <c r="U45" s="455"/>
      <c r="V45" s="462"/>
      <c r="W45" s="463"/>
      <c r="X45" s="463"/>
      <c r="Y45" s="463"/>
      <c r="Z45" s="463"/>
      <c r="AA45" s="464"/>
      <c r="AB45" s="480"/>
      <c r="AC45" s="481"/>
      <c r="AD45" s="481"/>
      <c r="AE45" s="481"/>
      <c r="AF45" s="481"/>
      <c r="AG45" s="482"/>
      <c r="AH45" s="471"/>
      <c r="AI45" s="472"/>
      <c r="AJ45" s="472"/>
      <c r="AK45" s="472"/>
      <c r="AL45" s="472"/>
      <c r="AM45" s="47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7" t="s">
        <v>242</v>
      </c>
      <c r="K46" s="488"/>
      <c r="L46" s="488"/>
      <c r="M46" s="488"/>
      <c r="N46" s="488"/>
      <c r="O46" s="489"/>
      <c r="P46" s="487" t="s">
        <v>243</v>
      </c>
      <c r="Q46" s="488"/>
      <c r="R46" s="488"/>
      <c r="S46" s="488"/>
      <c r="T46" s="488"/>
      <c r="U46" s="489"/>
      <c r="V46" s="487" t="s">
        <v>244</v>
      </c>
      <c r="W46" s="488"/>
      <c r="X46" s="488"/>
      <c r="Y46" s="488"/>
      <c r="Z46" s="488"/>
      <c r="AA46" s="489"/>
      <c r="AB46" s="487" t="s">
        <v>245</v>
      </c>
      <c r="AC46" s="496"/>
      <c r="AD46" s="488"/>
      <c r="AE46" s="488"/>
      <c r="AF46" s="488"/>
      <c r="AG46" s="489"/>
      <c r="AH46" s="487" t="s">
        <v>246</v>
      </c>
      <c r="AI46" s="488"/>
      <c r="AJ46" s="488"/>
      <c r="AK46" s="488"/>
      <c r="AL46" s="488"/>
      <c r="AM46" s="48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90"/>
      <c r="K47" s="491"/>
      <c r="L47" s="491"/>
      <c r="M47" s="491"/>
      <c r="N47" s="491"/>
      <c r="O47" s="492"/>
      <c r="P47" s="490"/>
      <c r="Q47" s="491"/>
      <c r="R47" s="491"/>
      <c r="S47" s="491"/>
      <c r="T47" s="491"/>
      <c r="U47" s="492"/>
      <c r="V47" s="490"/>
      <c r="W47" s="491"/>
      <c r="X47" s="491"/>
      <c r="Y47" s="491"/>
      <c r="Z47" s="491"/>
      <c r="AA47" s="492"/>
      <c r="AB47" s="490"/>
      <c r="AC47" s="491"/>
      <c r="AD47" s="491"/>
      <c r="AE47" s="491"/>
      <c r="AF47" s="491"/>
      <c r="AG47" s="492"/>
      <c r="AH47" s="490"/>
      <c r="AI47" s="491"/>
      <c r="AJ47" s="491"/>
      <c r="AK47" s="491"/>
      <c r="AL47" s="491"/>
      <c r="AM47" s="49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90"/>
      <c r="K48" s="491"/>
      <c r="L48" s="491"/>
      <c r="M48" s="491"/>
      <c r="N48" s="491"/>
      <c r="O48" s="492"/>
      <c r="P48" s="490"/>
      <c r="Q48" s="491"/>
      <c r="R48" s="491"/>
      <c r="S48" s="491"/>
      <c r="T48" s="491"/>
      <c r="U48" s="492"/>
      <c r="V48" s="490"/>
      <c r="W48" s="491"/>
      <c r="X48" s="491"/>
      <c r="Y48" s="491"/>
      <c r="Z48" s="491"/>
      <c r="AA48" s="492"/>
      <c r="AB48" s="490"/>
      <c r="AC48" s="491"/>
      <c r="AD48" s="491"/>
      <c r="AE48" s="491"/>
      <c r="AF48" s="491"/>
      <c r="AG48" s="492"/>
      <c r="AH48" s="490"/>
      <c r="AI48" s="491"/>
      <c r="AJ48" s="491"/>
      <c r="AK48" s="491"/>
      <c r="AL48" s="491"/>
      <c r="AM48" s="49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90"/>
      <c r="K49" s="491"/>
      <c r="L49" s="491"/>
      <c r="M49" s="491"/>
      <c r="N49" s="491"/>
      <c r="O49" s="492"/>
      <c r="P49" s="490"/>
      <c r="Q49" s="491"/>
      <c r="R49" s="491"/>
      <c r="S49" s="491"/>
      <c r="T49" s="491"/>
      <c r="U49" s="492"/>
      <c r="V49" s="490"/>
      <c r="W49" s="491"/>
      <c r="X49" s="491"/>
      <c r="Y49" s="491"/>
      <c r="Z49" s="491"/>
      <c r="AA49" s="492"/>
      <c r="AB49" s="490"/>
      <c r="AC49" s="491"/>
      <c r="AD49" s="491"/>
      <c r="AE49" s="491"/>
      <c r="AF49" s="491"/>
      <c r="AG49" s="492"/>
      <c r="AH49" s="490"/>
      <c r="AI49" s="491"/>
      <c r="AJ49" s="491"/>
      <c r="AK49" s="491"/>
      <c r="AL49" s="491"/>
      <c r="AM49" s="49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90"/>
      <c r="K50" s="491"/>
      <c r="L50" s="491"/>
      <c r="M50" s="491"/>
      <c r="N50" s="491"/>
      <c r="O50" s="492"/>
      <c r="P50" s="490"/>
      <c r="Q50" s="491"/>
      <c r="R50" s="491"/>
      <c r="S50" s="491"/>
      <c r="T50" s="491"/>
      <c r="U50" s="492"/>
      <c r="V50" s="490"/>
      <c r="W50" s="491"/>
      <c r="X50" s="491"/>
      <c r="Y50" s="491"/>
      <c r="Z50" s="491"/>
      <c r="AA50" s="492"/>
      <c r="AB50" s="490"/>
      <c r="AC50" s="491"/>
      <c r="AD50" s="491"/>
      <c r="AE50" s="491"/>
      <c r="AF50" s="491"/>
      <c r="AG50" s="492"/>
      <c r="AH50" s="490"/>
      <c r="AI50" s="491"/>
      <c r="AJ50" s="491"/>
      <c r="AK50" s="491"/>
      <c r="AL50" s="491"/>
      <c r="AM50" s="49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3"/>
      <c r="K51" s="494"/>
      <c r="L51" s="494"/>
      <c r="M51" s="494"/>
      <c r="N51" s="494"/>
      <c r="O51" s="495"/>
      <c r="P51" s="493"/>
      <c r="Q51" s="494"/>
      <c r="R51" s="494"/>
      <c r="S51" s="494"/>
      <c r="T51" s="494"/>
      <c r="U51" s="495"/>
      <c r="V51" s="493"/>
      <c r="W51" s="494"/>
      <c r="X51" s="494"/>
      <c r="Y51" s="494"/>
      <c r="Z51" s="494"/>
      <c r="AA51" s="495"/>
      <c r="AB51" s="493"/>
      <c r="AC51" s="494"/>
      <c r="AD51" s="494"/>
      <c r="AE51" s="494"/>
      <c r="AF51" s="494"/>
      <c r="AG51" s="495"/>
      <c r="AH51" s="493"/>
      <c r="AI51" s="494"/>
      <c r="AJ51" s="494"/>
      <c r="AK51" s="494"/>
      <c r="AL51" s="494"/>
      <c r="AM51" s="49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2"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64" t="s">
        <v>247</v>
      </c>
      <c r="C2" s="565"/>
      <c r="D2" s="565"/>
      <c r="E2" s="565"/>
      <c r="F2" s="565"/>
      <c r="G2" s="565"/>
      <c r="H2" s="565"/>
      <c r="I2" s="565"/>
      <c r="J2" s="486" t="s">
        <v>26</v>
      </c>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65"/>
      <c r="C3" s="565"/>
      <c r="D3" s="565"/>
      <c r="E3" s="565"/>
      <c r="F3" s="565"/>
      <c r="G3" s="565"/>
      <c r="H3" s="565"/>
      <c r="I3" s="565"/>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65"/>
      <c r="C4" s="565"/>
      <c r="D4" s="565"/>
      <c r="E4" s="565"/>
      <c r="F4" s="565"/>
      <c r="G4" s="565"/>
      <c r="H4" s="565"/>
      <c r="I4" s="565"/>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7" t="s">
        <v>232</v>
      </c>
      <c r="C6" s="497"/>
      <c r="D6" s="498"/>
      <c r="E6" s="535" t="s">
        <v>233</v>
      </c>
      <c r="F6" s="536"/>
      <c r="G6" s="536"/>
      <c r="H6" s="536"/>
      <c r="I6" s="537"/>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55" t="s">
        <v>234</v>
      </c>
      <c r="AP6" s="556"/>
      <c r="AQ6" s="556"/>
      <c r="AR6" s="556"/>
      <c r="AS6" s="556"/>
      <c r="AT6" s="55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7"/>
      <c r="C7" s="497"/>
      <c r="D7" s="498"/>
      <c r="E7" s="538"/>
      <c r="F7" s="539"/>
      <c r="G7" s="539"/>
      <c r="H7" s="539"/>
      <c r="I7" s="540"/>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58"/>
      <c r="AP7" s="559"/>
      <c r="AQ7" s="559"/>
      <c r="AR7" s="559"/>
      <c r="AS7" s="559"/>
      <c r="AT7" s="56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7"/>
      <c r="C8" s="497"/>
      <c r="D8" s="498"/>
      <c r="E8" s="538"/>
      <c r="F8" s="539"/>
      <c r="G8" s="539"/>
      <c r="H8" s="539"/>
      <c r="I8" s="540"/>
      <c r="J8" s="52" t="str">
        <f>IF(AND('Mapa de Riesgos'!$Y$24="Muy Alta",'Mapa de Riesgos'!$AA$24="Leve"),CONCATENATE("R3C",'Mapa de Riesgos'!$O$24),"")</f>
        <v/>
      </c>
      <c r="K8" s="53" t="str">
        <f>IF(AND('Mapa de Riesgos'!$Y$26="Muy Alta",'Mapa de Riesgos'!$AA$26="Leve"),CONCATENATE("R3C",'Mapa de Riesgos'!$O$26),"")</f>
        <v/>
      </c>
      <c r="L8" s="53" t="str">
        <f>IF(AND('Mapa de Riesgos'!$Y$27="Muy Alta",'Mapa de Riesgos'!$AA$27="Leve"),CONCATENATE("R3C",'Mapa de Riesgos'!$O$27),"")</f>
        <v/>
      </c>
      <c r="M8" s="53" t="str">
        <f>IF(AND('Mapa de Riesgos'!$Y$28="Muy Alta",'Mapa de Riesgos'!$AA$28="Leve"),CONCATENATE("R3C",'Mapa de Riesgos'!$O$28),"")</f>
        <v/>
      </c>
      <c r="N8" s="53" t="str">
        <f>IF(AND('Mapa de Riesgos'!$Y$29="Muy Alta",'Mapa de Riesgos'!$AA$29="Leve"),CONCATENATE("R3C",'Mapa de Riesgos'!$O$29),"")</f>
        <v/>
      </c>
      <c r="O8" s="54" t="str">
        <f>IF(AND('Mapa de Riesgos'!$Y$30="Muy Alta",'Mapa de Riesgos'!$AA$30="Leve"),CONCATENATE("R3C",'Mapa de Riesgos'!$O$30),"")</f>
        <v/>
      </c>
      <c r="P8" s="52" t="str">
        <f>IF(AND('Mapa de Riesgos'!$Y$24="Muy Alta",'Mapa de Riesgos'!$AA$24="Menor"),CONCATENATE("R3C",'Mapa de Riesgos'!$O$24),"")</f>
        <v/>
      </c>
      <c r="Q8" s="53" t="str">
        <f>IF(AND('Mapa de Riesgos'!$Y$26="Muy Alta",'Mapa de Riesgos'!$AA$26="Menor"),CONCATENATE("R3C",'Mapa de Riesgos'!$O$26),"")</f>
        <v/>
      </c>
      <c r="R8" s="53" t="str">
        <f>IF(AND('Mapa de Riesgos'!$Y$27="Muy Alta",'Mapa de Riesgos'!$AA$27="Menor"),CONCATENATE("R3C",'Mapa de Riesgos'!$O$27),"")</f>
        <v/>
      </c>
      <c r="S8" s="53" t="str">
        <f>IF(AND('Mapa de Riesgos'!$Y$28="Muy Alta",'Mapa de Riesgos'!$AA$28="Menor"),CONCATENATE("R3C",'Mapa de Riesgos'!$O$28),"")</f>
        <v/>
      </c>
      <c r="T8" s="53" t="str">
        <f>IF(AND('Mapa de Riesgos'!$Y$29="Muy Alta",'Mapa de Riesgos'!$AA$29="Menor"),CONCATENATE("R3C",'Mapa de Riesgos'!$O$29),"")</f>
        <v/>
      </c>
      <c r="U8" s="54" t="str">
        <f>IF(AND('Mapa de Riesgos'!$Y$30="Muy Alta",'Mapa de Riesgos'!$AA$30="Menor"),CONCATENATE("R3C",'Mapa de Riesgos'!$O$30),"")</f>
        <v/>
      </c>
      <c r="V8" s="52" t="str">
        <f>IF(AND('Mapa de Riesgos'!$Y$24="Muy Alta",'Mapa de Riesgos'!$AA$24="Moderado"),CONCATENATE("R3C",'Mapa de Riesgos'!$O$24),"")</f>
        <v/>
      </c>
      <c r="W8" s="53" t="str">
        <f>IF(AND('Mapa de Riesgos'!$Y$26="Muy Alta",'Mapa de Riesgos'!$AA$26="Moderado"),CONCATENATE("R3C",'Mapa de Riesgos'!$O$26),"")</f>
        <v/>
      </c>
      <c r="X8" s="53" t="str">
        <f>IF(AND('Mapa de Riesgos'!$Y$27="Muy Alta",'Mapa de Riesgos'!$AA$27="Moderado"),CONCATENATE("R3C",'Mapa de Riesgos'!$O$27),"")</f>
        <v/>
      </c>
      <c r="Y8" s="53" t="str">
        <f>IF(AND('Mapa de Riesgos'!$Y$28="Muy Alta",'Mapa de Riesgos'!$AA$28="Moderado"),CONCATENATE("R3C",'Mapa de Riesgos'!$O$28),"")</f>
        <v/>
      </c>
      <c r="Z8" s="53" t="str">
        <f>IF(AND('Mapa de Riesgos'!$Y$29="Muy Alta",'Mapa de Riesgos'!$AA$29="Moderado"),CONCATENATE("R3C",'Mapa de Riesgos'!$O$29),"")</f>
        <v/>
      </c>
      <c r="AA8" s="54" t="str">
        <f>IF(AND('Mapa de Riesgos'!$Y$30="Muy Alta",'Mapa de Riesgos'!$AA$30="Moderado"),CONCATENATE("R3C",'Mapa de Riesgos'!$O$30),"")</f>
        <v/>
      </c>
      <c r="AB8" s="52" t="str">
        <f>IF(AND('Mapa de Riesgos'!$Y$24="Muy Alta",'Mapa de Riesgos'!$AA$24="Mayor"),CONCATENATE("R3C",'Mapa de Riesgos'!$O$24),"")</f>
        <v/>
      </c>
      <c r="AC8" s="53" t="str">
        <f>IF(AND('Mapa de Riesgos'!$Y$26="Muy Alta",'Mapa de Riesgos'!$AA$26="Mayor"),CONCATENATE("R3C",'Mapa de Riesgos'!$O$26),"")</f>
        <v/>
      </c>
      <c r="AD8" s="53" t="str">
        <f>IF(AND('Mapa de Riesgos'!$Y$27="Muy Alta",'Mapa de Riesgos'!$AA$27="Mayor"),CONCATENATE("R3C",'Mapa de Riesgos'!$O$27),"")</f>
        <v/>
      </c>
      <c r="AE8" s="53" t="str">
        <f>IF(AND('Mapa de Riesgos'!$Y$28="Muy Alta",'Mapa de Riesgos'!$AA$28="Mayor"),CONCATENATE("R3C",'Mapa de Riesgos'!$O$28),"")</f>
        <v/>
      </c>
      <c r="AF8" s="53" t="str">
        <f>IF(AND('Mapa de Riesgos'!$Y$29="Muy Alta",'Mapa de Riesgos'!$AA$29="Mayor"),CONCATENATE("R3C",'Mapa de Riesgos'!$O$29),"")</f>
        <v/>
      </c>
      <c r="AG8" s="54" t="str">
        <f>IF(AND('Mapa de Riesgos'!$Y$30="Muy Alta",'Mapa de Riesgos'!$AA$30="Mayor"),CONCATENATE("R3C",'Mapa de Riesgos'!$O$30),"")</f>
        <v/>
      </c>
      <c r="AH8" s="55" t="str">
        <f>IF(AND('Mapa de Riesgos'!$Y$24="Muy Alta",'Mapa de Riesgos'!$AA$24="Catastrófico"),CONCATENATE("R3C",'Mapa de Riesgos'!$O$24),"")</f>
        <v/>
      </c>
      <c r="AI8" s="56" t="str">
        <f>IF(AND('Mapa de Riesgos'!$Y$26="Muy Alta",'Mapa de Riesgos'!$AA$26="Catastrófico"),CONCATENATE("R3C",'Mapa de Riesgos'!$O$26),"")</f>
        <v/>
      </c>
      <c r="AJ8" s="56" t="str">
        <f>IF(AND('Mapa de Riesgos'!$Y$27="Muy Alta",'Mapa de Riesgos'!$AA$27="Catastrófico"),CONCATENATE("R3C",'Mapa de Riesgos'!$O$27),"")</f>
        <v/>
      </c>
      <c r="AK8" s="56" t="str">
        <f>IF(AND('Mapa de Riesgos'!$Y$28="Muy Alta",'Mapa de Riesgos'!$AA$28="Catastrófico"),CONCATENATE("R3C",'Mapa de Riesgos'!$O$28),"")</f>
        <v/>
      </c>
      <c r="AL8" s="56" t="str">
        <f>IF(AND('Mapa de Riesgos'!$Y$29="Muy Alta",'Mapa de Riesgos'!$AA$29="Catastrófico"),CONCATENATE("R3C",'Mapa de Riesgos'!$O$29),"")</f>
        <v/>
      </c>
      <c r="AM8" s="57" t="str">
        <f>IF(AND('Mapa de Riesgos'!$Y$30="Muy Alta",'Mapa de Riesgos'!$AA$30="Catastrófico"),CONCATENATE("R3C",'Mapa de Riesgos'!$O$30),"")</f>
        <v/>
      </c>
      <c r="AN8" s="83"/>
      <c r="AO8" s="558"/>
      <c r="AP8" s="559"/>
      <c r="AQ8" s="559"/>
      <c r="AR8" s="559"/>
      <c r="AS8" s="559"/>
      <c r="AT8" s="56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7"/>
      <c r="C9" s="497"/>
      <c r="D9" s="498"/>
      <c r="E9" s="538"/>
      <c r="F9" s="539"/>
      <c r="G9" s="539"/>
      <c r="H9" s="539"/>
      <c r="I9" s="540"/>
      <c r="J9" s="52" t="str">
        <f>IF(AND('Mapa de Riesgos'!$Y$31="Muy Alta",'Mapa de Riesgos'!$AA$31="Leve"),CONCATENATE("R4C",'Mapa de Riesgos'!$O$31),"")</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Riesgos'!$Y$31="Muy Alta",'Mapa de Riesgos'!$AA$31="Menor"),CONCATENATE("R4C",'Mapa de Riesgos'!$O$31),"")</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Riesgos'!$Y$31="Muy Alta",'Mapa de Riesgos'!$AA$31="Moderado"),CONCATENATE("R4C",'Mapa de Riesgos'!$O$31),"")</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Riesgos'!$Y$31="Muy Alta",'Mapa de Riesgos'!$AA$31="Mayor"),CONCATENATE("R4C",'Mapa de Riesgos'!$O$31),"")</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Riesgos'!$Y$31="Muy Alta",'Mapa de Riesgos'!$AA$31="Catastrófico"),CONCATENATE("R4C",'Mapa de Riesgos'!$O$31),"")</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58"/>
      <c r="AP9" s="559"/>
      <c r="AQ9" s="559"/>
      <c r="AR9" s="559"/>
      <c r="AS9" s="559"/>
      <c r="AT9" s="56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7"/>
      <c r="C10" s="497"/>
      <c r="D10" s="498"/>
      <c r="E10" s="538"/>
      <c r="F10" s="539"/>
      <c r="G10" s="539"/>
      <c r="H10" s="539"/>
      <c r="I10" s="540"/>
      <c r="J10" s="52" t="str">
        <f>IF(AND('Mapa de Riesgos'!$Y$39="Muy Alta",'Mapa de Riesgos'!$AA$39="Leve"),CONCATENATE("R5C",'Mapa de Riesgos'!$O$39),"")</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Riesgos'!$Y$39="Muy Alta",'Mapa de Riesgos'!$AA$39="Menor"),CONCATENATE("R5C",'Mapa de Riesgos'!$O$39),"")</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Riesgos'!$Y$39="Muy Alta",'Mapa de Riesgos'!$AA$39="Moderado"),CONCATENATE("R5C",'Mapa de Riesgos'!$O$39),"")</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Riesgos'!$Y$39="Muy Alta",'Mapa de Riesgos'!$AA$39="Mayor"),CONCATENATE("R5C",'Mapa de Riesgos'!$O$39),"")</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Riesgos'!$Y$39="Muy Alta",'Mapa de Riesgos'!$AA$39="Catastrófico"),CONCATENATE("R5C",'Mapa de Riesgos'!$O$39),"")</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58"/>
      <c r="AP10" s="559"/>
      <c r="AQ10" s="559"/>
      <c r="AR10" s="559"/>
      <c r="AS10" s="559"/>
      <c r="AT10" s="56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7"/>
      <c r="C11" s="497"/>
      <c r="D11" s="498"/>
      <c r="E11" s="538"/>
      <c r="F11" s="539"/>
      <c r="G11" s="539"/>
      <c r="H11" s="539"/>
      <c r="I11" s="540"/>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58"/>
      <c r="AP11" s="559"/>
      <c r="AQ11" s="559"/>
      <c r="AR11" s="559"/>
      <c r="AS11" s="559"/>
      <c r="AT11" s="56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7"/>
      <c r="C12" s="497"/>
      <c r="D12" s="498"/>
      <c r="E12" s="538"/>
      <c r="F12" s="539"/>
      <c r="G12" s="539"/>
      <c r="H12" s="539"/>
      <c r="I12" s="540"/>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58"/>
      <c r="AP12" s="559"/>
      <c r="AQ12" s="559"/>
      <c r="AR12" s="559"/>
      <c r="AS12" s="559"/>
      <c r="AT12" s="56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7"/>
      <c r="C13" s="497"/>
      <c r="D13" s="498"/>
      <c r="E13" s="538"/>
      <c r="F13" s="539"/>
      <c r="G13" s="539"/>
      <c r="H13" s="539"/>
      <c r="I13" s="540"/>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58"/>
      <c r="AP13" s="559"/>
      <c r="AQ13" s="559"/>
      <c r="AR13" s="559"/>
      <c r="AS13" s="559"/>
      <c r="AT13" s="56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7"/>
      <c r="C14" s="497"/>
      <c r="D14" s="498"/>
      <c r="E14" s="538"/>
      <c r="F14" s="539"/>
      <c r="G14" s="539"/>
      <c r="H14" s="539"/>
      <c r="I14" s="540"/>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58"/>
      <c r="AP14" s="559"/>
      <c r="AQ14" s="559"/>
      <c r="AR14" s="559"/>
      <c r="AS14" s="559"/>
      <c r="AT14" s="56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7"/>
      <c r="C15" s="497"/>
      <c r="D15" s="498"/>
      <c r="E15" s="541"/>
      <c r="F15" s="542"/>
      <c r="G15" s="542"/>
      <c r="H15" s="542"/>
      <c r="I15" s="543"/>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61"/>
      <c r="AP15" s="562"/>
      <c r="AQ15" s="562"/>
      <c r="AR15" s="562"/>
      <c r="AS15" s="562"/>
      <c r="AT15" s="56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7"/>
      <c r="C16" s="497"/>
      <c r="D16" s="498"/>
      <c r="E16" s="535" t="s">
        <v>235</v>
      </c>
      <c r="F16" s="536"/>
      <c r="G16" s="536"/>
      <c r="H16" s="536"/>
      <c r="I16" s="536"/>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45" t="s">
        <v>236</v>
      </c>
      <c r="AP16" s="546"/>
      <c r="AQ16" s="546"/>
      <c r="AR16" s="546"/>
      <c r="AS16" s="546"/>
      <c r="AT16" s="54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7"/>
      <c r="C17" s="497"/>
      <c r="D17" s="498"/>
      <c r="E17" s="554"/>
      <c r="F17" s="539"/>
      <c r="G17" s="539"/>
      <c r="H17" s="539"/>
      <c r="I17" s="539"/>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48"/>
      <c r="AP17" s="549"/>
      <c r="AQ17" s="549"/>
      <c r="AR17" s="549"/>
      <c r="AS17" s="549"/>
      <c r="AT17" s="55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7"/>
      <c r="C18" s="497"/>
      <c r="D18" s="498"/>
      <c r="E18" s="538"/>
      <c r="F18" s="539"/>
      <c r="G18" s="539"/>
      <c r="H18" s="539"/>
      <c r="I18" s="539"/>
      <c r="J18" s="67" t="str">
        <f>IF(AND('Mapa de Riesgos'!$Y$24="Alta",'Mapa de Riesgos'!$AA$24="Leve"),CONCATENATE("R3C",'Mapa de Riesgos'!$O$24),"")</f>
        <v/>
      </c>
      <c r="K18" s="68" t="str">
        <f>IF(AND('Mapa de Riesgos'!$Y$26="Alta",'Mapa de Riesgos'!$AA$26="Leve"),CONCATENATE("R3C",'Mapa de Riesgos'!$O$26),"")</f>
        <v/>
      </c>
      <c r="L18" s="68" t="str">
        <f>IF(AND('Mapa de Riesgos'!$Y$27="Alta",'Mapa de Riesgos'!$AA$27="Leve"),CONCATENATE("R3C",'Mapa de Riesgos'!$O$27),"")</f>
        <v/>
      </c>
      <c r="M18" s="68" t="str">
        <f>IF(AND('Mapa de Riesgos'!$Y$28="Alta",'Mapa de Riesgos'!$AA$28="Leve"),CONCATENATE("R3C",'Mapa de Riesgos'!$O$28),"")</f>
        <v/>
      </c>
      <c r="N18" s="68" t="str">
        <f>IF(AND('Mapa de Riesgos'!$Y$29="Alta",'Mapa de Riesgos'!$AA$29="Leve"),CONCATENATE("R3C",'Mapa de Riesgos'!$O$29),"")</f>
        <v/>
      </c>
      <c r="O18" s="69" t="str">
        <f>IF(AND('Mapa de Riesgos'!$Y$30="Alta",'Mapa de Riesgos'!$AA$30="Leve"),CONCATENATE("R3C",'Mapa de Riesgos'!$O$30),"")</f>
        <v/>
      </c>
      <c r="P18" s="67" t="str">
        <f>IF(AND('Mapa de Riesgos'!$Y$24="Alta",'Mapa de Riesgos'!$AA$24="Menor"),CONCATENATE("R3C",'Mapa de Riesgos'!$O$24),"")</f>
        <v/>
      </c>
      <c r="Q18" s="68" t="str">
        <f>IF(AND('Mapa de Riesgos'!$Y$26="Alta",'Mapa de Riesgos'!$AA$26="Menor"),CONCATENATE("R3C",'Mapa de Riesgos'!$O$26),"")</f>
        <v/>
      </c>
      <c r="R18" s="68" t="str">
        <f>IF(AND('Mapa de Riesgos'!$Y$27="Alta",'Mapa de Riesgos'!$AA$27="Menor"),CONCATENATE("R3C",'Mapa de Riesgos'!$O$27),"")</f>
        <v/>
      </c>
      <c r="S18" s="68" t="str">
        <f>IF(AND('Mapa de Riesgos'!$Y$28="Alta",'Mapa de Riesgos'!$AA$28="Menor"),CONCATENATE("R3C",'Mapa de Riesgos'!$O$28),"")</f>
        <v/>
      </c>
      <c r="T18" s="68" t="str">
        <f>IF(AND('Mapa de Riesgos'!$Y$29="Alta",'Mapa de Riesgos'!$AA$29="Menor"),CONCATENATE("R3C",'Mapa de Riesgos'!$O$29),"")</f>
        <v/>
      </c>
      <c r="U18" s="69" t="str">
        <f>IF(AND('Mapa de Riesgos'!$Y$30="Alta",'Mapa de Riesgos'!$AA$30="Menor"),CONCATENATE("R3C",'Mapa de Riesgos'!$O$30),"")</f>
        <v/>
      </c>
      <c r="V18" s="52" t="str">
        <f>IF(AND('Mapa de Riesgos'!$Y$24="Alta",'Mapa de Riesgos'!$AA$24="Moderado"),CONCATENATE("R3C",'Mapa de Riesgos'!$O$24),"")</f>
        <v/>
      </c>
      <c r="W18" s="53" t="str">
        <f>IF(AND('Mapa de Riesgos'!$Y$26="Alta",'Mapa de Riesgos'!$AA$26="Moderado"),CONCATENATE("R3C",'Mapa de Riesgos'!$O$26),"")</f>
        <v/>
      </c>
      <c r="X18" s="53" t="str">
        <f>IF(AND('Mapa de Riesgos'!$Y$27="Alta",'Mapa de Riesgos'!$AA$27="Moderado"),CONCATENATE("R3C",'Mapa de Riesgos'!$O$27),"")</f>
        <v/>
      </c>
      <c r="Y18" s="53" t="str">
        <f>IF(AND('Mapa de Riesgos'!$Y$28="Alta",'Mapa de Riesgos'!$AA$28="Moderado"),CONCATENATE("R3C",'Mapa de Riesgos'!$O$28),"")</f>
        <v/>
      </c>
      <c r="Z18" s="53" t="str">
        <f>IF(AND('Mapa de Riesgos'!$Y$29="Alta",'Mapa de Riesgos'!$AA$29="Moderado"),CONCATENATE("R3C",'Mapa de Riesgos'!$O$29),"")</f>
        <v/>
      </c>
      <c r="AA18" s="54" t="str">
        <f>IF(AND('Mapa de Riesgos'!$Y$30="Alta",'Mapa de Riesgos'!$AA$30="Moderado"),CONCATENATE("R3C",'Mapa de Riesgos'!$O$30),"")</f>
        <v/>
      </c>
      <c r="AB18" s="52" t="str">
        <f>IF(AND('Mapa de Riesgos'!$Y$24="Alta",'Mapa de Riesgos'!$AA$24="Mayor"),CONCATENATE("R3C",'Mapa de Riesgos'!$O$24),"")</f>
        <v/>
      </c>
      <c r="AC18" s="53" t="str">
        <f>IF(AND('Mapa de Riesgos'!$Y$26="Alta",'Mapa de Riesgos'!$AA$26="Mayor"),CONCATENATE("R3C",'Mapa de Riesgos'!$O$26),"")</f>
        <v/>
      </c>
      <c r="AD18" s="53" t="str">
        <f>IF(AND('Mapa de Riesgos'!$Y$27="Alta",'Mapa de Riesgos'!$AA$27="Mayor"),CONCATENATE("R3C",'Mapa de Riesgos'!$O$27),"")</f>
        <v/>
      </c>
      <c r="AE18" s="53" t="str">
        <f>IF(AND('Mapa de Riesgos'!$Y$28="Alta",'Mapa de Riesgos'!$AA$28="Mayor"),CONCATENATE("R3C",'Mapa de Riesgos'!$O$28),"")</f>
        <v/>
      </c>
      <c r="AF18" s="53" t="str">
        <f>IF(AND('Mapa de Riesgos'!$Y$29="Alta",'Mapa de Riesgos'!$AA$29="Mayor"),CONCATENATE("R3C",'Mapa de Riesgos'!$O$29),"")</f>
        <v/>
      </c>
      <c r="AG18" s="54" t="str">
        <f>IF(AND('Mapa de Riesgos'!$Y$30="Alta",'Mapa de Riesgos'!$AA$30="Mayor"),CONCATENATE("R3C",'Mapa de Riesgos'!$O$30),"")</f>
        <v/>
      </c>
      <c r="AH18" s="55" t="str">
        <f>IF(AND('Mapa de Riesgos'!$Y$24="Alta",'Mapa de Riesgos'!$AA$24="Catastrófico"),CONCATENATE("R3C",'Mapa de Riesgos'!$O$24),"")</f>
        <v/>
      </c>
      <c r="AI18" s="56" t="str">
        <f>IF(AND('Mapa de Riesgos'!$Y$26="Alta",'Mapa de Riesgos'!$AA$26="Catastrófico"),CONCATENATE("R3C",'Mapa de Riesgos'!$O$26),"")</f>
        <v/>
      </c>
      <c r="AJ18" s="56" t="str">
        <f>IF(AND('Mapa de Riesgos'!$Y$27="Alta",'Mapa de Riesgos'!$AA$27="Catastrófico"),CONCATENATE("R3C",'Mapa de Riesgos'!$O$27),"")</f>
        <v/>
      </c>
      <c r="AK18" s="56" t="str">
        <f>IF(AND('Mapa de Riesgos'!$Y$28="Alta",'Mapa de Riesgos'!$AA$28="Catastrófico"),CONCATENATE("R3C",'Mapa de Riesgos'!$O$28),"")</f>
        <v/>
      </c>
      <c r="AL18" s="56" t="str">
        <f>IF(AND('Mapa de Riesgos'!$Y$29="Alta",'Mapa de Riesgos'!$AA$29="Catastrófico"),CONCATENATE("R3C",'Mapa de Riesgos'!$O$29),"")</f>
        <v/>
      </c>
      <c r="AM18" s="57" t="str">
        <f>IF(AND('Mapa de Riesgos'!$Y$30="Alta",'Mapa de Riesgos'!$AA$30="Catastrófico"),CONCATENATE("R3C",'Mapa de Riesgos'!$O$30),"")</f>
        <v/>
      </c>
      <c r="AN18" s="83"/>
      <c r="AO18" s="548"/>
      <c r="AP18" s="549"/>
      <c r="AQ18" s="549"/>
      <c r="AR18" s="549"/>
      <c r="AS18" s="549"/>
      <c r="AT18" s="55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7"/>
      <c r="C19" s="497"/>
      <c r="D19" s="498"/>
      <c r="E19" s="538"/>
      <c r="F19" s="539"/>
      <c r="G19" s="539"/>
      <c r="H19" s="539"/>
      <c r="I19" s="539"/>
      <c r="J19" s="67" t="str">
        <f>IF(AND('Mapa de Riesgos'!$Y$31="Alta",'Mapa de Riesgos'!$AA$31="Leve"),CONCATENATE("R4C",'Mapa de Riesgos'!$O$31),"")</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Riesgos'!$Y$31="Alta",'Mapa de Riesgos'!$AA$31="Menor"),CONCATENATE("R4C",'Mapa de Riesgos'!$O$31),"")</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Riesgos'!$Y$31="Alta",'Mapa de Riesgos'!$AA$31="Moderado"),CONCATENATE("R4C",'Mapa de Riesgos'!$O$31),"")</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Riesgos'!$Y$31="Alta",'Mapa de Riesgos'!$AA$31="Mayor"),CONCATENATE("R4C",'Mapa de Riesgos'!$O$31),"")</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Riesgos'!$Y$31="Alta",'Mapa de Riesgos'!$AA$31="Catastrófico"),CONCATENATE("R4C",'Mapa de Riesgos'!$O$31),"")</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48"/>
      <c r="AP19" s="549"/>
      <c r="AQ19" s="549"/>
      <c r="AR19" s="549"/>
      <c r="AS19" s="549"/>
      <c r="AT19" s="55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7"/>
      <c r="C20" s="497"/>
      <c r="D20" s="498"/>
      <c r="E20" s="538"/>
      <c r="F20" s="539"/>
      <c r="G20" s="539"/>
      <c r="H20" s="539"/>
      <c r="I20" s="539"/>
      <c r="J20" s="67" t="str">
        <f>IF(AND('Mapa de Riesgos'!$Y$39="Alta",'Mapa de Riesgos'!$AA$39="Leve"),CONCATENATE("R5C",'Mapa de Riesgos'!$O$39),"")</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Riesgos'!$Y$39="Alta",'Mapa de Riesgos'!$AA$39="Menor"),CONCATENATE("R5C",'Mapa de Riesgos'!$O$39),"")</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Riesgos'!$Y$39="Alta",'Mapa de Riesgos'!$AA$39="Moderado"),CONCATENATE("R5C",'Mapa de Riesgos'!$O$39),"")</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Riesgos'!$Y$39="Alta",'Mapa de Riesgos'!$AA$39="Mayor"),CONCATENATE("R5C",'Mapa de Riesgos'!$O$39),"")</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Riesgos'!$Y$39="Alta",'Mapa de Riesgos'!$AA$39="Catastrófico"),CONCATENATE("R5C",'Mapa de Riesgos'!$O$39),"")</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48"/>
      <c r="AP20" s="549"/>
      <c r="AQ20" s="549"/>
      <c r="AR20" s="549"/>
      <c r="AS20" s="549"/>
      <c r="AT20" s="55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7"/>
      <c r="C21" s="497"/>
      <c r="D21" s="498"/>
      <c r="E21" s="538"/>
      <c r="F21" s="539"/>
      <c r="G21" s="539"/>
      <c r="H21" s="539"/>
      <c r="I21" s="539"/>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48"/>
      <c r="AP21" s="549"/>
      <c r="AQ21" s="549"/>
      <c r="AR21" s="549"/>
      <c r="AS21" s="549"/>
      <c r="AT21" s="55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7"/>
      <c r="C22" s="497"/>
      <c r="D22" s="498"/>
      <c r="E22" s="538"/>
      <c r="F22" s="539"/>
      <c r="G22" s="539"/>
      <c r="H22" s="539"/>
      <c r="I22" s="539"/>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48"/>
      <c r="AP22" s="549"/>
      <c r="AQ22" s="549"/>
      <c r="AR22" s="549"/>
      <c r="AS22" s="549"/>
      <c r="AT22" s="55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7"/>
      <c r="C23" s="497"/>
      <c r="D23" s="498"/>
      <c r="E23" s="538"/>
      <c r="F23" s="539"/>
      <c r="G23" s="539"/>
      <c r="H23" s="539"/>
      <c r="I23" s="539"/>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48"/>
      <c r="AP23" s="549"/>
      <c r="AQ23" s="549"/>
      <c r="AR23" s="549"/>
      <c r="AS23" s="549"/>
      <c r="AT23" s="55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7"/>
      <c r="C24" s="497"/>
      <c r="D24" s="498"/>
      <c r="E24" s="538"/>
      <c r="F24" s="539"/>
      <c r="G24" s="539"/>
      <c r="H24" s="539"/>
      <c r="I24" s="539"/>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48"/>
      <c r="AP24" s="549"/>
      <c r="AQ24" s="549"/>
      <c r="AR24" s="549"/>
      <c r="AS24" s="549"/>
      <c r="AT24" s="55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7"/>
      <c r="C25" s="497"/>
      <c r="D25" s="498"/>
      <c r="E25" s="541"/>
      <c r="F25" s="542"/>
      <c r="G25" s="542"/>
      <c r="H25" s="542"/>
      <c r="I25" s="542"/>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51"/>
      <c r="AP25" s="552"/>
      <c r="AQ25" s="552"/>
      <c r="AR25" s="552"/>
      <c r="AS25" s="552"/>
      <c r="AT25" s="55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7"/>
      <c r="C26" s="497"/>
      <c r="D26" s="498"/>
      <c r="E26" s="535" t="s">
        <v>237</v>
      </c>
      <c r="F26" s="536"/>
      <c r="G26" s="536"/>
      <c r="H26" s="536"/>
      <c r="I26" s="537"/>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75" t="s">
        <v>238</v>
      </c>
      <c r="AP26" s="576"/>
      <c r="AQ26" s="576"/>
      <c r="AR26" s="576"/>
      <c r="AS26" s="576"/>
      <c r="AT26" s="57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7"/>
      <c r="C27" s="497"/>
      <c r="D27" s="498"/>
      <c r="E27" s="554"/>
      <c r="F27" s="539"/>
      <c r="G27" s="539"/>
      <c r="H27" s="539"/>
      <c r="I27" s="540"/>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78"/>
      <c r="AP27" s="579"/>
      <c r="AQ27" s="579"/>
      <c r="AR27" s="579"/>
      <c r="AS27" s="579"/>
      <c r="AT27" s="58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7"/>
      <c r="C28" s="497"/>
      <c r="D28" s="498"/>
      <c r="E28" s="538"/>
      <c r="F28" s="539"/>
      <c r="G28" s="539"/>
      <c r="H28" s="539"/>
      <c r="I28" s="540"/>
      <c r="J28" s="67" t="str">
        <f>IF(AND('Mapa de Riesgos'!$Y$24="Media",'Mapa de Riesgos'!$AA$24="Leve"),CONCATENATE("R3C",'Mapa de Riesgos'!$O$24),"")</f>
        <v/>
      </c>
      <c r="K28" s="68" t="str">
        <f>IF(AND('Mapa de Riesgos'!$Y$26="Media",'Mapa de Riesgos'!$AA$26="Leve"),CONCATENATE("R3C",'Mapa de Riesgos'!$O$26),"")</f>
        <v/>
      </c>
      <c r="L28" s="68" t="str">
        <f>IF(AND('Mapa de Riesgos'!$Y$27="Media",'Mapa de Riesgos'!$AA$27="Leve"),CONCATENATE("R3C",'Mapa de Riesgos'!$O$27),"")</f>
        <v/>
      </c>
      <c r="M28" s="68" t="str">
        <f>IF(AND('Mapa de Riesgos'!$Y$28="Media",'Mapa de Riesgos'!$AA$28="Leve"),CONCATENATE("R3C",'Mapa de Riesgos'!$O$28),"")</f>
        <v/>
      </c>
      <c r="N28" s="68" t="str">
        <f>IF(AND('Mapa de Riesgos'!$Y$29="Media",'Mapa de Riesgos'!$AA$29="Leve"),CONCATENATE("R3C",'Mapa de Riesgos'!$O$29),"")</f>
        <v/>
      </c>
      <c r="O28" s="69" t="str">
        <f>IF(AND('Mapa de Riesgos'!$Y$30="Media",'Mapa de Riesgos'!$AA$30="Leve"),CONCATENATE("R3C",'Mapa de Riesgos'!$O$30),"")</f>
        <v/>
      </c>
      <c r="P28" s="67" t="str">
        <f>IF(AND('Mapa de Riesgos'!$Y$24="Media",'Mapa de Riesgos'!$AA$24="Menor"),CONCATENATE("R3C",'Mapa de Riesgos'!$O$24),"")</f>
        <v/>
      </c>
      <c r="Q28" s="68" t="str">
        <f>IF(AND('Mapa de Riesgos'!$Y$26="Media",'Mapa de Riesgos'!$AA$26="Menor"),CONCATENATE("R3C",'Mapa de Riesgos'!$O$26),"")</f>
        <v/>
      </c>
      <c r="R28" s="68" t="str">
        <f>IF(AND('Mapa de Riesgos'!$Y$27="Media",'Mapa de Riesgos'!$AA$27="Menor"),CONCATENATE("R3C",'Mapa de Riesgos'!$O$27),"")</f>
        <v/>
      </c>
      <c r="S28" s="68" t="str">
        <f>IF(AND('Mapa de Riesgos'!$Y$28="Media",'Mapa de Riesgos'!$AA$28="Menor"),CONCATENATE("R3C",'Mapa de Riesgos'!$O$28),"")</f>
        <v/>
      </c>
      <c r="T28" s="68" t="str">
        <f>IF(AND('Mapa de Riesgos'!$Y$29="Media",'Mapa de Riesgos'!$AA$29="Menor"),CONCATENATE("R3C",'Mapa de Riesgos'!$O$29),"")</f>
        <v/>
      </c>
      <c r="U28" s="69" t="str">
        <f>IF(AND('Mapa de Riesgos'!$Y$30="Media",'Mapa de Riesgos'!$AA$30="Menor"),CONCATENATE("R3C",'Mapa de Riesgos'!$O$30),"")</f>
        <v/>
      </c>
      <c r="V28" s="67" t="str">
        <f>IF(AND('Mapa de Riesgos'!$Y$24="Media",'Mapa de Riesgos'!$AA$24="Moderado"),CONCATENATE("R3C",'Mapa de Riesgos'!$O$24),"")</f>
        <v/>
      </c>
      <c r="W28" s="68" t="str">
        <f>IF(AND('Mapa de Riesgos'!$Y$26="Media",'Mapa de Riesgos'!$AA$26="Moderado"),CONCATENATE("R3C",'Mapa de Riesgos'!$O$26),"")</f>
        <v/>
      </c>
      <c r="X28" s="68" t="str">
        <f>IF(AND('Mapa de Riesgos'!$Y$27="Media",'Mapa de Riesgos'!$AA$27="Moderado"),CONCATENATE("R3C",'Mapa de Riesgos'!$O$27),"")</f>
        <v/>
      </c>
      <c r="Y28" s="68" t="str">
        <f>IF(AND('Mapa de Riesgos'!$Y$28="Media",'Mapa de Riesgos'!$AA$28="Moderado"),CONCATENATE("R3C",'Mapa de Riesgos'!$O$28),"")</f>
        <v/>
      </c>
      <c r="Z28" s="68" t="str">
        <f>IF(AND('Mapa de Riesgos'!$Y$29="Media",'Mapa de Riesgos'!$AA$29="Moderado"),CONCATENATE("R3C",'Mapa de Riesgos'!$O$29),"")</f>
        <v/>
      </c>
      <c r="AA28" s="69" t="str">
        <f>IF(AND('Mapa de Riesgos'!$Y$30="Media",'Mapa de Riesgos'!$AA$30="Moderado"),CONCATENATE("R3C",'Mapa de Riesgos'!$O$30),"")</f>
        <v/>
      </c>
      <c r="AB28" s="52" t="str">
        <f>IF(AND('Mapa de Riesgos'!$Y$24="Media",'Mapa de Riesgos'!$AA$24="Mayor"),CONCATENATE("R3C",'Mapa de Riesgos'!$O$24),"")</f>
        <v/>
      </c>
      <c r="AC28" s="53" t="str">
        <f>IF(AND('Mapa de Riesgos'!$Y$26="Media",'Mapa de Riesgos'!$AA$26="Mayor"),CONCATENATE("R3C",'Mapa de Riesgos'!$O$26),"")</f>
        <v/>
      </c>
      <c r="AD28" s="53" t="str">
        <f>IF(AND('Mapa de Riesgos'!$Y$27="Media",'Mapa de Riesgos'!$AA$27="Mayor"),CONCATENATE("R3C",'Mapa de Riesgos'!$O$27),"")</f>
        <v/>
      </c>
      <c r="AE28" s="53" t="str">
        <f>IF(AND('Mapa de Riesgos'!$Y$28="Media",'Mapa de Riesgos'!$AA$28="Mayor"),CONCATENATE("R3C",'Mapa de Riesgos'!$O$28),"")</f>
        <v/>
      </c>
      <c r="AF28" s="53" t="str">
        <f>IF(AND('Mapa de Riesgos'!$Y$29="Media",'Mapa de Riesgos'!$AA$29="Mayor"),CONCATENATE("R3C",'Mapa de Riesgos'!$O$29),"")</f>
        <v/>
      </c>
      <c r="AG28" s="54" t="str">
        <f>IF(AND('Mapa de Riesgos'!$Y$30="Media",'Mapa de Riesgos'!$AA$30="Mayor"),CONCATENATE("R3C",'Mapa de Riesgos'!$O$30),"")</f>
        <v/>
      </c>
      <c r="AH28" s="55" t="str">
        <f>IF(AND('Mapa de Riesgos'!$Y$24="Media",'Mapa de Riesgos'!$AA$24="Catastrófico"),CONCATENATE("R3C",'Mapa de Riesgos'!$O$24),"")</f>
        <v/>
      </c>
      <c r="AI28" s="56" t="str">
        <f>IF(AND('Mapa de Riesgos'!$Y$26="Media",'Mapa de Riesgos'!$AA$26="Catastrófico"),CONCATENATE("R3C",'Mapa de Riesgos'!$O$26),"")</f>
        <v/>
      </c>
      <c r="AJ28" s="56" t="str">
        <f>IF(AND('Mapa de Riesgos'!$Y$27="Media",'Mapa de Riesgos'!$AA$27="Catastrófico"),CONCATENATE("R3C",'Mapa de Riesgos'!$O$27),"")</f>
        <v/>
      </c>
      <c r="AK28" s="56" t="str">
        <f>IF(AND('Mapa de Riesgos'!$Y$28="Media",'Mapa de Riesgos'!$AA$28="Catastrófico"),CONCATENATE("R3C",'Mapa de Riesgos'!$O$28),"")</f>
        <v/>
      </c>
      <c r="AL28" s="56" t="str">
        <f>IF(AND('Mapa de Riesgos'!$Y$29="Media",'Mapa de Riesgos'!$AA$29="Catastrófico"),CONCATENATE("R3C",'Mapa de Riesgos'!$O$29),"")</f>
        <v/>
      </c>
      <c r="AM28" s="57" t="str">
        <f>IF(AND('Mapa de Riesgos'!$Y$30="Media",'Mapa de Riesgos'!$AA$30="Catastrófico"),CONCATENATE("R3C",'Mapa de Riesgos'!$O$30),"")</f>
        <v/>
      </c>
      <c r="AN28" s="83"/>
      <c r="AO28" s="578"/>
      <c r="AP28" s="579"/>
      <c r="AQ28" s="579"/>
      <c r="AR28" s="579"/>
      <c r="AS28" s="579"/>
      <c r="AT28" s="58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7"/>
      <c r="C29" s="497"/>
      <c r="D29" s="498"/>
      <c r="E29" s="538"/>
      <c r="F29" s="539"/>
      <c r="G29" s="539"/>
      <c r="H29" s="539"/>
      <c r="I29" s="540"/>
      <c r="J29" s="67" t="str">
        <f>IF(AND('Mapa de Riesgos'!$Y$31="Media",'Mapa de Riesgos'!$AA$31="Leve"),CONCATENATE("R4C",'Mapa de Riesgos'!$O$31),"")</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Riesgos'!$Y$31="Media",'Mapa de Riesgos'!$AA$31="Menor"),CONCATENATE("R4C",'Mapa de Riesgos'!$O$31),"")</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Riesgos'!$Y$31="Media",'Mapa de Riesgos'!$AA$31="Moderado"),CONCATENATE("R4C",'Mapa de Riesgos'!$O$31),"")</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Riesgos'!$Y$31="Media",'Mapa de Riesgos'!$AA$31="Mayor"),CONCATENATE("R4C",'Mapa de Riesgos'!$O$31),"")</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Riesgos'!$Y$31="Media",'Mapa de Riesgos'!$AA$31="Catastrófico"),CONCATENATE("R4C",'Mapa de Riesgos'!$O$31),"")</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78"/>
      <c r="AP29" s="579"/>
      <c r="AQ29" s="579"/>
      <c r="AR29" s="579"/>
      <c r="AS29" s="579"/>
      <c r="AT29" s="58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7"/>
      <c r="C30" s="497"/>
      <c r="D30" s="498"/>
      <c r="E30" s="538"/>
      <c r="F30" s="539"/>
      <c r="G30" s="539"/>
      <c r="H30" s="539"/>
      <c r="I30" s="540"/>
      <c r="J30" s="67" t="str">
        <f>IF(AND('Mapa de Riesgos'!$Y$39="Media",'Mapa de Riesgos'!$AA$39="Leve"),CONCATENATE("R5C",'Mapa de Riesgos'!$O$39),"")</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Riesgos'!$Y$39="Media",'Mapa de Riesgos'!$AA$39="Menor"),CONCATENATE("R5C",'Mapa de Riesgos'!$O$39),"")</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Riesgos'!$Y$39="Media",'Mapa de Riesgos'!$AA$39="Moderado"),CONCATENATE("R5C",'Mapa de Riesgos'!$O$39),"")</f>
        <v>R5C1</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Riesgos'!$Y$39="Media",'Mapa de Riesgos'!$AA$39="Mayor"),CONCATENATE("R5C",'Mapa de Riesgos'!$O$39),"")</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Riesgos'!$Y$39="Media",'Mapa de Riesgos'!$AA$39="Catastrófico"),CONCATENATE("R5C",'Mapa de Riesgos'!$O$39),"")</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578"/>
      <c r="AP30" s="579"/>
      <c r="AQ30" s="579"/>
      <c r="AR30" s="579"/>
      <c r="AS30" s="579"/>
      <c r="AT30" s="58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7"/>
      <c r="C31" s="497"/>
      <c r="D31" s="498"/>
      <c r="E31" s="538"/>
      <c r="F31" s="539"/>
      <c r="G31" s="539"/>
      <c r="H31" s="539"/>
      <c r="I31" s="540"/>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578"/>
      <c r="AP31" s="579"/>
      <c r="AQ31" s="579"/>
      <c r="AR31" s="579"/>
      <c r="AS31" s="579"/>
      <c r="AT31" s="58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7"/>
      <c r="C32" s="497"/>
      <c r="D32" s="498"/>
      <c r="E32" s="538"/>
      <c r="F32" s="539"/>
      <c r="G32" s="539"/>
      <c r="H32" s="539"/>
      <c r="I32" s="540"/>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578"/>
      <c r="AP32" s="579"/>
      <c r="AQ32" s="579"/>
      <c r="AR32" s="579"/>
      <c r="AS32" s="579"/>
      <c r="AT32" s="58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7"/>
      <c r="C33" s="497"/>
      <c r="D33" s="498"/>
      <c r="E33" s="538"/>
      <c r="F33" s="539"/>
      <c r="G33" s="539"/>
      <c r="H33" s="539"/>
      <c r="I33" s="540"/>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578"/>
      <c r="AP33" s="579"/>
      <c r="AQ33" s="579"/>
      <c r="AR33" s="579"/>
      <c r="AS33" s="579"/>
      <c r="AT33" s="58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7"/>
      <c r="C34" s="497"/>
      <c r="D34" s="498"/>
      <c r="E34" s="538"/>
      <c r="F34" s="539"/>
      <c r="G34" s="539"/>
      <c r="H34" s="539"/>
      <c r="I34" s="540"/>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578"/>
      <c r="AP34" s="579"/>
      <c r="AQ34" s="579"/>
      <c r="AR34" s="579"/>
      <c r="AS34" s="579"/>
      <c r="AT34" s="58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7"/>
      <c r="C35" s="497"/>
      <c r="D35" s="498"/>
      <c r="E35" s="541"/>
      <c r="F35" s="542"/>
      <c r="G35" s="542"/>
      <c r="H35" s="542"/>
      <c r="I35" s="543"/>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R10C1</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581"/>
      <c r="AP35" s="582"/>
      <c r="AQ35" s="582"/>
      <c r="AR35" s="582"/>
      <c r="AS35" s="582"/>
      <c r="AT35" s="5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7"/>
      <c r="C36" s="497"/>
      <c r="D36" s="498"/>
      <c r="E36" s="535" t="s">
        <v>239</v>
      </c>
      <c r="F36" s="536"/>
      <c r="G36" s="536"/>
      <c r="H36" s="536"/>
      <c r="I36" s="536"/>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6" t="s">
        <v>240</v>
      </c>
      <c r="AP36" s="567"/>
      <c r="AQ36" s="567"/>
      <c r="AR36" s="567"/>
      <c r="AS36" s="567"/>
      <c r="AT36" s="56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7"/>
      <c r="C37" s="497"/>
      <c r="D37" s="498"/>
      <c r="E37" s="554"/>
      <c r="F37" s="539"/>
      <c r="G37" s="539"/>
      <c r="H37" s="539"/>
      <c r="I37" s="539"/>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R2C1</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69"/>
      <c r="AP37" s="570"/>
      <c r="AQ37" s="570"/>
      <c r="AR37" s="570"/>
      <c r="AS37" s="570"/>
      <c r="AT37" s="57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7"/>
      <c r="C38" s="497"/>
      <c r="D38" s="498"/>
      <c r="E38" s="538"/>
      <c r="F38" s="539"/>
      <c r="G38" s="539"/>
      <c r="H38" s="539"/>
      <c r="I38" s="539"/>
      <c r="J38" s="76" t="str">
        <f>IF(AND('Mapa de Riesgos'!$Y$24="Baja",'Mapa de Riesgos'!$AA$24="Leve"),CONCATENATE("R3C",'Mapa de Riesgos'!$O$24),"")</f>
        <v/>
      </c>
      <c r="K38" s="77" t="str">
        <f>IF(AND('Mapa de Riesgos'!$Y$26="Baja",'Mapa de Riesgos'!$AA$26="Leve"),CONCATENATE("R3C",'Mapa de Riesgos'!$O$26),"")</f>
        <v/>
      </c>
      <c r="L38" s="77" t="str">
        <f>IF(AND('Mapa de Riesgos'!$Y$27="Baja",'Mapa de Riesgos'!$AA$27="Leve"),CONCATENATE("R3C",'Mapa de Riesgos'!$O$27),"")</f>
        <v/>
      </c>
      <c r="M38" s="77" t="str">
        <f>IF(AND('Mapa de Riesgos'!$Y$28="Baja",'Mapa de Riesgos'!$AA$28="Leve"),CONCATENATE("R3C",'Mapa de Riesgos'!$O$28),"")</f>
        <v/>
      </c>
      <c r="N38" s="77" t="str">
        <f>IF(AND('Mapa de Riesgos'!$Y$29="Baja",'Mapa de Riesgos'!$AA$29="Leve"),CONCATENATE("R3C",'Mapa de Riesgos'!$O$29),"")</f>
        <v/>
      </c>
      <c r="O38" s="78" t="str">
        <f>IF(AND('Mapa de Riesgos'!$Y$30="Baja",'Mapa de Riesgos'!$AA$30="Leve"),CONCATENATE("R3C",'Mapa de Riesgos'!$O$30),"")</f>
        <v/>
      </c>
      <c r="P38" s="67" t="str">
        <f>IF(AND('Mapa de Riesgos'!$Y$24="Baja",'Mapa de Riesgos'!$AA$24="Menor"),CONCATENATE("R3C",'Mapa de Riesgos'!$O$24),"")</f>
        <v/>
      </c>
      <c r="Q38" s="68" t="str">
        <f>IF(AND('Mapa de Riesgos'!$Y$26="Baja",'Mapa de Riesgos'!$AA$26="Menor"),CONCATENATE("R3C",'Mapa de Riesgos'!$O$26),"")</f>
        <v/>
      </c>
      <c r="R38" s="68" t="str">
        <f>IF(AND('Mapa de Riesgos'!$Y$27="Baja",'Mapa de Riesgos'!$AA$27="Menor"),CONCATENATE("R3C",'Mapa de Riesgos'!$O$27),"")</f>
        <v/>
      </c>
      <c r="S38" s="68" t="str">
        <f>IF(AND('Mapa de Riesgos'!$Y$28="Baja",'Mapa de Riesgos'!$AA$28="Menor"),CONCATENATE("R3C",'Mapa de Riesgos'!$O$28),"")</f>
        <v/>
      </c>
      <c r="T38" s="68" t="str">
        <f>IF(AND('Mapa de Riesgos'!$Y$29="Baja",'Mapa de Riesgos'!$AA$29="Menor"),CONCATENATE("R3C",'Mapa de Riesgos'!$O$29),"")</f>
        <v/>
      </c>
      <c r="U38" s="69" t="str">
        <f>IF(AND('Mapa de Riesgos'!$Y$30="Baja",'Mapa de Riesgos'!$AA$30="Menor"),CONCATENATE("R3C",'Mapa de Riesgos'!$O$30),"")</f>
        <v/>
      </c>
      <c r="V38" s="67" t="str">
        <f>IF(AND('Mapa de Riesgos'!$Y$24="Baja",'Mapa de Riesgos'!$AA$24="Moderado"),CONCATENATE("R3C",'Mapa de Riesgos'!$O$24),"")</f>
        <v/>
      </c>
      <c r="W38" s="68" t="str">
        <f>IF(AND('Mapa de Riesgos'!$Y$26="Baja",'Mapa de Riesgos'!$AA$26="Moderado"),CONCATENATE("R3C",'Mapa de Riesgos'!$O$26),"")</f>
        <v/>
      </c>
      <c r="X38" s="68" t="str">
        <f>IF(AND('Mapa de Riesgos'!$Y$27="Baja",'Mapa de Riesgos'!$AA$27="Moderado"),CONCATENATE("R3C",'Mapa de Riesgos'!$O$27),"")</f>
        <v/>
      </c>
      <c r="Y38" s="68" t="str">
        <f>IF(AND('Mapa de Riesgos'!$Y$28="Baja",'Mapa de Riesgos'!$AA$28="Moderado"),CONCATENATE("R3C",'Mapa de Riesgos'!$O$28),"")</f>
        <v/>
      </c>
      <c r="Z38" s="68" t="str">
        <f>IF(AND('Mapa de Riesgos'!$Y$29="Baja",'Mapa de Riesgos'!$AA$29="Moderado"),CONCATENATE("R3C",'Mapa de Riesgos'!$O$29),"")</f>
        <v/>
      </c>
      <c r="AA38" s="69" t="str">
        <f>IF(AND('Mapa de Riesgos'!$Y$30="Baja",'Mapa de Riesgos'!$AA$30="Moderado"),CONCATENATE("R3C",'Mapa de Riesgos'!$O$30),"")</f>
        <v/>
      </c>
      <c r="AB38" s="52" t="str">
        <f>IF(AND('Mapa de Riesgos'!$Y$24="Baja",'Mapa de Riesgos'!$AA$24="Mayor"),CONCATENATE("R3C",'Mapa de Riesgos'!$O$24),"")</f>
        <v>R3C1</v>
      </c>
      <c r="AC38" s="53" t="str">
        <f>IF(AND('Mapa de Riesgos'!$Y$26="Baja",'Mapa de Riesgos'!$AA$26="Mayor"),CONCATENATE("R3C",'Mapa de Riesgos'!$O$26),"")</f>
        <v/>
      </c>
      <c r="AD38" s="53" t="str">
        <f>IF(AND('Mapa de Riesgos'!$Y$27="Baja",'Mapa de Riesgos'!$AA$27="Mayor"),CONCATENATE("R3C",'Mapa de Riesgos'!$O$27),"")</f>
        <v/>
      </c>
      <c r="AE38" s="53" t="str">
        <f>IF(AND('Mapa de Riesgos'!$Y$28="Baja",'Mapa de Riesgos'!$AA$28="Mayor"),CONCATENATE("R3C",'Mapa de Riesgos'!$O$28),"")</f>
        <v/>
      </c>
      <c r="AF38" s="53" t="str">
        <f>IF(AND('Mapa de Riesgos'!$Y$29="Baja",'Mapa de Riesgos'!$AA$29="Mayor"),CONCATENATE("R3C",'Mapa de Riesgos'!$O$29),"")</f>
        <v/>
      </c>
      <c r="AG38" s="54" t="str">
        <f>IF(AND('Mapa de Riesgos'!$Y$30="Baja",'Mapa de Riesgos'!$AA$30="Mayor"),CONCATENATE("R3C",'Mapa de Riesgos'!$O$30),"")</f>
        <v/>
      </c>
      <c r="AH38" s="55" t="str">
        <f>IF(AND('Mapa de Riesgos'!$Y$24="Baja",'Mapa de Riesgos'!$AA$24="Catastrófico"),CONCATENATE("R3C",'Mapa de Riesgos'!$O$24),"")</f>
        <v/>
      </c>
      <c r="AI38" s="56" t="str">
        <f>IF(AND('Mapa de Riesgos'!$Y$26="Baja",'Mapa de Riesgos'!$AA$26="Catastrófico"),CONCATENATE("R3C",'Mapa de Riesgos'!$O$26),"")</f>
        <v/>
      </c>
      <c r="AJ38" s="56" t="str">
        <f>IF(AND('Mapa de Riesgos'!$Y$27="Baja",'Mapa de Riesgos'!$AA$27="Catastrófico"),CONCATENATE("R3C",'Mapa de Riesgos'!$O$27),"")</f>
        <v/>
      </c>
      <c r="AK38" s="56" t="str">
        <f>IF(AND('Mapa de Riesgos'!$Y$28="Baja",'Mapa de Riesgos'!$AA$28="Catastrófico"),CONCATENATE("R3C",'Mapa de Riesgos'!$O$28),"")</f>
        <v/>
      </c>
      <c r="AL38" s="56" t="str">
        <f>IF(AND('Mapa de Riesgos'!$Y$29="Baja",'Mapa de Riesgos'!$AA$29="Catastrófico"),CONCATENATE("R3C",'Mapa de Riesgos'!$O$29),"")</f>
        <v/>
      </c>
      <c r="AM38" s="57" t="str">
        <f>IF(AND('Mapa de Riesgos'!$Y$30="Baja",'Mapa de Riesgos'!$AA$30="Catastrófico"),CONCATENATE("R3C",'Mapa de Riesgos'!$O$30),"")</f>
        <v/>
      </c>
      <c r="AN38" s="83"/>
      <c r="AO38" s="569"/>
      <c r="AP38" s="570"/>
      <c r="AQ38" s="570"/>
      <c r="AR38" s="570"/>
      <c r="AS38" s="570"/>
      <c r="AT38" s="571"/>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7"/>
      <c r="C39" s="497"/>
      <c r="D39" s="498"/>
      <c r="E39" s="538"/>
      <c r="F39" s="539"/>
      <c r="G39" s="539"/>
      <c r="H39" s="539"/>
      <c r="I39" s="539"/>
      <c r="J39" s="76" t="str">
        <f>IF(AND('Mapa de Riesgos'!$Y$31="Baja",'Mapa de Riesgos'!$AA$31="Leve"),CONCATENATE("R4C",'Mapa de Riesgos'!$O$31),"")</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Riesgos'!$Y$31="Baja",'Mapa de Riesgos'!$AA$31="Menor"),CONCATENATE("R4C",'Mapa de Riesgos'!$O$31),"")</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Riesgos'!$Y$31="Baja",'Mapa de Riesgos'!$AA$31="Moderado"),CONCATENATE("R4C",'Mapa de Riesgos'!$O$31),"")</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Riesgos'!$Y$31="Baja",'Mapa de Riesgos'!$AA$31="Mayor"),CONCATENATE("R4C",'Mapa de Riesgos'!$O$31),"")</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Riesgos'!$Y$31="Baja",'Mapa de Riesgos'!$AA$31="Catastrófico"),CONCATENATE("R4C",'Mapa de Riesgos'!$O$31),"")</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69"/>
      <c r="AP39" s="570"/>
      <c r="AQ39" s="570"/>
      <c r="AR39" s="570"/>
      <c r="AS39" s="570"/>
      <c r="AT39" s="571"/>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7"/>
      <c r="C40" s="497"/>
      <c r="D40" s="498"/>
      <c r="E40" s="538"/>
      <c r="F40" s="539"/>
      <c r="G40" s="539"/>
      <c r="H40" s="539"/>
      <c r="I40" s="539"/>
      <c r="J40" s="76" t="str">
        <f>IF(AND('Mapa de Riesgos'!$Y$39="Baja",'Mapa de Riesgos'!$AA$39="Leve"),CONCATENATE("R5C",'Mapa de Riesgos'!$O$39),"")</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Riesgos'!$Y$39="Baja",'Mapa de Riesgos'!$AA$39="Menor"),CONCATENATE("R5C",'Mapa de Riesgos'!$O$39),"")</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Riesgos'!$Y$39="Baja",'Mapa de Riesgos'!$AA$39="Moderado"),CONCATENATE("R5C",'Mapa de Riesgos'!$O$39),"")</f>
        <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Riesgos'!$Y$39="Baja",'Mapa de Riesgos'!$AA$39="Mayor"),CONCATENATE("R5C",'Mapa de Riesgos'!$O$39),"")</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Riesgos'!$Y$39="Baja",'Mapa de Riesgos'!$AA$39="Catastrófico"),CONCATENATE("R5C",'Mapa de Riesgos'!$O$39),"")</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569"/>
      <c r="AP40" s="570"/>
      <c r="AQ40" s="570"/>
      <c r="AR40" s="570"/>
      <c r="AS40" s="570"/>
      <c r="AT40" s="571"/>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7"/>
      <c r="C41" s="497"/>
      <c r="D41" s="498"/>
      <c r="E41" s="538"/>
      <c r="F41" s="539"/>
      <c r="G41" s="539"/>
      <c r="H41" s="539"/>
      <c r="I41" s="539"/>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569"/>
      <c r="AP41" s="570"/>
      <c r="AQ41" s="570"/>
      <c r="AR41" s="570"/>
      <c r="AS41" s="570"/>
      <c r="AT41" s="571"/>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7"/>
      <c r="C42" s="497"/>
      <c r="D42" s="498"/>
      <c r="E42" s="538"/>
      <c r="F42" s="539"/>
      <c r="G42" s="539"/>
      <c r="H42" s="539"/>
      <c r="I42" s="539"/>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R7C1</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569"/>
      <c r="AP42" s="570"/>
      <c r="AQ42" s="570"/>
      <c r="AR42" s="570"/>
      <c r="AS42" s="570"/>
      <c r="AT42" s="571"/>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7"/>
      <c r="C43" s="497"/>
      <c r="D43" s="498"/>
      <c r="E43" s="538"/>
      <c r="F43" s="539"/>
      <c r="G43" s="539"/>
      <c r="H43" s="539"/>
      <c r="I43" s="539"/>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569"/>
      <c r="AP43" s="570"/>
      <c r="AQ43" s="570"/>
      <c r="AR43" s="570"/>
      <c r="AS43" s="570"/>
      <c r="AT43" s="571"/>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7"/>
      <c r="C44" s="497"/>
      <c r="D44" s="498"/>
      <c r="E44" s="538"/>
      <c r="F44" s="539"/>
      <c r="G44" s="539"/>
      <c r="H44" s="539"/>
      <c r="I44" s="539"/>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R9C1</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569"/>
      <c r="AP44" s="570"/>
      <c r="AQ44" s="570"/>
      <c r="AR44" s="570"/>
      <c r="AS44" s="570"/>
      <c r="AT44" s="571"/>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7"/>
      <c r="C45" s="497"/>
      <c r="D45" s="498"/>
      <c r="E45" s="541"/>
      <c r="F45" s="542"/>
      <c r="G45" s="542"/>
      <c r="H45" s="542"/>
      <c r="I45" s="542"/>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572"/>
      <c r="AP45" s="573"/>
      <c r="AQ45" s="573"/>
      <c r="AR45" s="573"/>
      <c r="AS45" s="573"/>
      <c r="AT45" s="574"/>
    </row>
    <row r="46" spans="1:80" ht="46.5" customHeight="1" x14ac:dyDescent="0.35">
      <c r="A46" s="83"/>
      <c r="B46" s="497"/>
      <c r="C46" s="497"/>
      <c r="D46" s="498"/>
      <c r="E46" s="535" t="s">
        <v>241</v>
      </c>
      <c r="F46" s="536"/>
      <c r="G46" s="536"/>
      <c r="H46" s="536"/>
      <c r="I46" s="537"/>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7"/>
      <c r="C47" s="497"/>
      <c r="D47" s="498"/>
      <c r="E47" s="554"/>
      <c r="F47" s="539"/>
      <c r="G47" s="539"/>
      <c r="H47" s="539"/>
      <c r="I47" s="540"/>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7"/>
      <c r="C48" s="497"/>
      <c r="D48" s="498"/>
      <c r="E48" s="554"/>
      <c r="F48" s="539"/>
      <c r="G48" s="539"/>
      <c r="H48" s="539"/>
      <c r="I48" s="540"/>
      <c r="J48" s="76" t="str">
        <f>IF(AND('Mapa de Riesgos'!$Y$24="Muy Baja",'Mapa de Riesgos'!$AA$24="Leve"),CONCATENATE("R3C",'Mapa de Riesgos'!$O$24),"")</f>
        <v/>
      </c>
      <c r="K48" s="77" t="str">
        <f>IF(AND('Mapa de Riesgos'!$Y$26="Muy Baja",'Mapa de Riesgos'!$AA$26="Leve"),CONCATENATE("R3C",'Mapa de Riesgos'!$O$26),"")</f>
        <v/>
      </c>
      <c r="L48" s="77" t="str">
        <f>IF(AND('Mapa de Riesgos'!$Y$27="Muy Baja",'Mapa de Riesgos'!$AA$27="Leve"),CONCATENATE("R3C",'Mapa de Riesgos'!$O$27),"")</f>
        <v/>
      </c>
      <c r="M48" s="77" t="str">
        <f>IF(AND('Mapa de Riesgos'!$Y$28="Muy Baja",'Mapa de Riesgos'!$AA$28="Leve"),CONCATENATE("R3C",'Mapa de Riesgos'!$O$28),"")</f>
        <v/>
      </c>
      <c r="N48" s="77" t="str">
        <f>IF(AND('Mapa de Riesgos'!$Y$29="Muy Baja",'Mapa de Riesgos'!$AA$29="Leve"),CONCATENATE("R3C",'Mapa de Riesgos'!$O$29),"")</f>
        <v/>
      </c>
      <c r="O48" s="78" t="str">
        <f>IF(AND('Mapa de Riesgos'!$Y$30="Muy Baja",'Mapa de Riesgos'!$AA$30="Leve"),CONCATENATE("R3C",'Mapa de Riesgos'!$O$30),"")</f>
        <v/>
      </c>
      <c r="P48" s="76" t="str">
        <f>IF(AND('Mapa de Riesgos'!$Y$24="Muy Baja",'Mapa de Riesgos'!$AA$24="Menor"),CONCATENATE("R3C",'Mapa de Riesgos'!$O$24),"")</f>
        <v/>
      </c>
      <c r="Q48" s="77" t="str">
        <f>IF(AND('Mapa de Riesgos'!$Y$26="Muy Baja",'Mapa de Riesgos'!$AA$26="Menor"),CONCATENATE("R3C",'Mapa de Riesgos'!$O$26),"")</f>
        <v/>
      </c>
      <c r="R48" s="77" t="str">
        <f>IF(AND('Mapa de Riesgos'!$Y$27="Muy Baja",'Mapa de Riesgos'!$AA$27="Menor"),CONCATENATE("R3C",'Mapa de Riesgos'!$O$27),"")</f>
        <v/>
      </c>
      <c r="S48" s="77" t="str">
        <f>IF(AND('Mapa de Riesgos'!$Y$28="Muy Baja",'Mapa de Riesgos'!$AA$28="Menor"),CONCATENATE("R3C",'Mapa de Riesgos'!$O$28),"")</f>
        <v/>
      </c>
      <c r="T48" s="77" t="str">
        <f>IF(AND('Mapa de Riesgos'!$Y$29="Muy Baja",'Mapa de Riesgos'!$AA$29="Menor"),CONCATENATE("R3C",'Mapa de Riesgos'!$O$29),"")</f>
        <v/>
      </c>
      <c r="U48" s="78" t="str">
        <f>IF(AND('Mapa de Riesgos'!$Y$30="Muy Baja",'Mapa de Riesgos'!$AA$30="Menor"),CONCATENATE("R3C",'Mapa de Riesgos'!$O$30),"")</f>
        <v/>
      </c>
      <c r="V48" s="67" t="str">
        <f>IF(AND('Mapa de Riesgos'!$Y$24="Muy Baja",'Mapa de Riesgos'!$AA$24="Moderado"),CONCATENATE("R3C",'Mapa de Riesgos'!$O$24),"")</f>
        <v/>
      </c>
      <c r="W48" s="68" t="str">
        <f>IF(AND('Mapa de Riesgos'!$Y$26="Muy Baja",'Mapa de Riesgos'!$AA$26="Moderado"),CONCATENATE("R3C",'Mapa de Riesgos'!$O$26),"")</f>
        <v/>
      </c>
      <c r="X48" s="68" t="str">
        <f>IF(AND('Mapa de Riesgos'!$Y$27="Muy Baja",'Mapa de Riesgos'!$AA$27="Moderado"),CONCATENATE("R3C",'Mapa de Riesgos'!$O$27),"")</f>
        <v/>
      </c>
      <c r="Y48" s="68" t="str">
        <f>IF(AND('Mapa de Riesgos'!$Y$28="Muy Baja",'Mapa de Riesgos'!$AA$28="Moderado"),CONCATENATE("R3C",'Mapa de Riesgos'!$O$28),"")</f>
        <v/>
      </c>
      <c r="Z48" s="68" t="str">
        <f>IF(AND('Mapa de Riesgos'!$Y$29="Muy Baja",'Mapa de Riesgos'!$AA$29="Moderado"),CONCATENATE("R3C",'Mapa de Riesgos'!$O$29),"")</f>
        <v/>
      </c>
      <c r="AA48" s="69" t="str">
        <f>IF(AND('Mapa de Riesgos'!$Y$30="Muy Baja",'Mapa de Riesgos'!$AA$30="Moderado"),CONCATENATE("R3C",'Mapa de Riesgos'!$O$30),"")</f>
        <v/>
      </c>
      <c r="AB48" s="52" t="str">
        <f>IF(AND('Mapa de Riesgos'!$Y$24="Muy Baja",'Mapa de Riesgos'!$AA$24="Mayor"),CONCATENATE("R3C",'Mapa de Riesgos'!$O$24),"")</f>
        <v/>
      </c>
      <c r="AC48" s="53" t="str">
        <f>IF(AND('Mapa de Riesgos'!$Y$26="Muy Baja",'Mapa de Riesgos'!$AA$26="Mayor"),CONCATENATE("R3C",'Mapa de Riesgos'!$O$26),"")</f>
        <v/>
      </c>
      <c r="AD48" s="53" t="str">
        <f>IF(AND('Mapa de Riesgos'!$Y$27="Muy Baja",'Mapa de Riesgos'!$AA$27="Mayor"),CONCATENATE("R3C",'Mapa de Riesgos'!$O$27),"")</f>
        <v/>
      </c>
      <c r="AE48" s="53" t="str">
        <f>IF(AND('Mapa de Riesgos'!$Y$28="Muy Baja",'Mapa de Riesgos'!$AA$28="Mayor"),CONCATENATE("R3C",'Mapa de Riesgos'!$O$28),"")</f>
        <v/>
      </c>
      <c r="AF48" s="53" t="str">
        <f>IF(AND('Mapa de Riesgos'!$Y$29="Muy Baja",'Mapa de Riesgos'!$AA$29="Mayor"),CONCATENATE("R3C",'Mapa de Riesgos'!$O$29),"")</f>
        <v/>
      </c>
      <c r="AG48" s="54" t="str">
        <f>IF(AND('Mapa de Riesgos'!$Y$30="Muy Baja",'Mapa de Riesgos'!$AA$30="Mayor"),CONCATENATE("R3C",'Mapa de Riesgos'!$O$30),"")</f>
        <v/>
      </c>
      <c r="AH48" s="55" t="str">
        <f>IF(AND('Mapa de Riesgos'!$Y$24="Muy Baja",'Mapa de Riesgos'!$AA$24="Catastrófico"),CONCATENATE("R3C",'Mapa de Riesgos'!$O$24),"")</f>
        <v/>
      </c>
      <c r="AI48" s="56" t="str">
        <f>IF(AND('Mapa de Riesgos'!$Y$26="Muy Baja",'Mapa de Riesgos'!$AA$26="Catastrófico"),CONCATENATE("R3C",'Mapa de Riesgos'!$O$26),"")</f>
        <v/>
      </c>
      <c r="AJ48" s="56" t="str">
        <f>IF(AND('Mapa de Riesgos'!$Y$27="Muy Baja",'Mapa de Riesgos'!$AA$27="Catastrófico"),CONCATENATE("R3C",'Mapa de Riesgos'!$O$27),"")</f>
        <v/>
      </c>
      <c r="AK48" s="56" t="str">
        <f>IF(AND('Mapa de Riesgos'!$Y$28="Muy Baja",'Mapa de Riesgos'!$AA$28="Catastrófico"),CONCATENATE("R3C",'Mapa de Riesgos'!$O$28),"")</f>
        <v/>
      </c>
      <c r="AL48" s="56" t="str">
        <f>IF(AND('Mapa de Riesgos'!$Y$29="Muy Baja",'Mapa de Riesgos'!$AA$29="Catastrófico"),CONCATENATE("R3C",'Mapa de Riesgos'!$O$29),"")</f>
        <v/>
      </c>
      <c r="AM48" s="57" t="str">
        <f>IF(AND('Mapa de Riesgos'!$Y$30="Muy Baja",'Mapa de Riesgos'!$AA$30="Catastrófico"),CONCATENATE("R3C",'Mapa de Riesgos'!$O$30),"")</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7"/>
      <c r="C49" s="497"/>
      <c r="D49" s="498"/>
      <c r="E49" s="538"/>
      <c r="F49" s="539"/>
      <c r="G49" s="539"/>
      <c r="H49" s="539"/>
      <c r="I49" s="540"/>
      <c r="J49" s="76" t="str">
        <f>IF(AND('Mapa de Riesgos'!$Y$31="Muy Baja",'Mapa de Riesgos'!$AA$31="Leve"),CONCATENATE("R4C",'Mapa de Riesgos'!$O$31),"")</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Riesgos'!$Y$31="Muy Baja",'Mapa de Riesgos'!$AA$31="Menor"),CONCATENATE("R4C",'Mapa de Riesgos'!$O$31),"")</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Riesgos'!$Y$31="Muy Baja",'Mapa de Riesgos'!$AA$31="Moderado"),CONCATENATE("R4C",'Mapa de Riesgos'!$O$31),"")</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Riesgos'!$Y$31="Muy Baja",'Mapa de Riesgos'!$AA$31="Mayor"),CONCATENATE("R4C",'Mapa de Riesgos'!$O$31),"")</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Riesgos'!$Y$31="Muy Baja",'Mapa de Riesgos'!$AA$31="Catastrófico"),CONCATENATE("R4C",'Mapa de Riesgos'!$O$31),"")</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7"/>
      <c r="C50" s="497"/>
      <c r="D50" s="498"/>
      <c r="E50" s="538"/>
      <c r="F50" s="539"/>
      <c r="G50" s="539"/>
      <c r="H50" s="539"/>
      <c r="I50" s="540"/>
      <c r="J50" s="76" t="str">
        <f>IF(AND('Mapa de Riesgos'!$Y$39="Muy Baja",'Mapa de Riesgos'!$AA$39="Leve"),CONCATENATE("R5C",'Mapa de Riesgos'!$O$39),"")</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Riesgos'!$Y$39="Muy Baja",'Mapa de Riesgos'!$AA$39="Menor"),CONCATENATE("R5C",'Mapa de Riesgos'!$O$39),"")</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Riesgos'!$Y$39="Muy Baja",'Mapa de Riesgos'!$AA$39="Moderado"),CONCATENATE("R5C",'Mapa de Riesgos'!$O$39),"")</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Riesgos'!$Y$39="Muy Baja",'Mapa de Riesgos'!$AA$39="Mayor"),CONCATENATE("R5C",'Mapa de Riesgos'!$O$39),"")</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Riesgos'!$Y$39="Muy Baja",'Mapa de Riesgos'!$AA$39="Catastrófico"),CONCATENATE("R5C",'Mapa de Riesgos'!$O$39),"")</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7"/>
      <c r="C51" s="497"/>
      <c r="D51" s="498"/>
      <c r="E51" s="538"/>
      <c r="F51" s="539"/>
      <c r="G51" s="539"/>
      <c r="H51" s="539"/>
      <c r="I51" s="540"/>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7"/>
      <c r="C52" s="497"/>
      <c r="D52" s="498"/>
      <c r="E52" s="538"/>
      <c r="F52" s="539"/>
      <c r="G52" s="539"/>
      <c r="H52" s="539"/>
      <c r="I52" s="540"/>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7"/>
      <c r="C53" s="497"/>
      <c r="D53" s="498"/>
      <c r="E53" s="538"/>
      <c r="F53" s="539"/>
      <c r="G53" s="539"/>
      <c r="H53" s="539"/>
      <c r="I53" s="540"/>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R8C1</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7"/>
      <c r="C54" s="497"/>
      <c r="D54" s="498"/>
      <c r="E54" s="538"/>
      <c r="F54" s="539"/>
      <c r="G54" s="539"/>
      <c r="H54" s="539"/>
      <c r="I54" s="540"/>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7"/>
      <c r="C55" s="497"/>
      <c r="D55" s="498"/>
      <c r="E55" s="541"/>
      <c r="F55" s="542"/>
      <c r="G55" s="542"/>
      <c r="H55" s="542"/>
      <c r="I55" s="543"/>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5" t="s">
        <v>242</v>
      </c>
      <c r="K56" s="536"/>
      <c r="L56" s="536"/>
      <c r="M56" s="536"/>
      <c r="N56" s="536"/>
      <c r="O56" s="537"/>
      <c r="P56" s="535" t="s">
        <v>243</v>
      </c>
      <c r="Q56" s="536"/>
      <c r="R56" s="536"/>
      <c r="S56" s="536"/>
      <c r="T56" s="536"/>
      <c r="U56" s="537"/>
      <c r="V56" s="535" t="s">
        <v>244</v>
      </c>
      <c r="W56" s="536"/>
      <c r="X56" s="536"/>
      <c r="Y56" s="536"/>
      <c r="Z56" s="536"/>
      <c r="AA56" s="537"/>
      <c r="AB56" s="535" t="s">
        <v>245</v>
      </c>
      <c r="AC56" s="544"/>
      <c r="AD56" s="536"/>
      <c r="AE56" s="536"/>
      <c r="AF56" s="536"/>
      <c r="AG56" s="537"/>
      <c r="AH56" s="535" t="s">
        <v>246</v>
      </c>
      <c r="AI56" s="536"/>
      <c r="AJ56" s="536"/>
      <c r="AK56" s="536"/>
      <c r="AL56" s="536"/>
      <c r="AM56" s="537"/>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8"/>
      <c r="K57" s="539"/>
      <c r="L57" s="539"/>
      <c r="M57" s="539"/>
      <c r="N57" s="539"/>
      <c r="O57" s="540"/>
      <c r="P57" s="538"/>
      <c r="Q57" s="539"/>
      <c r="R57" s="539"/>
      <c r="S57" s="539"/>
      <c r="T57" s="539"/>
      <c r="U57" s="540"/>
      <c r="V57" s="538"/>
      <c r="W57" s="539"/>
      <c r="X57" s="539"/>
      <c r="Y57" s="539"/>
      <c r="Z57" s="539"/>
      <c r="AA57" s="540"/>
      <c r="AB57" s="538"/>
      <c r="AC57" s="539"/>
      <c r="AD57" s="539"/>
      <c r="AE57" s="539"/>
      <c r="AF57" s="539"/>
      <c r="AG57" s="540"/>
      <c r="AH57" s="538"/>
      <c r="AI57" s="539"/>
      <c r="AJ57" s="539"/>
      <c r="AK57" s="539"/>
      <c r="AL57" s="539"/>
      <c r="AM57" s="54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8"/>
      <c r="K58" s="539"/>
      <c r="L58" s="539"/>
      <c r="M58" s="539"/>
      <c r="N58" s="539"/>
      <c r="O58" s="540"/>
      <c r="P58" s="538"/>
      <c r="Q58" s="539"/>
      <c r="R58" s="539"/>
      <c r="S58" s="539"/>
      <c r="T58" s="539"/>
      <c r="U58" s="540"/>
      <c r="V58" s="538"/>
      <c r="W58" s="539"/>
      <c r="X58" s="539"/>
      <c r="Y58" s="539"/>
      <c r="Z58" s="539"/>
      <c r="AA58" s="540"/>
      <c r="AB58" s="538"/>
      <c r="AC58" s="539"/>
      <c r="AD58" s="539"/>
      <c r="AE58" s="539"/>
      <c r="AF58" s="539"/>
      <c r="AG58" s="540"/>
      <c r="AH58" s="538"/>
      <c r="AI58" s="539"/>
      <c r="AJ58" s="539"/>
      <c r="AK58" s="539"/>
      <c r="AL58" s="539"/>
      <c r="AM58" s="54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8"/>
      <c r="K59" s="539"/>
      <c r="L59" s="539"/>
      <c r="M59" s="539"/>
      <c r="N59" s="539"/>
      <c r="O59" s="540"/>
      <c r="P59" s="538"/>
      <c r="Q59" s="539"/>
      <c r="R59" s="539"/>
      <c r="S59" s="539"/>
      <c r="T59" s="539"/>
      <c r="U59" s="540"/>
      <c r="V59" s="538"/>
      <c r="W59" s="539"/>
      <c r="X59" s="539"/>
      <c r="Y59" s="539"/>
      <c r="Z59" s="539"/>
      <c r="AA59" s="540"/>
      <c r="AB59" s="538"/>
      <c r="AC59" s="539"/>
      <c r="AD59" s="539"/>
      <c r="AE59" s="539"/>
      <c r="AF59" s="539"/>
      <c r="AG59" s="540"/>
      <c r="AH59" s="538"/>
      <c r="AI59" s="539"/>
      <c r="AJ59" s="539"/>
      <c r="AK59" s="539"/>
      <c r="AL59" s="539"/>
      <c r="AM59" s="54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8"/>
      <c r="K60" s="539"/>
      <c r="L60" s="539"/>
      <c r="M60" s="539"/>
      <c r="N60" s="539"/>
      <c r="O60" s="540"/>
      <c r="P60" s="538"/>
      <c r="Q60" s="539"/>
      <c r="R60" s="539"/>
      <c r="S60" s="539"/>
      <c r="T60" s="539"/>
      <c r="U60" s="540"/>
      <c r="V60" s="538"/>
      <c r="W60" s="539"/>
      <c r="X60" s="539"/>
      <c r="Y60" s="539"/>
      <c r="Z60" s="539"/>
      <c r="AA60" s="540"/>
      <c r="AB60" s="538"/>
      <c r="AC60" s="539"/>
      <c r="AD60" s="539"/>
      <c r="AE60" s="539"/>
      <c r="AF60" s="539"/>
      <c r="AG60" s="540"/>
      <c r="AH60" s="538"/>
      <c r="AI60" s="539"/>
      <c r="AJ60" s="539"/>
      <c r="AK60" s="539"/>
      <c r="AL60" s="539"/>
      <c r="AM60" s="54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1"/>
      <c r="K61" s="542"/>
      <c r="L61" s="542"/>
      <c r="M61" s="542"/>
      <c r="N61" s="542"/>
      <c r="O61" s="543"/>
      <c r="P61" s="541"/>
      <c r="Q61" s="542"/>
      <c r="R61" s="542"/>
      <c r="S61" s="542"/>
      <c r="T61" s="542"/>
      <c r="U61" s="543"/>
      <c r="V61" s="541"/>
      <c r="W61" s="542"/>
      <c r="X61" s="542"/>
      <c r="Y61" s="542"/>
      <c r="Z61" s="542"/>
      <c r="AA61" s="543"/>
      <c r="AB61" s="541"/>
      <c r="AC61" s="542"/>
      <c r="AD61" s="542"/>
      <c r="AE61" s="542"/>
      <c r="AF61" s="542"/>
      <c r="AG61" s="543"/>
      <c r="AH61" s="541"/>
      <c r="AI61" s="542"/>
      <c r="AJ61" s="542"/>
      <c r="AK61" s="542"/>
      <c r="AL61" s="542"/>
      <c r="AM61" s="54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4" t="s">
        <v>248</v>
      </c>
      <c r="C1" s="584"/>
      <c r="D1" s="58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249</v>
      </c>
      <c r="D3" s="12" t="s">
        <v>232</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250</v>
      </c>
      <c r="C4" s="14" t="s">
        <v>251</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252</v>
      </c>
      <c r="C5" s="17" t="s">
        <v>253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254</v>
      </c>
      <c r="C6" s="17" t="s">
        <v>255</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256</v>
      </c>
      <c r="C7" s="17" t="s">
        <v>257</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258</v>
      </c>
      <c r="C8" s="17" t="s">
        <v>259</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B5" sqref="B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5" t="s">
        <v>260</v>
      </c>
      <c r="C1" s="585"/>
      <c r="D1" s="58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261</v>
      </c>
      <c r="D3" s="36" t="s">
        <v>262</v>
      </c>
      <c r="E3" s="83"/>
      <c r="F3" s="83"/>
      <c r="G3" s="83"/>
      <c r="H3" s="83"/>
      <c r="I3" s="83"/>
      <c r="J3" s="83"/>
      <c r="K3" s="83"/>
      <c r="L3" s="83"/>
      <c r="M3" s="83"/>
      <c r="N3" s="83"/>
      <c r="O3" s="83"/>
      <c r="P3" s="83"/>
      <c r="Q3" s="83"/>
      <c r="R3" s="83"/>
      <c r="S3" s="83"/>
      <c r="T3" s="83"/>
      <c r="U3" s="83"/>
    </row>
    <row r="4" spans="1:21" ht="33.75" x14ac:dyDescent="0.25">
      <c r="A4" s="100" t="s">
        <v>263</v>
      </c>
      <c r="B4" s="39" t="s">
        <v>264</v>
      </c>
      <c r="C4" s="44" t="s">
        <v>265</v>
      </c>
      <c r="D4" s="37" t="s">
        <v>266</v>
      </c>
      <c r="E4" s="83"/>
      <c r="F4" s="83"/>
      <c r="G4" s="83"/>
      <c r="H4" s="83"/>
      <c r="I4" s="83"/>
      <c r="J4" s="83"/>
      <c r="K4" s="83"/>
      <c r="L4" s="83"/>
      <c r="M4" s="83"/>
      <c r="N4" s="83"/>
      <c r="O4" s="83"/>
      <c r="P4" s="83"/>
      <c r="Q4" s="83"/>
      <c r="R4" s="83"/>
      <c r="S4" s="83"/>
      <c r="T4" s="83"/>
      <c r="U4" s="83"/>
    </row>
    <row r="5" spans="1:21" ht="67.5" x14ac:dyDescent="0.25">
      <c r="A5" s="100" t="s">
        <v>267</v>
      </c>
      <c r="B5" s="40" t="s">
        <v>268</v>
      </c>
      <c r="C5" s="45" t="s">
        <v>269</v>
      </c>
      <c r="D5" s="38" t="s">
        <v>270</v>
      </c>
      <c r="E5" s="83"/>
      <c r="F5" s="83"/>
      <c r="G5" s="83"/>
      <c r="H5" s="83"/>
      <c r="I5" s="83"/>
      <c r="J5" s="83"/>
      <c r="K5" s="83"/>
      <c r="L5" s="83"/>
      <c r="M5" s="83"/>
      <c r="N5" s="83"/>
      <c r="O5" s="83"/>
      <c r="P5" s="83"/>
      <c r="Q5" s="83"/>
      <c r="R5" s="83"/>
      <c r="S5" s="83"/>
      <c r="T5" s="83"/>
      <c r="U5" s="83"/>
    </row>
    <row r="6" spans="1:21" ht="67.5" x14ac:dyDescent="0.25">
      <c r="A6" s="100" t="s">
        <v>238</v>
      </c>
      <c r="B6" s="41" t="s">
        <v>271</v>
      </c>
      <c r="C6" s="45" t="s">
        <v>272</v>
      </c>
      <c r="D6" s="38" t="s">
        <v>273</v>
      </c>
      <c r="E6" s="83"/>
      <c r="F6" s="83"/>
      <c r="G6" s="83"/>
      <c r="H6" s="83"/>
      <c r="I6" s="83"/>
      <c r="J6" s="83"/>
      <c r="K6" s="83"/>
      <c r="L6" s="83"/>
      <c r="M6" s="83"/>
      <c r="N6" s="83"/>
      <c r="O6" s="83"/>
      <c r="P6" s="83"/>
      <c r="Q6" s="83"/>
      <c r="R6" s="83"/>
      <c r="S6" s="83"/>
      <c r="T6" s="83"/>
      <c r="U6" s="83"/>
    </row>
    <row r="7" spans="1:21" ht="101.25" x14ac:dyDescent="0.25">
      <c r="A7" s="100" t="s">
        <v>274</v>
      </c>
      <c r="B7" s="42" t="s">
        <v>275</v>
      </c>
      <c r="C7" s="45" t="s">
        <v>276</v>
      </c>
      <c r="D7" s="38" t="s">
        <v>277</v>
      </c>
      <c r="E7" s="83"/>
      <c r="F7" s="83"/>
      <c r="G7" s="83"/>
      <c r="H7" s="83"/>
      <c r="I7" s="83"/>
      <c r="J7" s="83"/>
      <c r="K7" s="83"/>
      <c r="L7" s="83"/>
      <c r="M7" s="83"/>
      <c r="N7" s="83"/>
      <c r="O7" s="83"/>
      <c r="P7" s="83"/>
      <c r="Q7" s="83"/>
      <c r="R7" s="83"/>
      <c r="S7" s="83"/>
      <c r="T7" s="83"/>
      <c r="U7" s="83"/>
    </row>
    <row r="8" spans="1:21" ht="67.5" x14ac:dyDescent="0.25">
      <c r="A8" s="100" t="s">
        <v>278</v>
      </c>
      <c r="B8" s="43" t="s">
        <v>279</v>
      </c>
      <c r="C8" s="45" t="s">
        <v>280</v>
      </c>
      <c r="D8" s="38" t="s">
        <v>281</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282</v>
      </c>
      <c r="C11" s="100" t="s">
        <v>283</v>
      </c>
      <c r="D11" s="100" t="s">
        <v>284</v>
      </c>
      <c r="E11" s="83"/>
      <c r="F11" s="83"/>
      <c r="G11" s="83"/>
      <c r="H11" s="83"/>
      <c r="I11" s="83"/>
      <c r="J11" s="83"/>
      <c r="K11" s="83"/>
      <c r="L11" s="83"/>
      <c r="M11" s="83"/>
      <c r="N11" s="83"/>
      <c r="O11" s="83"/>
      <c r="P11" s="83"/>
      <c r="Q11" s="83"/>
      <c r="R11" s="83"/>
      <c r="S11" s="83"/>
      <c r="T11" s="83"/>
      <c r="U11" s="83"/>
    </row>
    <row r="12" spans="1:21" x14ac:dyDescent="0.25">
      <c r="A12" s="100"/>
      <c r="B12" s="100" t="s">
        <v>285</v>
      </c>
      <c r="C12" s="100" t="s">
        <v>286</v>
      </c>
      <c r="D12" s="100" t="s">
        <v>287</v>
      </c>
      <c r="E12" s="83"/>
      <c r="F12" s="83"/>
      <c r="G12" s="83"/>
      <c r="H12" s="83"/>
      <c r="I12" s="83"/>
      <c r="J12" s="83"/>
      <c r="K12" s="83"/>
      <c r="L12" s="83"/>
      <c r="M12" s="83"/>
      <c r="N12" s="83"/>
      <c r="O12" s="83"/>
      <c r="P12" s="83"/>
      <c r="Q12" s="83"/>
      <c r="R12" s="83"/>
      <c r="S12" s="83"/>
      <c r="T12" s="83"/>
      <c r="U12" s="83"/>
    </row>
    <row r="13" spans="1:21" x14ac:dyDescent="0.25">
      <c r="A13" s="100"/>
      <c r="B13" s="100"/>
      <c r="C13" s="100" t="s">
        <v>288</v>
      </c>
      <c r="D13" s="100" t="s">
        <v>188</v>
      </c>
      <c r="E13" s="83"/>
      <c r="F13" s="83"/>
      <c r="G13" s="83"/>
      <c r="H13" s="83"/>
      <c r="I13" s="83"/>
      <c r="J13" s="83"/>
      <c r="K13" s="83"/>
      <c r="L13" s="83"/>
      <c r="M13" s="83"/>
      <c r="N13" s="83"/>
      <c r="O13" s="83"/>
      <c r="P13" s="83"/>
      <c r="Q13" s="83"/>
      <c r="R13" s="83"/>
      <c r="S13" s="83"/>
      <c r="T13" s="83"/>
      <c r="U13" s="83"/>
    </row>
    <row r="14" spans="1:21" x14ac:dyDescent="0.25">
      <c r="A14" s="100"/>
      <c r="B14" s="100"/>
      <c r="C14" s="100" t="s">
        <v>158</v>
      </c>
      <c r="D14" s="100" t="s">
        <v>289</v>
      </c>
      <c r="E14" s="83"/>
      <c r="F14" s="83"/>
      <c r="G14" s="83"/>
      <c r="H14" s="83"/>
      <c r="I14" s="83"/>
      <c r="J14" s="83"/>
      <c r="K14" s="83"/>
      <c r="L14" s="83"/>
      <c r="M14" s="83"/>
      <c r="N14" s="83"/>
      <c r="O14" s="83"/>
      <c r="P14" s="83"/>
      <c r="Q14" s="83"/>
      <c r="R14" s="83"/>
      <c r="S14" s="83"/>
      <c r="T14" s="83"/>
      <c r="U14" s="83"/>
    </row>
    <row r="15" spans="1:21" x14ac:dyDescent="0.25">
      <c r="A15" s="100"/>
      <c r="B15" s="100"/>
      <c r="C15" s="100" t="s">
        <v>290</v>
      </c>
      <c r="D15" s="100" t="s">
        <v>291</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292</v>
      </c>
      <c r="C209" s="30" t="s">
        <v>293</v>
      </c>
      <c r="D209" s="33" t="s">
        <v>292</v>
      </c>
      <c r="E209" s="33" t="s">
        <v>293</v>
      </c>
    </row>
    <row r="210" spans="1:8" ht="21" x14ac:dyDescent="0.35">
      <c r="A210" s="83"/>
      <c r="B210" s="31" t="s">
        <v>294</v>
      </c>
      <c r="C210" s="31" t="s">
        <v>295</v>
      </c>
      <c r="D210" t="s">
        <v>294</v>
      </c>
      <c r="F210" t="str">
        <f>IF(NOT(ISBLANK(D210)),D210,IF(NOT(ISBLANK(E210)),"     "&amp;E210,FALSE))</f>
        <v>Afectación Económica o presupuestal</v>
      </c>
      <c r="G210" t="s">
        <v>294</v>
      </c>
      <c r="H210" t="str">
        <f>IF(NOT(ISERROR(MATCH(G210,_xlfn.ANCHORARRAY(B221),0))),F223&amp;"Por favor no seleccionar los criterios de impacto",G210)</f>
        <v>❌Por favor no seleccionar los criterios de impacto</v>
      </c>
    </row>
    <row r="211" spans="1:8" ht="21" x14ac:dyDescent="0.35">
      <c r="A211" s="83"/>
      <c r="B211" s="31" t="s">
        <v>294</v>
      </c>
      <c r="C211" s="31" t="s">
        <v>269</v>
      </c>
      <c r="E211" t="s">
        <v>295</v>
      </c>
      <c r="F211" t="str">
        <f t="shared" ref="F211:F221" si="0">IF(NOT(ISBLANK(D211)),D211,IF(NOT(ISBLANK(E211)),"     "&amp;E211,FALSE))</f>
        <v xml:space="preserve">     Afectación menor a 10 SMLMV .</v>
      </c>
    </row>
    <row r="212" spans="1:8" ht="21" x14ac:dyDescent="0.35">
      <c r="A212" s="83"/>
      <c r="B212" s="31" t="s">
        <v>294</v>
      </c>
      <c r="C212" s="31" t="s">
        <v>272</v>
      </c>
      <c r="E212" t="s">
        <v>269</v>
      </c>
      <c r="F212" t="str">
        <f t="shared" si="0"/>
        <v xml:space="preserve">     Entre 10 y 50 SMLMV </v>
      </c>
    </row>
    <row r="213" spans="1:8" ht="21" x14ac:dyDescent="0.35">
      <c r="A213" s="83"/>
      <c r="B213" s="31" t="s">
        <v>294</v>
      </c>
      <c r="C213" s="31" t="s">
        <v>276</v>
      </c>
      <c r="E213" t="s">
        <v>272</v>
      </c>
      <c r="F213" t="str">
        <f t="shared" si="0"/>
        <v xml:space="preserve">     Entre 50 y 100 SMLMV </v>
      </c>
    </row>
    <row r="214" spans="1:8" ht="21" x14ac:dyDescent="0.35">
      <c r="A214" s="83"/>
      <c r="B214" s="31" t="s">
        <v>294</v>
      </c>
      <c r="C214" s="31" t="s">
        <v>280</v>
      </c>
      <c r="E214" t="s">
        <v>276</v>
      </c>
      <c r="F214" t="str">
        <f t="shared" si="0"/>
        <v xml:space="preserve">     Entre 100 y 500 SMLMV </v>
      </c>
    </row>
    <row r="215" spans="1:8" ht="21" x14ac:dyDescent="0.35">
      <c r="A215" s="83"/>
      <c r="B215" s="31" t="s">
        <v>262</v>
      </c>
      <c r="C215" s="31" t="s">
        <v>266</v>
      </c>
      <c r="E215" t="s">
        <v>280</v>
      </c>
      <c r="F215" t="str">
        <f t="shared" si="0"/>
        <v xml:space="preserve">     Mayor a 500 SMLMV </v>
      </c>
    </row>
    <row r="216" spans="1:8" ht="21" x14ac:dyDescent="0.35">
      <c r="A216" s="83"/>
      <c r="B216" s="31" t="s">
        <v>262</v>
      </c>
      <c r="C216" s="31" t="s">
        <v>270</v>
      </c>
      <c r="D216" t="s">
        <v>262</v>
      </c>
      <c r="F216" t="str">
        <f t="shared" si="0"/>
        <v>Pérdida Reputacional</v>
      </c>
    </row>
    <row r="217" spans="1:8" ht="21" x14ac:dyDescent="0.35">
      <c r="A217" s="83"/>
      <c r="B217" s="31" t="s">
        <v>262</v>
      </c>
      <c r="C217" s="31" t="s">
        <v>273</v>
      </c>
      <c r="E217" t="s">
        <v>266</v>
      </c>
      <c r="F217" t="str">
        <f t="shared" si="0"/>
        <v xml:space="preserve">     El riesgo afecta la imagen de alguna área de la organización</v>
      </c>
    </row>
    <row r="218" spans="1:8" ht="21" x14ac:dyDescent="0.35">
      <c r="A218" s="83"/>
      <c r="B218" s="31" t="s">
        <v>262</v>
      </c>
      <c r="C218" s="31" t="s">
        <v>277</v>
      </c>
      <c r="E218" t="s">
        <v>270</v>
      </c>
      <c r="F218" t="str">
        <f t="shared" si="0"/>
        <v xml:space="preserve">     El riesgo afecta la imagen de la entidad internamente, de conocimiento general, nivel interno, de junta dircetiva y accionistas y/o de provedores</v>
      </c>
    </row>
    <row r="219" spans="1:8" ht="21" x14ac:dyDescent="0.35">
      <c r="A219" s="83"/>
      <c r="B219" s="31" t="s">
        <v>262</v>
      </c>
      <c r="C219" s="31" t="s">
        <v>281</v>
      </c>
      <c r="E219" t="s">
        <v>273</v>
      </c>
      <c r="F219" t="str">
        <f t="shared" si="0"/>
        <v xml:space="preserve">     El riesgo afecta la imagen de la entidad con algunos usuarios de relevancia frente al logro de los objetivos</v>
      </c>
    </row>
    <row r="220" spans="1:8" x14ac:dyDescent="0.25">
      <c r="A220" s="83"/>
      <c r="B220" s="32"/>
      <c r="C220" s="32"/>
      <c r="E220" t="s">
        <v>277</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281</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296</v>
      </c>
    </row>
    <row r="224" spans="1:8" x14ac:dyDescent="0.25">
      <c r="B224" s="22"/>
      <c r="C224" s="22"/>
      <c r="F224" s="35" t="s">
        <v>297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6" t="s">
        <v>298</v>
      </c>
      <c r="C1" s="587"/>
      <c r="D1" s="587"/>
      <c r="E1" s="587"/>
      <c r="F1" s="588"/>
    </row>
    <row r="2" spans="2:6" ht="16.5" thickBot="1" x14ac:dyDescent="0.3">
      <c r="B2" s="86"/>
      <c r="C2" s="86"/>
      <c r="D2" s="86"/>
      <c r="E2" s="86"/>
      <c r="F2" s="86"/>
    </row>
    <row r="3" spans="2:6" ht="16.5" thickBot="1" x14ac:dyDescent="0.25">
      <c r="B3" s="590" t="s">
        <v>299</v>
      </c>
      <c r="C3" s="591"/>
      <c r="D3" s="591"/>
      <c r="E3" s="98" t="s">
        <v>300</v>
      </c>
      <c r="F3" s="99" t="s">
        <v>301</v>
      </c>
    </row>
    <row r="4" spans="2:6" ht="31.5" x14ac:dyDescent="0.2">
      <c r="B4" s="592" t="s">
        <v>302</v>
      </c>
      <c r="C4" s="594" t="s">
        <v>147</v>
      </c>
      <c r="D4" s="87" t="s">
        <v>160</v>
      </c>
      <c r="E4" s="88" t="s">
        <v>303</v>
      </c>
      <c r="F4" s="89">
        <v>0.25</v>
      </c>
    </row>
    <row r="5" spans="2:6" ht="47.25" x14ac:dyDescent="0.2">
      <c r="B5" s="593"/>
      <c r="C5" s="595"/>
      <c r="D5" s="90" t="s">
        <v>304</v>
      </c>
      <c r="E5" s="91" t="s">
        <v>305</v>
      </c>
      <c r="F5" s="92">
        <v>0.15</v>
      </c>
    </row>
    <row r="6" spans="2:6" ht="47.25" x14ac:dyDescent="0.2">
      <c r="B6" s="593"/>
      <c r="C6" s="595"/>
      <c r="D6" s="90" t="s">
        <v>198</v>
      </c>
      <c r="E6" s="91" t="s">
        <v>306</v>
      </c>
      <c r="F6" s="92">
        <v>0.1</v>
      </c>
    </row>
    <row r="7" spans="2:6" ht="63" x14ac:dyDescent="0.2">
      <c r="B7" s="593"/>
      <c r="C7" s="595" t="s">
        <v>148</v>
      </c>
      <c r="D7" s="90" t="s">
        <v>307</v>
      </c>
      <c r="E7" s="91" t="s">
        <v>308</v>
      </c>
      <c r="F7" s="92">
        <v>0.25</v>
      </c>
    </row>
    <row r="8" spans="2:6" ht="31.5" x14ac:dyDescent="0.2">
      <c r="B8" s="593"/>
      <c r="C8" s="595"/>
      <c r="D8" s="90" t="s">
        <v>161</v>
      </c>
      <c r="E8" s="91" t="s">
        <v>309</v>
      </c>
      <c r="F8" s="92">
        <v>0.15</v>
      </c>
    </row>
    <row r="9" spans="2:6" ht="47.25" x14ac:dyDescent="0.2">
      <c r="B9" s="593" t="s">
        <v>310</v>
      </c>
      <c r="C9" s="595" t="s">
        <v>150</v>
      </c>
      <c r="D9" s="90" t="s">
        <v>162</v>
      </c>
      <c r="E9" s="91" t="s">
        <v>311</v>
      </c>
      <c r="F9" s="93" t="s">
        <v>312</v>
      </c>
    </row>
    <row r="10" spans="2:6" ht="63" x14ac:dyDescent="0.2">
      <c r="B10" s="593"/>
      <c r="C10" s="595"/>
      <c r="D10" s="90" t="s">
        <v>313</v>
      </c>
      <c r="E10" s="91" t="s">
        <v>314</v>
      </c>
      <c r="F10" s="93" t="s">
        <v>312</v>
      </c>
    </row>
    <row r="11" spans="2:6" ht="47.25" x14ac:dyDescent="0.2">
      <c r="B11" s="593"/>
      <c r="C11" s="595" t="s">
        <v>151</v>
      </c>
      <c r="D11" s="90" t="s">
        <v>163</v>
      </c>
      <c r="E11" s="91" t="s">
        <v>315</v>
      </c>
      <c r="F11" s="93" t="s">
        <v>312</v>
      </c>
    </row>
    <row r="12" spans="2:6" ht="47.25" x14ac:dyDescent="0.2">
      <c r="B12" s="593"/>
      <c r="C12" s="595"/>
      <c r="D12" s="90" t="s">
        <v>316</v>
      </c>
      <c r="E12" s="91" t="s">
        <v>317</v>
      </c>
      <c r="F12" s="93" t="s">
        <v>312</v>
      </c>
    </row>
    <row r="13" spans="2:6" ht="31.5" x14ac:dyDescent="0.2">
      <c r="B13" s="593"/>
      <c r="C13" s="595" t="s">
        <v>152</v>
      </c>
      <c r="D13" s="90" t="s">
        <v>164</v>
      </c>
      <c r="E13" s="91" t="s">
        <v>318</v>
      </c>
      <c r="F13" s="93" t="s">
        <v>312</v>
      </c>
    </row>
    <row r="14" spans="2:6" ht="32.25" thickBot="1" x14ac:dyDescent="0.25">
      <c r="B14" s="596"/>
      <c r="C14" s="597"/>
      <c r="D14" s="94" t="s">
        <v>319</v>
      </c>
      <c r="E14" s="95" t="s">
        <v>320</v>
      </c>
      <c r="F14" s="96" t="s">
        <v>312</v>
      </c>
    </row>
    <row r="15" spans="2:6" ht="49.5" customHeight="1" x14ac:dyDescent="0.2">
      <c r="B15" s="589" t="s">
        <v>321</v>
      </c>
      <c r="C15" s="589"/>
      <c r="D15" s="589"/>
      <c r="E15" s="589"/>
      <c r="F15" s="58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322</v>
      </c>
      <c r="E2" t="s">
        <v>323</v>
      </c>
    </row>
    <row r="3" spans="2:5" x14ac:dyDescent="0.25">
      <c r="B3" t="s">
        <v>324</v>
      </c>
      <c r="E3" t="s">
        <v>203</v>
      </c>
    </row>
    <row r="4" spans="2:5" x14ac:dyDescent="0.25">
      <c r="B4" t="s">
        <v>325</v>
      </c>
      <c r="E4" t="s">
        <v>153</v>
      </c>
    </row>
    <row r="5" spans="2:5" x14ac:dyDescent="0.25">
      <c r="B5" t="s">
        <v>165</v>
      </c>
    </row>
    <row r="8" spans="2:5" x14ac:dyDescent="0.25">
      <c r="B8" t="s">
        <v>326</v>
      </c>
    </row>
    <row r="9" spans="2:5" x14ac:dyDescent="0.25">
      <c r="B9" t="s">
        <v>327</v>
      </c>
    </row>
    <row r="10" spans="2:5" x14ac:dyDescent="0.25">
      <c r="B10" t="s">
        <v>328</v>
      </c>
    </row>
    <row r="13" spans="2:5" x14ac:dyDescent="0.25">
      <c r="B13" t="s">
        <v>329</v>
      </c>
    </row>
    <row r="14" spans="2:5" x14ac:dyDescent="0.25">
      <c r="B14" t="s">
        <v>157</v>
      </c>
    </row>
    <row r="15" spans="2:5" x14ac:dyDescent="0.25">
      <c r="B15" t="s">
        <v>330</v>
      </c>
    </row>
    <row r="16" spans="2:5" x14ac:dyDescent="0.25">
      <c r="B16" t="s">
        <v>331</v>
      </c>
    </row>
    <row r="17" spans="2:2" x14ac:dyDescent="0.25">
      <c r="B17" t="s">
        <v>332</v>
      </c>
    </row>
    <row r="18" spans="2:2" x14ac:dyDescent="0.25">
      <c r="B18" t="s">
        <v>333</v>
      </c>
    </row>
    <row r="19" spans="2:2" x14ac:dyDescent="0.25">
      <c r="B19" t="s">
        <v>334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2025-09-29T15:57:32Z</dcterms:modified>
  <cp:category/>
  <cp:contentStatus/>
</cp:coreProperties>
</file>