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G APROBADOS (11042025)\AJUSTE MRG 29072025\"/>
    </mc:Choice>
  </mc:AlternateContent>
  <xr:revisionPtr revIDLastSave="0" documentId="13_ncr:1_{CB5049DA-4425-4EAD-A613-5B12540418FE}"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sheetId="23"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s>
  <calcPr calcId="191029"/>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3" i="1" l="1"/>
  <c r="Q43" i="1"/>
  <c r="T42" i="1"/>
  <c r="Q42" i="1"/>
  <c r="T41" i="1"/>
  <c r="Q41" i="1"/>
  <c r="AB42" i="1" s="1"/>
  <c r="AA42" i="1" s="1"/>
  <c r="T40" i="1"/>
  <c r="Q40" i="1"/>
  <c r="T39" i="1"/>
  <c r="Q39" i="1"/>
  <c r="T38" i="1"/>
  <c r="Q38" i="1"/>
  <c r="K38" i="1"/>
  <c r="L38" i="1" s="1"/>
  <c r="M38" i="1" s="1"/>
  <c r="H38" i="1"/>
  <c r="I38" i="1" s="1"/>
  <c r="T32" i="1"/>
  <c r="Q32" i="1"/>
  <c r="K32" i="1"/>
  <c r="L32" i="1" s="1"/>
  <c r="M32" i="1" s="1"/>
  <c r="H32" i="1"/>
  <c r="I32" i="1" s="1"/>
  <c r="K40" i="1"/>
  <c r="K41" i="1"/>
  <c r="K35" i="1"/>
  <c r="K43" i="1"/>
  <c r="K33" i="1"/>
  <c r="K37" i="1"/>
  <c r="K39" i="1"/>
  <c r="K36" i="1"/>
  <c r="K42" i="1"/>
  <c r="K34" i="1"/>
  <c r="AB40" i="1" l="1"/>
  <c r="AA40" i="1" s="1"/>
  <c r="AB43" i="1"/>
  <c r="AA43" i="1" s="1"/>
  <c r="AB32" i="1"/>
  <c r="AA32" i="1" s="1"/>
  <c r="AB38" i="1"/>
  <c r="AA38" i="1" s="1"/>
  <c r="N38" i="1"/>
  <c r="X39" i="1"/>
  <c r="AB39" i="1"/>
  <c r="AA39" i="1" s="1"/>
  <c r="X41" i="1"/>
  <c r="AB41" i="1"/>
  <c r="AA41" i="1" s="1"/>
  <c r="X43" i="1"/>
  <c r="X38" i="1"/>
  <c r="X40" i="1"/>
  <c r="X42" i="1"/>
  <c r="N32" i="1"/>
  <c r="X32" i="1"/>
  <c r="Z40" i="1" l="1"/>
  <c r="Y40" i="1"/>
  <c r="AC40" i="1" s="1"/>
  <c r="Y43" i="1"/>
  <c r="AC43" i="1" s="1"/>
  <c r="Z43" i="1"/>
  <c r="Y41" i="1"/>
  <c r="AC41" i="1" s="1"/>
  <c r="Z41" i="1"/>
  <c r="Y39" i="1"/>
  <c r="AC39" i="1" s="1"/>
  <c r="Z39" i="1"/>
  <c r="Z42" i="1"/>
  <c r="Y42" i="1"/>
  <c r="AC42" i="1" s="1"/>
  <c r="Z38" i="1"/>
  <c r="Y38" i="1"/>
  <c r="AC38" i="1" s="1"/>
  <c r="Z32" i="1"/>
  <c r="Y32" i="1"/>
  <c r="AC32" i="1" s="1"/>
  <c r="Q26" i="1" l="1"/>
  <c r="T26" i="1"/>
  <c r="H26" i="1"/>
  <c r="I26" i="1" s="1"/>
  <c r="K27" i="1"/>
  <c r="K29" i="1"/>
  <c r="K28" i="1"/>
  <c r="K30" i="1"/>
  <c r="K31" i="1"/>
  <c r="X26" i="1" l="1"/>
  <c r="Y26" i="1" s="1"/>
  <c r="Z26" i="1" l="1"/>
  <c r="H62" i="1" l="1"/>
  <c r="I62" i="1" s="1"/>
  <c r="T68" i="1"/>
  <c r="T62" i="1"/>
  <c r="Q63" i="1"/>
  <c r="T63" i="1"/>
  <c r="Q64" i="1"/>
  <c r="T64" i="1"/>
  <c r="Q65" i="1"/>
  <c r="T65" i="1"/>
  <c r="Q66" i="1"/>
  <c r="T66" i="1"/>
  <c r="Q67" i="1"/>
  <c r="T67" i="1"/>
  <c r="H68" i="1"/>
  <c r="I68" i="1" s="1"/>
  <c r="Q69" i="1"/>
  <c r="T69" i="1"/>
  <c r="Q70" i="1"/>
  <c r="T70" i="1"/>
  <c r="Q71" i="1"/>
  <c r="T71" i="1"/>
  <c r="Q72" i="1"/>
  <c r="T72" i="1"/>
  <c r="Q73" i="1"/>
  <c r="T73" i="1"/>
  <c r="K63" i="1"/>
  <c r="K65" i="1"/>
  <c r="K67" i="1"/>
  <c r="K64" i="1"/>
  <c r="K73" i="1"/>
  <c r="K71" i="1"/>
  <c r="K72" i="1"/>
  <c r="K66" i="1"/>
  <c r="K70" i="1"/>
  <c r="K69"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Q12" i="1"/>
  <c r="H12" i="1" l="1"/>
  <c r="I12" i="1" s="1"/>
  <c r="K58" i="1"/>
  <c r="K46" i="1"/>
  <c r="K25" i="1"/>
  <c r="K22" i="1"/>
  <c r="K53" i="1"/>
  <c r="K59" i="1"/>
  <c r="K45" i="1"/>
  <c r="K55" i="1"/>
  <c r="K47" i="1"/>
  <c r="K54" i="1"/>
  <c r="K52" i="1"/>
  <c r="K49" i="1"/>
  <c r="K51" i="1"/>
  <c r="K21" i="1"/>
  <c r="K60" i="1"/>
  <c r="K24" i="1"/>
  <c r="K23" i="1"/>
  <c r="K61" i="1"/>
  <c r="K57" i="1"/>
  <c r="K48" i="1"/>
  <c r="F221" i="13" l="1"/>
  <c r="F211" i="13"/>
  <c r="F212" i="13"/>
  <c r="F213" i="13"/>
  <c r="F214" i="13"/>
  <c r="F215" i="13"/>
  <c r="F216" i="13"/>
  <c r="F217" i="13"/>
  <c r="F218" i="13"/>
  <c r="F219" i="13"/>
  <c r="F220" i="13"/>
  <c r="F210" i="13"/>
  <c r="B221" i="13" a="1"/>
  <c r="K16" i="1"/>
  <c r="K15" i="1"/>
  <c r="K17" i="1"/>
  <c r="K13" i="1"/>
  <c r="K14" i="1"/>
  <c r="B221" i="13" l="1"/>
  <c r="Q51" i="1"/>
  <c r="Q45"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1" i="1" l="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H18" i="1"/>
  <c r="Q17" i="1"/>
  <c r="Q16" i="1"/>
  <c r="T18" i="1"/>
  <c r="Q18" i="1"/>
  <c r="X56" i="1" l="1"/>
  <c r="X48" i="1"/>
  <c r="X60" i="1"/>
  <c r="X54" i="1"/>
  <c r="AB57" i="1"/>
  <c r="X58" i="1"/>
  <c r="X57" i="1"/>
  <c r="X53" i="1"/>
  <c r="X52" i="1"/>
  <c r="X55" i="1"/>
  <c r="X59" i="1"/>
  <c r="X61" i="1"/>
  <c r="X47" i="1"/>
  <c r="X46" i="1"/>
  <c r="X49" i="1"/>
  <c r="AB45" i="1"/>
  <c r="X45" i="1"/>
  <c r="X44" i="1"/>
  <c r="X50" i="1"/>
  <c r="AB54" i="1"/>
  <c r="AA54" i="1" s="1"/>
  <c r="AB55" i="1"/>
  <c r="AA55" i="1" s="1"/>
  <c r="I18" i="1"/>
  <c r="X18" i="1" s="1"/>
  <c r="Y56" i="1" l="1"/>
  <c r="Z56" i="1"/>
  <c r="Z57" i="1" s="1"/>
  <c r="Y55" i="1"/>
  <c r="Z55" i="1"/>
  <c r="Y54" i="1"/>
  <c r="Z54" i="1"/>
  <c r="Y50" i="1"/>
  <c r="Z50" i="1"/>
  <c r="X51" i="1" s="1"/>
  <c r="Y44" i="1"/>
  <c r="Z44" i="1"/>
  <c r="Z45" i="1" s="1"/>
  <c r="Y18" i="1"/>
  <c r="Z18"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60" i="1" l="1"/>
  <c r="Z60" i="1"/>
  <c r="Y47" i="1"/>
  <c r="Z47" i="1"/>
  <c r="Y48" i="1" s="1"/>
  <c r="Y53" i="1"/>
  <c r="Z53" i="1"/>
  <c r="Y61" i="1" l="1"/>
  <c r="Z61" i="1"/>
  <c r="Z48" i="1"/>
  <c r="Y49" i="1" s="1"/>
  <c r="X12" i="1"/>
  <c r="Y12" i="1" s="1"/>
  <c r="Z49" i="1" l="1"/>
  <c r="Q13" i="1"/>
  <c r="Z12" i="1" l="1"/>
  <c r="X13" i="1" s="1"/>
  <c r="Y13" i="1" l="1"/>
  <c r="Z13" i="1" l="1"/>
  <c r="X16" i="1" l="1"/>
  <c r="Y16" i="1" l="1"/>
  <c r="Z16" i="1"/>
  <c r="X17" i="1" s="1"/>
  <c r="Y17" i="1" l="1"/>
  <c r="Z17" i="1"/>
  <c r="X32" i="18" l="1"/>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B44" i="1" l="1"/>
  <c r="AA44" i="1" s="1"/>
  <c r="AB56" i="1"/>
  <c r="AA56" i="1" s="1"/>
  <c r="AB50" i="1"/>
  <c r="AA50" i="1" l="1"/>
  <c r="V22" i="19" s="1"/>
  <c r="AB51" i="1"/>
  <c r="AA51"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45" i="1"/>
  <c r="AB46" i="1"/>
  <c r="AA46" i="1" s="1"/>
  <c r="AB47" i="1"/>
  <c r="AB52" i="1"/>
  <c r="AA52" i="1" s="1"/>
  <c r="AB53" i="1"/>
  <c r="AA53" i="1" s="1"/>
  <c r="AA57" i="1"/>
  <c r="AB58" i="1"/>
  <c r="AH32" i="19" l="1"/>
  <c r="AB52" i="19"/>
  <c r="J32" i="19"/>
  <c r="V12" i="19"/>
  <c r="J42" i="19"/>
  <c r="J12" i="19"/>
  <c r="J22" i="19"/>
  <c r="AB12" i="19"/>
  <c r="AC50"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26" i="1" l="1"/>
  <c r="L26" i="1" s="1"/>
  <c r="K68" i="1"/>
  <c r="L68" i="1" s="1"/>
  <c r="K62" i="1"/>
  <c r="L62" i="1" s="1"/>
  <c r="K44" i="1"/>
  <c r="L44" i="1" s="1"/>
  <c r="K50" i="1"/>
  <c r="L50" i="1" s="1"/>
  <c r="K18" i="1"/>
  <c r="L18" i="1" s="1"/>
  <c r="K56" i="1"/>
  <c r="L56" i="1" s="1"/>
  <c r="K12" i="1"/>
  <c r="L12" i="1" s="1"/>
  <c r="AD38" i="18" l="1"/>
  <c r="AD30" i="18"/>
  <c r="L14" i="18"/>
  <c r="X6" i="18"/>
  <c r="N18" i="1"/>
  <c r="AJ38" i="18"/>
  <c r="AD6" i="18"/>
  <c r="AJ30" i="18"/>
  <c r="AD22" i="18"/>
  <c r="AJ22" i="18"/>
  <c r="X38" i="18"/>
  <c r="R22" i="18"/>
  <c r="M18" i="1"/>
  <c r="AB18" i="1" s="1"/>
  <c r="AA18" i="1" s="1"/>
  <c r="X30" i="18"/>
  <c r="AJ6" i="18"/>
  <c r="L6" i="18"/>
  <c r="L38" i="18"/>
  <c r="R30" i="18"/>
  <c r="AD14" i="18"/>
  <c r="X22" i="18"/>
  <c r="L30" i="18"/>
  <c r="L22" i="18"/>
  <c r="R38" i="18"/>
  <c r="R6" i="18"/>
  <c r="AJ14" i="18"/>
  <c r="X14" i="18"/>
  <c r="R14" i="18"/>
  <c r="Z32" i="18"/>
  <c r="AL32" i="18"/>
  <c r="N8" i="18"/>
  <c r="Z40" i="18"/>
  <c r="N32" i="18"/>
  <c r="N40" i="18"/>
  <c r="M44" i="1"/>
  <c r="AL8" i="18"/>
  <c r="N16" i="18"/>
  <c r="Z24" i="18"/>
  <c r="N44" i="1"/>
  <c r="AF8" i="18"/>
  <c r="Z8" i="18"/>
  <c r="AL16" i="18"/>
  <c r="N24" i="18"/>
  <c r="AL40" i="18"/>
  <c r="AF24" i="18"/>
  <c r="Z16" i="18"/>
  <c r="T32" i="18"/>
  <c r="T8" i="18"/>
  <c r="AF32" i="18"/>
  <c r="T16" i="18"/>
  <c r="AF16" i="18"/>
  <c r="T40" i="18"/>
  <c r="AL24" i="18"/>
  <c r="AF40" i="18"/>
  <c r="T24" i="18"/>
  <c r="M68" i="1"/>
  <c r="N68" i="1"/>
  <c r="AB36" i="18"/>
  <c r="P28" i="18"/>
  <c r="P36" i="18"/>
  <c r="AH28" i="18"/>
  <c r="J12" i="18"/>
  <c r="P44" i="18"/>
  <c r="V28" i="18"/>
  <c r="J28" i="18"/>
  <c r="J44" i="18"/>
  <c r="AB12" i="18"/>
  <c r="AH44" i="18"/>
  <c r="P20" i="18"/>
  <c r="AB28" i="18"/>
  <c r="AH12" i="18"/>
  <c r="V12" i="18"/>
  <c r="J20" i="18"/>
  <c r="V36" i="18"/>
  <c r="P12" i="18"/>
  <c r="V20" i="18"/>
  <c r="AH20" i="18"/>
  <c r="AB20" i="18"/>
  <c r="AB44" i="18"/>
  <c r="AH36" i="18"/>
  <c r="V44" i="18"/>
  <c r="J36" i="18"/>
  <c r="AB38" i="18"/>
  <c r="P14" i="18"/>
  <c r="AB22" i="18"/>
  <c r="J38" i="18"/>
  <c r="P22" i="18"/>
  <c r="V22" i="18"/>
  <c r="V30" i="18"/>
  <c r="AH6" i="18"/>
  <c r="AB30" i="18"/>
  <c r="V14" i="18"/>
  <c r="AB14" i="18"/>
  <c r="V6" i="18"/>
  <c r="M12" i="1"/>
  <c r="AB12" i="1" s="1"/>
  <c r="J6" i="18"/>
  <c r="AH14" i="18"/>
  <c r="P30" i="18"/>
  <c r="AH38" i="18"/>
  <c r="AH22" i="18"/>
  <c r="J14" i="18"/>
  <c r="P6" i="18"/>
  <c r="AH30" i="18"/>
  <c r="J30" i="18"/>
  <c r="J22" i="18"/>
  <c r="P38" i="18"/>
  <c r="V38" i="18"/>
  <c r="AB6" i="18"/>
  <c r="N12" i="1"/>
  <c r="R34" i="18"/>
  <c r="AJ26" i="18"/>
  <c r="X42" i="18"/>
  <c r="R18" i="18"/>
  <c r="L34" i="18"/>
  <c r="X34" i="18"/>
  <c r="AD34" i="18"/>
  <c r="AJ10" i="18"/>
  <c r="AJ42" i="18"/>
  <c r="AD26" i="18"/>
  <c r="AD10" i="18"/>
  <c r="AD42" i="18"/>
  <c r="R10" i="18"/>
  <c r="AJ34" i="18"/>
  <c r="X10" i="18"/>
  <c r="R26" i="18"/>
  <c r="AD18" i="18"/>
  <c r="M56" i="1"/>
  <c r="L10" i="18"/>
  <c r="L18" i="18"/>
  <c r="R42" i="18"/>
  <c r="L42" i="18"/>
  <c r="X26" i="18"/>
  <c r="L26" i="18"/>
  <c r="AJ18" i="18"/>
  <c r="X18" i="18"/>
  <c r="N56" i="1"/>
  <c r="M50" i="1"/>
  <c r="AH42" i="18"/>
  <c r="AB10" i="18"/>
  <c r="V18" i="18"/>
  <c r="J42" i="18"/>
  <c r="AB26" i="18"/>
  <c r="J18" i="18"/>
  <c r="AH34" i="18"/>
  <c r="J26" i="18"/>
  <c r="P10" i="18"/>
  <c r="AH10" i="18"/>
  <c r="P26" i="18"/>
  <c r="V34" i="18"/>
  <c r="J10" i="18"/>
  <c r="P18" i="18"/>
  <c r="V10" i="18"/>
  <c r="P42" i="18"/>
  <c r="AH18" i="18"/>
  <c r="V42" i="18"/>
  <c r="J34" i="18"/>
  <c r="AB34" i="18"/>
  <c r="P34" i="18"/>
  <c r="AH26" i="18"/>
  <c r="N50" i="1"/>
  <c r="AB42" i="18"/>
  <c r="AB18" i="18"/>
  <c r="V26" i="18"/>
  <c r="N62" i="1"/>
  <c r="M62" i="1"/>
  <c r="AB62" i="1" s="1"/>
  <c r="AA62" i="1" s="1"/>
  <c r="Z42" i="18"/>
  <c r="AF26" i="18"/>
  <c r="AF18" i="18"/>
  <c r="N34" i="18"/>
  <c r="T18" i="18"/>
  <c r="Z10" i="18"/>
  <c r="Z26" i="18"/>
  <c r="AF34" i="18"/>
  <c r="N18" i="18"/>
  <c r="AL34" i="18"/>
  <c r="AF10" i="18"/>
  <c r="AF42" i="18"/>
  <c r="T26" i="18"/>
  <c r="N42" i="18"/>
  <c r="T10" i="18"/>
  <c r="Z18" i="18"/>
  <c r="T42" i="18"/>
  <c r="N10" i="18"/>
  <c r="Z34" i="18"/>
  <c r="N26" i="18"/>
  <c r="T34" i="18"/>
  <c r="AL18" i="18"/>
  <c r="AL10" i="18"/>
  <c r="AL42" i="18"/>
  <c r="AL26" i="18"/>
  <c r="N26" i="1"/>
  <c r="M26" i="1"/>
  <c r="AB26" i="1" s="1"/>
  <c r="AA26" i="1" s="1"/>
  <c r="AF22" i="18"/>
  <c r="AF30" i="18"/>
  <c r="Z6" i="18"/>
  <c r="T22" i="18"/>
  <c r="AL30" i="18"/>
  <c r="Z14" i="18"/>
  <c r="AL38" i="18"/>
  <c r="AF6" i="18"/>
  <c r="T30" i="18"/>
  <c r="AF14" i="18"/>
  <c r="N14" i="18"/>
  <c r="AF38" i="18"/>
  <c r="T38" i="18"/>
  <c r="AL6" i="18"/>
  <c r="N6" i="18"/>
  <c r="Z30" i="18"/>
  <c r="AL22" i="18"/>
  <c r="N30" i="18"/>
  <c r="T6" i="18"/>
  <c r="N38" i="18"/>
  <c r="T14" i="18"/>
  <c r="Z22" i="18"/>
  <c r="AL14" i="18"/>
  <c r="Z38" i="18"/>
  <c r="N22" i="18"/>
  <c r="AC62" i="1" l="1"/>
  <c r="AB54" i="19"/>
  <c r="V24" i="19"/>
  <c r="AH14" i="19"/>
  <c r="AH34" i="19"/>
  <c r="AH54" i="19"/>
  <c r="J54" i="19"/>
  <c r="V54" i="19"/>
  <c r="AH24" i="19"/>
  <c r="AB44" i="19"/>
  <c r="P14" i="19"/>
  <c r="AB24" i="19"/>
  <c r="P34" i="19"/>
  <c r="P24" i="19"/>
  <c r="J24" i="19"/>
  <c r="P54" i="19"/>
  <c r="AB14" i="19"/>
  <c r="V14" i="19"/>
  <c r="AH44" i="19"/>
  <c r="J14" i="19"/>
  <c r="V34" i="19"/>
  <c r="AB34" i="19"/>
  <c r="V44" i="19"/>
  <c r="J34" i="19"/>
  <c r="J44" i="19"/>
  <c r="P44" i="19"/>
  <c r="AB13" i="1"/>
  <c r="AA13" i="1" s="1"/>
  <c r="AA12" i="1"/>
  <c r="AC26" i="1"/>
  <c r="AH8" i="19"/>
  <c r="P38" i="19"/>
  <c r="AH38" i="19"/>
  <c r="P48" i="19"/>
  <c r="AB18" i="19"/>
  <c r="J8" i="19"/>
  <c r="J18" i="19"/>
  <c r="V38" i="19"/>
  <c r="AB38" i="19"/>
  <c r="P8" i="19"/>
  <c r="AB28" i="19"/>
  <c r="AH28" i="19"/>
  <c r="V48" i="19"/>
  <c r="AB8" i="19"/>
  <c r="J48" i="19"/>
  <c r="P18" i="19"/>
  <c r="V18" i="19"/>
  <c r="AH48" i="19"/>
  <c r="AB48" i="19"/>
  <c r="P28" i="19"/>
  <c r="V28" i="19"/>
  <c r="J28" i="19"/>
  <c r="J38" i="19"/>
  <c r="AH18" i="19"/>
  <c r="V8" i="19"/>
  <c r="J47" i="19"/>
  <c r="AB17" i="19"/>
  <c r="P7" i="19"/>
  <c r="AH17" i="19"/>
  <c r="J7" i="19"/>
  <c r="P27" i="19"/>
  <c r="V7" i="19"/>
  <c r="J37" i="19"/>
  <c r="J17" i="19"/>
  <c r="AB7" i="19"/>
  <c r="J27" i="19"/>
  <c r="AH27" i="19"/>
  <c r="AC18" i="1"/>
  <c r="P47" i="19"/>
  <c r="V27" i="19"/>
  <c r="V37" i="19"/>
  <c r="P17" i="19"/>
  <c r="AH47" i="19"/>
  <c r="AH37" i="19"/>
  <c r="AB37" i="19"/>
  <c r="V47" i="19"/>
  <c r="AB47" i="19"/>
  <c r="AB27" i="19"/>
  <c r="P37" i="19"/>
  <c r="AH7" i="19"/>
  <c r="V17" i="19"/>
  <c r="AH16" i="19" l="1"/>
  <c r="V46" i="19"/>
  <c r="AB16" i="19"/>
  <c r="V16" i="19"/>
  <c r="J26" i="19"/>
  <c r="AH46" i="19"/>
  <c r="AH26" i="19"/>
  <c r="V36" i="19"/>
  <c r="V6" i="19"/>
  <c r="AB46" i="19"/>
  <c r="J16" i="19"/>
  <c r="AC12" i="1"/>
  <c r="J46" i="19"/>
  <c r="AB36" i="19"/>
  <c r="P16" i="19"/>
  <c r="J6" i="19"/>
  <c r="V26" i="19"/>
  <c r="AB6" i="19"/>
  <c r="P6" i="19"/>
  <c r="P46" i="19"/>
  <c r="AH36" i="19"/>
  <c r="P36" i="19"/>
  <c r="AH6" i="19"/>
  <c r="AB26" i="19"/>
  <c r="P26" i="19"/>
  <c r="J36" i="19"/>
  <c r="AC13" i="1"/>
  <c r="AC26" i="19"/>
  <c r="K16" i="19"/>
  <c r="Q16" i="19"/>
  <c r="AI6" i="19"/>
  <c r="AI36" i="19"/>
  <c r="K46" i="19"/>
  <c r="W16" i="19"/>
  <c r="AI16" i="19"/>
  <c r="AI26" i="19"/>
  <c r="AI46" i="19"/>
  <c r="K36" i="19"/>
  <c r="Q36" i="19"/>
  <c r="AC6" i="19"/>
  <c r="AC46" i="19"/>
  <c r="Q26" i="19"/>
  <c r="W6" i="19"/>
  <c r="W26" i="19"/>
  <c r="W36" i="19"/>
  <c r="Q46" i="19"/>
  <c r="Q6" i="19"/>
  <c r="K26" i="19"/>
  <c r="AC36" i="19"/>
  <c r="K6" i="19"/>
  <c r="W46" i="19"/>
  <c r="AC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<sst xmlns="http://schemas.openxmlformats.org/spreadsheetml/2006/main" count="469" uniqueCount="320">
  <si>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</si>
  <si>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</si>
  <si>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</si>
  <si>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</si>
  <si>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</si>
  <si>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</si>
  <si>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</si>
  <si>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</si>
  <si>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</si>
  <si>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</si>
  <si>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</si>
  <si>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</si>
  <si>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</si>
  <si>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</si>
  <si>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</si>
  <si>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</si>
  <si>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</si>
  <si>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</si>
  <si>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</si>
  <si>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</si>
  <si>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</si>
  <si>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</si>
  <si>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</si>
  <si>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</si>
  <si>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</si>
  <si>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</si>
  <si>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</si>
  <si>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</si>
  <si>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</si>
  <si>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</si>
  <si>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</si>
  <si>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</si>
  <si>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</si>
  <si>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</si>
  <si>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</si>
  <si>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</si>
  <si>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</si>
  <si>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</si>
  <si>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</si>
  <si>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</si>
  <si>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</si>
  <si>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</si>
  <si>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</si>
  <si>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</si>
  <si>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</si>
  <si>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</si>
  <si>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</si>
  <si>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</si>
  <si>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</si>
  <si>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</si>
  <si>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</si>
  <si>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</si>
  <si>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</si>
  <si>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</si>
  <si>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</si>
  <si>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</si>
  <si>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</si>
  <si>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</si>
  <si>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</si>
  <si>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</si>
  <si>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</si>
  <si>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</si>
  <si>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</si>
  <si>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</si>
  <si>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</si>
  <si>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</si>
  <si>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</si>
  <si>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</si>
  <si>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</si>
  <si>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</si>
  <si>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</si>
  <si>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</si>
  <si>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</si>
  <si>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</si>
  <si>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</si>
  <si>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</si>
  <si>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</si>
  <si>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</si>
  <si>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</si>
  <si>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</si>
  <si>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TÉCNICO SERVICIOS PÚBLICOS</t>
  </si>
  <si>
    <t>ALCANCE:</t>
  </si>
  <si>
    <t>Inicia con el cumplimiento de la Ley 142 de 1994 de Servicios publicos domiciliarios y finaliza con la atencion a los usurios, el cargue de informacion al SUI de la Superservicios y acompañamiento para la renovavion o creación de los Comites de desarrollo y Control Social de los servicios publicos domiciliarios.</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</si>
  <si>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</si>
  <si>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</si>
  <si>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</si>
  <si>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</si>
  <si>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</si>
  <si>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</si>
  <si>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Brindar atención con calidad y oportunidad dando respuesta en los tiempos de ley establecidos a las diferentes solicitudes realizadas por los usuarios ante las empresas prestadoras de servicios públicos, además de realizar apoyo y asesoría para la creación y/o renovación de los comités de Desarrollo y Control Social, igualmente mantener actualizada la información de los prestadores para realizar el cargue de la información al Sistema Único de información de la Superintendencia de Servicios Públicos con el fin de dar cumplimiento a la misión, visión , política y objetivos de calidad enmarcados dentro del plan de desarrollo.</t>
  </si>
  <si>
    <t>Información cargada en el SUI para asignacion de recursos por parte del Ministerio de Vivienda; Resoluciones expedidas de inscripción  y  reconocimiento  de la  creación  y/o  renovación  del CDCS, Gestion ante prestadores de peticiones de usuarios por la prestación de un servicio publico y Formatos de seguimiento y control atencion usuarios UTSP (visitas)</t>
  </si>
  <si>
    <t>Consolidacion de la Información para cargar en el SUI</t>
  </si>
  <si>
    <t>MATRIZ DOFA</t>
  </si>
  <si>
    <t>DEBILIDADES</t>
  </si>
  <si>
    <t>AMENAZAS</t>
  </si>
  <si>
    <t>Falta de personal para atender los compromisos</t>
  </si>
  <si>
    <t xml:space="preserve">Crisis económica </t>
  </si>
  <si>
    <t>Obsolecencia de equipos de computo</t>
  </si>
  <si>
    <t>Alta tasa de informalidad</t>
  </si>
  <si>
    <t>Rotación de personal</t>
  </si>
  <si>
    <t>Cambios Normativos</t>
  </si>
  <si>
    <t>Ooportunidad en los recursos de oficina</t>
  </si>
  <si>
    <t>FORTALEZAS</t>
  </si>
  <si>
    <t>OPORTUNIDADES</t>
  </si>
  <si>
    <t>Experiencia y compromiso de los servidores públicos vinculados al proceso</t>
  </si>
  <si>
    <t xml:space="preserve">Gestión en habilidades comportamentales o conductuales para los servidores públicos. </t>
  </si>
  <si>
    <t>Planeación del desarrollo territorial</t>
  </si>
  <si>
    <t>La gestión preventida que realiza la Oficina de Control Interno de Gestión</t>
  </si>
  <si>
    <t>Implementación del Modelo Integrado de Planeación y Gestión - MIPG.</t>
  </si>
  <si>
    <t>Desarrollo e implementacion de plataformas tecnológicas que facilitan las actividades laborales</t>
  </si>
  <si>
    <t>Conocimiento del desarrollo de los procesos</t>
  </si>
  <si>
    <t>Reconocimiento de la atención de calidad brindada por los servidores públicos</t>
  </si>
  <si>
    <t>Trabajo en equipo y excelentes relaciones interpersonales</t>
  </si>
  <si>
    <t>Programas a nivel municipal y local</t>
  </si>
  <si>
    <t>Capacitación y socialización de procesos a los servidores públicos</t>
  </si>
  <si>
    <t>Inteligencia Artificial</t>
  </si>
  <si>
    <t>Certificacion del SGC</t>
  </si>
  <si>
    <t>Cumplimiento de la planeación establecida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</si>
  <si>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</si>
  <si>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</si>
  <si>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</si>
  <si>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</si>
  <si>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</si>
  <si>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</si>
  <si>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</si>
  <si>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</si>
  <si>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</si>
  <si>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</si>
  <si>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Brindar  atención  con  calidad  y  oportunidad  a  las  diferentes  solicitudes  realizadas  por  los  usuarios  ante  las empresas  prestadoras  de  servicios públicosdomiciliarios, así  como  realizar  asesoría  y  acompañamiento para  la  creación  y/o  renovación  de  los Comités  de  Desarrollo  y  Control Social-CDCS, manteniendo actualizada  la  información  de  los  prestadores  para  realizar  el  cargue oportuno de  información  al  Sistema  Único  de Información-SUIde la Superintendencia de Servicios Públicos Domiciliarios</t>
  </si>
  <si>
    <t>Alcance:</t>
  </si>
  <si>
    <t>Comprende desde la elaboración de oficios a prestadores y/o dependencias de la Administración Municipal de acuerdo con la Resolución sobre cargue de información en el Sistema Único de Información-SUI expedida por la Superintendencia de Servicios Públicos Domiciliarios, la radicación y  trámite  de  solicitudes  de  la  ciudadanía  respecto  a  los  servicios  públicos  domiciliarios,  hasta  la  asesoría  para  la  creacióny/o  renovación  de Comités de Desarrollo y Control Social, y el cargue y verificación de información en el SUI.</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</si>
  <si>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</si>
  <si>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</si>
  <si>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</si>
  <si>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</si>
  <si>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</si>
  <si>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</si>
  <si>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</si>
  <si>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</si>
  <si>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</si>
  <si>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</si>
  <si>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</si>
  <si>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</si>
  <si>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</si>
  <si>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</si>
  <si>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</si>
  <si>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</si>
  <si>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</si>
  <si>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</si>
  <si>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</si>
  <si>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</si>
  <si>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</si>
  <si>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</si>
  <si>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</si>
  <si>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</si>
  <si>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</si>
  <si>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</si>
  <si>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</si>
  <si>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</si>
  <si>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Ejecución y Administración de procesos</t>
  </si>
  <si>
    <t xml:space="preserve">     Mayor a 500 SMLMV </t>
  </si>
  <si>
    <t>Preventivo</t>
  </si>
  <si>
    <t>Manual</t>
  </si>
  <si>
    <t>Documentado</t>
  </si>
  <si>
    <t>Continua</t>
  </si>
  <si>
    <t>Con Registro</t>
  </si>
  <si>
    <t>Reducir (mitigar)</t>
  </si>
  <si>
    <t>Realizar un (1) reporte semestral de  seguimiento a las solicitudes de información cargada en la plataforma SUI de acuerdo con las fechas establecidas en la ley.</t>
  </si>
  <si>
    <t>Profesional encargado</t>
  </si>
  <si>
    <t>Reputacional</t>
  </si>
  <si>
    <t>Incumplimiento de la normatividad archivística en los documentos emanados de la UTSP</t>
  </si>
  <si>
    <t>Posibilidad de afectación reputacional por posibles investigaciones y sanciones disciplinarias por entes de control, debido al incumplimiento de la Ley 594 del 2000 en los documentos emanados por la UTSP</t>
  </si>
  <si>
    <t xml:space="preserve">     El riesgo afecta la imagen de la entidad con algunos usuarios de relevancia frente al logro de los objetivos</t>
  </si>
  <si>
    <t>El área de archivo de la UTSP encargada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</si>
  <si>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UTSP en los tiempos establecidos en el cronograma para la vigencia que aplique la tabla de retención documental vigentes</t>
  </si>
  <si>
    <t>Servidores públicos y contratistas</t>
  </si>
  <si>
    <t>Acta de transferencia documental F-GDO-8600-238,37-022</t>
  </si>
  <si>
    <t>Organizar el 100% de los expedientes producidos por la UTSP</t>
  </si>
  <si>
    <t xml:space="preserve">Informe de seguimiento a la organización documental F-GDO-8600-238,37-033 </t>
  </si>
  <si>
    <t>Elaborar el 100% de los inventarios documentales de los archivos producidos por la UTSP</t>
  </si>
  <si>
    <t>Disminucion de recursos del SGP, por posibles sanciones de la Superservicios y Minvivienda, asi como investigaciones de entes de control</t>
  </si>
  <si>
    <t>Demora en la entrega de la informacion por parte de los prestadores de servicios públicos domiciliarios y/o dependencias, lo cual genera el cargue extemporaneo en el portal SUI</t>
  </si>
  <si>
    <t>Posibilidad de afectación económica y reputacional por disminución de recursos del SGP, por posibles sanciones de la Superservicios y Minvivienda, así como investigaciones de entes de control, debido a  la demora en la contratación de personal idóneo en sistemas de información, lo cual  genera el cargue extemporáneo en el portal SUI.</t>
  </si>
  <si>
    <t>Jefe de la UTSP</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</si>
  <si>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</si>
  <si>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</si>
  <si>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</si>
  <si>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Ejecucion y Administracion de procesos</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</si>
  <si>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</si>
  <si>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UTSP, de acuerdo con los estandares establecidos en la Resolucuión 1519 de 2020</t>
  </si>
  <si>
    <t>Lider de proceso y profesional asignado</t>
  </si>
  <si>
    <t>Solicitudes de publicación enviados al área TIC</t>
  </si>
  <si>
    <t>Investigaciones disciplinarias</t>
  </si>
  <si>
    <t xml:space="preserve">El profesional encargado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</si>
  <si>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</si>
  <si>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</si>
  <si>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</si>
  <si>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</si>
  <si>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</si>
  <si>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</si>
  <si>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</si>
  <si>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</si>
  <si>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</si>
  <si>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</si>
  <si>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</si>
  <si>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</si>
  <si>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</si>
  <si>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</si>
  <si>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</si>
  <si>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</si>
  <si>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</si>
  <si>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</si>
  <si>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</si>
  <si>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</si>
  <si>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</si>
  <si>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</si>
  <si>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</si>
  <si>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</si>
  <si>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</si>
  <si>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</si>
  <si>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</si>
  <si>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</si>
  <si>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</si>
  <si>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</si>
  <si>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</si>
  <si>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</si>
  <si>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</si>
  <si>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</si>
  <si>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</si>
  <si>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</si>
  <si>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</si>
  <si>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</si>
  <si>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</si>
  <si>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</si>
  <si>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</si>
  <si>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</si>
  <si>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</si>
  <si>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</si>
  <si>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</si>
  <si>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</si>
  <si>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</si>
  <si>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</si>
  <si>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</si>
  <si>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</si>
  <si>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</si>
  <si>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</si>
  <si>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</si>
  <si>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</si>
  <si>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</si>
  <si>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</si>
  <si>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</si>
  <si>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</si>
  <si>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</si>
  <si>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</si>
  <si>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</si>
  <si>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</si>
  <si>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</si>
  <si>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</si>
  <si>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</si>
  <si>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</si>
  <si>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</si>
  <si>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</si>
  <si>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</si>
  <si>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</si>
  <si>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</si>
  <si>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</si>
  <si>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</si>
  <si>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</si>
  <si>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</si>
  <si>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</si>
  <si>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</si>
  <si>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</si>
  <si>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</si>
  <si>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</si>
  <si>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</si>
  <si>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</si>
  <si>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</si>
  <si>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</si>
  <si>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</si>
  <si>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</si>
  <si>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</si>
  <si>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</si>
  <si>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</si>
  <si>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</si>
  <si>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</si>
  <si>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</si>
  <si>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</si>
  <si>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</si>
  <si>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</si>
  <si>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</si>
  <si>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</si>
  <si>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</si>
  <si>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</si>
  <si>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</si>
  <si>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</si>
  <si>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</si>
  <si>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</si>
  <si>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</si>
  <si>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</si>
  <si>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</si>
  <si>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</si>
  <si>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</si>
  <si>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</si>
  <si>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</si>
  <si>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</si>
  <si>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</si>
  <si>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</si>
  <si>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</si>
  <si>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de Gestión 2025</t>
  </si>
  <si>
    <t>Posibilidad de afectación reputacional por investigaciones disciplinarias debido al incumplimiento de las acciones correctivas en los tiempos estipulados y plasmados en los Planes de Mejoramiento de auditorías internas, suscritos</t>
  </si>
  <si>
    <t xml:space="preserve"> incumplimiento de las acciones correctivas en los tiempos estipulados y plasmados en los Planes de Mejoramiento de auditorías internas, suscritos</t>
  </si>
  <si>
    <t>investigaciones y sanciones disciplinarias por entes de control</t>
  </si>
  <si>
    <t>Posibilidad de afectación económica y reputacional por sanciones de los entes de control, reducción de recursos del SGP e investigaciones administrativas debido al incumplimiento en el cargue oportuno de la información al portal SUI de acuerdo con la normatividad vigente</t>
  </si>
  <si>
    <t>incumplimiento en el cargue oportuno de la información al portal SUI de acuerdo con la normatividad vigente</t>
  </si>
  <si>
    <t>sanciones por parte de los entes de control, reducción de recursos del SGP e investigaciones administrativas</t>
  </si>
  <si>
    <t>El profesional encargado verifica las solicitudes de información de la Superservicios a través de los formatos establecidos, asi como la información reportada por las empresas prestadoras de servicios públicos a fin realizar el cargue en la plataforma SUI.</t>
  </si>
  <si>
    <t>La Lider del programa de la UTSP identifica las necesidades de personal, las competencias y el perfil idóneo en sistemas de información, para realizar el cargue oportuno en la plataforma SUI de la Superservicios</t>
  </si>
  <si>
    <r>
      <t xml:space="preserve">Realizar una (1) solicitud </t>
    </r>
    <r>
      <rPr>
        <sz val="10"/>
        <color rgb="FFFF0000"/>
        <rFont val="Arial Narrow"/>
        <family val="2"/>
      </rPr>
      <t>semestral</t>
    </r>
    <r>
      <rPr>
        <sz val="10"/>
        <color theme="1"/>
        <rFont val="Arial Narrow"/>
        <family val="2"/>
      </rPr>
      <t xml:space="preserve"> a la Secretaría Administrativa relacionada con la necesidad de contratación de personal idóneo en sistemas de información. </t>
    </r>
  </si>
  <si>
    <r>
      <t xml:space="preserve">Solicitud de personal </t>
    </r>
    <r>
      <rPr>
        <sz val="10"/>
        <color rgb="FFFF0000"/>
        <rFont val="Arial Narrow"/>
        <family val="2"/>
      </rPr>
      <t>(2)</t>
    </r>
  </si>
  <si>
    <t>Reporte de seguimiento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</si>
</sst>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1"/>
      <color theme="1"/>
      <name val="Arial"/>
      <family val="2"/>
    </font>
    <font>
      <b/>
      <sz val="20"/>
      <color rgb="FF000000"/>
      <name val="Arial"/>
      <family val="2"/>
    </font>
    <font>
      <sz val="11"/>
      <name val="Arial"/>
      <family val="2"/>
    </font>
    <font>
      <sz val="10"/>
      <color rgb="FFFF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4" tint="0.79998168889431442"/>
        <bgColor indexed="64"/>
      </patternFill>
    </fill>
  </fills>
  <borders count="11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4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16" fillId="16" borderId="0" xfId="0" applyFont="1" applyFill="1" applyAlignment="1">
      <alignment wrapText="1"/>
    </xf>
    <xf numFmtId="0" fontId="45" fillId="17" borderId="96" xfId="0" applyFont="1" applyFill="1" applyBorder="1" applyAlignment="1">
      <alignment horizontal="left" vertical="center" wrapText="1" indent="1"/>
    </xf>
    <xf numFmtId="0" fontId="45" fillId="17" borderId="98" xfId="0" applyFont="1" applyFill="1" applyBorder="1" applyAlignment="1">
      <alignment horizontal="left" vertical="center" wrapText="1" inden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34" xfId="0" applyFont="1" applyFill="1" applyBorder="1" applyAlignment="1">
      <alignment horizontal="center" vertical="center" wrapText="1"/>
    </xf>
    <xf numFmtId="0" fontId="58" fillId="17" borderId="93" xfId="0" applyFont="1" applyFill="1" applyBorder="1" applyAlignment="1">
      <alignment horizontal="center" vertical="center" wrapText="1"/>
    </xf>
    <xf numFmtId="0" fontId="59" fillId="0" borderId="18" xfId="0" applyFont="1" applyBorder="1" applyAlignment="1">
      <alignment horizontal="center" vertical="center" wrapText="1"/>
    </xf>
    <xf numFmtId="0" fontId="59" fillId="0" borderId="95"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14" fontId="48" fillId="3" borderId="95" xfId="0" applyNumberFormat="1" applyFont="1" applyFill="1" applyBorder="1" applyAlignment="1">
      <alignment horizontal="left" vertical="center" wrapText="1"/>
    </xf>
    <xf numFmtId="0" fontId="63" fillId="0" borderId="0" xfId="0" applyFont="1"/>
    <xf numFmtId="0" fontId="69" fillId="16" borderId="0" xfId="0" applyFont="1" applyFill="1" applyAlignment="1">
      <alignment wrapText="1"/>
    </xf>
    <xf numFmtId="0" fontId="67" fillId="0" borderId="108" xfId="0" applyFont="1" applyBorder="1" applyAlignment="1">
      <alignment horizontal="center"/>
    </xf>
    <xf numFmtId="0" fontId="63" fillId="0" borderId="32" xfId="0" applyFont="1" applyBorder="1" applyAlignment="1">
      <alignment horizontal="center" vertical="center"/>
    </xf>
    <xf numFmtId="14" fontId="63" fillId="0" borderId="32" xfId="0" applyNumberFormat="1" applyFont="1" applyBorder="1" applyAlignment="1">
      <alignment horizontal="center" vertical="center"/>
    </xf>
    <xf numFmtId="0" fontId="63" fillId="0" borderId="32" xfId="0" applyFont="1" applyBorder="1" applyAlignment="1">
      <alignment horizontal="center" vertical="center" wrapText="1"/>
    </xf>
    <xf numFmtId="0" fontId="36" fillId="0" borderId="93" xfId="0" applyFont="1" applyBorder="1" applyAlignment="1">
      <alignment horizontal="center" vertical="center" wrapText="1"/>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9" borderId="2" xfId="0" applyFont="1" applyFill="1" applyBorder="1" applyAlignment="1">
      <alignment horizontal="center" vertical="center"/>
    </xf>
    <xf numFmtId="0" fontId="6" fillId="9" borderId="2" xfId="0" applyFont="1" applyFill="1" applyBorder="1" applyAlignment="1" applyProtection="1">
      <alignment horizontal="justify" vertical="center" wrapText="1"/>
      <protection locked="0"/>
    </xf>
    <xf numFmtId="0" fontId="1" fillId="9" borderId="2" xfId="0" applyFont="1" applyFill="1" applyBorder="1" applyAlignment="1" applyProtection="1">
      <alignment horizontal="center" vertical="center"/>
      <protection hidden="1"/>
    </xf>
    <xf numFmtId="0" fontId="1" fillId="9" borderId="2" xfId="0" applyFont="1" applyFill="1" applyBorder="1" applyAlignment="1" applyProtection="1">
      <alignment horizontal="center" vertical="center" textRotation="90"/>
      <protection locked="0"/>
    </xf>
    <xf numFmtId="9" fontId="1" fillId="9" borderId="2" xfId="0" applyNumberFormat="1" applyFont="1" applyFill="1" applyBorder="1" applyAlignment="1" applyProtection="1">
      <alignment horizontal="center" vertical="center"/>
      <protection hidden="1"/>
    </xf>
    <xf numFmtId="164" fontId="1" fillId="9" borderId="2" xfId="1" applyNumberFormat="1" applyFont="1" applyFill="1" applyBorder="1" applyAlignment="1">
      <alignment horizontal="center" vertical="center"/>
    </xf>
    <xf numFmtId="0" fontId="4" fillId="9" borderId="2" xfId="0" applyFont="1" applyFill="1" applyBorder="1" applyAlignment="1" applyProtection="1">
      <alignment horizontal="center" vertical="center" textRotation="90" wrapText="1"/>
      <protection hidden="1"/>
    </xf>
    <xf numFmtId="9" fontId="1" fillId="9" borderId="4" xfId="0" applyNumberFormat="1" applyFont="1" applyFill="1" applyBorder="1" applyAlignment="1" applyProtection="1">
      <alignment horizontal="center" vertical="center"/>
      <protection hidden="1"/>
    </xf>
    <xf numFmtId="0" fontId="4" fillId="9" borderId="2" xfId="0" applyFont="1" applyFill="1" applyBorder="1" applyAlignment="1" applyProtection="1">
      <alignment horizontal="center" vertical="center" textRotation="90"/>
      <protection hidden="1"/>
    </xf>
    <xf numFmtId="0" fontId="1" fillId="9" borderId="4" xfId="0" applyFont="1" applyFill="1" applyBorder="1" applyAlignment="1" applyProtection="1">
      <alignment horizontal="center" vertical="center" textRotation="90"/>
      <protection locked="0"/>
    </xf>
    <xf numFmtId="14" fontId="6" fillId="9" borderId="2" xfId="0" applyNumberFormat="1" applyFont="1" applyFill="1" applyBorder="1" applyAlignment="1" applyProtection="1">
      <alignment horizontal="center" vertical="center" wrapText="1"/>
      <protection locked="0"/>
    </xf>
    <xf numFmtId="14" fontId="6" fillId="9" borderId="2" xfId="0" applyNumberFormat="1" applyFont="1" applyFill="1" applyBorder="1" applyAlignment="1" applyProtection="1">
      <alignment horizontal="center" vertical="center"/>
      <protection locked="0"/>
    </xf>
    <xf numFmtId="0" fontId="1" fillId="9" borderId="0" xfId="0" applyFont="1" applyFill="1"/>
    <xf numFmtId="0" fontId="1" fillId="9" borderId="2" xfId="0" applyFont="1" applyFill="1" applyBorder="1" applyAlignment="1">
      <alignment horizontal="center" vertical="top"/>
    </xf>
    <xf numFmtId="0" fontId="6" fillId="9" borderId="2" xfId="0" applyFont="1" applyFill="1" applyBorder="1" applyAlignment="1" applyProtection="1">
      <alignment horizontal="center" vertical="center" wrapText="1"/>
      <protection locked="0"/>
    </xf>
    <xf numFmtId="0" fontId="1" fillId="9" borderId="0" xfId="0" applyFont="1" applyFill="1" applyAlignment="1">
      <alignment horizontal="center" vertical="center"/>
    </xf>
    <xf numFmtId="14" fontId="1" fillId="9" borderId="2" xfId="0" applyNumberFormat="1" applyFont="1" applyFill="1" applyBorder="1" applyAlignment="1" applyProtection="1">
      <alignment horizontal="center" vertical="top"/>
      <protection locked="0"/>
    </xf>
    <xf numFmtId="0" fontId="6" fillId="9" borderId="2" xfId="0" applyFont="1" applyFill="1" applyBorder="1" applyAlignment="1" applyProtection="1">
      <alignment horizontal="justify" vertical="center"/>
      <protection locked="0"/>
    </xf>
    <xf numFmtId="0" fontId="6" fillId="9" borderId="2" xfId="0" applyFont="1" applyFill="1" applyBorder="1" applyAlignment="1" applyProtection="1">
      <alignment horizontal="center" vertical="center"/>
      <protection locked="0"/>
    </xf>
    <xf numFmtId="0" fontId="1" fillId="9" borderId="2" xfId="0" applyFont="1" applyFill="1" applyBorder="1" applyAlignment="1" applyProtection="1">
      <alignment horizontal="center" vertical="top"/>
      <protection hidden="1"/>
    </xf>
    <xf numFmtId="0" fontId="1" fillId="9" borderId="2" xfId="0" applyFont="1" applyFill="1" applyBorder="1" applyAlignment="1" applyProtection="1">
      <alignment horizontal="center" vertical="top" textRotation="90"/>
      <protection locked="0"/>
    </xf>
    <xf numFmtId="9" fontId="1" fillId="9" borderId="2" xfId="0" applyNumberFormat="1" applyFont="1" applyFill="1" applyBorder="1" applyAlignment="1" applyProtection="1">
      <alignment horizontal="center" vertical="top"/>
      <protection hidden="1"/>
    </xf>
    <xf numFmtId="164" fontId="1" fillId="9" borderId="2" xfId="1" applyNumberFormat="1" applyFont="1" applyFill="1" applyBorder="1" applyAlignment="1">
      <alignment horizontal="center" vertical="top"/>
    </xf>
    <xf numFmtId="0" fontId="4" fillId="9" borderId="2" xfId="0" applyFont="1" applyFill="1" applyBorder="1" applyAlignment="1" applyProtection="1">
      <alignment horizontal="center" vertical="top" textRotation="90" wrapText="1"/>
      <protection hidden="1"/>
    </xf>
    <xf numFmtId="9" fontId="1" fillId="9" borderId="4" xfId="0" applyNumberFormat="1" applyFont="1" applyFill="1" applyBorder="1" applyAlignment="1" applyProtection="1">
      <alignment horizontal="center" vertical="top"/>
      <protection hidden="1"/>
    </xf>
    <xf numFmtId="0" fontId="4" fillId="9" borderId="2" xfId="0" applyFont="1" applyFill="1" applyBorder="1" applyAlignment="1" applyProtection="1">
      <alignment horizontal="center" vertical="top" textRotation="90"/>
      <protection hidden="1"/>
    </xf>
    <xf numFmtId="0" fontId="1" fillId="9" borderId="4" xfId="0" applyFont="1" applyFill="1" applyBorder="1" applyAlignment="1" applyProtection="1">
      <alignment horizontal="center" vertical="top" textRotation="90"/>
      <protection locked="0"/>
    </xf>
    <xf numFmtId="0" fontId="1" fillId="9" borderId="2" xfId="0" applyFont="1" applyFill="1" applyBorder="1" applyAlignment="1" applyProtection="1">
      <alignment horizontal="center" vertical="top" wrapText="1"/>
      <protection locked="0"/>
    </xf>
    <xf numFmtId="0" fontId="1" fillId="9" borderId="2" xfId="0" applyFont="1" applyFill="1" applyBorder="1" applyAlignment="1" applyProtection="1">
      <alignment horizontal="center" vertical="top"/>
      <protection locked="0"/>
    </xf>
    <xf numFmtId="0" fontId="1" fillId="9"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14" fontId="1" fillId="9" borderId="2" xfId="0" applyNumberFormat="1" applyFont="1" applyFill="1" applyBorder="1" applyAlignment="1" applyProtection="1">
      <alignment horizontal="center" vertical="center"/>
      <protection locked="0"/>
    </xf>
    <xf numFmtId="0" fontId="1" fillId="9" borderId="0" xfId="0" applyFont="1" applyFill="1" applyAlignment="1">
      <alignment vertical="center"/>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67" fillId="0" borderId="108" xfId="0" applyFont="1" applyBorder="1" applyAlignment="1">
      <alignment horizontal="center" vertical="center"/>
    </xf>
    <xf numFmtId="0" fontId="67" fillId="0" borderId="108" xfId="0" applyFont="1" applyBorder="1" applyAlignment="1">
      <alignment horizontal="center"/>
    </xf>
    <xf numFmtId="0" fontId="63" fillId="0" borderId="109" xfId="0" applyFont="1" applyBorder="1" applyAlignment="1">
      <alignment horizontal="center" vertical="center" wrapText="1"/>
    </xf>
    <xf numFmtId="0" fontId="63" fillId="0" borderId="7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45" xfId="0" applyFont="1" applyBorder="1" applyAlignment="1">
      <alignment horizontal="center"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65" fillId="0" borderId="39" xfId="0" applyFont="1" applyBorder="1" applyAlignment="1">
      <alignment horizontal="left" vertical="center" wrapText="1"/>
    </xf>
    <xf numFmtId="0" fontId="1" fillId="0" borderId="100" xfId="0" applyFont="1" applyBorder="1" applyAlignment="1">
      <alignment horizontal="left"/>
    </xf>
    <xf numFmtId="0" fontId="1" fillId="0" borderId="101" xfId="0" applyFont="1" applyBorder="1" applyAlignment="1">
      <alignment horizontal="left"/>
    </xf>
    <xf numFmtId="0" fontId="2" fillId="0" borderId="35" xfId="0" applyFont="1" applyBorder="1" applyAlignment="1">
      <alignment horizontal="left" vertical="center" wrapText="1"/>
    </xf>
    <xf numFmtId="0" fontId="65" fillId="0" borderId="31" xfId="0" applyFont="1" applyBorder="1" applyAlignment="1">
      <alignment horizontal="left" vertical="center" wrapText="1"/>
    </xf>
    <xf numFmtId="0" fontId="65" fillId="0" borderId="36" xfId="0" applyFont="1" applyBorder="1" applyAlignment="1">
      <alignment horizontal="left" vertical="center" wrapText="1"/>
    </xf>
    <xf numFmtId="0" fontId="1" fillId="0" borderId="105" xfId="0" applyFont="1" applyBorder="1" applyAlignment="1">
      <alignment horizontal="left" vertical="center" wrapText="1"/>
    </xf>
    <xf numFmtId="0" fontId="1"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5" xfId="0" applyFont="1" applyBorder="1" applyAlignment="1">
      <alignment horizontal="left"/>
    </xf>
    <xf numFmtId="0" fontId="1" fillId="0" borderId="31" xfId="0" applyFont="1" applyBorder="1" applyAlignment="1">
      <alignment horizontal="left"/>
    </xf>
    <xf numFmtId="0" fontId="1" fillId="0" borderId="36" xfId="0" applyFont="1" applyBorder="1" applyAlignment="1">
      <alignment horizontal="left"/>
    </xf>
    <xf numFmtId="0" fontId="1" fillId="0" borderId="77" xfId="0" applyFont="1" applyBorder="1" applyAlignment="1">
      <alignment horizontal="left"/>
    </xf>
    <xf numFmtId="0" fontId="1" fillId="0" borderId="104" xfId="0" applyFont="1" applyBorder="1" applyAlignment="1">
      <alignment horizontal="left"/>
    </xf>
    <xf numFmtId="0" fontId="1" fillId="0" borderId="105" xfId="0" applyFont="1" applyBorder="1" applyAlignment="1">
      <alignment horizontal="left" wrapText="1"/>
    </xf>
    <xf numFmtId="0" fontId="1" fillId="0" borderId="36" xfId="0" applyFont="1" applyBorder="1" applyAlignment="1">
      <alignment horizontal="left" wrapText="1"/>
    </xf>
    <xf numFmtId="0" fontId="65" fillId="0" borderId="105" xfId="0" applyFont="1" applyBorder="1" applyAlignment="1">
      <alignment horizontal="left" vertical="center" wrapText="1"/>
    </xf>
    <xf numFmtId="0" fontId="65" fillId="0" borderId="35" xfId="0" applyFont="1" applyBorder="1" applyAlignment="1">
      <alignment horizontal="left" vertical="center" wrapText="1"/>
    </xf>
    <xf numFmtId="0" fontId="1" fillId="0" borderId="35" xfId="0" applyFont="1" applyBorder="1" applyAlignment="1">
      <alignment horizontal="left" wrapText="1"/>
    </xf>
    <xf numFmtId="0" fontId="1" fillId="0" borderId="31" xfId="0" applyFont="1" applyBorder="1" applyAlignment="1">
      <alignment horizontal="left" wrapText="1"/>
    </xf>
    <xf numFmtId="0" fontId="2" fillId="0" borderId="35" xfId="0" applyFont="1" applyBorder="1" applyAlignment="1">
      <alignment horizontal="left" wrapText="1"/>
    </xf>
    <xf numFmtId="0" fontId="65" fillId="0" borderId="36" xfId="0" applyFont="1" applyBorder="1" applyAlignment="1">
      <alignment horizontal="left" wrapText="1"/>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65" fillId="0" borderId="106" xfId="0" applyFont="1" applyBorder="1" applyAlignment="1">
      <alignment horizontal="left" wrapText="1"/>
    </xf>
    <xf numFmtId="0" fontId="65" fillId="0" borderId="39"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3" xfId="0" applyFont="1" applyFill="1" applyBorder="1" applyAlignment="1">
      <alignment horizontal="center" vertical="center" wrapText="1"/>
    </xf>
    <xf numFmtId="0" fontId="45" fillId="20" borderId="45" xfId="0" applyFont="1" applyFill="1" applyBorder="1" applyAlignment="1">
      <alignment horizontal="center" vertical="center" wrapText="1"/>
    </xf>
    <xf numFmtId="0" fontId="1" fillId="0" borderId="96"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2" fillId="0" borderId="96" xfId="0" applyFont="1" applyBorder="1" applyAlignment="1">
      <alignment horizontal="left" wrapText="1"/>
    </xf>
    <xf numFmtId="0" fontId="65" fillId="0" borderId="103" xfId="0" applyFont="1" applyBorder="1" applyAlignment="1">
      <alignment horizontal="left" wrapText="1"/>
    </xf>
    <xf numFmtId="0" fontId="1" fillId="3" borderId="35" xfId="0" applyFont="1" applyFill="1" applyBorder="1" applyAlignment="1">
      <alignment horizontal="left" vertical="center"/>
    </xf>
    <xf numFmtId="0" fontId="1" fillId="3" borderId="31" xfId="0" applyFont="1" applyFill="1" applyBorder="1" applyAlignment="1">
      <alignment horizontal="left" vertical="center"/>
    </xf>
    <xf numFmtId="0" fontId="1" fillId="3" borderId="36" xfId="0" applyFont="1" applyFill="1" applyBorder="1" applyAlignment="1">
      <alignment horizontal="left" vertical="center"/>
    </xf>
    <xf numFmtId="0" fontId="65" fillId="0" borderId="105" xfId="0" applyFont="1" applyBorder="1" applyAlignment="1">
      <alignment horizontal="left" vertical="center"/>
    </xf>
    <xf numFmtId="0" fontId="65" fillId="0" borderId="36" xfId="0" applyFont="1" applyBorder="1" applyAlignment="1">
      <alignment horizontal="left" vertical="center"/>
    </xf>
    <xf numFmtId="0" fontId="65" fillId="0" borderId="77" xfId="0" applyFont="1" applyBorder="1" applyAlignment="1">
      <alignment horizontal="left" vertical="center"/>
    </xf>
    <xf numFmtId="0" fontId="65" fillId="0" borderId="104" xfId="0" applyFont="1" applyBorder="1" applyAlignment="1">
      <alignment horizontal="left" vertical="center"/>
    </xf>
    <xf numFmtId="0" fontId="1" fillId="0" borderId="105" xfId="0" applyFont="1" applyBorder="1" applyAlignment="1">
      <alignment horizontal="left" vertical="center"/>
    </xf>
    <xf numFmtId="0" fontId="1" fillId="0" borderId="36" xfId="0" applyFont="1" applyBorder="1" applyAlignment="1">
      <alignment horizontal="left" vertical="center"/>
    </xf>
    <xf numFmtId="0" fontId="1" fillId="0" borderId="35" xfId="0" applyFont="1" applyBorder="1" applyAlignment="1">
      <alignment horizontal="left" vertical="center"/>
    </xf>
    <xf numFmtId="0" fontId="65" fillId="0" borderId="107" xfId="0" applyFont="1" applyBorder="1" applyAlignment="1">
      <alignment horizontal="left" vertical="center" wrapText="1"/>
    </xf>
    <xf numFmtId="0" fontId="65" fillId="0" borderId="104" xfId="0" applyFont="1" applyBorder="1" applyAlignment="1">
      <alignment horizontal="left" vertical="center" wrapText="1"/>
    </xf>
    <xf numFmtId="0" fontId="5" fillId="0" borderId="92" xfId="0" applyFont="1" applyBorder="1" applyAlignment="1">
      <alignment vertical="top" wrapText="1"/>
    </xf>
    <xf numFmtId="0" fontId="5" fillId="0" borderId="94" xfId="0" applyFont="1" applyBorder="1" applyAlignment="1">
      <alignment vertical="top" wrapText="1"/>
    </xf>
    <xf numFmtId="0" fontId="5" fillId="0" borderId="95" xfId="0" applyFont="1" applyBorder="1" applyAlignment="1">
      <alignment vertical="top" wrapText="1"/>
    </xf>
    <xf numFmtId="0" fontId="68" fillId="0" borderId="12"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0" xfId="0" applyFont="1" applyAlignment="1">
      <alignment horizontal="center" vertical="center" wrapText="1"/>
    </xf>
    <xf numFmtId="0" fontId="45" fillId="18" borderId="97"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59" fillId="18" borderId="99" xfId="0" applyFont="1" applyFill="1" applyBorder="1" applyAlignment="1">
      <alignment horizontal="justify" vertical="center" wrapText="1"/>
    </xf>
    <xf numFmtId="0" fontId="59" fillId="18" borderId="100" xfId="0" applyFont="1" applyFill="1" applyBorder="1" applyAlignment="1">
      <alignment horizontal="justify" vertical="center" wrapText="1"/>
    </xf>
    <xf numFmtId="0" fontId="59" fillId="18" borderId="101" xfId="0" applyFont="1" applyFill="1" applyBorder="1" applyAlignment="1">
      <alignment horizontal="justify" vertical="center" wrapTex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3" xfId="0" applyFont="1" applyFill="1" applyBorder="1" applyAlignment="1">
      <alignment horizontal="center" vertical="center" wrapText="1"/>
    </xf>
    <xf numFmtId="0" fontId="58" fillId="17" borderId="34" xfId="0" applyFont="1" applyFill="1" applyBorder="1" applyAlignment="1">
      <alignment horizontal="center"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61" fillId="20" borderId="42" xfId="0" applyFont="1" applyFill="1" applyBorder="1" applyAlignment="1">
      <alignment horizontal="center" vertical="center" wrapText="1"/>
    </xf>
    <xf numFmtId="0" fontId="61" fillId="20" borderId="43" xfId="0" applyFont="1" applyFill="1" applyBorder="1" applyAlignment="1">
      <alignment horizontal="center" vertical="center" wrapText="1"/>
    </xf>
    <xf numFmtId="0" fontId="61" fillId="20" borderId="44"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28" xfId="0" applyNumberFormat="1"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66"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9" borderId="4" xfId="0" applyNumberFormat="1" applyFont="1" applyFill="1" applyBorder="1" applyAlignment="1" applyProtection="1">
      <alignment horizontal="center" vertical="center" wrapText="1"/>
      <protection hidden="1"/>
    </xf>
    <xf numFmtId="9" fontId="1" fillId="9" borderId="8" xfId="0" applyNumberFormat="1" applyFont="1" applyFill="1" applyBorder="1" applyAlignment="1" applyProtection="1">
      <alignment horizontal="center" vertical="center" wrapText="1"/>
      <protection hidden="1"/>
    </xf>
    <xf numFmtId="9" fontId="1" fillId="9" borderId="5" xfId="0" applyNumberFormat="1"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0" fontId="4" fillId="9" borderId="8" xfId="0" applyFont="1" applyFill="1" applyBorder="1" applyAlignment="1" applyProtection="1">
      <alignment horizontal="center" vertical="center"/>
      <protection hidden="1"/>
    </xf>
    <xf numFmtId="0" fontId="4" fillId="9" borderId="5" xfId="0" applyFont="1" applyFill="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9" borderId="4" xfId="0" applyNumberFormat="1" applyFont="1" applyFill="1" applyBorder="1" applyAlignment="1" applyProtection="1">
      <alignment horizontal="center" vertical="center" wrapText="1"/>
      <protection locked="0"/>
    </xf>
    <xf numFmtId="9" fontId="1" fillId="9" borderId="8" xfId="0" applyNumberFormat="1" applyFont="1" applyFill="1" applyBorder="1" applyAlignment="1" applyProtection="1">
      <alignment horizontal="center" vertical="center" wrapText="1"/>
      <protection locked="0"/>
    </xf>
    <xf numFmtId="9" fontId="1" fillId="9" borderId="5" xfId="0" applyNumberFormat="1" applyFont="1" applyFill="1" applyBorder="1" applyAlignment="1" applyProtection="1">
      <alignment horizontal="center" vertical="center" wrapText="1"/>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9" borderId="4" xfId="0" applyFont="1" applyFill="1" applyBorder="1" applyAlignment="1" applyProtection="1">
      <alignment horizontal="center" vertical="center" wrapText="1"/>
      <protection hidden="1"/>
    </xf>
    <xf numFmtId="0" fontId="4" fillId="9" borderId="8" xfId="0" applyFont="1" applyFill="1" applyBorder="1" applyAlignment="1" applyProtection="1">
      <alignment horizontal="center" vertical="center" wrapText="1"/>
      <protection hidden="1"/>
    </xf>
    <xf numFmtId="0" fontId="4" fillId="9" borderId="5" xfId="0" applyFont="1" applyFill="1" applyBorder="1" applyAlignment="1" applyProtection="1">
      <alignment horizontal="center" vertical="center" wrapText="1"/>
      <protection hidden="1"/>
    </xf>
    <xf numFmtId="0" fontId="1" fillId="9" borderId="4" xfId="0" applyFont="1" applyFill="1" applyBorder="1" applyAlignment="1" applyProtection="1">
      <alignment horizontal="center" vertical="center" wrapText="1"/>
      <protection locked="0"/>
    </xf>
    <xf numFmtId="0" fontId="1" fillId="9" borderId="8" xfId="0" applyFont="1" applyFill="1" applyBorder="1" applyAlignment="1" applyProtection="1">
      <alignment horizontal="center" vertical="center" wrapText="1"/>
      <protection locked="0"/>
    </xf>
    <xf numFmtId="0" fontId="1" fillId="9" borderId="5"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protection locked="0"/>
    </xf>
    <xf numFmtId="0" fontId="1" fillId="9" borderId="8"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1" fillId="9" borderId="4" xfId="0" applyFont="1" applyFill="1" applyBorder="1" applyAlignment="1">
      <alignment horizontal="center" vertical="center"/>
    </xf>
    <xf numFmtId="0" fontId="1" fillId="9" borderId="8" xfId="0" applyFont="1" applyFill="1" applyBorder="1" applyAlignment="1">
      <alignment horizontal="center" vertical="center"/>
    </xf>
    <xf numFmtId="0" fontId="1" fillId="9" borderId="5" xfId="0" applyFont="1" applyFill="1" applyBorder="1" applyAlignment="1">
      <alignment horizontal="center" vertical="center"/>
    </xf>
    <xf numFmtId="0" fontId="2" fillId="9" borderId="4" xfId="0" applyFont="1" applyFill="1" applyBorder="1" applyAlignment="1" applyProtection="1">
      <alignment horizontal="center" vertical="center" wrapText="1"/>
      <protection locked="0"/>
    </xf>
    <xf numFmtId="0" fontId="2" fillId="9" borderId="8" xfId="0"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1" fillId="21" borderId="4" xfId="0" applyFont="1" applyFill="1" applyBorder="1" applyAlignment="1" applyProtection="1">
      <alignment horizontal="center" vertical="center" wrapText="1"/>
      <protection locked="0"/>
    </xf>
    <xf numFmtId="0" fontId="2" fillId="21" borderId="4" xfId="0" applyFont="1" applyFill="1" applyBorder="1" applyAlignment="1" applyProtection="1">
      <alignment horizontal="center" vertical="center" wrapText="1"/>
      <protection locked="0"/>
    </xf>
    <xf numFmtId="0" fontId="1" fillId="21" borderId="8" xfId="0" applyFont="1" applyFill="1" applyBorder="1" applyAlignment="1" applyProtection="1">
      <alignment horizontal="center" vertical="center" wrapText="1"/>
      <protection locked="0"/>
    </xf>
    <xf numFmtId="0" fontId="2" fillId="21" borderId="8" xfId="0" applyFont="1" applyFill="1" applyBorder="1" applyAlignment="1" applyProtection="1">
      <alignment horizontal="center" vertical="center" wrapText="1"/>
      <protection locked="0"/>
    </xf>
    <xf numFmtId="0" fontId="1" fillId="21" borderId="5" xfId="0" applyFont="1" applyFill="1" applyBorder="1" applyAlignment="1" applyProtection="1">
      <alignment horizontal="center" vertical="center" wrapText="1"/>
      <protection locked="0"/>
    </xf>
    <xf numFmtId="0" fontId="2" fillId="21" borderId="5" xfId="0" applyFont="1" applyFill="1" applyBorder="1" applyAlignment="1" applyProtection="1">
      <alignment horizontal="center" vertical="center" wrapText="1"/>
      <protection locked="0"/>
    </xf>
    <xf numFmtId="0" fontId="6" fillId="21" borderId="2" xfId="0" applyFont="1" applyFill="1" applyBorder="1" applyAlignment="1" applyProtection="1">
      <alignment horizontal="justify" vertical="center" wrapText="1"/>
      <protection locked="0"/>
    </xf>
    <xf numFmtId="14" fontId="6" fillId="21" borderId="2"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96">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93663</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81618" y="63501"/>
          <a:ext cx="778934" cy="658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2.DESARROLLO%20SOCIAL/MRG%202024%20-%20DESARROLLO%20SOCIAL%20ajustado%201%20(nov%2019%20de%202024)%20(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DE%20GESTI&#211;N/2025/FORMULACION%20MRG%202025/FORMATOS%20VALIDADOS/MRG-2025-VALORIZACION.xlsx?6E90141E" TargetMode="External"/><Relationship Id="rId1" Type="http://schemas.openxmlformats.org/officeDocument/2006/relationships/externalLinkPath" Target="file:///\\6E90141E\MRG-2025-VALOR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95" dataDxfId="194">
  <autoFilter ref="B209:C219" xr:uid="{00000000-0009-0000-0100-000001000000}"/>
  <tableColumns count="2">
    <tableColumn id="1" xr3:uid="{00000000-0010-0000-0000-000001000000}" name="Criterios" dataDxfId="193"/>
    <tableColumn id="2" xr3:uid="{00000000-0010-0000-0000-000002000000}" name="Subcriterios" dataDxfId="1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B9" sqref="B9:H11"/>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66" t="s">
        <v>0</v>
      </c>
      <c r="C2" s="267"/>
      <c r="D2" s="267"/>
      <c r="E2" s="267"/>
      <c r="F2" s="267"/>
      <c r="G2" s="267"/>
      <c r="H2" s="268"/>
    </row>
    <row r="3" spans="1:8" x14ac:dyDescent="0.25">
      <c r="B3" s="119"/>
      <c r="C3" s="120"/>
      <c r="D3" s="120"/>
      <c r="E3" s="120"/>
      <c r="F3" s="120"/>
      <c r="G3" s="120"/>
      <c r="H3" s="121"/>
    </row>
    <row r="4" spans="1:8" ht="63" customHeight="1" x14ac:dyDescent="0.25">
      <c r="B4" s="269" t="s">
        <v>1</v>
      </c>
      <c r="C4" s="270"/>
      <c r="D4" s="270"/>
      <c r="E4" s="270"/>
      <c r="F4" s="270"/>
      <c r="G4" s="270"/>
      <c r="H4" s="271"/>
    </row>
    <row r="5" spans="1:8" ht="63" customHeight="1" x14ac:dyDescent="0.25">
      <c r="B5" s="272"/>
      <c r="C5" s="273"/>
      <c r="D5" s="273"/>
      <c r="E5" s="273"/>
      <c r="F5" s="273"/>
      <c r="G5" s="273"/>
      <c r="H5" s="274"/>
    </row>
    <row r="6" spans="1:8" ht="16.5" x14ac:dyDescent="0.25">
      <c r="A6" s="122"/>
      <c r="B6" s="275" t="s">
        <v>2</v>
      </c>
      <c r="C6" s="276"/>
      <c r="D6" s="276"/>
      <c r="E6" s="276"/>
      <c r="F6" s="276"/>
      <c r="G6" s="276"/>
      <c r="H6" s="277"/>
    </row>
    <row r="7" spans="1:8" ht="95.25" customHeight="1" x14ac:dyDescent="0.25">
      <c r="A7" s="122"/>
      <c r="B7" s="278" t="s">
        <v>3</v>
      </c>
      <c r="C7" s="278"/>
      <c r="D7" s="278"/>
      <c r="E7" s="278"/>
      <c r="F7" s="278"/>
      <c r="G7" s="278"/>
      <c r="H7" s="279"/>
    </row>
    <row r="8" spans="1:8" ht="16.5" x14ac:dyDescent="0.25">
      <c r="A8" s="122"/>
      <c r="B8" s="123"/>
      <c r="C8" s="124"/>
      <c r="D8" s="124"/>
      <c r="E8" s="124"/>
      <c r="F8" s="124"/>
      <c r="G8" s="124"/>
      <c r="H8" s="125"/>
    </row>
    <row r="9" spans="1:8" ht="16.5" customHeight="1" x14ac:dyDescent="0.25">
      <c r="A9" s="122"/>
      <c r="B9" s="280" t="s">
        <v>4</v>
      </c>
      <c r="C9" s="280"/>
      <c r="D9" s="280"/>
      <c r="E9" s="280"/>
      <c r="F9" s="280"/>
      <c r="G9" s="280"/>
      <c r="H9" s="281"/>
    </row>
    <row r="10" spans="1:8" ht="16.5" customHeight="1" x14ac:dyDescent="0.25">
      <c r="A10" s="122"/>
      <c r="B10" s="280"/>
      <c r="C10" s="280"/>
      <c r="D10" s="280"/>
      <c r="E10" s="280"/>
      <c r="F10" s="280"/>
      <c r="G10" s="280"/>
      <c r="H10" s="281"/>
    </row>
    <row r="11" spans="1:8" ht="11.65" customHeight="1" x14ac:dyDescent="0.25">
      <c r="A11" s="122"/>
      <c r="B11" s="280"/>
      <c r="C11" s="280"/>
      <c r="D11" s="280"/>
      <c r="E11" s="280"/>
      <c r="F11" s="280"/>
      <c r="G11" s="280"/>
      <c r="H11" s="281"/>
    </row>
    <row r="12" spans="1:8" ht="11.65" customHeight="1" thickBot="1" x14ac:dyDescent="0.3">
      <c r="A12" s="122"/>
      <c r="B12" s="185"/>
      <c r="C12" s="185"/>
      <c r="D12" s="185"/>
      <c r="E12" s="185"/>
      <c r="F12" s="185"/>
      <c r="G12" s="185"/>
      <c r="H12" s="186"/>
    </row>
    <row r="13" spans="1:8" ht="14.25" customHeight="1" thickTop="1" x14ac:dyDescent="0.25">
      <c r="A13" s="122"/>
      <c r="B13" s="185"/>
      <c r="C13" s="265" t="s">
        <v>5</v>
      </c>
      <c r="D13" s="258"/>
      <c r="E13" s="259" t="s">
        <v>6</v>
      </c>
      <c r="F13" s="260"/>
      <c r="G13" s="185"/>
      <c r="H13" s="186"/>
    </row>
    <row r="14" spans="1:8" ht="23.25" customHeight="1" x14ac:dyDescent="0.25">
      <c r="A14" s="122"/>
      <c r="B14" s="185"/>
      <c r="C14" s="246" t="s">
        <v>7</v>
      </c>
      <c r="D14" s="247"/>
      <c r="E14" s="248" t="s">
        <v>8</v>
      </c>
      <c r="F14" s="243"/>
      <c r="G14" s="185"/>
      <c r="H14" s="186"/>
    </row>
    <row r="15" spans="1:8" ht="27" customHeight="1" x14ac:dyDescent="0.25">
      <c r="A15" s="122"/>
      <c r="B15" s="185"/>
      <c r="C15" s="246" t="s">
        <v>9</v>
      </c>
      <c r="D15" s="247"/>
      <c r="E15" s="248" t="s">
        <v>10</v>
      </c>
      <c r="F15" s="243"/>
      <c r="G15" s="185"/>
      <c r="H15" s="186"/>
    </row>
    <row r="16" spans="1:8" ht="39" customHeight="1" x14ac:dyDescent="0.25">
      <c r="A16" s="122"/>
      <c r="B16" s="185"/>
      <c r="C16" s="246" t="s">
        <v>11</v>
      </c>
      <c r="D16" s="247"/>
      <c r="E16" s="248" t="s">
        <v>12</v>
      </c>
      <c r="F16" s="243"/>
      <c r="G16" s="185"/>
      <c r="H16" s="186"/>
    </row>
    <row r="17" spans="1:8" ht="24.75" customHeight="1" x14ac:dyDescent="0.25">
      <c r="A17" s="122"/>
      <c r="B17" s="185"/>
      <c r="C17" s="246" t="s">
        <v>13</v>
      </c>
      <c r="D17" s="247"/>
      <c r="E17" s="248" t="s">
        <v>14</v>
      </c>
      <c r="F17" s="243"/>
      <c r="G17" s="185"/>
      <c r="H17" s="126"/>
    </row>
    <row r="18" spans="1:8" ht="12.4" customHeight="1" x14ac:dyDescent="0.25">
      <c r="A18" s="122"/>
      <c r="B18" s="185"/>
      <c r="C18" s="246" t="s">
        <v>15</v>
      </c>
      <c r="D18" s="247"/>
      <c r="E18" s="249" t="s">
        <v>16</v>
      </c>
      <c r="F18" s="243"/>
      <c r="G18" s="185"/>
      <c r="H18" s="186"/>
    </row>
    <row r="19" spans="1:8" ht="24" customHeight="1" thickBot="1" x14ac:dyDescent="0.3">
      <c r="A19" s="122"/>
      <c r="B19" s="185"/>
      <c r="C19" s="250" t="s">
        <v>17</v>
      </c>
      <c r="D19" s="251"/>
      <c r="E19" s="252" t="s">
        <v>18</v>
      </c>
      <c r="F19" s="253"/>
      <c r="G19" s="185"/>
      <c r="H19" s="186"/>
    </row>
    <row r="20" spans="1:8" ht="11.65" customHeight="1" thickTop="1" x14ac:dyDescent="0.25">
      <c r="A20" s="122"/>
      <c r="B20" s="185"/>
      <c r="C20" s="127"/>
      <c r="D20" s="127"/>
      <c r="E20" s="127"/>
      <c r="F20" s="127"/>
      <c r="G20" s="185"/>
      <c r="H20" s="186"/>
    </row>
    <row r="21" spans="1:8" ht="27.4" customHeight="1" thickBot="1" x14ac:dyDescent="0.3">
      <c r="A21" s="122"/>
      <c r="B21" s="254" t="s">
        <v>19</v>
      </c>
      <c r="C21" s="255"/>
      <c r="D21" s="255"/>
      <c r="E21" s="255"/>
      <c r="F21" s="255"/>
      <c r="G21" s="255"/>
      <c r="H21" s="256"/>
    </row>
    <row r="22" spans="1:8" ht="15.75" thickTop="1" x14ac:dyDescent="0.25">
      <c r="A22" s="122"/>
      <c r="B22" s="128"/>
      <c r="C22" s="257" t="s">
        <v>5</v>
      </c>
      <c r="D22" s="258"/>
      <c r="E22" s="259" t="s">
        <v>6</v>
      </c>
      <c r="F22" s="260"/>
      <c r="G22" s="127"/>
      <c r="H22" s="129"/>
    </row>
    <row r="23" spans="1:8" ht="13.5" customHeight="1" x14ac:dyDescent="0.25">
      <c r="A23" s="122"/>
      <c r="B23" s="130"/>
      <c r="C23" s="261" t="s">
        <v>7</v>
      </c>
      <c r="D23" s="262"/>
      <c r="E23" s="263" t="s">
        <v>20</v>
      </c>
      <c r="F23" s="264"/>
      <c r="G23" s="131"/>
      <c r="H23" s="132"/>
    </row>
    <row r="24" spans="1:8" ht="13.5" customHeight="1" x14ac:dyDescent="0.25">
      <c r="A24" s="122"/>
      <c r="B24" s="130"/>
      <c r="C24" s="240" t="s">
        <v>21</v>
      </c>
      <c r="D24" s="241"/>
      <c r="E24" s="242" t="s">
        <v>22</v>
      </c>
      <c r="F24" s="243"/>
      <c r="G24" s="131"/>
      <c r="H24" s="132"/>
    </row>
    <row r="25" spans="1:8" ht="13.5" customHeight="1" x14ac:dyDescent="0.25">
      <c r="A25" s="122"/>
      <c r="B25" s="130"/>
      <c r="C25" s="240" t="s">
        <v>9</v>
      </c>
      <c r="D25" s="241"/>
      <c r="E25" s="242" t="s">
        <v>23</v>
      </c>
      <c r="F25" s="243"/>
      <c r="G25" s="131"/>
      <c r="H25" s="132"/>
    </row>
    <row r="26" spans="1:8" ht="22.9" customHeight="1" x14ac:dyDescent="0.25">
      <c r="A26" s="122"/>
      <c r="B26" s="130"/>
      <c r="C26" s="240" t="s">
        <v>24</v>
      </c>
      <c r="D26" s="241"/>
      <c r="E26" s="244" t="s">
        <v>25</v>
      </c>
      <c r="F26" s="245"/>
      <c r="G26" s="131"/>
      <c r="H26" s="132"/>
    </row>
    <row r="27" spans="1:8" ht="39.75" customHeight="1" x14ac:dyDescent="0.25">
      <c r="A27" s="122"/>
      <c r="B27" s="130"/>
      <c r="C27" s="231" t="s">
        <v>26</v>
      </c>
      <c r="D27" s="239"/>
      <c r="E27" s="232" t="s">
        <v>27</v>
      </c>
      <c r="F27" s="233"/>
      <c r="G27" s="131"/>
      <c r="H27" s="133"/>
    </row>
    <row r="28" spans="1:8" ht="34.5" customHeight="1" x14ac:dyDescent="0.25">
      <c r="B28" s="134"/>
      <c r="C28" s="238" t="s">
        <v>28</v>
      </c>
      <c r="D28" s="239"/>
      <c r="E28" s="232" t="s">
        <v>29</v>
      </c>
      <c r="F28" s="233"/>
      <c r="G28" s="131"/>
      <c r="H28" s="133"/>
    </row>
    <row r="29" spans="1:8" ht="27.75" customHeight="1" x14ac:dyDescent="0.25">
      <c r="B29" s="134"/>
      <c r="C29" s="238" t="s">
        <v>30</v>
      </c>
      <c r="D29" s="239"/>
      <c r="E29" s="232" t="s">
        <v>31</v>
      </c>
      <c r="F29" s="233"/>
      <c r="G29" s="131"/>
      <c r="H29" s="133"/>
    </row>
    <row r="30" spans="1:8" ht="72" customHeight="1" x14ac:dyDescent="0.25">
      <c r="B30" s="134"/>
      <c r="C30" s="238" t="s">
        <v>32</v>
      </c>
      <c r="D30" s="239"/>
      <c r="E30" s="232" t="s">
        <v>33</v>
      </c>
      <c r="F30" s="233"/>
      <c r="G30" s="131"/>
      <c r="H30" s="133"/>
    </row>
    <row r="31" spans="1:8" ht="72.75" customHeight="1" x14ac:dyDescent="0.25">
      <c r="B31" s="134"/>
      <c r="C31" s="238" t="s">
        <v>34</v>
      </c>
      <c r="D31" s="239"/>
      <c r="E31" s="232" t="s">
        <v>35</v>
      </c>
      <c r="F31" s="233"/>
      <c r="G31" s="131"/>
      <c r="H31" s="133"/>
    </row>
    <row r="32" spans="1:8" ht="64.5" customHeight="1" x14ac:dyDescent="0.25">
      <c r="B32" s="134"/>
      <c r="C32" s="238" t="s">
        <v>36</v>
      </c>
      <c r="D32" s="239"/>
      <c r="E32" s="232" t="s">
        <v>37</v>
      </c>
      <c r="F32" s="233"/>
      <c r="G32" s="131"/>
      <c r="H32" s="133"/>
    </row>
    <row r="33" spans="2:8" ht="71.25" customHeight="1" x14ac:dyDescent="0.25">
      <c r="B33" s="134"/>
      <c r="C33" s="230" t="s">
        <v>38</v>
      </c>
      <c r="D33" s="231"/>
      <c r="E33" s="232" t="s">
        <v>39</v>
      </c>
      <c r="F33" s="233"/>
      <c r="G33" s="131"/>
      <c r="H33" s="133"/>
    </row>
    <row r="34" spans="2:8" ht="55.5" customHeight="1" x14ac:dyDescent="0.25">
      <c r="B34" s="134"/>
      <c r="C34" s="230" t="s">
        <v>40</v>
      </c>
      <c r="D34" s="231"/>
      <c r="E34" s="232" t="s">
        <v>41</v>
      </c>
      <c r="F34" s="233"/>
      <c r="G34" s="131"/>
      <c r="H34" s="133"/>
    </row>
    <row r="35" spans="2:8" ht="42" customHeight="1" x14ac:dyDescent="0.25">
      <c r="B35" s="134"/>
      <c r="C35" s="230" t="s">
        <v>42</v>
      </c>
      <c r="D35" s="231"/>
      <c r="E35" s="232" t="s">
        <v>43</v>
      </c>
      <c r="F35" s="233"/>
      <c r="G35" s="131"/>
      <c r="H35" s="133"/>
    </row>
    <row r="36" spans="2:8" ht="59.25" customHeight="1" x14ac:dyDescent="0.25">
      <c r="B36" s="134"/>
      <c r="C36" s="230" t="s">
        <v>44</v>
      </c>
      <c r="D36" s="231"/>
      <c r="E36" s="232" t="s">
        <v>45</v>
      </c>
      <c r="F36" s="233"/>
      <c r="G36" s="131"/>
      <c r="H36" s="133"/>
    </row>
    <row r="37" spans="2:8" ht="23.25" customHeight="1" x14ac:dyDescent="0.25">
      <c r="B37" s="134"/>
      <c r="C37" s="230" t="s">
        <v>46</v>
      </c>
      <c r="D37" s="231"/>
      <c r="E37" s="232" t="s">
        <v>47</v>
      </c>
      <c r="F37" s="233"/>
      <c r="G37" s="131"/>
      <c r="H37" s="133"/>
    </row>
    <row r="38" spans="2:8" ht="30.75" customHeight="1" x14ac:dyDescent="0.25">
      <c r="B38" s="134"/>
      <c r="C38" s="230" t="s">
        <v>48</v>
      </c>
      <c r="D38" s="231"/>
      <c r="E38" s="232" t="s">
        <v>49</v>
      </c>
      <c r="F38" s="233"/>
      <c r="G38" s="131"/>
      <c r="H38" s="133"/>
    </row>
    <row r="39" spans="2:8" ht="35.25" customHeight="1" x14ac:dyDescent="0.25">
      <c r="B39" s="134"/>
      <c r="C39" s="230" t="s">
        <v>48</v>
      </c>
      <c r="D39" s="231"/>
      <c r="E39" s="232" t="s">
        <v>49</v>
      </c>
      <c r="F39" s="233"/>
      <c r="G39" s="131"/>
      <c r="H39" s="133"/>
    </row>
    <row r="40" spans="2:8" ht="33" customHeight="1" x14ac:dyDescent="0.25">
      <c r="B40" s="134"/>
      <c r="C40" s="230" t="s">
        <v>50</v>
      </c>
      <c r="D40" s="231"/>
      <c r="E40" s="232" t="s">
        <v>51</v>
      </c>
      <c r="F40" s="233"/>
      <c r="G40" s="131"/>
      <c r="H40" s="133"/>
    </row>
    <row r="41" spans="2:8" ht="30" customHeight="1" x14ac:dyDescent="0.25">
      <c r="B41" s="134"/>
      <c r="C41" s="230" t="s">
        <v>52</v>
      </c>
      <c r="D41" s="231"/>
      <c r="E41" s="232" t="s">
        <v>53</v>
      </c>
      <c r="F41" s="233"/>
      <c r="G41" s="131"/>
      <c r="H41" s="133"/>
    </row>
    <row r="42" spans="2:8" ht="35.25" customHeight="1" x14ac:dyDescent="0.25">
      <c r="B42" s="134"/>
      <c r="C42" s="230" t="s">
        <v>54</v>
      </c>
      <c r="D42" s="231"/>
      <c r="E42" s="232" t="s">
        <v>55</v>
      </c>
      <c r="F42" s="233"/>
      <c r="G42" s="131"/>
      <c r="H42" s="133"/>
    </row>
    <row r="43" spans="2:8" ht="31.5" customHeight="1" x14ac:dyDescent="0.25">
      <c r="B43" s="134"/>
      <c r="C43" s="230" t="s">
        <v>56</v>
      </c>
      <c r="D43" s="231"/>
      <c r="E43" s="232" t="s">
        <v>57</v>
      </c>
      <c r="F43" s="233"/>
      <c r="G43" s="131"/>
      <c r="H43" s="133"/>
    </row>
    <row r="44" spans="2:8" ht="54" customHeight="1" x14ac:dyDescent="0.25">
      <c r="B44" s="134"/>
      <c r="C44" s="230" t="s">
        <v>58</v>
      </c>
      <c r="D44" s="231"/>
      <c r="E44" s="232" t="s">
        <v>59</v>
      </c>
      <c r="F44" s="233"/>
      <c r="G44" s="131"/>
      <c r="H44" s="133"/>
    </row>
    <row r="45" spans="2:8" ht="59.25" customHeight="1" x14ac:dyDescent="0.25">
      <c r="B45" s="134"/>
      <c r="C45" s="230" t="s">
        <v>60</v>
      </c>
      <c r="D45" s="231"/>
      <c r="E45" s="232" t="s">
        <v>61</v>
      </c>
      <c r="F45" s="233"/>
      <c r="G45" s="131"/>
      <c r="H45" s="133"/>
    </row>
    <row r="46" spans="2:8" ht="84" customHeight="1" x14ac:dyDescent="0.25">
      <c r="B46" s="134"/>
      <c r="C46" s="230" t="s">
        <v>62</v>
      </c>
      <c r="D46" s="231"/>
      <c r="E46" s="232" t="s">
        <v>63</v>
      </c>
      <c r="F46" s="233"/>
      <c r="G46" s="131"/>
      <c r="H46" s="133"/>
    </row>
    <row r="47" spans="2:8" ht="46.5" customHeight="1" thickBot="1" x14ac:dyDescent="0.3">
      <c r="B47" s="134"/>
      <c r="C47" s="234"/>
      <c r="D47" s="235"/>
      <c r="E47" s="236"/>
      <c r="F47" s="237"/>
      <c r="G47" s="131"/>
      <c r="H47" s="133"/>
    </row>
    <row r="48" spans="2:8" ht="6.75" customHeight="1" thickTop="1" x14ac:dyDescent="0.25">
      <c r="B48" s="134"/>
      <c r="C48" s="135"/>
      <c r="D48" s="135"/>
      <c r="E48" s="136"/>
      <c r="F48" s="136"/>
      <c r="G48" s="131"/>
      <c r="H48" s="133"/>
    </row>
    <row r="49" spans="2:8" x14ac:dyDescent="0.25">
      <c r="B49" s="134"/>
      <c r="C49" s="137"/>
      <c r="D49" s="137"/>
      <c r="E49" s="137"/>
      <c r="F49" s="137"/>
      <c r="G49" s="131"/>
      <c r="H49" s="133"/>
    </row>
    <row r="50" spans="2:8" ht="21" customHeight="1" x14ac:dyDescent="0.25">
      <c r="B50" s="138" t="s">
        <v>64</v>
      </c>
      <c r="C50" s="137"/>
      <c r="D50" s="137"/>
      <c r="E50" s="137"/>
      <c r="F50" s="137"/>
      <c r="G50" s="137"/>
      <c r="H50" s="139"/>
    </row>
    <row r="51" spans="2:8" ht="20.25" customHeight="1" x14ac:dyDescent="0.25">
      <c r="B51" s="138" t="s">
        <v>65</v>
      </c>
      <c r="C51" s="137"/>
      <c r="D51" s="137"/>
      <c r="E51" s="137"/>
      <c r="F51" s="137"/>
      <c r="G51" s="137"/>
      <c r="H51" s="139"/>
    </row>
    <row r="52" spans="2:8" ht="20.25" customHeight="1" x14ac:dyDescent="0.25">
      <c r="B52" s="138" t="s">
        <v>66</v>
      </c>
      <c r="C52" s="137"/>
      <c r="D52" s="137"/>
      <c r="E52" s="137"/>
      <c r="F52" s="137"/>
      <c r="G52" s="137"/>
      <c r="H52" s="139"/>
    </row>
    <row r="53" spans="2:8" ht="20.25" customHeight="1" x14ac:dyDescent="0.25">
      <c r="B53" s="138" t="s">
        <v>67</v>
      </c>
      <c r="C53" s="137"/>
      <c r="D53" s="137"/>
      <c r="E53" s="137"/>
      <c r="F53" s="137"/>
      <c r="G53" s="137"/>
      <c r="H53" s="139"/>
    </row>
    <row r="54" spans="2:8" ht="14.65" customHeight="1" x14ac:dyDescent="0.25">
      <c r="B54" s="138" t="s">
        <v>68</v>
      </c>
      <c r="C54" s="137"/>
      <c r="D54" s="137"/>
      <c r="E54" s="137"/>
      <c r="F54" s="137"/>
      <c r="G54" s="137"/>
      <c r="H54" s="139"/>
    </row>
    <row r="55" spans="2:8" ht="15.75" thickBot="1" x14ac:dyDescent="0.3">
      <c r="B55" s="140"/>
      <c r="C55" s="141"/>
      <c r="D55" s="141"/>
      <c r="E55" s="141"/>
      <c r="F55" s="141"/>
      <c r="G55" s="141"/>
      <c r="H55" s="142"/>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161</v>
      </c>
    </row>
    <row r="4" spans="1:1" x14ac:dyDescent="0.2">
      <c r="A4" s="10" t="s">
        <v>272</v>
      </c>
    </row>
    <row r="5" spans="1:1" x14ac:dyDescent="0.2">
      <c r="A5" s="10" t="s">
        <v>274</v>
      </c>
    </row>
    <row r="6" spans="1:1" x14ac:dyDescent="0.2">
      <c r="A6" s="10" t="s">
        <v>276</v>
      </c>
    </row>
    <row r="7" spans="1:1" x14ac:dyDescent="0.2">
      <c r="A7" s="10" t="s">
        <v>162</v>
      </c>
    </row>
    <row r="8" spans="1:1" x14ac:dyDescent="0.2">
      <c r="A8" s="10" t="s">
        <v>163</v>
      </c>
    </row>
    <row r="9" spans="1:1" x14ac:dyDescent="0.2">
      <c r="A9" s="10" t="s">
        <v>282</v>
      </c>
    </row>
    <row r="10" spans="1:1" x14ac:dyDescent="0.2">
      <c r="A10" s="10" t="s">
        <v>164</v>
      </c>
    </row>
    <row r="11" spans="1:1" x14ac:dyDescent="0.2">
      <c r="A11" s="10" t="s">
        <v>285</v>
      </c>
    </row>
    <row r="12" spans="1:1" x14ac:dyDescent="0.2">
      <c r="A12" s="10" t="s">
        <v>304</v>
      </c>
    </row>
    <row r="13" spans="1:1" x14ac:dyDescent="0.2">
      <c r="A13" s="10" t="s">
        <v>305</v>
      </c>
    </row>
    <row r="14" spans="1:1" x14ac:dyDescent="0.2">
      <c r="A14" s="10" t="s">
        <v>306</v>
      </c>
    </row>
    <row r="16" spans="1:1" x14ac:dyDescent="0.2">
      <c r="A16" s="10" t="s">
        <v>307</v>
      </c>
    </row>
    <row r="17" spans="1:1" x14ac:dyDescent="0.2">
      <c r="A17" s="10" t="s">
        <v>291</v>
      </c>
    </row>
    <row r="18" spans="1:1" x14ac:dyDescent="0.2">
      <c r="A18" s="10" t="s">
        <v>293</v>
      </c>
    </row>
    <row r="20" spans="1:1" x14ac:dyDescent="0.2">
      <c r="A20" s="10" t="s">
        <v>296</v>
      </c>
    </row>
    <row r="21" spans="1:1" x14ac:dyDescent="0.2">
      <c r="A21" s="10"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8"/>
  <sheetViews>
    <sheetView showGridLines="0" topLeftCell="A16" zoomScaleNormal="100" workbookViewId="0">
      <selection activeCell="E1" sqref="E1"/>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0.2851562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69</v>
      </c>
    </row>
    <row r="2" spans="2:52" ht="18" customHeight="1" thickBot="1" x14ac:dyDescent="0.3">
      <c r="B2" s="339"/>
      <c r="C2" s="342" t="s">
        <v>70</v>
      </c>
      <c r="D2" s="343"/>
      <c r="E2" s="343"/>
      <c r="F2" s="144" t="s">
        <v>71</v>
      </c>
      <c r="AZ2" s="143" t="s">
        <v>72</v>
      </c>
    </row>
    <row r="3" spans="2:52" ht="18" customHeight="1" thickBot="1" x14ac:dyDescent="0.3">
      <c r="B3" s="340"/>
      <c r="C3" s="344"/>
      <c r="D3" s="345"/>
      <c r="E3" s="345"/>
      <c r="F3" s="145" t="s">
        <v>73</v>
      </c>
      <c r="AZ3" s="143" t="s">
        <v>74</v>
      </c>
    </row>
    <row r="4" spans="2:52" ht="18" customHeight="1" thickBot="1" x14ac:dyDescent="0.3">
      <c r="B4" s="340"/>
      <c r="C4" s="344"/>
      <c r="D4" s="345"/>
      <c r="E4" s="345"/>
      <c r="F4" s="187" t="s">
        <v>75</v>
      </c>
      <c r="AZ4" s="143" t="s">
        <v>76</v>
      </c>
    </row>
    <row r="5" spans="2:52" ht="18" customHeight="1" thickBot="1" x14ac:dyDescent="0.3">
      <c r="B5" s="341"/>
      <c r="C5" s="344"/>
      <c r="D5" s="345"/>
      <c r="E5" s="345"/>
      <c r="F5" s="145" t="s">
        <v>77</v>
      </c>
      <c r="AZ5" s="146"/>
    </row>
    <row r="6" spans="2:52" s="188" customFormat="1" ht="18" customHeight="1" thickBot="1" x14ac:dyDescent="0.25">
      <c r="B6" s="362" t="s">
        <v>78</v>
      </c>
      <c r="C6" s="363"/>
      <c r="D6" s="363"/>
      <c r="E6" s="363"/>
      <c r="F6" s="364"/>
      <c r="AZ6" s="189"/>
    </row>
    <row r="7" spans="2:52" ht="33.4" customHeight="1" x14ac:dyDescent="0.25">
      <c r="B7" s="147" t="s">
        <v>79</v>
      </c>
      <c r="C7" s="346" t="s">
        <v>80</v>
      </c>
      <c r="D7" s="347"/>
      <c r="E7" s="347"/>
      <c r="F7" s="348"/>
      <c r="AZ7" s="146"/>
    </row>
    <row r="8" spans="2:52" ht="39.75" customHeight="1" thickBot="1" x14ac:dyDescent="0.3">
      <c r="B8" s="148" t="s">
        <v>81</v>
      </c>
      <c r="C8" s="349" t="s">
        <v>82</v>
      </c>
      <c r="D8" s="350"/>
      <c r="E8" s="350"/>
      <c r="F8" s="351"/>
      <c r="AZ8" s="146"/>
    </row>
    <row r="9" spans="2:52" ht="16.5" thickBot="1" x14ac:dyDescent="0.3">
      <c r="B9" s="352"/>
      <c r="C9" s="352"/>
      <c r="D9" s="352"/>
      <c r="E9" s="352"/>
      <c r="F9" s="352"/>
    </row>
    <row r="10" spans="2:52" ht="15.6" customHeight="1" thickBot="1" x14ac:dyDescent="0.3">
      <c r="B10" s="353" t="s">
        <v>83</v>
      </c>
      <c r="C10" s="354"/>
      <c r="D10" s="354"/>
      <c r="E10" s="354"/>
      <c r="F10" s="355"/>
    </row>
    <row r="11" spans="2:52" ht="32.25" thickBot="1" x14ac:dyDescent="0.3">
      <c r="B11" s="356" t="s">
        <v>84</v>
      </c>
      <c r="C11" s="357"/>
      <c r="D11" s="176" t="s">
        <v>85</v>
      </c>
      <c r="E11" s="175" t="s">
        <v>86</v>
      </c>
      <c r="F11" s="176" t="s">
        <v>87</v>
      </c>
    </row>
    <row r="12" spans="2:52" ht="252.75" thickBot="1" x14ac:dyDescent="0.3">
      <c r="B12" s="286" t="s">
        <v>88</v>
      </c>
      <c r="C12" s="287"/>
      <c r="D12" s="194" t="s">
        <v>89</v>
      </c>
      <c r="E12" s="177" t="s">
        <v>90</v>
      </c>
      <c r="F12" s="178" t="s">
        <v>91</v>
      </c>
    </row>
    <row r="14" spans="2:52" ht="18" x14ac:dyDescent="0.25">
      <c r="B14" s="358" t="s">
        <v>92</v>
      </c>
      <c r="C14" s="358"/>
      <c r="D14" s="358"/>
      <c r="E14" s="358"/>
      <c r="F14" s="358"/>
    </row>
    <row r="15" spans="2:52" ht="15.75" x14ac:dyDescent="0.25">
      <c r="B15" s="149"/>
    </row>
    <row r="16" spans="2:52" ht="15.75" thickBot="1" x14ac:dyDescent="0.3">
      <c r="B16" s="150"/>
    </row>
    <row r="17" spans="2:6" ht="16.5" thickBot="1" x14ac:dyDescent="0.3">
      <c r="B17" s="359" t="s">
        <v>93</v>
      </c>
      <c r="C17" s="360"/>
      <c r="D17" s="361"/>
      <c r="E17" s="359" t="s">
        <v>94</v>
      </c>
      <c r="F17" s="361"/>
    </row>
    <row r="18" spans="2:6" ht="15" customHeight="1" x14ac:dyDescent="0.25">
      <c r="B18" s="322" t="s">
        <v>95</v>
      </c>
      <c r="C18" s="323"/>
      <c r="D18" s="324"/>
      <c r="E18" s="337" t="s">
        <v>96</v>
      </c>
      <c r="F18" s="338"/>
    </row>
    <row r="19" spans="2:6" ht="15" customHeight="1" x14ac:dyDescent="0.3">
      <c r="B19" s="309" t="s">
        <v>97</v>
      </c>
      <c r="C19" s="310"/>
      <c r="D19" s="306"/>
      <c r="E19" s="293" t="s">
        <v>98</v>
      </c>
      <c r="F19" s="295"/>
    </row>
    <row r="20" spans="2:6" ht="30.75" hidden="1" customHeight="1" x14ac:dyDescent="0.25">
      <c r="B20" s="298"/>
      <c r="C20" s="299"/>
      <c r="D20" s="297"/>
      <c r="E20" s="293"/>
      <c r="F20" s="295"/>
    </row>
    <row r="21" spans="2:6" ht="15" hidden="1" customHeight="1" x14ac:dyDescent="0.25">
      <c r="B21" s="308"/>
      <c r="C21" s="294"/>
      <c r="D21" s="295"/>
      <c r="E21" s="336"/>
      <c r="F21" s="335"/>
    </row>
    <row r="22" spans="2:6" ht="15" hidden="1" customHeight="1" x14ac:dyDescent="0.25">
      <c r="B22" s="308"/>
      <c r="C22" s="294"/>
      <c r="D22" s="295"/>
      <c r="E22" s="296"/>
      <c r="F22" s="297"/>
    </row>
    <row r="23" spans="2:6" ht="15" hidden="1" customHeight="1" x14ac:dyDescent="0.25">
      <c r="B23" s="308"/>
      <c r="C23" s="294"/>
      <c r="D23" s="295"/>
      <c r="E23" s="296"/>
      <c r="F23" s="297"/>
    </row>
    <row r="24" spans="2:6" ht="15" hidden="1" customHeight="1" x14ac:dyDescent="0.25">
      <c r="B24" s="308"/>
      <c r="C24" s="294"/>
      <c r="D24" s="295"/>
      <c r="E24" s="307"/>
      <c r="F24" s="295"/>
    </row>
    <row r="25" spans="2:6" ht="15.75" hidden="1" customHeight="1" x14ac:dyDescent="0.25">
      <c r="B25" s="293"/>
      <c r="C25" s="294"/>
      <c r="D25" s="295"/>
      <c r="E25" s="296"/>
      <c r="F25" s="297"/>
    </row>
    <row r="26" spans="2:6" ht="16.5" hidden="1" x14ac:dyDescent="0.25">
      <c r="B26" s="298"/>
      <c r="C26" s="299"/>
      <c r="D26" s="297"/>
      <c r="E26" s="334"/>
      <c r="F26" s="335"/>
    </row>
    <row r="27" spans="2:6" ht="15" hidden="1" customHeight="1" x14ac:dyDescent="0.3">
      <c r="B27" s="300"/>
      <c r="C27" s="301"/>
      <c r="D27" s="302"/>
      <c r="E27" s="330"/>
      <c r="F27" s="331"/>
    </row>
    <row r="28" spans="2:6" ht="15" hidden="1" customHeight="1" x14ac:dyDescent="0.25">
      <c r="B28" s="327"/>
      <c r="C28" s="328"/>
      <c r="D28" s="329"/>
      <c r="E28" s="330"/>
      <c r="F28" s="331"/>
    </row>
    <row r="29" spans="2:6" ht="15" hidden="1" customHeight="1" x14ac:dyDescent="0.25">
      <c r="B29" s="327"/>
      <c r="C29" s="328"/>
      <c r="D29" s="329"/>
      <c r="E29" s="330"/>
      <c r="F29" s="331"/>
    </row>
    <row r="30" spans="2:6" ht="15" customHeight="1" x14ac:dyDescent="0.25">
      <c r="B30" s="327" t="s">
        <v>99</v>
      </c>
      <c r="C30" s="328"/>
      <c r="D30" s="329"/>
      <c r="E30" s="332" t="s">
        <v>100</v>
      </c>
      <c r="F30" s="333"/>
    </row>
    <row r="31" spans="2:6" ht="15" customHeight="1" thickBot="1" x14ac:dyDescent="0.35">
      <c r="B31" s="313" t="s">
        <v>101</v>
      </c>
      <c r="C31" s="314"/>
      <c r="D31" s="315"/>
      <c r="E31" s="316"/>
      <c r="F31" s="317"/>
    </row>
    <row r="32" spans="2:6" ht="15" customHeight="1" thickBot="1" x14ac:dyDescent="0.3">
      <c r="B32" s="318" t="s">
        <v>102</v>
      </c>
      <c r="C32" s="319"/>
      <c r="D32" s="319"/>
      <c r="E32" s="320" t="s">
        <v>103</v>
      </c>
      <c r="F32" s="321"/>
    </row>
    <row r="33" spans="2:6" ht="15.75" customHeight="1" x14ac:dyDescent="0.3">
      <c r="B33" s="322" t="s">
        <v>104</v>
      </c>
      <c r="C33" s="323"/>
      <c r="D33" s="324"/>
      <c r="E33" s="325" t="s">
        <v>105</v>
      </c>
      <c r="F33" s="326"/>
    </row>
    <row r="34" spans="2:6" ht="16.5" x14ac:dyDescent="0.3">
      <c r="B34" s="309" t="s">
        <v>106</v>
      </c>
      <c r="C34" s="310"/>
      <c r="D34" s="306"/>
      <c r="E34" s="298" t="s">
        <v>107</v>
      </c>
      <c r="F34" s="297"/>
    </row>
    <row r="35" spans="2:6" ht="16.5" x14ac:dyDescent="0.25">
      <c r="B35" s="308" t="s">
        <v>108</v>
      </c>
      <c r="C35" s="294"/>
      <c r="D35" s="295"/>
      <c r="E35" s="293" t="s">
        <v>109</v>
      </c>
      <c r="F35" s="295"/>
    </row>
    <row r="36" spans="2:6" ht="16.5" x14ac:dyDescent="0.3">
      <c r="B36" s="308" t="s">
        <v>110</v>
      </c>
      <c r="C36" s="294"/>
      <c r="D36" s="295"/>
      <c r="E36" s="311" t="s">
        <v>111</v>
      </c>
      <c r="F36" s="312"/>
    </row>
    <row r="37" spans="2:6" ht="17.25" customHeight="1" x14ac:dyDescent="0.3">
      <c r="B37" s="293" t="s">
        <v>112</v>
      </c>
      <c r="C37" s="294"/>
      <c r="D37" s="295"/>
      <c r="E37" s="305" t="s">
        <v>113</v>
      </c>
      <c r="F37" s="306"/>
    </row>
    <row r="38" spans="2:6" ht="16.5" x14ac:dyDescent="0.25">
      <c r="B38" s="298" t="s">
        <v>114</v>
      </c>
      <c r="C38" s="299"/>
      <c r="D38" s="297"/>
      <c r="E38" s="307" t="s">
        <v>115</v>
      </c>
      <c r="F38" s="295"/>
    </row>
    <row r="39" spans="2:6" ht="16.5" hidden="1" x14ac:dyDescent="0.25">
      <c r="B39" s="308"/>
      <c r="C39" s="294"/>
      <c r="D39" s="295"/>
      <c r="E39" s="296"/>
      <c r="F39" s="297"/>
    </row>
    <row r="40" spans="2:6" ht="16.5" hidden="1" x14ac:dyDescent="0.25">
      <c r="B40" s="293"/>
      <c r="C40" s="294"/>
      <c r="D40" s="295"/>
      <c r="E40" s="296"/>
      <c r="F40" s="297"/>
    </row>
    <row r="41" spans="2:6" ht="16.5" hidden="1" x14ac:dyDescent="0.25">
      <c r="B41" s="298"/>
      <c r="C41" s="299"/>
      <c r="D41" s="297"/>
      <c r="E41" s="296"/>
      <c r="F41" s="297"/>
    </row>
    <row r="42" spans="2:6" ht="16.5" x14ac:dyDescent="0.3">
      <c r="B42" s="300" t="s">
        <v>116</v>
      </c>
      <c r="C42" s="301"/>
      <c r="D42" s="302"/>
      <c r="E42" s="303"/>
      <c r="F42" s="304"/>
    </row>
    <row r="43" spans="2:6" ht="17.25" thickBot="1" x14ac:dyDescent="0.35">
      <c r="B43" s="288" t="s">
        <v>117</v>
      </c>
      <c r="C43" s="289"/>
      <c r="D43" s="290"/>
      <c r="E43" s="291"/>
      <c r="F43" s="292"/>
    </row>
    <row r="45" spans="2:6" ht="15.75" thickBot="1" x14ac:dyDescent="0.3"/>
    <row r="46" spans="2:6" s="188" customFormat="1" ht="16.5" thickTop="1" thickBot="1" x14ac:dyDescent="0.25">
      <c r="B46" s="282" t="s">
        <v>118</v>
      </c>
      <c r="C46" s="282"/>
      <c r="D46" s="282"/>
      <c r="E46" s="282"/>
      <c r="F46" s="282"/>
    </row>
    <row r="47" spans="2:6" s="188" customFormat="1" ht="16.5" thickTop="1" thickBot="1" x14ac:dyDescent="0.3">
      <c r="B47" s="190" t="s">
        <v>119</v>
      </c>
      <c r="C47" s="190" t="s">
        <v>120</v>
      </c>
      <c r="D47" s="283" t="s">
        <v>121</v>
      </c>
      <c r="E47" s="283"/>
      <c r="F47" s="190" t="s">
        <v>122</v>
      </c>
    </row>
    <row r="48" spans="2:6" s="188" customFormat="1" ht="44.25" customHeight="1" thickTop="1" x14ac:dyDescent="0.2">
      <c r="B48" s="191" t="s">
        <v>123</v>
      </c>
      <c r="C48" s="192">
        <v>45723</v>
      </c>
      <c r="D48" s="284" t="s">
        <v>124</v>
      </c>
      <c r="E48" s="285"/>
      <c r="F48" s="193" t="s">
        <v>125</v>
      </c>
    </row>
  </sheetData>
  <mergeCells count="67">
    <mergeCell ref="B18:D18"/>
    <mergeCell ref="E18:F18"/>
    <mergeCell ref="B2:B5"/>
    <mergeCell ref="C2:E5"/>
    <mergeCell ref="C7:F7"/>
    <mergeCell ref="C8:F8"/>
    <mergeCell ref="B9:F9"/>
    <mergeCell ref="B10:F10"/>
    <mergeCell ref="B11:C11"/>
    <mergeCell ref="B14:F14"/>
    <mergeCell ref="B17:D17"/>
    <mergeCell ref="E17:F17"/>
    <mergeCell ref="B6:F6"/>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9:D39"/>
    <mergeCell ref="E39:F39"/>
    <mergeCell ref="B34:D34"/>
    <mergeCell ref="E34:F34"/>
    <mergeCell ref="E35:F35"/>
    <mergeCell ref="B35:D35"/>
    <mergeCell ref="E36:F36"/>
    <mergeCell ref="B36:D36"/>
    <mergeCell ref="B46:F46"/>
    <mergeCell ref="D47:E47"/>
    <mergeCell ref="D48:E48"/>
    <mergeCell ref="B12:C12"/>
    <mergeCell ref="B43:D43"/>
    <mergeCell ref="E43:F43"/>
    <mergeCell ref="B40:D40"/>
    <mergeCell ref="E40:F40"/>
    <mergeCell ref="B41:D41"/>
    <mergeCell ref="E41:F41"/>
    <mergeCell ref="B42:D42"/>
    <mergeCell ref="E42:F42"/>
    <mergeCell ref="B37:D37"/>
    <mergeCell ref="E37:F37"/>
    <mergeCell ref="B38:D38"/>
    <mergeCell ref="E38:F3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topLeftCell="A11" zoomScaleNormal="100" workbookViewId="0">
      <selection activeCell="D80" sqref="D80"/>
    </sheetView>
  </sheetViews>
  <sheetFormatPr baseColWidth="10" defaultColWidth="11.42578125" defaultRowHeight="16.5" x14ac:dyDescent="0.3"/>
  <cols>
    <col min="1" max="1" width="4" style="2" bestFit="1" customWidth="1"/>
    <col min="2" max="2" width="14.140625" style="2" customWidth="1"/>
    <col min="3" max="3" width="21.42578125" style="2" customWidth="1"/>
    <col min="4" max="4" width="24.85546875" style="2" customWidth="1"/>
    <col min="5" max="5" width="38.7109375" style="1" customWidth="1"/>
    <col min="6" max="6" width="19" style="5" customWidth="1"/>
    <col min="7" max="7" width="17.85546875" style="1" customWidth="1"/>
    <col min="8" max="8" width="16.5703125" style="1" customWidth="1"/>
    <col min="9" max="9" width="6.28515625" style="1" customWidth="1"/>
    <col min="10" max="10" width="27.28515625" style="1" customWidth="1"/>
    <col min="11" max="11" width="16.28515625" style="1" hidden="1" customWidth="1"/>
    <col min="12" max="12" width="17.5703125" style="1" customWidth="1"/>
    <col min="13" max="13" width="6.28515625" style="1" customWidth="1"/>
    <col min="14" max="14" width="16" style="1" customWidth="1"/>
    <col min="15" max="15" width="5.85546875" style="1" customWidth="1"/>
    <col min="16" max="16" width="54.140625" style="174"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5.7109375" style="1" customWidth="1"/>
    <col min="32" max="32" width="18.85546875" style="1" customWidth="1"/>
    <col min="33" max="33" width="19.5703125" style="1" customWidth="1"/>
    <col min="34" max="34" width="14.5703125" style="1" customWidth="1"/>
    <col min="35" max="35" width="14.85546875" style="1" customWidth="1"/>
    <col min="36" max="16384" width="11.42578125" style="1"/>
  </cols>
  <sheetData>
    <row r="1" spans="1:67" ht="24.75" customHeight="1" x14ac:dyDescent="0.3">
      <c r="A1" s="406"/>
      <c r="B1" s="407"/>
      <c r="C1" s="407"/>
      <c r="D1" s="407"/>
      <c r="E1" s="412" t="s">
        <v>308</v>
      </c>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3" t="s">
        <v>71</v>
      </c>
      <c r="AI1" s="413"/>
    </row>
    <row r="2" spans="1:67" ht="15" customHeight="1" x14ac:dyDescent="0.3">
      <c r="A2" s="408"/>
      <c r="B2" s="409"/>
      <c r="C2" s="409"/>
      <c r="D2" s="409"/>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3" t="s">
        <v>73</v>
      </c>
      <c r="AI2" s="413"/>
    </row>
    <row r="3" spans="1:67" ht="15" customHeight="1" x14ac:dyDescent="0.3">
      <c r="A3" s="408"/>
      <c r="B3" s="409"/>
      <c r="C3" s="409"/>
      <c r="D3" s="409"/>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4" t="s">
        <v>75</v>
      </c>
      <c r="AI3" s="414"/>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10"/>
      <c r="B4" s="411"/>
      <c r="C4" s="411"/>
      <c r="D4" s="411"/>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3" t="s">
        <v>77</v>
      </c>
      <c r="AI4" s="413"/>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73"/>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72" t="s">
        <v>126</v>
      </c>
      <c r="B6" s="473"/>
      <c r="C6" s="441" t="s">
        <v>80</v>
      </c>
      <c r="D6" s="442"/>
      <c r="E6" s="442"/>
      <c r="F6" s="442"/>
      <c r="G6" s="442"/>
      <c r="H6" s="442"/>
      <c r="I6" s="442"/>
      <c r="J6" s="442"/>
      <c r="K6" s="442"/>
      <c r="L6" s="442"/>
      <c r="M6" s="442"/>
      <c r="N6" s="443"/>
      <c r="O6" s="419"/>
      <c r="P6" s="419"/>
      <c r="Q6" s="41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0" customHeight="1" x14ac:dyDescent="0.3">
      <c r="A7" s="472" t="s">
        <v>127</v>
      </c>
      <c r="B7" s="473"/>
      <c r="C7" s="480" t="s">
        <v>128</v>
      </c>
      <c r="D7" s="481"/>
      <c r="E7" s="481"/>
      <c r="F7" s="481"/>
      <c r="G7" s="481"/>
      <c r="H7" s="481"/>
      <c r="I7" s="481"/>
      <c r="J7" s="481"/>
      <c r="K7" s="481"/>
      <c r="L7" s="481"/>
      <c r="M7" s="481"/>
      <c r="N7" s="482"/>
      <c r="O7" s="8"/>
      <c r="P7" s="17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5.5" customHeight="1" x14ac:dyDescent="0.3">
      <c r="A8" s="472" t="s">
        <v>129</v>
      </c>
      <c r="B8" s="473"/>
      <c r="C8" s="480" t="s">
        <v>130</v>
      </c>
      <c r="D8" s="481"/>
      <c r="E8" s="481"/>
      <c r="F8" s="481"/>
      <c r="G8" s="481"/>
      <c r="H8" s="481"/>
      <c r="I8" s="481"/>
      <c r="J8" s="481"/>
      <c r="K8" s="481"/>
      <c r="L8" s="481"/>
      <c r="M8" s="481"/>
      <c r="N8" s="482"/>
      <c r="O8" s="8"/>
      <c r="P8" s="173"/>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20" t="s">
        <v>131</v>
      </c>
      <c r="B9" s="421"/>
      <c r="C9" s="421"/>
      <c r="D9" s="421"/>
      <c r="E9" s="421"/>
      <c r="F9" s="421"/>
      <c r="G9" s="422"/>
      <c r="H9" s="420" t="s">
        <v>132</v>
      </c>
      <c r="I9" s="421"/>
      <c r="J9" s="421"/>
      <c r="K9" s="421"/>
      <c r="L9" s="421"/>
      <c r="M9" s="421"/>
      <c r="N9" s="422"/>
      <c r="O9" s="420" t="s">
        <v>133</v>
      </c>
      <c r="P9" s="421"/>
      <c r="Q9" s="421"/>
      <c r="R9" s="421"/>
      <c r="S9" s="421"/>
      <c r="T9" s="421"/>
      <c r="U9" s="421"/>
      <c r="V9" s="421"/>
      <c r="W9" s="422"/>
      <c r="X9" s="420" t="s">
        <v>134</v>
      </c>
      <c r="Y9" s="421"/>
      <c r="Z9" s="421"/>
      <c r="AA9" s="421"/>
      <c r="AB9" s="421"/>
      <c r="AC9" s="421"/>
      <c r="AD9" s="422"/>
      <c r="AE9" s="420" t="s">
        <v>135</v>
      </c>
      <c r="AF9" s="421"/>
      <c r="AG9" s="421"/>
      <c r="AH9" s="421"/>
      <c r="AI9" s="42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74" t="s">
        <v>136</v>
      </c>
      <c r="B10" s="477" t="s">
        <v>26</v>
      </c>
      <c r="C10" s="471" t="s">
        <v>28</v>
      </c>
      <c r="D10" s="471" t="s">
        <v>30</v>
      </c>
      <c r="E10" s="476" t="s">
        <v>32</v>
      </c>
      <c r="F10" s="470" t="s">
        <v>34</v>
      </c>
      <c r="G10" s="471" t="s">
        <v>137</v>
      </c>
      <c r="H10" s="484" t="s">
        <v>138</v>
      </c>
      <c r="I10" s="485" t="s">
        <v>139</v>
      </c>
      <c r="J10" s="470" t="s">
        <v>140</v>
      </c>
      <c r="K10" s="470" t="s">
        <v>141</v>
      </c>
      <c r="L10" s="487" t="s">
        <v>142</v>
      </c>
      <c r="M10" s="485" t="s">
        <v>139</v>
      </c>
      <c r="N10" s="471" t="s">
        <v>40</v>
      </c>
      <c r="O10" s="478" t="s">
        <v>143</v>
      </c>
      <c r="P10" s="418" t="s">
        <v>42</v>
      </c>
      <c r="Q10" s="470" t="s">
        <v>44</v>
      </c>
      <c r="R10" s="418" t="s">
        <v>144</v>
      </c>
      <c r="S10" s="418"/>
      <c r="T10" s="418"/>
      <c r="U10" s="418"/>
      <c r="V10" s="418"/>
      <c r="W10" s="418"/>
      <c r="X10" s="483" t="s">
        <v>145</v>
      </c>
      <c r="Y10" s="483" t="s">
        <v>146</v>
      </c>
      <c r="Z10" s="483" t="s">
        <v>139</v>
      </c>
      <c r="AA10" s="483" t="s">
        <v>147</v>
      </c>
      <c r="AB10" s="483" t="s">
        <v>139</v>
      </c>
      <c r="AC10" s="483" t="s">
        <v>148</v>
      </c>
      <c r="AD10" s="478" t="s">
        <v>60</v>
      </c>
      <c r="AE10" s="418" t="s">
        <v>135</v>
      </c>
      <c r="AF10" s="418" t="s">
        <v>122</v>
      </c>
      <c r="AG10" s="418" t="s">
        <v>149</v>
      </c>
      <c r="AH10" s="418" t="s">
        <v>150</v>
      </c>
      <c r="AI10" s="470" t="s">
        <v>151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75"/>
      <c r="B11" s="477"/>
      <c r="C11" s="418"/>
      <c r="D11" s="418"/>
      <c r="E11" s="477"/>
      <c r="F11" s="471"/>
      <c r="G11" s="418"/>
      <c r="H11" s="471"/>
      <c r="I11" s="486"/>
      <c r="J11" s="471"/>
      <c r="K11" s="471"/>
      <c r="L11" s="486"/>
      <c r="M11" s="486"/>
      <c r="N11" s="418"/>
      <c r="O11" s="479"/>
      <c r="P11" s="418"/>
      <c r="Q11" s="471"/>
      <c r="R11" s="7" t="s">
        <v>152</v>
      </c>
      <c r="S11" s="7" t="s">
        <v>153</v>
      </c>
      <c r="T11" s="7" t="s">
        <v>154</v>
      </c>
      <c r="U11" s="7" t="s">
        <v>155</v>
      </c>
      <c r="V11" s="7" t="s">
        <v>156</v>
      </c>
      <c r="W11" s="7" t="s">
        <v>157</v>
      </c>
      <c r="X11" s="483"/>
      <c r="Y11" s="483"/>
      <c r="Z11" s="483"/>
      <c r="AA11" s="483"/>
      <c r="AB11" s="483"/>
      <c r="AC11" s="483"/>
      <c r="AD11" s="479"/>
      <c r="AE11" s="418"/>
      <c r="AF11" s="418"/>
      <c r="AG11" s="418"/>
      <c r="AH11" s="418"/>
      <c r="AI11" s="471"/>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8.25" customHeight="1" x14ac:dyDescent="0.25">
      <c r="A12" s="367">
        <v>1</v>
      </c>
      <c r="B12" s="444" t="s">
        <v>158</v>
      </c>
      <c r="C12" s="637" t="s">
        <v>314</v>
      </c>
      <c r="D12" s="637" t="s">
        <v>313</v>
      </c>
      <c r="E12" s="638" t="s">
        <v>312</v>
      </c>
      <c r="F12" s="444" t="s">
        <v>159</v>
      </c>
      <c r="G12" s="447">
        <v>250</v>
      </c>
      <c r="H12" s="432" t="str">
        <f>IF(G12&lt;=0,"",IF(G12&lt;=2,"Muy Baja",IF(G12&lt;=24,"Baja",IF(G12&lt;=500,"Media",IF(G12&lt;=5000,"Alta","Muy Alta")))))</f>
        <v>Media</v>
      </c>
      <c r="I12" s="400">
        <f>IF(H12="","",IF(H12="Muy Baja",0.2,IF(H12="Baja",0.4,IF(H12="Media",0.6,IF(H12="Alta",0.8,IF(H12="Muy Alta",1,))))))</f>
        <v>0.6</v>
      </c>
      <c r="J12" s="429" t="s">
        <v>160</v>
      </c>
      <c r="K12" s="400" t="str">
        <f>IF(NOT(ISERROR(MATCH(J12,'Tabla Impacto'!$B$221:$B$223,0))),'Tabla Impacto'!$F$223&amp;"Por favor no seleccionar los criterios de impacto(Afectación Económica o presupuestal y Pérdida Reputacional)",J12)</f>
        <v xml:space="preserve">     Mayor a 500 SMLMV </v>
      </c>
      <c r="L12" s="432"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400">
        <f>IF(L12="","",IF(L12="Leve",0.2,IF(L12="Menor",0.4,IF(L12="Moderado",0.6,IF(L12="Mayor",0.8,IF(L12="Catastrófico",1,))))))</f>
        <v>1</v>
      </c>
      <c r="N12" s="43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6">
        <v>1</v>
      </c>
      <c r="P12" s="643" t="s">
        <v>315</v>
      </c>
      <c r="Q12" s="156" t="str">
        <f>IF(OR(R12="Preventivo",R12="Detectivo"),"Probabilidad",IF(R12="Correctivo","Impacto",""))</f>
        <v>Probabilidad</v>
      </c>
      <c r="R12" s="162" t="s">
        <v>161</v>
      </c>
      <c r="S12" s="162" t="s">
        <v>162</v>
      </c>
      <c r="T12" s="163" t="str">
        <f>IF(AND(R12="Preventivo",S12="Automático"),"50%",IF(AND(R12="Preventivo",S12="Manual"),"40%",IF(AND(R12="Detectivo",S12="Automático"),"40%",IF(AND(R12="Detectivo",S12="Manual"),"30%",IF(AND(R12="Correctivo",S12="Automático"),"35%",IF(AND(R12="Correctivo",S12="Manual"),"25%",""))))))</f>
        <v>40%</v>
      </c>
      <c r="U12" s="162" t="s">
        <v>163</v>
      </c>
      <c r="V12" s="162" t="s">
        <v>164</v>
      </c>
      <c r="W12" s="162" t="s">
        <v>165</v>
      </c>
      <c r="X12" s="153">
        <f>IFERROR(IF(Q12="Probabilidad",(I12-(+I12*T12)),IF(Q12="Impacto",I12,"")),"")</f>
        <v>0.36</v>
      </c>
      <c r="Y12" s="164" t="str">
        <f>IFERROR(IF(X12="","",IF(X12&lt;=0.2,"Muy Baja",IF(X12&lt;=0.4,"Baja",IF(X12&lt;=0.6,"Media",IF(X12&lt;=0.8,"Alta","Muy Alta"))))),"")</f>
        <v>Baja</v>
      </c>
      <c r="Z12" s="165">
        <f>+X12</f>
        <v>0.36</v>
      </c>
      <c r="AA12" s="164" t="str">
        <f>IFERROR(IF(AB12="","",IF(AB12&lt;=0.2,"Leve",IF(AB12&lt;=0.4,"Menor",IF(AB12&lt;=0.6,"Moderado",IF(AB12&lt;=0.8,"Mayor","Catastrófico"))))),"")</f>
        <v>Catastrófico</v>
      </c>
      <c r="AB12" s="165">
        <f>IFERROR(IF(Q12="Impacto",(M12-(+M12*T12)),IF(Q12="Probabilidad",M12,"")),"")</f>
        <v>1</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67" t="s">
        <v>166</v>
      </c>
      <c r="AE12" s="171" t="s">
        <v>167</v>
      </c>
      <c r="AF12" s="169" t="s">
        <v>168</v>
      </c>
      <c r="AG12" s="179" t="s">
        <v>319</v>
      </c>
      <c r="AH12" s="644">
        <v>45870</v>
      </c>
      <c r="AI12" s="170">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68"/>
      <c r="B13" s="445"/>
      <c r="C13" s="639"/>
      <c r="D13" s="639"/>
      <c r="E13" s="640"/>
      <c r="F13" s="445"/>
      <c r="G13" s="448"/>
      <c r="H13" s="433"/>
      <c r="I13" s="401"/>
      <c r="J13" s="430"/>
      <c r="K13" s="401">
        <f>IF(NOT(ISERROR(MATCH(J13,_xlfn.ANCHORARRAY(E26),0))),I28&amp;"Por favor no seleccionar los criterios de impacto",J13)</f>
        <v>0</v>
      </c>
      <c r="L13" s="433"/>
      <c r="M13" s="401"/>
      <c r="N13" s="436"/>
      <c r="O13" s="6">
        <v>2</v>
      </c>
      <c r="P13" s="171"/>
      <c r="Q13" s="156" t="str">
        <f>IF(OR(R13="Preventivo",R13="Detectivo"),"Probabilidad",IF(R13="Correctivo","Impacto",""))</f>
        <v/>
      </c>
      <c r="R13" s="151"/>
      <c r="S13" s="151"/>
      <c r="T13" s="152" t="str">
        <f t="shared" ref="T13:T17" si="0">IF(AND(R13="Preventivo",S13="Automático"),"50%",IF(AND(R13="Preventivo",S13="Manual"),"40%",IF(AND(R13="Detectivo",S13="Automático"),"40%",IF(AND(R13="Detectivo",S13="Manual"),"30%",IF(AND(R13="Correctivo",S13="Automático"),"35%",IF(AND(R13="Correctivo",S13="Manual"),"25%",""))))))</f>
        <v/>
      </c>
      <c r="U13" s="151"/>
      <c r="V13" s="151"/>
      <c r="W13" s="151"/>
      <c r="X13" s="153" t="str">
        <f>IFERROR(IF(AND(Q12="Probabilidad",Q13="Probabilidad"),(Z12-(+Z12*T13)),IF(Q13="Probabilidad",(I12-(+I12*T13)),IF(Q13="Impacto",Z12,""))),"")</f>
        <v/>
      </c>
      <c r="Y13" s="154" t="str">
        <f t="shared" ref="Y13:Y73" si="1">IFERROR(IF(X13="","",IF(X13&lt;=0.2,"Muy Baja",IF(X13&lt;=0.4,"Baja",IF(X13&lt;=0.6,"Media",IF(X13&lt;=0.8,"Alta","Muy Alta"))))),"")</f>
        <v/>
      </c>
      <c r="Z13" s="155" t="str">
        <f t="shared" ref="Z13:Z17" si="2">+X13</f>
        <v/>
      </c>
      <c r="AA13" s="154" t="str">
        <f t="shared" ref="AA13:AA73" si="3">IFERROR(IF(AB13="","",IF(AB13&lt;=0.2,"Leve",IF(AB13&lt;=0.4,"Menor",IF(AB13&lt;=0.6,"Moderado",IF(AB13&lt;=0.8,"Mayor","Catastrófico"))))),"")</f>
        <v/>
      </c>
      <c r="AB13" s="155" t="str">
        <f>IFERROR(IF(AND(Q12="Impacto",Q13="Impacto"),(AB12-(+AB12*T13)),IF(Q13="Impacto",(M12-(+M12*T13)),IF(Q13="Probabilidad",AB12,""))),"")</f>
        <v/>
      </c>
      <c r="AC13" s="158"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7"/>
      <c r="AE13" s="169"/>
      <c r="AF13" s="169"/>
      <c r="AG13" s="170"/>
      <c r="AH13" s="170"/>
      <c r="AI13" s="161"/>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68"/>
      <c r="B14" s="445"/>
      <c r="C14" s="639"/>
      <c r="D14" s="639"/>
      <c r="E14" s="640"/>
      <c r="F14" s="445"/>
      <c r="G14" s="448"/>
      <c r="H14" s="433"/>
      <c r="I14" s="401"/>
      <c r="J14" s="430"/>
      <c r="K14" s="401">
        <f>IF(NOT(ISERROR(MATCH(J14,_xlfn.ANCHORARRAY(E27),0))),I29&amp;"Por favor no seleccionar los criterios de impacto",J14)</f>
        <v>0</v>
      </c>
      <c r="L14" s="433"/>
      <c r="M14" s="401"/>
      <c r="N14" s="436"/>
      <c r="O14" s="106">
        <v>3</v>
      </c>
      <c r="P14" s="172"/>
      <c r="Q14" s="107"/>
      <c r="R14" s="108"/>
      <c r="S14" s="108"/>
      <c r="T14" s="109"/>
      <c r="U14" s="118"/>
      <c r="V14" s="118"/>
      <c r="W14" s="118"/>
      <c r="X14" s="110"/>
      <c r="Y14" s="111"/>
      <c r="Z14" s="112"/>
      <c r="AA14" s="111"/>
      <c r="AB14" s="112"/>
      <c r="AC14" s="113"/>
      <c r="AD14" s="114"/>
      <c r="AE14" s="115"/>
      <c r="AF14" s="116"/>
      <c r="AG14" s="117"/>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68"/>
      <c r="B15" s="445"/>
      <c r="C15" s="639"/>
      <c r="D15" s="639"/>
      <c r="E15" s="640"/>
      <c r="F15" s="445"/>
      <c r="G15" s="448"/>
      <c r="H15" s="433"/>
      <c r="I15" s="401"/>
      <c r="J15" s="430"/>
      <c r="K15" s="401">
        <f>IF(NOT(ISERROR(MATCH(J15,_xlfn.ANCHORARRAY(E28),0))),I30&amp;"Por favor no seleccionar los criterios de impacto",J15)</f>
        <v>0</v>
      </c>
      <c r="L15" s="433"/>
      <c r="M15" s="401"/>
      <c r="N15" s="436"/>
      <c r="O15" s="106">
        <v>4</v>
      </c>
      <c r="P15" s="171"/>
      <c r="Q15" s="107"/>
      <c r="R15" s="108"/>
      <c r="S15" s="108"/>
      <c r="T15" s="109"/>
      <c r="U15" s="108"/>
      <c r="V15" s="108"/>
      <c r="W15" s="108"/>
      <c r="X15" s="110"/>
      <c r="Y15" s="111"/>
      <c r="Z15" s="112"/>
      <c r="AA15" s="111"/>
      <c r="AB15" s="112"/>
      <c r="AC15" s="113"/>
      <c r="AD15" s="114"/>
      <c r="AE15" s="115"/>
      <c r="AF15" s="116"/>
      <c r="AG15" s="117"/>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68"/>
      <c r="B16" s="445"/>
      <c r="C16" s="639"/>
      <c r="D16" s="639"/>
      <c r="E16" s="640"/>
      <c r="F16" s="445"/>
      <c r="G16" s="448"/>
      <c r="H16" s="433"/>
      <c r="I16" s="401"/>
      <c r="J16" s="430"/>
      <c r="K16" s="401">
        <f>IF(NOT(ISERROR(MATCH(J16,_xlfn.ANCHORARRAY(E29),0))),I31&amp;"Por favor no seleccionar los criterios de impacto",J16)</f>
        <v>0</v>
      </c>
      <c r="L16" s="433"/>
      <c r="M16" s="401"/>
      <c r="N16" s="436"/>
      <c r="O16" s="106">
        <v>5</v>
      </c>
      <c r="P16" s="171"/>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87"/>
      <c r="B17" s="446"/>
      <c r="C17" s="641"/>
      <c r="D17" s="641"/>
      <c r="E17" s="642"/>
      <c r="F17" s="446"/>
      <c r="G17" s="449"/>
      <c r="H17" s="434"/>
      <c r="I17" s="402"/>
      <c r="J17" s="431"/>
      <c r="K17" s="402">
        <f>IF(NOT(ISERROR(MATCH(J17,_xlfn.ANCHORARRAY(E30),0))),I32&amp;"Por favor no seleccionar los criterios de impacto",J17)</f>
        <v>0</v>
      </c>
      <c r="L17" s="434"/>
      <c r="M17" s="402"/>
      <c r="N17" s="437"/>
      <c r="O17" s="106">
        <v>6</v>
      </c>
      <c r="P17" s="171"/>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5.75" customHeight="1" x14ac:dyDescent="0.3">
      <c r="A18" s="367">
        <v>2</v>
      </c>
      <c r="B18" s="444" t="s">
        <v>169</v>
      </c>
      <c r="C18" s="444" t="s">
        <v>311</v>
      </c>
      <c r="D18" s="444" t="s">
        <v>170</v>
      </c>
      <c r="E18" s="450" t="s">
        <v>171</v>
      </c>
      <c r="F18" s="444" t="s">
        <v>159</v>
      </c>
      <c r="G18" s="447">
        <v>250</v>
      </c>
      <c r="H18" s="432" t="str">
        <f>IF(G18&lt;=0,"",IF(G18&lt;=2,"Muy Baja",IF(G18&lt;=24,"Baja",IF(G18&lt;=500,"Media",IF(G18&lt;=5000,"Alta","Muy Alta")))))</f>
        <v>Media</v>
      </c>
      <c r="I18" s="400">
        <f>IF(H18="","",IF(H18="Muy Baja",0.2,IF(H18="Baja",0.4,IF(H18="Media",0.6,IF(H18="Alta",0.8,IF(H18="Muy Alta",1,))))))</f>
        <v>0.6</v>
      </c>
      <c r="J18" s="429" t="s">
        <v>172</v>
      </c>
      <c r="K18" s="40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432" t="str">
        <f>IF(OR(K18='Tabla Impacto'!$C$11,K18='Tabla Impacto'!$D$11),"Leve",IF(OR(K18='Tabla Impacto'!$C$12,K18='Tabla Impacto'!$D$12),"Menor",IF(OR(K18='Tabla Impacto'!$C$13,K18='Tabla Impacto'!$D$13),"Moderado",IF(OR(K18='Tabla Impacto'!$C$14,K18='Tabla Impacto'!$D$14),"Mayor",IF(OR(K18='Tabla Impacto'!$C$15,K18='Tabla Impacto'!$D$15),"Catastrófico","")))))</f>
        <v>Moderado</v>
      </c>
      <c r="M18" s="400">
        <f>IF(L18="","",IF(L18="Leve",0.2,IF(L18="Menor",0.4,IF(L18="Moderado",0.6,IF(L18="Mayor",0.8,IF(L18="Catastrófico",1,))))))</f>
        <v>0.6</v>
      </c>
      <c r="N18" s="43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67">
        <v>1</v>
      </c>
      <c r="P18" s="365" t="s">
        <v>173</v>
      </c>
      <c r="Q18" s="369" t="str">
        <f>IF(OR(R18="Preventivo",R18="Detectivo"),"Probabilidad",IF(R18="Correctivo","Impacto",""))</f>
        <v>Probabilidad</v>
      </c>
      <c r="R18" s="371" t="s">
        <v>161</v>
      </c>
      <c r="S18" s="371" t="s">
        <v>162</v>
      </c>
      <c r="T18" s="373" t="str">
        <f>IF(AND(R18="Preventivo",S18="Automático"),"50%",IF(AND(R18="Preventivo",S18="Manual"),"40%",IF(AND(R18="Detectivo",S18="Automático"),"40%",IF(AND(R18="Detectivo",S18="Manual"),"30%",IF(AND(R18="Correctivo",S18="Automático"),"35%",IF(AND(R18="Correctivo",S18="Manual"),"25%",""))))))</f>
        <v>40%</v>
      </c>
      <c r="U18" s="371" t="s">
        <v>163</v>
      </c>
      <c r="V18" s="371" t="s">
        <v>164</v>
      </c>
      <c r="W18" s="371" t="s">
        <v>165</v>
      </c>
      <c r="X18" s="375">
        <f>IFERROR(IF(Q18="Probabilidad",(I18-(+I18*T18)),IF(Q18="Impacto",I18,"")),"")</f>
        <v>0.36</v>
      </c>
      <c r="Y18" s="377" t="str">
        <f>IFERROR(IF(X18="","",IF(X18&lt;=0.2,"Muy Baja",IF(X18&lt;=0.4,"Baja",IF(X18&lt;=0.6,"Media",IF(X18&lt;=0.8,"Alta","Muy Alta"))))),"")</f>
        <v>Baja</v>
      </c>
      <c r="Z18" s="373">
        <f>+X18</f>
        <v>0.36</v>
      </c>
      <c r="AA18" s="377" t="str">
        <f>IFERROR(IF(AB18="","",IF(AB18&lt;=0.2,"Leve",IF(AB18&lt;=0.4,"Menor",IF(AB18&lt;=0.6,"Moderado",IF(AB18&lt;=0.8,"Mayor","Catastrófico"))))),"")</f>
        <v>Moderado</v>
      </c>
      <c r="AB18" s="373">
        <f>IFERROR(IF(Q18="Impacto",(M18-(+M18*T18)),IF(Q18="Probabilidad",M18,"")),"")</f>
        <v>0.6</v>
      </c>
      <c r="AC18" s="37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7" t="s">
        <v>166</v>
      </c>
      <c r="AE18" s="171" t="s">
        <v>174</v>
      </c>
      <c r="AF18" s="179" t="s">
        <v>175</v>
      </c>
      <c r="AG18" s="179" t="s">
        <v>176</v>
      </c>
      <c r="AH18" s="170">
        <v>45658</v>
      </c>
      <c r="AI18" s="170">
        <v>46021</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1" customHeight="1" x14ac:dyDescent="0.3">
      <c r="A19" s="368"/>
      <c r="B19" s="445"/>
      <c r="C19" s="445"/>
      <c r="D19" s="445"/>
      <c r="E19" s="451"/>
      <c r="F19" s="445"/>
      <c r="G19" s="448"/>
      <c r="H19" s="433"/>
      <c r="I19" s="401"/>
      <c r="J19" s="430"/>
      <c r="K19" s="401"/>
      <c r="L19" s="433"/>
      <c r="M19" s="401"/>
      <c r="N19" s="436"/>
      <c r="O19" s="368"/>
      <c r="P19" s="366"/>
      <c r="Q19" s="370"/>
      <c r="R19" s="372"/>
      <c r="S19" s="372"/>
      <c r="T19" s="374"/>
      <c r="U19" s="372"/>
      <c r="V19" s="372"/>
      <c r="W19" s="372"/>
      <c r="X19" s="376"/>
      <c r="Y19" s="378"/>
      <c r="Z19" s="374"/>
      <c r="AA19" s="378"/>
      <c r="AB19" s="374"/>
      <c r="AC19" s="380"/>
      <c r="AD19" s="196" t="s">
        <v>166</v>
      </c>
      <c r="AE19" s="171" t="s">
        <v>177</v>
      </c>
      <c r="AF19" s="179" t="s">
        <v>175</v>
      </c>
      <c r="AG19" s="179" t="s">
        <v>178</v>
      </c>
      <c r="AH19" s="170">
        <v>45658</v>
      </c>
      <c r="AI19" s="170">
        <v>46021</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51.75" customHeight="1" x14ac:dyDescent="0.3">
      <c r="A20" s="368"/>
      <c r="B20" s="445"/>
      <c r="C20" s="445"/>
      <c r="D20" s="445"/>
      <c r="E20" s="451"/>
      <c r="F20" s="445"/>
      <c r="G20" s="448"/>
      <c r="H20" s="433"/>
      <c r="I20" s="401"/>
      <c r="J20" s="430"/>
      <c r="K20" s="401"/>
      <c r="L20" s="433"/>
      <c r="M20" s="401"/>
      <c r="N20" s="436"/>
      <c r="O20" s="368"/>
      <c r="P20" s="366"/>
      <c r="Q20" s="370"/>
      <c r="R20" s="372"/>
      <c r="S20" s="372"/>
      <c r="T20" s="374"/>
      <c r="U20" s="372"/>
      <c r="V20" s="372"/>
      <c r="W20" s="372"/>
      <c r="X20" s="376"/>
      <c r="Y20" s="378"/>
      <c r="Z20" s="374"/>
      <c r="AA20" s="378"/>
      <c r="AB20" s="374"/>
      <c r="AC20" s="380"/>
      <c r="AD20" s="196" t="s">
        <v>166</v>
      </c>
      <c r="AE20" s="171" t="s">
        <v>179</v>
      </c>
      <c r="AF20" s="179" t="s">
        <v>175</v>
      </c>
      <c r="AG20" s="179" t="s">
        <v>178</v>
      </c>
      <c r="AH20" s="170">
        <v>45658</v>
      </c>
      <c r="AI20" s="170">
        <v>46021</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68"/>
      <c r="B21" s="445"/>
      <c r="C21" s="445"/>
      <c r="D21" s="445"/>
      <c r="E21" s="451"/>
      <c r="F21" s="445"/>
      <c r="G21" s="448"/>
      <c r="H21" s="433"/>
      <c r="I21" s="401"/>
      <c r="J21" s="430"/>
      <c r="K21" s="401">
        <f>IF(NOT(ISERROR(MATCH(J21,_xlfn.ANCHORARRAY(E32),0))),I34&amp;"Por favor no seleccionar los criterios de impacto",J21)</f>
        <v>0</v>
      </c>
      <c r="L21" s="433"/>
      <c r="M21" s="401"/>
      <c r="N21" s="436"/>
      <c r="O21" s="106">
        <v>2</v>
      </c>
      <c r="P21" s="171"/>
      <c r="Q21" s="156"/>
      <c r="R21" s="162"/>
      <c r="S21" s="162"/>
      <c r="T21" s="163"/>
      <c r="U21" s="162"/>
      <c r="V21" s="162"/>
      <c r="W21" s="162"/>
      <c r="X21" s="153"/>
      <c r="Y21" s="164"/>
      <c r="Z21" s="195"/>
      <c r="AA21" s="164"/>
      <c r="AB21" s="195"/>
      <c r="AC21" s="166"/>
      <c r="AD21" s="196"/>
      <c r="AE21" s="171"/>
      <c r="AF21" s="179"/>
      <c r="AG21" s="179"/>
      <c r="AH21" s="170"/>
      <c r="AI21" s="170"/>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68"/>
      <c r="B22" s="445"/>
      <c r="C22" s="445"/>
      <c r="D22" s="445"/>
      <c r="E22" s="451"/>
      <c r="F22" s="445"/>
      <c r="G22" s="448"/>
      <c r="H22" s="433"/>
      <c r="I22" s="401"/>
      <c r="J22" s="430"/>
      <c r="K22" s="401">
        <f>IF(NOT(ISERROR(MATCH(J22,_xlfn.ANCHORARRAY(E33),0))),I35&amp;"Por favor no seleccionar los criterios de impacto",J22)</f>
        <v>0</v>
      </c>
      <c r="L22" s="433"/>
      <c r="M22" s="401"/>
      <c r="N22" s="436"/>
      <c r="O22" s="106">
        <v>3</v>
      </c>
      <c r="P22" s="171"/>
      <c r="Q22" s="156"/>
      <c r="R22" s="162"/>
      <c r="S22" s="162"/>
      <c r="T22" s="163"/>
      <c r="U22" s="162"/>
      <c r="V22" s="162"/>
      <c r="W22" s="162"/>
      <c r="X22" s="153"/>
      <c r="Y22" s="164"/>
      <c r="Z22" s="195"/>
      <c r="AA22" s="164"/>
      <c r="AB22" s="195"/>
      <c r="AC22" s="166"/>
      <c r="AD22" s="196"/>
      <c r="AE22" s="171"/>
      <c r="AF22" s="179"/>
      <c r="AG22" s="179"/>
      <c r="AH22" s="170"/>
      <c r="AI22" s="170"/>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68"/>
      <c r="B23" s="445"/>
      <c r="C23" s="445"/>
      <c r="D23" s="445"/>
      <c r="E23" s="451"/>
      <c r="F23" s="445"/>
      <c r="G23" s="448"/>
      <c r="H23" s="433"/>
      <c r="I23" s="401"/>
      <c r="J23" s="430"/>
      <c r="K23" s="401">
        <f>IF(NOT(ISERROR(MATCH(J23,_xlfn.ANCHORARRAY(E34),0))),I36&amp;"Por favor no seleccionar los criterios de impacto",J23)</f>
        <v>0</v>
      </c>
      <c r="L23" s="433"/>
      <c r="M23" s="401"/>
      <c r="N23" s="436"/>
      <c r="O23" s="106">
        <v>4</v>
      </c>
      <c r="P23" s="171"/>
      <c r="Q23" s="156"/>
      <c r="R23" s="162"/>
      <c r="S23" s="162"/>
      <c r="T23" s="163"/>
      <c r="U23" s="162"/>
      <c r="V23" s="162"/>
      <c r="W23" s="162"/>
      <c r="X23" s="153"/>
      <c r="Y23" s="164"/>
      <c r="Z23" s="165"/>
      <c r="AA23" s="164"/>
      <c r="AB23" s="165"/>
      <c r="AC23" s="166"/>
      <c r="AD23" s="167"/>
      <c r="AE23" s="115"/>
      <c r="AF23" s="116"/>
      <c r="AG23" s="117"/>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68"/>
      <c r="B24" s="445"/>
      <c r="C24" s="445"/>
      <c r="D24" s="445"/>
      <c r="E24" s="451"/>
      <c r="F24" s="445"/>
      <c r="G24" s="448"/>
      <c r="H24" s="433"/>
      <c r="I24" s="401"/>
      <c r="J24" s="430"/>
      <c r="K24" s="401">
        <f>IF(NOT(ISERROR(MATCH(J24,_xlfn.ANCHORARRAY(E35),0))),I37&amp;"Por favor no seleccionar los criterios de impacto",J24)</f>
        <v>0</v>
      </c>
      <c r="L24" s="433"/>
      <c r="M24" s="401"/>
      <c r="N24" s="436"/>
      <c r="O24" s="106">
        <v>5</v>
      </c>
      <c r="P24" s="171"/>
      <c r="Q24" s="156"/>
      <c r="R24" s="162"/>
      <c r="S24" s="162"/>
      <c r="T24" s="163"/>
      <c r="U24" s="162"/>
      <c r="V24" s="162"/>
      <c r="W24" s="162"/>
      <c r="X24" s="153"/>
      <c r="Y24" s="164"/>
      <c r="Z24" s="165"/>
      <c r="AA24" s="164"/>
      <c r="AB24" s="165"/>
      <c r="AC24" s="166"/>
      <c r="AD24" s="167"/>
      <c r="AE24" s="115"/>
      <c r="AF24" s="116"/>
      <c r="AG24" s="117"/>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3" customFormat="1" ht="18" customHeight="1" x14ac:dyDescent="0.25">
      <c r="A25" s="387"/>
      <c r="B25" s="446"/>
      <c r="C25" s="446"/>
      <c r="D25" s="446"/>
      <c r="E25" s="452"/>
      <c r="F25" s="446"/>
      <c r="G25" s="449"/>
      <c r="H25" s="434"/>
      <c r="I25" s="402"/>
      <c r="J25" s="431"/>
      <c r="K25" s="402">
        <f>IF(NOT(ISERROR(MATCH(J25,_xlfn.ANCHORARRAY(E36),0))),I38&amp;"Por favor no seleccionar los criterios de impacto",J25)</f>
        <v>0</v>
      </c>
      <c r="L25" s="434"/>
      <c r="M25" s="402"/>
      <c r="N25" s="437"/>
      <c r="O25" s="6">
        <v>6</v>
      </c>
      <c r="P25" s="171"/>
      <c r="Q25" s="156"/>
      <c r="R25" s="162"/>
      <c r="S25" s="162"/>
      <c r="T25" s="163"/>
      <c r="U25" s="162"/>
      <c r="V25" s="162"/>
      <c r="W25" s="162"/>
      <c r="X25" s="153"/>
      <c r="Y25" s="164"/>
      <c r="Z25" s="165"/>
      <c r="AA25" s="164"/>
      <c r="AB25" s="165"/>
      <c r="AC25" s="166"/>
      <c r="AD25" s="167"/>
      <c r="AE25" s="159"/>
      <c r="AF25" s="160"/>
      <c r="AG25" s="161"/>
      <c r="AH25" s="161"/>
      <c r="AI25" s="161"/>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209" customFormat="1" ht="72" hidden="1" customHeight="1" x14ac:dyDescent="0.3">
      <c r="A26" s="464">
        <v>3</v>
      </c>
      <c r="B26" s="458" t="s">
        <v>158</v>
      </c>
      <c r="C26" s="458" t="s">
        <v>180</v>
      </c>
      <c r="D26" s="458" t="s">
        <v>181</v>
      </c>
      <c r="E26" s="467" t="s">
        <v>182</v>
      </c>
      <c r="F26" s="458" t="s">
        <v>159</v>
      </c>
      <c r="G26" s="461">
        <v>5</v>
      </c>
      <c r="H26" s="455" t="str">
        <f>IF(G26&lt;=0,"",IF(G26&lt;=2,"Muy Baja",IF(G26&lt;=24,"Baja",IF(G26&lt;=500,"Media",IF(G26&lt;=5000,"Alta","Muy Alta")))))</f>
        <v>Baja</v>
      </c>
      <c r="I26" s="423">
        <f>IF(H26="","",IF(H26="Muy Baja",0.2,IF(H26="Baja",0.4,IF(H26="Media",0.6,IF(H26="Alta",0.8,IF(H26="Muy Alta",1,))))))</f>
        <v>0.4</v>
      </c>
      <c r="J26" s="438" t="s">
        <v>160</v>
      </c>
      <c r="K26" s="423" t="str">
        <f>IF(NOT(ISERROR(MATCH(J26,'Tabla Impacto'!$B$221:$B$223,0))),'Tabla Impacto'!$F$223&amp;"Por favor no seleccionar los criterios de impacto(Afectación Económica o presupuestal y Pérdida Reputacional)",J26)</f>
        <v xml:space="preserve">     Mayor a 500 SMLMV </v>
      </c>
      <c r="L26" s="455" t="str">
        <f>IF(OR(K26='Tabla Impacto'!$C$11,K26='Tabla Impacto'!$D$11),"Leve",IF(OR(K26='Tabla Impacto'!$C$12,K26='Tabla Impacto'!$D$12),"Menor",IF(OR(K26='Tabla Impacto'!$C$13,K26='Tabla Impacto'!$D$13),"Moderado",IF(OR(K26='Tabla Impacto'!$C$14,K26='Tabla Impacto'!$D$14),"Mayor",IF(OR(K26='Tabla Impacto'!$C$15,K26='Tabla Impacto'!$D$15),"Catastrófico","")))))</f>
        <v>Catastrófico</v>
      </c>
      <c r="M26" s="423">
        <f>IF(L26="","",IF(L26="Leve",0.2,IF(L26="Menor",0.4,IF(L26="Moderado",0.6,IF(L26="Mayor",0.8,IF(L26="Catastrófico",1,))))))</f>
        <v>1</v>
      </c>
      <c r="N26" s="42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Extremo</v>
      </c>
      <c r="O26" s="197">
        <v>1</v>
      </c>
      <c r="P26" s="198" t="s">
        <v>316</v>
      </c>
      <c r="Q26" s="199" t="str">
        <f t="shared" ref="Q26" si="8">IF(OR(R26="Preventivo",R26="Detectivo"),"Probabilidad",IF(R26="Correctivo","Impacto",""))</f>
        <v>Probabilidad</v>
      </c>
      <c r="R26" s="200" t="s">
        <v>161</v>
      </c>
      <c r="S26" s="200" t="s">
        <v>162</v>
      </c>
      <c r="T26" s="201" t="str">
        <f t="shared" ref="T26" si="9">IF(AND(R26="Preventivo",S26="Automático"),"50%",IF(AND(R26="Preventivo",S26="Manual"),"40%",IF(AND(R26="Detectivo",S26="Automático"),"40%",IF(AND(R26="Detectivo",S26="Manual"),"30%",IF(AND(R26="Correctivo",S26="Automático"),"35%",IF(AND(R26="Correctivo",S26="Manual"),"25%",""))))))</f>
        <v>40%</v>
      </c>
      <c r="U26" s="200" t="s">
        <v>163</v>
      </c>
      <c r="V26" s="200" t="s">
        <v>164</v>
      </c>
      <c r="W26" s="200" t="s">
        <v>165</v>
      </c>
      <c r="X26" s="202">
        <f t="shared" ref="X26" si="10">IFERROR(IF(Q26="Probabilidad",(I26-(+I26*T26)),IF(Q26="Impacto",I26,"")),"")</f>
        <v>0.24</v>
      </c>
      <c r="Y26" s="203" t="str">
        <f t="shared" ref="Y26" si="11">IFERROR(IF(X26="","",IF(X26&lt;=0.2,"Muy Baja",IF(X26&lt;=0.4,"Baja",IF(X26&lt;=0.6,"Media",IF(X26&lt;=0.8,"Alta","Muy Alta"))))),"")</f>
        <v>Baja</v>
      </c>
      <c r="Z26" s="204">
        <f t="shared" ref="Z26" si="12">+X26</f>
        <v>0.24</v>
      </c>
      <c r="AA26" s="203" t="str">
        <f t="shared" ref="AA26" si="13">IFERROR(IF(AB26="","",IF(AB26&lt;=0.2,"Leve",IF(AB26&lt;=0.4,"Menor",IF(AB26&lt;=0.6,"Moderado",IF(AB26&lt;=0.8,"Mayor","Catastrófico"))))),"")</f>
        <v>Catastrófico</v>
      </c>
      <c r="AB26" s="204">
        <f t="shared" ref="AB26" si="14">IFERROR(IF(Q26="Impacto",(M26-(+M26*T26)),IF(Q26="Probabilidad",M26,"")),"")</f>
        <v>1</v>
      </c>
      <c r="AC26" s="205" t="str">
        <f t="shared" ref="AC26" si="15">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Extremo</v>
      </c>
      <c r="AD26" s="206" t="s">
        <v>166</v>
      </c>
      <c r="AE26" s="198" t="s">
        <v>317</v>
      </c>
      <c r="AF26" s="207" t="s">
        <v>183</v>
      </c>
      <c r="AG26" s="207" t="s">
        <v>318</v>
      </c>
      <c r="AH26" s="208">
        <v>45659</v>
      </c>
      <c r="AI26" s="208">
        <v>46007</v>
      </c>
    </row>
    <row r="27" spans="1:67" s="209" customFormat="1" ht="18" hidden="1" customHeight="1" x14ac:dyDescent="0.3">
      <c r="A27" s="465"/>
      <c r="B27" s="459"/>
      <c r="C27" s="459"/>
      <c r="D27" s="459"/>
      <c r="E27" s="468"/>
      <c r="F27" s="459"/>
      <c r="G27" s="462"/>
      <c r="H27" s="456"/>
      <c r="I27" s="424"/>
      <c r="J27" s="439"/>
      <c r="K27" s="424">
        <f>IF(NOT(ISERROR(MATCH(J27,_xlfn.ANCHORARRAY(E38),0))),I40&amp;"Por favor no seleccionar los criterios de impacto",J27)</f>
        <v>0</v>
      </c>
      <c r="L27" s="456"/>
      <c r="M27" s="424"/>
      <c r="N27" s="427"/>
      <c r="O27" s="210">
        <v>2</v>
      </c>
      <c r="P27" s="198"/>
      <c r="Q27" s="199"/>
      <c r="R27" s="200"/>
      <c r="S27" s="200"/>
      <c r="T27" s="201"/>
      <c r="U27" s="200"/>
      <c r="V27" s="200"/>
      <c r="W27" s="200"/>
      <c r="X27" s="202"/>
      <c r="Y27" s="203"/>
      <c r="Z27" s="204"/>
      <c r="AA27" s="203"/>
      <c r="AB27" s="204"/>
      <c r="AC27" s="205"/>
      <c r="AD27" s="206"/>
      <c r="AE27" s="211"/>
      <c r="AF27" s="212"/>
      <c r="AG27" s="208"/>
      <c r="AH27" s="208"/>
      <c r="AI27" s="213"/>
    </row>
    <row r="28" spans="1:67" s="209" customFormat="1" ht="18" hidden="1" customHeight="1" x14ac:dyDescent="0.3">
      <c r="A28" s="465"/>
      <c r="B28" s="459"/>
      <c r="C28" s="459"/>
      <c r="D28" s="459"/>
      <c r="E28" s="468"/>
      <c r="F28" s="459"/>
      <c r="G28" s="462"/>
      <c r="H28" s="456"/>
      <c r="I28" s="424"/>
      <c r="J28" s="439"/>
      <c r="K28" s="424">
        <f>IF(NOT(ISERROR(MATCH(J28,_xlfn.ANCHORARRAY(E39),0))),I41&amp;"Por favor no seleccionar los criterios de impacto",J28)</f>
        <v>0</v>
      </c>
      <c r="L28" s="456"/>
      <c r="M28" s="424"/>
      <c r="N28" s="427"/>
      <c r="O28" s="210">
        <v>3</v>
      </c>
      <c r="P28" s="214"/>
      <c r="Q28" s="199"/>
      <c r="R28" s="200"/>
      <c r="S28" s="200"/>
      <c r="T28" s="201"/>
      <c r="U28" s="200"/>
      <c r="V28" s="200"/>
      <c r="W28" s="200"/>
      <c r="X28" s="202"/>
      <c r="Y28" s="203"/>
      <c r="Z28" s="204"/>
      <c r="AA28" s="203"/>
      <c r="AB28" s="204"/>
      <c r="AC28" s="205"/>
      <c r="AD28" s="206"/>
      <c r="AE28" s="211"/>
      <c r="AF28" s="215"/>
      <c r="AG28" s="208"/>
      <c r="AH28" s="208"/>
      <c r="AI28" s="213"/>
    </row>
    <row r="29" spans="1:67" s="209" customFormat="1" ht="18" hidden="1" customHeight="1" x14ac:dyDescent="0.3">
      <c r="A29" s="465"/>
      <c r="B29" s="459"/>
      <c r="C29" s="459"/>
      <c r="D29" s="459"/>
      <c r="E29" s="468"/>
      <c r="F29" s="459"/>
      <c r="G29" s="462"/>
      <c r="H29" s="456"/>
      <c r="I29" s="424"/>
      <c r="J29" s="439"/>
      <c r="K29" s="424">
        <f>IF(NOT(ISERROR(MATCH(J29,_xlfn.ANCHORARRAY(E40),0))),I42&amp;"Por favor no seleccionar los criterios de impacto",J29)</f>
        <v>0</v>
      </c>
      <c r="L29" s="456"/>
      <c r="M29" s="424"/>
      <c r="N29" s="427"/>
      <c r="O29" s="210">
        <v>4</v>
      </c>
      <c r="P29" s="198"/>
      <c r="Q29" s="216"/>
      <c r="R29" s="217"/>
      <c r="S29" s="217"/>
      <c r="T29" s="218"/>
      <c r="U29" s="217"/>
      <c r="V29" s="217"/>
      <c r="W29" s="217"/>
      <c r="X29" s="219"/>
      <c r="Y29" s="220"/>
      <c r="Z29" s="221"/>
      <c r="AA29" s="220"/>
      <c r="AB29" s="221"/>
      <c r="AC29" s="222"/>
      <c r="AD29" s="223"/>
      <c r="AE29" s="224"/>
      <c r="AF29" s="225"/>
      <c r="AG29" s="213"/>
      <c r="AH29" s="213"/>
      <c r="AI29" s="213"/>
    </row>
    <row r="30" spans="1:67" s="209" customFormat="1" ht="18" hidden="1" customHeight="1" x14ac:dyDescent="0.3">
      <c r="A30" s="465"/>
      <c r="B30" s="459"/>
      <c r="C30" s="459"/>
      <c r="D30" s="459"/>
      <c r="E30" s="468"/>
      <c r="F30" s="459"/>
      <c r="G30" s="462"/>
      <c r="H30" s="456"/>
      <c r="I30" s="424"/>
      <c r="J30" s="439"/>
      <c r="K30" s="424">
        <f>IF(NOT(ISERROR(MATCH(J30,_xlfn.ANCHORARRAY(E41),0))),I43&amp;"Por favor no seleccionar los criterios de impacto",J30)</f>
        <v>0</v>
      </c>
      <c r="L30" s="456"/>
      <c r="M30" s="424"/>
      <c r="N30" s="427"/>
      <c r="O30" s="210">
        <v>5</v>
      </c>
      <c r="P30" s="198"/>
      <c r="Q30" s="216"/>
      <c r="R30" s="217"/>
      <c r="S30" s="217"/>
      <c r="T30" s="218"/>
      <c r="U30" s="217"/>
      <c r="V30" s="217"/>
      <c r="W30" s="217"/>
      <c r="X30" s="219"/>
      <c r="Y30" s="220"/>
      <c r="Z30" s="221"/>
      <c r="AA30" s="220"/>
      <c r="AB30" s="221"/>
      <c r="AC30" s="222"/>
      <c r="AD30" s="223"/>
      <c r="AE30" s="224"/>
      <c r="AF30" s="225"/>
      <c r="AG30" s="213"/>
      <c r="AH30" s="213"/>
      <c r="AI30" s="213"/>
    </row>
    <row r="31" spans="1:67" s="209" customFormat="1" ht="18" hidden="1" customHeight="1" x14ac:dyDescent="0.3">
      <c r="A31" s="466"/>
      <c r="B31" s="460"/>
      <c r="C31" s="460"/>
      <c r="D31" s="460"/>
      <c r="E31" s="469"/>
      <c r="F31" s="460"/>
      <c r="G31" s="463"/>
      <c r="H31" s="457"/>
      <c r="I31" s="425"/>
      <c r="J31" s="440"/>
      <c r="K31" s="425">
        <f>IF(NOT(ISERROR(MATCH(J31,_xlfn.ANCHORARRAY(E42),0))),I44&amp;"Por favor no seleccionar los criterios de impacto",J31)</f>
        <v>0</v>
      </c>
      <c r="L31" s="457"/>
      <c r="M31" s="425"/>
      <c r="N31" s="428"/>
      <c r="O31" s="197">
        <v>6</v>
      </c>
      <c r="P31" s="198"/>
      <c r="Q31" s="199"/>
      <c r="R31" s="200"/>
      <c r="S31" s="200"/>
      <c r="T31" s="201"/>
      <c r="U31" s="200"/>
      <c r="V31" s="200"/>
      <c r="W31" s="200"/>
      <c r="X31" s="202"/>
      <c r="Y31" s="203"/>
      <c r="Z31" s="204"/>
      <c r="AA31" s="203"/>
      <c r="AB31" s="204"/>
      <c r="AC31" s="205"/>
      <c r="AD31" s="206"/>
      <c r="AE31" s="226"/>
      <c r="AF31" s="227"/>
      <c r="AG31" s="228"/>
      <c r="AH31" s="228"/>
      <c r="AI31" s="228"/>
      <c r="AJ31" s="229"/>
      <c r="AK31" s="229"/>
    </row>
    <row r="32" spans="1:67" ht="69" customHeight="1" x14ac:dyDescent="0.3">
      <c r="A32" s="367">
        <v>4</v>
      </c>
      <c r="B32" s="444" t="s">
        <v>169</v>
      </c>
      <c r="C32" s="444" t="s">
        <v>184</v>
      </c>
      <c r="D32" s="444" t="s">
        <v>185</v>
      </c>
      <c r="E32" s="450" t="s">
        <v>186</v>
      </c>
      <c r="F32" s="444" t="s">
        <v>187</v>
      </c>
      <c r="G32" s="447">
        <v>360</v>
      </c>
      <c r="H32" s="432" t="str">
        <f>IF(G32&lt;=0,"",IF(G32&lt;=2,"Muy Baja",IF(G32&lt;=24,"Baja",IF(G32&lt;=500,"Media",IF(G32&lt;=5000,"Alta","Muy Alta")))))</f>
        <v>Media</v>
      </c>
      <c r="I32" s="400">
        <f>IF(H32="","",IF(H32="Muy Baja",0.2,IF(H32="Baja",0.4,IF(H32="Media",0.6,IF(H32="Alta",0.8,IF(H32="Muy Alta",1,))))))</f>
        <v>0.6</v>
      </c>
      <c r="J32" s="429" t="s">
        <v>172</v>
      </c>
      <c r="K32" s="400" t="str">
        <f>IF(NOT(ISERROR(MATCH(J32,'[1]Tabla Impacto'!$B$221:$B$223,0))),'[1]Tabla Impacto'!$F$223&amp;"Por favor no seleccionar los criterios de impacto(Afectación Económica o presupuestal y Pérdida Reputacional)",J32)</f>
        <v xml:space="preserve">     El riesgo afecta la imagen de la entidad con algunos usuarios de relevancia frente al logro de los objetivos</v>
      </c>
      <c r="L32" s="432" t="str">
        <f>IF(OR(K32='[1]Tabla Impacto'!$C$11,K32='[1]Tabla Impacto'!$D$11),"Leve",IF(OR(K32='[1]Tabla Impacto'!$C$12,K32='[1]Tabla Impacto'!$D$12),"Menor",IF(OR(K32='[1]Tabla Impacto'!$C$13,K32='[1]Tabla Impacto'!$D$13),"Moderado",IF(OR(K32='[1]Tabla Impacto'!$C$14,K32='[1]Tabla Impacto'!$D$14),"Mayor",IF(OR(K32='[1]Tabla Impacto'!$C$15,K32='[1]Tabla Impacto'!$D$15),"Catastrófico","")))))</f>
        <v>Moderado</v>
      </c>
      <c r="M32" s="400">
        <f>IF(L32="","",IF(L32="Leve",0.2,IF(L32="Menor",0.4,IF(L32="Moderado",0.6,IF(L32="Mayor",0.8,IF(L32="Catastrófico",1,))))))</f>
        <v>0.6</v>
      </c>
      <c r="N32" s="435"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6">
        <v>1</v>
      </c>
      <c r="P32" s="171" t="s">
        <v>188</v>
      </c>
      <c r="Q32" s="156" t="str">
        <f t="shared" ref="Q32" si="16">IF(OR(R32="Preventivo",R32="Detectivo"),"Probabilidad",IF(R32="Correctivo","Impacto",""))</f>
        <v>Probabilidad</v>
      </c>
      <c r="R32" s="162" t="s">
        <v>161</v>
      </c>
      <c r="S32" s="162" t="s">
        <v>162</v>
      </c>
      <c r="T32" s="163" t="str">
        <f>IF(AND(R32="Preventivo",S32="Automático"),"50%",IF(AND(R32="Preventivo",S32="Manual"),"40%",IF(AND(R32="Detectivo",S32="Automático"),"40%",IF(AND(R32="Detectivo",S32="Manual"),"30%",IF(AND(R32="Correctivo",S32="Automático"),"35%",IF(AND(R32="Correctivo",S32="Manual"),"25%",""))))))</f>
        <v>40%</v>
      </c>
      <c r="U32" s="162" t="s">
        <v>163</v>
      </c>
      <c r="V32" s="162" t="s">
        <v>164</v>
      </c>
      <c r="W32" s="162" t="s">
        <v>165</v>
      </c>
      <c r="X32" s="153">
        <f>IFERROR(IF(Q32="Probabilidad",(I32-(+I32*T32)),IF(Q32="Impacto",I32,"")),"")</f>
        <v>0.36</v>
      </c>
      <c r="Y32" s="164" t="str">
        <f>IFERROR(IF(X32="","",IF(X32&lt;=0.2,"Muy Baja",IF(X32&lt;=0.4,"Baja",IF(X32&lt;=0.6,"Media",IF(X32&lt;=0.8,"Alta","Muy Alta"))))),"")</f>
        <v>Baja</v>
      </c>
      <c r="Z32" s="165">
        <f>+X32</f>
        <v>0.36</v>
      </c>
      <c r="AA32" s="164" t="str">
        <f>IFERROR(IF(AB32="","",IF(AB32&lt;=0.2,"Leve",IF(AB32&lt;=0.4,"Menor",IF(AB32&lt;=0.6,"Moderado",IF(AB32&lt;=0.8,"Mayor","Catastrófico"))))),"")</f>
        <v>Moderado</v>
      </c>
      <c r="AB32" s="165">
        <f>IFERROR(IF(Q32="Impacto",(M32-(+M32*T32)),IF(Q32="Probabilidad",M32,"")),"")</f>
        <v>0.6</v>
      </c>
      <c r="AC32" s="166"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67" t="s">
        <v>166</v>
      </c>
      <c r="AE32" s="180" t="s">
        <v>189</v>
      </c>
      <c r="AF32" s="169" t="s">
        <v>190</v>
      </c>
      <c r="AG32" s="179" t="s">
        <v>191</v>
      </c>
      <c r="AH32" s="170">
        <v>45658</v>
      </c>
      <c r="AI32" s="170">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68"/>
      <c r="B33" s="445"/>
      <c r="C33" s="445"/>
      <c r="D33" s="445"/>
      <c r="E33" s="451"/>
      <c r="F33" s="445"/>
      <c r="G33" s="448"/>
      <c r="H33" s="433"/>
      <c r="I33" s="401"/>
      <c r="J33" s="430"/>
      <c r="K33" s="401">
        <f>IF(NOT(ISERROR(MATCH(J33,_xlfn.ANCHORARRAY(E50),0))),I52&amp;"Por favor no seleccionar los criterios de impacto",J33)</f>
        <v>0</v>
      </c>
      <c r="L33" s="433"/>
      <c r="M33" s="401"/>
      <c r="N33" s="436"/>
      <c r="O33" s="106"/>
      <c r="P33" s="171"/>
      <c r="Q33" s="107"/>
      <c r="R33" s="108"/>
      <c r="S33" s="108"/>
      <c r="T33" s="109"/>
      <c r="U33" s="108"/>
      <c r="V33" s="108"/>
      <c r="W33" s="108"/>
      <c r="X33" s="110"/>
      <c r="Y33" s="111"/>
      <c r="Z33" s="112"/>
      <c r="AA33" s="111"/>
      <c r="AB33" s="112"/>
      <c r="AC33" s="113"/>
      <c r="AD33" s="114"/>
      <c r="AE33" s="181"/>
      <c r="AF33" s="116"/>
      <c r="AG33" s="117"/>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68"/>
      <c r="B34" s="445"/>
      <c r="C34" s="445"/>
      <c r="D34" s="445"/>
      <c r="E34" s="451"/>
      <c r="F34" s="445"/>
      <c r="G34" s="448"/>
      <c r="H34" s="433"/>
      <c r="I34" s="401"/>
      <c r="J34" s="430"/>
      <c r="K34" s="401">
        <f>IF(NOT(ISERROR(MATCH(J34,_xlfn.ANCHORARRAY(E51),0))),I53&amp;"Por favor no seleccionar los criterios de impacto",J34)</f>
        <v>0</v>
      </c>
      <c r="L34" s="433"/>
      <c r="M34" s="401"/>
      <c r="N34" s="436"/>
      <c r="O34" s="106"/>
      <c r="P34" s="172"/>
      <c r="Q34" s="107"/>
      <c r="R34" s="108"/>
      <c r="S34" s="108"/>
      <c r="T34" s="109"/>
      <c r="U34" s="108"/>
      <c r="V34" s="108"/>
      <c r="W34" s="108"/>
      <c r="X34" s="110"/>
      <c r="Y34" s="111"/>
      <c r="Z34" s="112"/>
      <c r="AA34" s="111"/>
      <c r="AB34" s="112"/>
      <c r="AC34" s="113"/>
      <c r="AD34" s="114"/>
      <c r="AE34" s="181"/>
      <c r="AF34" s="116"/>
      <c r="AG34" s="117"/>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68"/>
      <c r="B35" s="445"/>
      <c r="C35" s="445"/>
      <c r="D35" s="445"/>
      <c r="E35" s="451"/>
      <c r="F35" s="445"/>
      <c r="G35" s="448"/>
      <c r="H35" s="433"/>
      <c r="I35" s="401"/>
      <c r="J35" s="430"/>
      <c r="K35" s="401">
        <f>IF(NOT(ISERROR(MATCH(J35,_xlfn.ANCHORARRAY(E52),0))),I54&amp;"Por favor no seleccionar los criterios de impacto",J35)</f>
        <v>0</v>
      </c>
      <c r="L35" s="433"/>
      <c r="M35" s="401"/>
      <c r="N35" s="436"/>
      <c r="O35" s="106"/>
      <c r="P35" s="171"/>
      <c r="Q35" s="107"/>
      <c r="R35" s="108"/>
      <c r="S35" s="108"/>
      <c r="T35" s="109"/>
      <c r="U35" s="108"/>
      <c r="V35" s="108"/>
      <c r="W35" s="108"/>
      <c r="X35" s="110"/>
      <c r="Y35" s="111"/>
      <c r="Z35" s="112"/>
      <c r="AA35" s="111"/>
      <c r="AB35" s="112"/>
      <c r="AC35" s="113"/>
      <c r="AD35" s="114"/>
      <c r="AE35" s="181"/>
      <c r="AF35" s="116"/>
      <c r="AG35" s="117"/>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68"/>
      <c r="B36" s="445"/>
      <c r="C36" s="445"/>
      <c r="D36" s="445"/>
      <c r="E36" s="451"/>
      <c r="F36" s="445"/>
      <c r="G36" s="448"/>
      <c r="H36" s="433"/>
      <c r="I36" s="401"/>
      <c r="J36" s="430"/>
      <c r="K36" s="401">
        <f>IF(NOT(ISERROR(MATCH(J36,_xlfn.ANCHORARRAY(E53),0))),I55&amp;"Por favor no seleccionar los criterios de impacto",J36)</f>
        <v>0</v>
      </c>
      <c r="L36" s="433"/>
      <c r="M36" s="401"/>
      <c r="N36" s="436"/>
      <c r="O36" s="106"/>
      <c r="P36" s="171"/>
      <c r="Q36" s="107"/>
      <c r="R36" s="108"/>
      <c r="S36" s="108"/>
      <c r="T36" s="109"/>
      <c r="U36" s="108"/>
      <c r="V36" s="108"/>
      <c r="W36" s="108"/>
      <c r="X36" s="110"/>
      <c r="Y36" s="111"/>
      <c r="Z36" s="112"/>
      <c r="AA36" s="111"/>
      <c r="AB36" s="112"/>
      <c r="AC36" s="113"/>
      <c r="AD36" s="114"/>
      <c r="AE36" s="181"/>
      <c r="AF36" s="116"/>
      <c r="AG36" s="117"/>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28.5" customHeight="1" x14ac:dyDescent="0.3">
      <c r="A37" s="387"/>
      <c r="B37" s="446"/>
      <c r="C37" s="446"/>
      <c r="D37" s="446"/>
      <c r="E37" s="452"/>
      <c r="F37" s="446"/>
      <c r="G37" s="449"/>
      <c r="H37" s="434"/>
      <c r="I37" s="402"/>
      <c r="J37" s="431"/>
      <c r="K37" s="402">
        <f>IF(NOT(ISERROR(MATCH(J37,_xlfn.ANCHORARRAY(E54),0))),I56&amp;"Por favor no seleccionar los criterios de impacto",J37)</f>
        <v>0</v>
      </c>
      <c r="L37" s="434"/>
      <c r="M37" s="402"/>
      <c r="N37" s="437"/>
      <c r="O37" s="106"/>
      <c r="P37" s="171"/>
      <c r="Q37" s="107"/>
      <c r="R37" s="108"/>
      <c r="S37" s="108"/>
      <c r="T37" s="109"/>
      <c r="U37" s="108"/>
      <c r="V37" s="108"/>
      <c r="W37" s="108"/>
      <c r="X37" s="110"/>
      <c r="Y37" s="111"/>
      <c r="Z37" s="112"/>
      <c r="AA37" s="111"/>
      <c r="AB37" s="112"/>
      <c r="AC37" s="113"/>
      <c r="AD37" s="114"/>
      <c r="AE37" s="181"/>
      <c r="AF37" s="116"/>
      <c r="AG37" s="117"/>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78.75" customHeight="1" x14ac:dyDescent="0.3">
      <c r="A38" s="367">
        <v>5</v>
      </c>
      <c r="B38" s="444" t="s">
        <v>169</v>
      </c>
      <c r="C38" s="429" t="s">
        <v>192</v>
      </c>
      <c r="D38" s="429" t="s">
        <v>310</v>
      </c>
      <c r="E38" s="450" t="s">
        <v>309</v>
      </c>
      <c r="F38" s="444" t="s">
        <v>187</v>
      </c>
      <c r="G38" s="447">
        <v>1</v>
      </c>
      <c r="H38" s="432" t="str">
        <f>IF(G38&lt;=0,"",IF(G38&lt;=2,"Muy Baja",IF(G38&lt;=24,"Baja",IF(G38&lt;=500,"Media",IF(G38&lt;=5000,"Alta","Muy Alta")))))</f>
        <v>Muy Baja</v>
      </c>
      <c r="I38" s="400">
        <f>IF(H38="","",IF(H38="Muy Baja",0.2,IF(H38="Baja",0.4,IF(H38="Media",0.6,IF(H38="Alta",0.8,IF(H38="Muy Alta",1,))))))</f>
        <v>0.2</v>
      </c>
      <c r="J38" s="403" t="s">
        <v>172</v>
      </c>
      <c r="K38" s="400" t="str">
        <f>IF(NOT(ISERROR(MATCH(J38,'[1]Tabla Impacto'!$B$221:$B$223,0))),'[1]Tabla Impacto'!$F$223&amp;"Por favor no seleccionar los criterios de impacto(Afectación Económica o presupuestal y Pérdida Reputacional)",J38)</f>
        <v xml:space="preserve">     El riesgo afecta la imagen de la entidad con algunos usuarios de relevancia frente al logro de los objetivos</v>
      </c>
      <c r="L38" s="432" t="str">
        <f>IF(OR(K38='[1]Tabla Impacto'!$C$11,K38='[1]Tabla Impacto'!$D$11),"Leve",IF(OR(K38='[1]Tabla Impacto'!$C$12,K38='[1]Tabla Impacto'!$D$12),"Menor",IF(OR(K38='[1]Tabla Impacto'!$C$13,K38='[1]Tabla Impacto'!$D$13),"Moderado",IF(OR(K38='[1]Tabla Impacto'!$C$14,K38='[1]Tabla Impacto'!$D$14),"Mayor",IF(OR(K38='[1]Tabla Impacto'!$C$15,K38='[1]Tabla Impacto'!$D$15),"Catastrófico","")))))</f>
        <v>Moderado</v>
      </c>
      <c r="M38" s="400">
        <f>IF(L38="","",IF(L38="Leve",0.2,IF(L38="Menor",0.4,IF(L38="Moderado",0.6,IF(L38="Mayor",0.8,IF(L38="Catastrófico",1,))))))</f>
        <v>0.6</v>
      </c>
      <c r="N38" s="435"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6">
        <v>1</v>
      </c>
      <c r="P38" s="171" t="s">
        <v>193</v>
      </c>
      <c r="Q38" s="156" t="str">
        <f t="shared" ref="Q38" si="17">IF(OR(R38="Preventivo",R38="Detectivo"),"Probabilidad",IF(R38="Correctivo","Impacto",""))</f>
        <v>Probabilidad</v>
      </c>
      <c r="R38" s="162" t="s">
        <v>161</v>
      </c>
      <c r="S38" s="162" t="s">
        <v>162</v>
      </c>
      <c r="T38" s="163" t="str">
        <f>IF(AND(R38="Preventivo",S38="Automático"),"50%",IF(AND(R38="Preventivo",S38="Manual"),"40%",IF(AND(R38="Detectivo",S38="Automático"),"40%",IF(AND(R38="Detectivo",S38="Manual"),"30%",IF(AND(R38="Correctivo",S38="Automático"),"35%",IF(AND(R38="Correctivo",S38="Manual"),"25%",""))))))</f>
        <v>40%</v>
      </c>
      <c r="U38" s="162" t="s">
        <v>163</v>
      </c>
      <c r="V38" s="162" t="s">
        <v>164</v>
      </c>
      <c r="W38" s="162" t="s">
        <v>165</v>
      </c>
      <c r="X38" s="153">
        <f>IFERROR(IF(Q38="Probabilidad",(I38-(+I38*T38)),IF(Q38="Impacto",I38,"")),"")</f>
        <v>0.12</v>
      </c>
      <c r="Y38" s="164" t="str">
        <f>IFERROR(IF(X38="","",IF(X38&lt;=0.2,"Muy Baja",IF(X38&lt;=0.4,"Baja",IF(X38&lt;=0.6,"Media",IF(X38&lt;=0.8,"Alta","Muy Alta"))))),"")</f>
        <v>Muy Baja</v>
      </c>
      <c r="Z38" s="165">
        <f t="shared" ref="Z38:Z43" si="18">+X38</f>
        <v>0.12</v>
      </c>
      <c r="AA38" s="164" t="str">
        <f>IFERROR(IF(AB38="","",IF(AB38&lt;=0.2,"Leve",IF(AB38&lt;=0.4,"Menor",IF(AB38&lt;=0.6,"Moderado",IF(AB38&lt;=0.8,"Mayor","Catastrófico"))))),"")</f>
        <v>Moderado</v>
      </c>
      <c r="AB38" s="165">
        <f>IFERROR(IF(Q38="Impacto",(M38-(+M38*T38)),IF(Q38="Probabilidad",M38,"")),"")</f>
        <v>0.6</v>
      </c>
      <c r="AC38" s="166"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167" t="s">
        <v>166</v>
      </c>
      <c r="AE38" s="180" t="s">
        <v>194</v>
      </c>
      <c r="AF38" s="182" t="s">
        <v>195</v>
      </c>
      <c r="AG38" s="182" t="s">
        <v>196</v>
      </c>
      <c r="AH38" s="183">
        <v>45839</v>
      </c>
      <c r="AI38" s="184">
        <v>46010</v>
      </c>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68"/>
      <c r="B39" s="445"/>
      <c r="C39" s="430"/>
      <c r="D39" s="430"/>
      <c r="E39" s="451"/>
      <c r="F39" s="445"/>
      <c r="G39" s="448"/>
      <c r="H39" s="433"/>
      <c r="I39" s="401"/>
      <c r="J39" s="404"/>
      <c r="K39" s="401">
        <f>IF(NOT(ISERROR(MATCH(J39,_xlfn.ANCHORARRAY(E56),0))),I58&amp;"Por favor no seleccionar los criterios de impacto",J39)</f>
        <v>0</v>
      </c>
      <c r="L39" s="433"/>
      <c r="M39" s="401"/>
      <c r="N39" s="436"/>
      <c r="O39" s="6">
        <v>2</v>
      </c>
      <c r="P39" s="171"/>
      <c r="Q39" s="107" t="str">
        <f>IF(OR(R39="Preventivo",R39="Detectivo"),"Probabilidad",IF(R39="Correctivo","Impacto",""))</f>
        <v/>
      </c>
      <c r="R39" s="108"/>
      <c r="S39" s="108"/>
      <c r="T39" s="109" t="str">
        <f t="shared" ref="T39:T43" si="19">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ref="Y39:Y43" si="20">IFERROR(IF(X39="","",IF(X39&lt;=0.2,"Muy Baja",IF(X39&lt;=0.4,"Baja",IF(X39&lt;=0.6,"Media",IF(X39&lt;=0.8,"Alta","Muy Alta"))))),"")</f>
        <v/>
      </c>
      <c r="Z39" s="112" t="str">
        <f t="shared" si="18"/>
        <v/>
      </c>
      <c r="AA39" s="111" t="str">
        <f t="shared" ref="AA39:AA43" si="21">IFERROR(IF(AB39="","",IF(AB39&lt;=0.2,"Leve",IF(AB39&lt;=0.4,"Menor",IF(AB39&lt;=0.6,"Moderado",IF(AB39&lt;=0.8,"Mayor","Catastrófico"))))),"")</f>
        <v/>
      </c>
      <c r="AB39" s="112" t="str">
        <f>IFERROR(IF(AND(Q38="Impacto",Q39="Impacto"),(AB38-(+AB38*T39)),IF(Q39="Impacto",(M38-(+M38*T39)),IF(Q39="Probabilidad",AB38,""))),"")</f>
        <v/>
      </c>
      <c r="AC39" s="113" t="str">
        <f t="shared" ref="AC39:AC40" si="22">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60"/>
      <c r="AG39" s="161"/>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368"/>
      <c r="B40" s="445"/>
      <c r="C40" s="430"/>
      <c r="D40" s="430"/>
      <c r="E40" s="451"/>
      <c r="F40" s="445"/>
      <c r="G40" s="448"/>
      <c r="H40" s="433"/>
      <c r="I40" s="401"/>
      <c r="J40" s="404"/>
      <c r="K40" s="401">
        <f>IF(NOT(ISERROR(MATCH(J40,_xlfn.ANCHORARRAY(E57),0))),I59&amp;"Por favor no seleccionar los criterios de impacto",J40)</f>
        <v>0</v>
      </c>
      <c r="L40" s="433"/>
      <c r="M40" s="401"/>
      <c r="N40" s="436"/>
      <c r="O40" s="6">
        <v>3</v>
      </c>
      <c r="P40" s="172"/>
      <c r="Q40" s="107" t="str">
        <f>IF(OR(R40="Preventivo",R40="Detectivo"),"Probabilidad",IF(R40="Correctivo","Impacto",""))</f>
        <v/>
      </c>
      <c r="R40" s="108"/>
      <c r="S40" s="108"/>
      <c r="T40" s="109" t="str">
        <f t="shared" si="19"/>
        <v/>
      </c>
      <c r="U40" s="108"/>
      <c r="V40" s="108"/>
      <c r="W40" s="108"/>
      <c r="X40" s="110" t="str">
        <f>IFERROR(IF(AND(Q39="Probabilidad",Q40="Probabilidad"),(Z39-(+Z39*T40)),IF(AND(Q39="Impacto",Q40="Probabilidad"),(Z38-(+Z38*T40)),IF(Q40="Impacto",Z39,""))),"")</f>
        <v/>
      </c>
      <c r="Y40" s="111" t="str">
        <f t="shared" si="20"/>
        <v/>
      </c>
      <c r="Z40" s="112" t="str">
        <f t="shared" si="18"/>
        <v/>
      </c>
      <c r="AA40" s="111" t="str">
        <f t="shared" si="21"/>
        <v/>
      </c>
      <c r="AB40" s="112" t="str">
        <f>IFERROR(IF(AND(Q39="Impacto",Q40="Impacto"),(AB39-(+AB39*T40)),IF(AND(Q39="Probabilidad",Q40="Impacto"),(AB38-(+AB38*T40)),IF(Q40="Probabilidad",AB39,""))),"")</f>
        <v/>
      </c>
      <c r="AC40" s="113" t="str">
        <f t="shared" si="22"/>
        <v/>
      </c>
      <c r="AD40" s="114"/>
      <c r="AE40" s="115"/>
      <c r="AF40" s="160"/>
      <c r="AG40" s="161"/>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68"/>
      <c r="B41" s="445"/>
      <c r="C41" s="430"/>
      <c r="D41" s="430"/>
      <c r="E41" s="451"/>
      <c r="F41" s="445"/>
      <c r="G41" s="448"/>
      <c r="H41" s="433"/>
      <c r="I41" s="401"/>
      <c r="J41" s="404"/>
      <c r="K41" s="401">
        <f>IF(NOT(ISERROR(MATCH(J41,_xlfn.ANCHORARRAY(E58),0))),I60&amp;"Por favor no seleccionar los criterios de impacto",J41)</f>
        <v>0</v>
      </c>
      <c r="L41" s="433"/>
      <c r="M41" s="401"/>
      <c r="N41" s="436"/>
      <c r="O41" s="6">
        <v>4</v>
      </c>
      <c r="P41" s="171"/>
      <c r="Q41" s="107" t="str">
        <f t="shared" ref="Q41:Q43" si="23">IF(OR(R41="Preventivo",R41="Detectivo"),"Probabilidad",IF(R41="Correctivo","Impacto",""))</f>
        <v/>
      </c>
      <c r="R41" s="108"/>
      <c r="S41" s="108"/>
      <c r="T41" s="109" t="str">
        <f t="shared" si="19"/>
        <v/>
      </c>
      <c r="U41" s="108"/>
      <c r="V41" s="108"/>
      <c r="W41" s="108"/>
      <c r="X41" s="110" t="str">
        <f t="shared" ref="X41:X43" si="24">IFERROR(IF(AND(Q40="Probabilidad",Q41="Probabilidad"),(Z40-(+Z40*T41)),IF(AND(Q40="Impacto",Q41="Probabilidad"),(Z39-(+Z39*T41)),IF(Q41="Impacto",Z40,""))),"")</f>
        <v/>
      </c>
      <c r="Y41" s="111" t="str">
        <f t="shared" si="20"/>
        <v/>
      </c>
      <c r="Z41" s="112" t="str">
        <f t="shared" si="18"/>
        <v/>
      </c>
      <c r="AA41" s="111" t="str">
        <f t="shared" si="21"/>
        <v/>
      </c>
      <c r="AB41" s="112" t="str">
        <f t="shared" ref="AB41:AB43" si="25">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60"/>
      <c r="AG41" s="161"/>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68"/>
      <c r="B42" s="445"/>
      <c r="C42" s="430"/>
      <c r="D42" s="430"/>
      <c r="E42" s="451"/>
      <c r="F42" s="445"/>
      <c r="G42" s="448"/>
      <c r="H42" s="433"/>
      <c r="I42" s="401"/>
      <c r="J42" s="404"/>
      <c r="K42" s="401">
        <f>IF(NOT(ISERROR(MATCH(J42,_xlfn.ANCHORARRAY(E59),0))),I61&amp;"Por favor no seleccionar los criterios de impacto",J42)</f>
        <v>0</v>
      </c>
      <c r="L42" s="433"/>
      <c r="M42" s="401"/>
      <c r="N42" s="436"/>
      <c r="O42" s="6">
        <v>5</v>
      </c>
      <c r="P42" s="171"/>
      <c r="Q42" s="107" t="str">
        <f t="shared" si="23"/>
        <v/>
      </c>
      <c r="R42" s="108"/>
      <c r="S42" s="108"/>
      <c r="T42" s="109" t="str">
        <f t="shared" si="19"/>
        <v/>
      </c>
      <c r="U42" s="108"/>
      <c r="V42" s="108"/>
      <c r="W42" s="108"/>
      <c r="X42" s="110" t="str">
        <f t="shared" si="24"/>
        <v/>
      </c>
      <c r="Y42" s="111" t="str">
        <f>IFERROR(IF(X42="","",IF(X42&lt;=0.2,"Muy Baja",IF(X42&lt;=0.4,"Baja",IF(X42&lt;=0.6,"Media",IF(X42&lt;=0.8,"Alta","Muy Alta"))))),"")</f>
        <v/>
      </c>
      <c r="Z42" s="112" t="str">
        <f t="shared" si="18"/>
        <v/>
      </c>
      <c r="AA42" s="111" t="str">
        <f t="shared" si="21"/>
        <v/>
      </c>
      <c r="AB42" s="112" t="str">
        <f t="shared" si="25"/>
        <v/>
      </c>
      <c r="AC42" s="113" t="str">
        <f t="shared" ref="AC42:AC43" si="26">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60"/>
      <c r="AG42" s="161"/>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30" customHeight="1" x14ac:dyDescent="0.3">
      <c r="A43" s="387"/>
      <c r="B43" s="446"/>
      <c r="C43" s="431"/>
      <c r="D43" s="431"/>
      <c r="E43" s="452"/>
      <c r="F43" s="446"/>
      <c r="G43" s="449"/>
      <c r="H43" s="434"/>
      <c r="I43" s="402"/>
      <c r="J43" s="405"/>
      <c r="K43" s="402">
        <f>IF(NOT(ISERROR(MATCH(J43,_xlfn.ANCHORARRAY(E60),0))),I62&amp;"Por favor no seleccionar los criterios de impacto",J43)</f>
        <v>0</v>
      </c>
      <c r="L43" s="434"/>
      <c r="M43" s="402"/>
      <c r="N43" s="437"/>
      <c r="O43" s="6">
        <v>6</v>
      </c>
      <c r="P43" s="171"/>
      <c r="Q43" s="107" t="str">
        <f t="shared" si="23"/>
        <v/>
      </c>
      <c r="R43" s="108"/>
      <c r="S43" s="108"/>
      <c r="T43" s="109" t="str">
        <f t="shared" si="19"/>
        <v/>
      </c>
      <c r="U43" s="108"/>
      <c r="V43" s="108"/>
      <c r="W43" s="108"/>
      <c r="X43" s="110" t="str">
        <f t="shared" si="24"/>
        <v/>
      </c>
      <c r="Y43" s="111" t="str">
        <f t="shared" si="20"/>
        <v/>
      </c>
      <c r="Z43" s="112" t="str">
        <f t="shared" si="18"/>
        <v/>
      </c>
      <c r="AA43" s="111" t="str">
        <f t="shared" si="21"/>
        <v/>
      </c>
      <c r="AB43" s="112" t="str">
        <f t="shared" si="25"/>
        <v/>
      </c>
      <c r="AC43" s="113" t="str">
        <f t="shared" si="26"/>
        <v/>
      </c>
      <c r="AD43" s="114"/>
      <c r="AE43" s="115"/>
      <c r="AF43" s="160"/>
      <c r="AG43" s="161"/>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67">
        <v>6</v>
      </c>
      <c r="B44" s="388"/>
      <c r="C44" s="388"/>
      <c r="D44" s="388"/>
      <c r="E44" s="391"/>
      <c r="F44" s="388"/>
      <c r="G44" s="394"/>
      <c r="H44" s="397" t="str">
        <f>IF(G44&lt;=0,"",IF(G44&lt;=2,"Muy Baja",IF(G44&lt;=24,"Baja",IF(G44&lt;=500,"Media",IF(G44&lt;=5000,"Alta","Muy Alta")))))</f>
        <v/>
      </c>
      <c r="I44" s="381" t="str">
        <f>IF(H44="","",IF(H44="Muy Baja",0.2,IF(H44="Baja",0.4,IF(H44="Media",0.6,IF(H44="Alta",0.8,IF(H44="Muy Alta",1,))))))</f>
        <v/>
      </c>
      <c r="J44" s="415"/>
      <c r="K44" s="381">
        <f>IF(NOT(ISERROR(MATCH(J44,'Tabla Impacto'!$B$221:$B$223,0))),'Tabla Impacto'!$F$223&amp;"Por favor no seleccionar los criterios de impacto(Afectación Económica o presupuestal y Pérdida Reputacional)",J44)</f>
        <v>0</v>
      </c>
      <c r="L44" s="397" t="str">
        <f>IF(OR(K44='Tabla Impacto'!$C$11,K44='Tabla Impacto'!$D$11),"Leve",IF(OR(K44='Tabla Impacto'!$C$12,K44='Tabla Impacto'!$D$12),"Menor",IF(OR(K44='Tabla Impacto'!$C$13,K44='Tabla Impacto'!$D$13),"Moderado",IF(OR(K44='Tabla Impacto'!$C$14,K44='Tabla Impacto'!$D$14),"Mayor",IF(OR(K44='Tabla Impacto'!$C$15,K44='Tabla Impacto'!$D$15),"Catastrófico","")))))</f>
        <v/>
      </c>
      <c r="M44" s="381" t="str">
        <f>IF(L44="","",IF(L44="Leve",0.2,IF(L44="Menor",0.4,IF(L44="Moderado",0.6,IF(L44="Mayor",0.8,IF(L44="Catastrófico",1,))))))</f>
        <v/>
      </c>
      <c r="N44" s="384"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71"/>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68"/>
      <c r="AF44" s="115"/>
      <c r="AG44" s="117"/>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68"/>
      <c r="B45" s="389"/>
      <c r="C45" s="389"/>
      <c r="D45" s="389"/>
      <c r="E45" s="392"/>
      <c r="F45" s="389"/>
      <c r="G45" s="395"/>
      <c r="H45" s="398"/>
      <c r="I45" s="382"/>
      <c r="J45" s="416"/>
      <c r="K45" s="382">
        <f>IF(NOT(ISERROR(MATCH(J45,_xlfn.ANCHORARRAY(E56),0))),I58&amp;"Por favor no seleccionar los criterios de impacto",J45)</f>
        <v>0</v>
      </c>
      <c r="L45" s="398"/>
      <c r="M45" s="382"/>
      <c r="N45" s="385"/>
      <c r="O45" s="106">
        <v>2</v>
      </c>
      <c r="P45" s="171"/>
      <c r="Q45" s="107" t="str">
        <f>IF(OR(R45="Preventivo",R45="Detectivo"),"Probabilidad",IF(R45="Correctivo","Impacto",""))</f>
        <v/>
      </c>
      <c r="R45" s="108"/>
      <c r="S45" s="108"/>
      <c r="T45" s="109" t="str">
        <f t="shared" ref="T45:T49" si="27">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28">+X45</f>
        <v/>
      </c>
      <c r="AA45" s="111" t="str">
        <f t="shared" si="3"/>
        <v/>
      </c>
      <c r="AB45" s="112" t="str">
        <f>IFERROR(IF(AND(Q44="Impacto",Q45="Impacto"),(AB44-(+AB44*T45)),IF(Q45="Impacto",(M44-(+M44*T45)),IF(Q45="Probabilidad",AB44,""))),"")</f>
        <v/>
      </c>
      <c r="AC45" s="113" t="str">
        <f t="shared" ref="AC45:AC46" si="29">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68"/>
      <c r="B46" s="389"/>
      <c r="C46" s="389"/>
      <c r="D46" s="389"/>
      <c r="E46" s="392"/>
      <c r="F46" s="389"/>
      <c r="G46" s="395"/>
      <c r="H46" s="398"/>
      <c r="I46" s="382"/>
      <c r="J46" s="416"/>
      <c r="K46" s="382">
        <f>IF(NOT(ISERROR(MATCH(J46,_xlfn.ANCHORARRAY(E57),0))),I59&amp;"Por favor no seleccionar los criterios de impacto",J46)</f>
        <v>0</v>
      </c>
      <c r="L46" s="398"/>
      <c r="M46" s="382"/>
      <c r="N46" s="385"/>
      <c r="O46" s="106">
        <v>3</v>
      </c>
      <c r="P46" s="172"/>
      <c r="Q46" s="107" t="str">
        <f>IF(OR(R46="Preventivo",R46="Detectivo"),"Probabilidad",IF(R46="Correctivo","Impacto",""))</f>
        <v/>
      </c>
      <c r="R46" s="108"/>
      <c r="S46" s="108"/>
      <c r="T46" s="109" t="str">
        <f t="shared" si="27"/>
        <v/>
      </c>
      <c r="U46" s="108"/>
      <c r="V46" s="108"/>
      <c r="W46" s="108"/>
      <c r="X46" s="110" t="str">
        <f>IFERROR(IF(AND(Q45="Probabilidad",Q46="Probabilidad"),(Z45-(+Z45*T46)),IF(AND(Q45="Impacto",Q46="Probabilidad"),(Z44-(+Z44*T46)),IF(Q46="Impacto",Z45,""))),"")</f>
        <v/>
      </c>
      <c r="Y46" s="111" t="str">
        <f t="shared" si="1"/>
        <v/>
      </c>
      <c r="Z46" s="112" t="str">
        <f t="shared" si="28"/>
        <v/>
      </c>
      <c r="AA46" s="111" t="str">
        <f t="shared" si="3"/>
        <v/>
      </c>
      <c r="AB46" s="112" t="str">
        <f>IFERROR(IF(AND(Q45="Impacto",Q46="Impacto"),(AB45-(+AB45*T46)),IF(AND(Q45="Probabilidad",Q46="Impacto"),(AB44-(+AB44*T46)),IF(Q46="Probabilidad",AB45,""))),"")</f>
        <v/>
      </c>
      <c r="AC46" s="113" t="str">
        <f t="shared" si="29"/>
        <v/>
      </c>
      <c r="AD46" s="114"/>
      <c r="AE46" s="115"/>
      <c r="AF46" s="116"/>
      <c r="AG46" s="117"/>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68"/>
      <c r="B47" s="389"/>
      <c r="C47" s="389"/>
      <c r="D47" s="389"/>
      <c r="E47" s="392"/>
      <c r="F47" s="389"/>
      <c r="G47" s="395"/>
      <c r="H47" s="398"/>
      <c r="I47" s="382"/>
      <c r="J47" s="416"/>
      <c r="K47" s="382">
        <f>IF(NOT(ISERROR(MATCH(J47,_xlfn.ANCHORARRAY(E58),0))),I60&amp;"Por favor no seleccionar los criterios de impacto",J47)</f>
        <v>0</v>
      </c>
      <c r="L47" s="398"/>
      <c r="M47" s="382"/>
      <c r="N47" s="385"/>
      <c r="O47" s="106">
        <v>4</v>
      </c>
      <c r="P47" s="171"/>
      <c r="Q47" s="107" t="str">
        <f t="shared" ref="Q47:Q49" si="30">IF(OR(R47="Preventivo",R47="Detectivo"),"Probabilidad",IF(R47="Correctivo","Impacto",""))</f>
        <v/>
      </c>
      <c r="R47" s="108"/>
      <c r="S47" s="108"/>
      <c r="T47" s="109" t="str">
        <f t="shared" si="27"/>
        <v/>
      </c>
      <c r="U47" s="108"/>
      <c r="V47" s="108"/>
      <c r="W47" s="108"/>
      <c r="X47" s="110" t="str">
        <f t="shared" ref="X47:X49" si="31">IFERROR(IF(AND(Q46="Probabilidad",Q47="Probabilidad"),(Z46-(+Z46*T47)),IF(AND(Q46="Impacto",Q47="Probabilidad"),(Z45-(+Z45*T47)),IF(Q47="Impacto",Z46,""))),"")</f>
        <v/>
      </c>
      <c r="Y47" s="111" t="str">
        <f t="shared" si="1"/>
        <v/>
      </c>
      <c r="Z47" s="112" t="str">
        <f t="shared" si="28"/>
        <v/>
      </c>
      <c r="AA47" s="111" t="str">
        <f t="shared" si="3"/>
        <v/>
      </c>
      <c r="AB47" s="112" t="str">
        <f t="shared" ref="AB47:AB49" si="32">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68"/>
      <c r="B48" s="389"/>
      <c r="C48" s="389"/>
      <c r="D48" s="389"/>
      <c r="E48" s="392"/>
      <c r="F48" s="389"/>
      <c r="G48" s="395"/>
      <c r="H48" s="398"/>
      <c r="I48" s="382"/>
      <c r="J48" s="416"/>
      <c r="K48" s="382">
        <f>IF(NOT(ISERROR(MATCH(J48,_xlfn.ANCHORARRAY(E59),0))),I61&amp;"Por favor no seleccionar los criterios de impacto",J48)</f>
        <v>0</v>
      </c>
      <c r="L48" s="398"/>
      <c r="M48" s="382"/>
      <c r="N48" s="385"/>
      <c r="O48" s="106">
        <v>5</v>
      </c>
      <c r="P48" s="171"/>
      <c r="Q48" s="107" t="str">
        <f t="shared" si="30"/>
        <v/>
      </c>
      <c r="R48" s="108"/>
      <c r="S48" s="108"/>
      <c r="T48" s="109" t="str">
        <f t="shared" si="27"/>
        <v/>
      </c>
      <c r="U48" s="108"/>
      <c r="V48" s="108"/>
      <c r="W48" s="108"/>
      <c r="X48" s="110" t="str">
        <f t="shared" si="31"/>
        <v/>
      </c>
      <c r="Y48" s="111" t="str">
        <f t="shared" si="1"/>
        <v/>
      </c>
      <c r="Z48" s="112" t="str">
        <f t="shared" si="28"/>
        <v/>
      </c>
      <c r="AA48" s="111" t="str">
        <f t="shared" si="3"/>
        <v/>
      </c>
      <c r="AB48" s="112" t="str">
        <f t="shared" si="32"/>
        <v/>
      </c>
      <c r="AC48" s="113" t="str">
        <f t="shared" ref="AC48" si="33">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7"/>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87"/>
      <c r="B49" s="390"/>
      <c r="C49" s="390"/>
      <c r="D49" s="390"/>
      <c r="E49" s="393"/>
      <c r="F49" s="390"/>
      <c r="G49" s="396"/>
      <c r="H49" s="399"/>
      <c r="I49" s="383"/>
      <c r="J49" s="417"/>
      <c r="K49" s="383">
        <f>IF(NOT(ISERROR(MATCH(J49,_xlfn.ANCHORARRAY(E60),0))),I62&amp;"Por favor no seleccionar los criterios de impacto",J49)</f>
        <v>0</v>
      </c>
      <c r="L49" s="399"/>
      <c r="M49" s="383"/>
      <c r="N49" s="386"/>
      <c r="O49" s="106">
        <v>6</v>
      </c>
      <c r="P49" s="171"/>
      <c r="Q49" s="107" t="str">
        <f t="shared" si="30"/>
        <v/>
      </c>
      <c r="R49" s="108"/>
      <c r="S49" s="108"/>
      <c r="T49" s="109" t="str">
        <f t="shared" si="27"/>
        <v/>
      </c>
      <c r="U49" s="108"/>
      <c r="V49" s="108"/>
      <c r="W49" s="108"/>
      <c r="X49" s="110" t="str">
        <f t="shared" si="31"/>
        <v/>
      </c>
      <c r="Y49" s="111" t="str">
        <f t="shared" si="1"/>
        <v/>
      </c>
      <c r="Z49" s="112" t="str">
        <f t="shared" si="28"/>
        <v/>
      </c>
      <c r="AA49" s="111" t="str">
        <f>IFERROR(IF(AB49="","",IF(AB49&lt;=0.2,"Leve",IF(AB49&lt;=0.4,"Menor",IF(AB49&lt;=0.6,"Moderado",IF(AB49&lt;=0.8,"Mayor","Catastrófico"))))),"")</f>
        <v/>
      </c>
      <c r="AB49" s="112" t="str">
        <f t="shared" si="32"/>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7"/>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67">
        <v>7</v>
      </c>
      <c r="B50" s="388"/>
      <c r="C50" s="388"/>
      <c r="D50" s="388"/>
      <c r="E50" s="391"/>
      <c r="F50" s="388"/>
      <c r="G50" s="394"/>
      <c r="H50" s="397" t="str">
        <f>IF(G50&lt;=0,"",IF(G50&lt;=2,"Muy Baja",IF(G50&lt;=24,"Baja",IF(G50&lt;=500,"Media",IF(G50&lt;=5000,"Alta","Muy Alta")))))</f>
        <v/>
      </c>
      <c r="I50" s="381" t="str">
        <f>IF(H50="","",IF(H50="Muy Baja",0.2,IF(H50="Baja",0.4,IF(H50="Media",0.6,IF(H50="Alta",0.8,IF(H50="Muy Alta",1,))))))</f>
        <v/>
      </c>
      <c r="J50" s="415"/>
      <c r="K50" s="381">
        <f>IF(NOT(ISERROR(MATCH(J50,'Tabla Impacto'!$B$221:$B$223,0))),'Tabla Impacto'!$F$223&amp;"Por favor no seleccionar los criterios de impacto(Afectación Económica o presupuestal y Pérdida Reputacional)",J50)</f>
        <v>0</v>
      </c>
      <c r="L50" s="397" t="str">
        <f>IF(OR(K50='Tabla Impacto'!$C$11,K50='Tabla Impacto'!$D$11),"Leve",IF(OR(K50='Tabla Impacto'!$C$12,K50='Tabla Impacto'!$D$12),"Menor",IF(OR(K50='Tabla Impacto'!$C$13,K50='Tabla Impacto'!$D$13),"Moderado",IF(OR(K50='Tabla Impacto'!$C$14,K50='Tabla Impacto'!$D$14),"Mayor",IF(OR(K50='Tabla Impacto'!$C$15,K50='Tabla Impacto'!$D$15),"Catastrófico","")))))</f>
        <v/>
      </c>
      <c r="M50" s="381" t="str">
        <f>IF(L50="","",IF(L50="Leve",0.2,IF(L50="Menor",0.4,IF(L50="Moderado",0.6,IF(L50="Mayor",0.8,IF(L50="Catastrófico",1,))))))</f>
        <v/>
      </c>
      <c r="N50" s="384"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71"/>
      <c r="Q50" s="156" t="str">
        <f>IF(OR(R50="Preventivo",R50="Detectivo"),"Probabilidad",IF(R50="Correctivo","Impacto",""))</f>
        <v/>
      </c>
      <c r="R50" s="162"/>
      <c r="S50" s="162"/>
      <c r="T50" s="163" t="str">
        <f>IF(AND(R50="Preventivo",S50="Automático"),"50%",IF(AND(R50="Preventivo",S50="Manual"),"40%",IF(AND(R50="Detectivo",S50="Automático"),"40%",IF(AND(R50="Detectivo",S50="Manual"),"30%",IF(AND(R50="Correctivo",S50="Automático"),"35%",IF(AND(R50="Correctivo",S50="Manual"),"25%",""))))))</f>
        <v/>
      </c>
      <c r="U50" s="162"/>
      <c r="V50" s="162"/>
      <c r="W50" s="162"/>
      <c r="X50" s="153" t="str">
        <f>IFERROR(IF(Q50="Probabilidad",(I50-(+I50*T50)),IF(Q50="Impacto",I50,"")),"")</f>
        <v/>
      </c>
      <c r="Y50" s="164" t="str">
        <f>IFERROR(IF(X50="","",IF(X50&lt;=0.2,"Muy Baja",IF(X50&lt;=0.4,"Baja",IF(X50&lt;=0.6,"Media",IF(X50&lt;=0.8,"Alta","Muy Alta"))))),"")</f>
        <v/>
      </c>
      <c r="Z50" s="165" t="str">
        <f>+X50</f>
        <v/>
      </c>
      <c r="AA50" s="164" t="str">
        <f>IFERROR(IF(AB50="","",IF(AB50&lt;=0.2,"Leve",IF(AB50&lt;=0.4,"Menor",IF(AB50&lt;=0.6,"Moderado",IF(AB50&lt;=0.8,"Mayor","Catastrófico"))))),"")</f>
        <v/>
      </c>
      <c r="AB50" s="165" t="str">
        <f>IFERROR(IF(Q50="Impacto",(M50-(+M50*T50)),IF(Q50="Probabilidad",M50,"")),"")</f>
        <v/>
      </c>
      <c r="AC50" s="166"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7"/>
      <c r="AE50" s="115"/>
      <c r="AF50" s="115"/>
      <c r="AG50" s="117"/>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68"/>
      <c r="B51" s="389"/>
      <c r="C51" s="389"/>
      <c r="D51" s="389"/>
      <c r="E51" s="392"/>
      <c r="F51" s="389"/>
      <c r="G51" s="395"/>
      <c r="H51" s="398"/>
      <c r="I51" s="382"/>
      <c r="J51" s="416"/>
      <c r="K51" s="382">
        <f>IF(NOT(ISERROR(MATCH(J51,_xlfn.ANCHORARRAY(E62),0))),I64&amp;"Por favor no seleccionar los criterios de impacto",J51)</f>
        <v>0</v>
      </c>
      <c r="L51" s="398"/>
      <c r="M51" s="382"/>
      <c r="N51" s="385"/>
      <c r="O51" s="106">
        <v>2</v>
      </c>
      <c r="P51" s="171"/>
      <c r="Q51" s="156" t="str">
        <f>IF(OR(R51="Preventivo",R51="Detectivo"),"Probabilidad",IF(R51="Correctivo","Impacto",""))</f>
        <v/>
      </c>
      <c r="R51" s="162"/>
      <c r="S51" s="162"/>
      <c r="T51" s="163" t="str">
        <f t="shared" ref="T51:T55" si="34">IF(AND(R51="Preventivo",S51="Automático"),"50%",IF(AND(R51="Preventivo",S51="Manual"),"40%",IF(AND(R51="Detectivo",S51="Automático"),"40%",IF(AND(R51="Detectivo",S51="Manual"),"30%",IF(AND(R51="Correctivo",S51="Automático"),"35%",IF(AND(R51="Correctivo",S51="Manual"),"25%",""))))))</f>
        <v/>
      </c>
      <c r="U51" s="162"/>
      <c r="V51" s="162"/>
      <c r="W51" s="162"/>
      <c r="X51" s="153" t="str">
        <f>IFERROR(IF(AND(Q50="Probabilidad",Q51="Probabilidad"),(Z50-(+Z50*T51)),IF(Q51="Probabilidad",(I50-(+I50*T51)),IF(Q51="Impacto",Z50,""))),"")</f>
        <v/>
      </c>
      <c r="Y51" s="164" t="str">
        <f t="shared" si="1"/>
        <v/>
      </c>
      <c r="Z51" s="165" t="str">
        <f t="shared" ref="Z51:Z55" si="35">+X51</f>
        <v/>
      </c>
      <c r="AA51" s="164" t="str">
        <f t="shared" si="3"/>
        <v/>
      </c>
      <c r="AB51" s="165" t="str">
        <f>IFERROR(IF(AND(Q50="Impacto",Q51="Impacto"),(AB50-(+AB50*T51)),IF(Q51="Impacto",(M50-(+M50*T51)),IF(Q51="Probabilidad",AB50,""))),"")</f>
        <v/>
      </c>
      <c r="AC51" s="166" t="str">
        <f t="shared" ref="AC51:AC52" si="36">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7"/>
      <c r="AE51" s="115"/>
      <c r="AF51" s="116"/>
      <c r="AG51" s="117"/>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68"/>
      <c r="B52" s="389"/>
      <c r="C52" s="389"/>
      <c r="D52" s="389"/>
      <c r="E52" s="392"/>
      <c r="F52" s="389"/>
      <c r="G52" s="395"/>
      <c r="H52" s="398"/>
      <c r="I52" s="382"/>
      <c r="J52" s="416"/>
      <c r="K52" s="382">
        <f>IF(NOT(ISERROR(MATCH(J52,_xlfn.ANCHORARRAY(E63),0))),I65&amp;"Por favor no seleccionar los criterios de impacto",J52)</f>
        <v>0</v>
      </c>
      <c r="L52" s="398"/>
      <c r="M52" s="382"/>
      <c r="N52" s="385"/>
      <c r="O52" s="106">
        <v>3</v>
      </c>
      <c r="P52" s="172"/>
      <c r="Q52" s="107" t="str">
        <f>IF(OR(R52="Preventivo",R52="Detectivo"),"Probabilidad",IF(R52="Correctivo","Impacto",""))</f>
        <v/>
      </c>
      <c r="R52" s="108"/>
      <c r="S52" s="108"/>
      <c r="T52" s="109" t="str">
        <f t="shared" si="34"/>
        <v/>
      </c>
      <c r="U52" s="108"/>
      <c r="V52" s="108"/>
      <c r="W52" s="108"/>
      <c r="X52" s="110" t="str">
        <f>IFERROR(IF(AND(Q51="Probabilidad",Q52="Probabilidad"),(Z51-(+Z51*T52)),IF(AND(Q51="Impacto",Q52="Probabilidad"),(Z50-(+Z50*T52)),IF(Q52="Impacto",Z51,""))),"")</f>
        <v/>
      </c>
      <c r="Y52" s="111" t="str">
        <f t="shared" si="1"/>
        <v/>
      </c>
      <c r="Z52" s="112" t="str">
        <f t="shared" si="35"/>
        <v/>
      </c>
      <c r="AA52" s="111" t="str">
        <f t="shared" si="3"/>
        <v/>
      </c>
      <c r="AB52" s="112" t="str">
        <f>IFERROR(IF(AND(Q51="Impacto",Q52="Impacto"),(AB51-(+AB51*T52)),IF(AND(Q51="Probabilidad",Q52="Impacto"),(AB50-(+AB50*T52)),IF(Q52="Probabilidad",AB51,""))),"")</f>
        <v/>
      </c>
      <c r="AC52" s="113" t="str">
        <f t="shared" si="36"/>
        <v/>
      </c>
      <c r="AD52" s="114"/>
      <c r="AE52" s="115"/>
      <c r="AF52" s="116"/>
      <c r="AG52" s="117"/>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68"/>
      <c r="B53" s="389"/>
      <c r="C53" s="389"/>
      <c r="D53" s="389"/>
      <c r="E53" s="392"/>
      <c r="F53" s="389"/>
      <c r="G53" s="395"/>
      <c r="H53" s="398"/>
      <c r="I53" s="382"/>
      <c r="J53" s="416"/>
      <c r="K53" s="382">
        <f>IF(NOT(ISERROR(MATCH(J53,_xlfn.ANCHORARRAY(E64),0))),I66&amp;"Por favor no seleccionar los criterios de impacto",J53)</f>
        <v>0</v>
      </c>
      <c r="L53" s="398"/>
      <c r="M53" s="382"/>
      <c r="N53" s="385"/>
      <c r="O53" s="106">
        <v>4</v>
      </c>
      <c r="P53" s="171"/>
      <c r="Q53" s="107" t="str">
        <f t="shared" ref="Q53:Q55" si="37">IF(OR(R53="Preventivo",R53="Detectivo"),"Probabilidad",IF(R53="Correctivo","Impacto",""))</f>
        <v/>
      </c>
      <c r="R53" s="108"/>
      <c r="S53" s="108"/>
      <c r="T53" s="109" t="str">
        <f t="shared" si="34"/>
        <v/>
      </c>
      <c r="U53" s="108"/>
      <c r="V53" s="108"/>
      <c r="W53" s="108"/>
      <c r="X53" s="110" t="str">
        <f t="shared" ref="X53:X55" si="38">IFERROR(IF(AND(Q52="Probabilidad",Q53="Probabilidad"),(Z52-(+Z52*T53)),IF(AND(Q52="Impacto",Q53="Probabilidad"),(Z51-(+Z51*T53)),IF(Q53="Impacto",Z52,""))),"")</f>
        <v/>
      </c>
      <c r="Y53" s="111" t="str">
        <f t="shared" si="1"/>
        <v/>
      </c>
      <c r="Z53" s="112" t="str">
        <f t="shared" si="35"/>
        <v/>
      </c>
      <c r="AA53" s="111" t="str">
        <f t="shared" si="3"/>
        <v/>
      </c>
      <c r="AB53" s="112" t="str">
        <f t="shared" ref="AB53:AB55" si="39">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7"/>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68"/>
      <c r="B54" s="389"/>
      <c r="C54" s="389"/>
      <c r="D54" s="389"/>
      <c r="E54" s="392"/>
      <c r="F54" s="389"/>
      <c r="G54" s="395"/>
      <c r="H54" s="398"/>
      <c r="I54" s="382"/>
      <c r="J54" s="416"/>
      <c r="K54" s="382">
        <f>IF(NOT(ISERROR(MATCH(J54,_xlfn.ANCHORARRAY(E65),0))),I67&amp;"Por favor no seleccionar los criterios de impacto",J54)</f>
        <v>0</v>
      </c>
      <c r="L54" s="398"/>
      <c r="M54" s="382"/>
      <c r="N54" s="385"/>
      <c r="O54" s="106">
        <v>5</v>
      </c>
      <c r="P54" s="171"/>
      <c r="Q54" s="107" t="str">
        <f t="shared" si="37"/>
        <v/>
      </c>
      <c r="R54" s="108"/>
      <c r="S54" s="108"/>
      <c r="T54" s="109" t="str">
        <f t="shared" si="34"/>
        <v/>
      </c>
      <c r="U54" s="108"/>
      <c r="V54" s="108"/>
      <c r="W54" s="108"/>
      <c r="X54" s="110" t="str">
        <f t="shared" si="38"/>
        <v/>
      </c>
      <c r="Y54" s="111" t="str">
        <f t="shared" si="1"/>
        <v/>
      </c>
      <c r="Z54" s="112" t="str">
        <f t="shared" si="35"/>
        <v/>
      </c>
      <c r="AA54" s="111" t="str">
        <f t="shared" si="3"/>
        <v/>
      </c>
      <c r="AB54" s="112" t="str">
        <f t="shared" si="39"/>
        <v/>
      </c>
      <c r="AC54" s="113" t="str">
        <f t="shared" ref="AC54:AC55" si="40">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7"/>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87"/>
      <c r="B55" s="390"/>
      <c r="C55" s="390"/>
      <c r="D55" s="390"/>
      <c r="E55" s="393"/>
      <c r="F55" s="390"/>
      <c r="G55" s="396"/>
      <c r="H55" s="399"/>
      <c r="I55" s="383"/>
      <c r="J55" s="417"/>
      <c r="K55" s="383">
        <f>IF(NOT(ISERROR(MATCH(J55,_xlfn.ANCHORARRAY(E66),0))),I68&amp;"Por favor no seleccionar los criterios de impacto",J55)</f>
        <v>0</v>
      </c>
      <c r="L55" s="399"/>
      <c r="M55" s="383"/>
      <c r="N55" s="386"/>
      <c r="O55" s="106">
        <v>6</v>
      </c>
      <c r="P55" s="171"/>
      <c r="Q55" s="107" t="str">
        <f t="shared" si="37"/>
        <v/>
      </c>
      <c r="R55" s="108"/>
      <c r="S55" s="108"/>
      <c r="T55" s="109" t="str">
        <f t="shared" si="34"/>
        <v/>
      </c>
      <c r="U55" s="108"/>
      <c r="V55" s="108"/>
      <c r="W55" s="108"/>
      <c r="X55" s="110" t="str">
        <f t="shared" si="38"/>
        <v/>
      </c>
      <c r="Y55" s="111" t="str">
        <f t="shared" si="1"/>
        <v/>
      </c>
      <c r="Z55" s="112" t="str">
        <f t="shared" si="35"/>
        <v/>
      </c>
      <c r="AA55" s="111" t="str">
        <f t="shared" si="3"/>
        <v/>
      </c>
      <c r="AB55" s="112" t="str">
        <f t="shared" si="39"/>
        <v/>
      </c>
      <c r="AC55" s="113" t="str">
        <f t="shared" si="40"/>
        <v/>
      </c>
      <c r="AD55" s="114"/>
      <c r="AE55" s="115"/>
      <c r="AF55" s="116"/>
      <c r="AG55" s="117"/>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67">
        <v>8</v>
      </c>
      <c r="B56" s="388"/>
      <c r="C56" s="388"/>
      <c r="D56" s="388"/>
      <c r="E56" s="391"/>
      <c r="F56" s="388"/>
      <c r="G56" s="394"/>
      <c r="H56" s="397" t="str">
        <f>IF(G56&lt;=0,"",IF(G56&lt;=2,"Muy Baja",IF(G56&lt;=24,"Baja",IF(G56&lt;=500,"Media",IF(G56&lt;=5000,"Alta","Muy Alta")))))</f>
        <v/>
      </c>
      <c r="I56" s="381" t="str">
        <f>IF(H56="","",IF(H56="Muy Baja",0.2,IF(H56="Baja",0.4,IF(H56="Media",0.6,IF(H56="Alta",0.8,IF(H56="Muy Alta",1,))))))</f>
        <v/>
      </c>
      <c r="J56" s="415"/>
      <c r="K56" s="381">
        <f>IF(NOT(ISERROR(MATCH(J56,'Tabla Impacto'!$B$221:$B$223,0))),'Tabla Impacto'!$F$223&amp;"Por favor no seleccionar los criterios de impacto(Afectación Económica o presupuestal y Pérdida Reputacional)",J56)</f>
        <v>0</v>
      </c>
      <c r="L56" s="397" t="str">
        <f>IF(OR(K56='Tabla Impacto'!$C$11,K56='Tabla Impacto'!$D$11),"Leve",IF(OR(K56='Tabla Impacto'!$C$12,K56='Tabla Impacto'!$D$12),"Menor",IF(OR(K56='Tabla Impacto'!$C$13,K56='Tabla Impacto'!$D$13),"Moderado",IF(OR(K56='Tabla Impacto'!$C$14,K56='Tabla Impacto'!$D$14),"Mayor",IF(OR(K56='Tabla Impacto'!$C$15,K56='Tabla Impacto'!$D$15),"Catastrófico","")))))</f>
        <v/>
      </c>
      <c r="M56" s="381" t="str">
        <f>IF(L56="","",IF(L56="Leve",0.2,IF(L56="Menor",0.4,IF(L56="Moderado",0.6,IF(L56="Mayor",0.8,IF(L56="Catastrófico",1,))))))</f>
        <v/>
      </c>
      <c r="N56" s="384"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71"/>
      <c r="Q56" s="156"/>
      <c r="R56" s="162"/>
      <c r="S56" s="162"/>
      <c r="T56" s="163" t="str">
        <f>IF(AND(R56="Preventivo",S56="Automático"),"50%",IF(AND(R56="Preventivo",S56="Manual"),"40%",IF(AND(R56="Detectivo",S56="Automático"),"40%",IF(AND(R56="Detectivo",S56="Manual"),"30%",IF(AND(R56="Correctivo",S56="Automático"),"35%",IF(AND(R56="Correctivo",S56="Manual"),"25%",""))))))</f>
        <v/>
      </c>
      <c r="U56" s="162"/>
      <c r="V56" s="162"/>
      <c r="W56" s="162"/>
      <c r="X56" s="153" t="str">
        <f>IFERROR(IF(Q56="Probabilidad",(I56-(+I56*T56)),IF(Q56="Impacto",I56,"")),"")</f>
        <v/>
      </c>
      <c r="Y56" s="164" t="str">
        <f>IFERROR(IF(X56="","",IF(X56&lt;=0.2,"Muy Baja",IF(X56&lt;=0.4,"Baja",IF(X56&lt;=0.6,"Media",IF(X56&lt;=0.8,"Alta","Muy Alta"))))),"")</f>
        <v/>
      </c>
      <c r="Z56" s="165" t="str">
        <f>+X56</f>
        <v/>
      </c>
      <c r="AA56" s="164" t="str">
        <f>IFERROR(IF(AB56="","",IF(AB56&lt;=0.2,"Leve",IF(AB56&lt;=0.4,"Menor",IF(AB56&lt;=0.6,"Moderado",IF(AB56&lt;=0.8,"Mayor","Catastrófico"))))),"")</f>
        <v/>
      </c>
      <c r="AB56" s="165" t="str">
        <f>IFERROR(IF(Q56="Impacto",(M56-(+M56*T56)),IF(Q56="Probabilidad",M56,"")),"")</f>
        <v/>
      </c>
      <c r="AC56" s="166"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7"/>
      <c r="AE56" s="115"/>
      <c r="AF56" s="115"/>
      <c r="AG56" s="117"/>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68"/>
      <c r="B57" s="389"/>
      <c r="C57" s="389"/>
      <c r="D57" s="389"/>
      <c r="E57" s="392"/>
      <c r="F57" s="389"/>
      <c r="G57" s="395"/>
      <c r="H57" s="398"/>
      <c r="I57" s="382"/>
      <c r="J57" s="416"/>
      <c r="K57" s="382">
        <f>IF(NOT(ISERROR(MATCH(J57,_xlfn.ANCHORARRAY(E68),0))),I70&amp;"Por favor no seleccionar los criterios de impacto",J57)</f>
        <v>0</v>
      </c>
      <c r="L57" s="398"/>
      <c r="M57" s="382"/>
      <c r="N57" s="385"/>
      <c r="O57" s="106">
        <v>2</v>
      </c>
      <c r="P57" s="171"/>
      <c r="Q57" s="107" t="str">
        <f>IF(OR(R57="Preventivo",R57="Detectivo"),"Probabilidad",IF(R57="Correctivo","Impacto",""))</f>
        <v/>
      </c>
      <c r="R57" s="108"/>
      <c r="S57" s="108"/>
      <c r="T57" s="109" t="str">
        <f t="shared" ref="T57:T61" si="41">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42">+X57</f>
        <v/>
      </c>
      <c r="AA57" s="111" t="str">
        <f t="shared" si="3"/>
        <v/>
      </c>
      <c r="AB57" s="112" t="str">
        <f>IFERROR(IF(AND(Q56="Impacto",Q57="Impacto"),(AB56-(+AB56*T57)),IF(Q57="Impacto",(M56-(+M56*T57)),IF(Q57="Probabilidad",AB56,""))),"")</f>
        <v/>
      </c>
      <c r="AC57" s="113" t="str">
        <f t="shared" ref="AC57:AC58" si="43">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68"/>
      <c r="B58" s="389"/>
      <c r="C58" s="389"/>
      <c r="D58" s="389"/>
      <c r="E58" s="392"/>
      <c r="F58" s="389"/>
      <c r="G58" s="395"/>
      <c r="H58" s="398"/>
      <c r="I58" s="382"/>
      <c r="J58" s="416"/>
      <c r="K58" s="382">
        <f>IF(NOT(ISERROR(MATCH(J58,_xlfn.ANCHORARRAY(E69),0))),I71&amp;"Por favor no seleccionar los criterios de impacto",J58)</f>
        <v>0</v>
      </c>
      <c r="L58" s="398"/>
      <c r="M58" s="382"/>
      <c r="N58" s="385"/>
      <c r="O58" s="106">
        <v>3</v>
      </c>
      <c r="P58" s="172"/>
      <c r="Q58" s="107" t="str">
        <f>IF(OR(R58="Preventivo",R58="Detectivo"),"Probabilidad",IF(R58="Correctivo","Impacto",""))</f>
        <v/>
      </c>
      <c r="R58" s="108"/>
      <c r="S58" s="108"/>
      <c r="T58" s="109" t="str">
        <f t="shared" si="41"/>
        <v/>
      </c>
      <c r="U58" s="108"/>
      <c r="V58" s="108"/>
      <c r="W58" s="108"/>
      <c r="X58" s="110" t="str">
        <f>IFERROR(IF(AND(Q57="Probabilidad",Q58="Probabilidad"),(Z57-(+Z57*T58)),IF(AND(Q57="Impacto",Q58="Probabilidad"),(Z56-(+Z56*T58)),IF(Q58="Impacto",Z57,""))),"")</f>
        <v/>
      </c>
      <c r="Y58" s="111" t="str">
        <f t="shared" si="1"/>
        <v/>
      </c>
      <c r="Z58" s="112" t="str">
        <f t="shared" si="42"/>
        <v/>
      </c>
      <c r="AA58" s="111" t="str">
        <f t="shared" si="3"/>
        <v/>
      </c>
      <c r="AB58" s="112" t="str">
        <f>IFERROR(IF(AND(Q57="Impacto",Q58="Impacto"),(AB57-(+AB57*T58)),IF(AND(Q57="Probabilidad",Q58="Impacto"),(AB56-(+AB56*T58)),IF(Q58="Probabilidad",AB57,""))),"")</f>
        <v/>
      </c>
      <c r="AC58" s="113" t="str">
        <f t="shared" si="43"/>
        <v/>
      </c>
      <c r="AD58" s="114"/>
      <c r="AE58" s="115"/>
      <c r="AF58" s="116"/>
      <c r="AG58" s="117"/>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68"/>
      <c r="B59" s="389"/>
      <c r="C59" s="389"/>
      <c r="D59" s="389"/>
      <c r="E59" s="392"/>
      <c r="F59" s="389"/>
      <c r="G59" s="395"/>
      <c r="H59" s="398"/>
      <c r="I59" s="382"/>
      <c r="J59" s="416"/>
      <c r="K59" s="382">
        <f>IF(NOT(ISERROR(MATCH(J59,_xlfn.ANCHORARRAY(E70),0))),I72&amp;"Por favor no seleccionar los criterios de impacto",J59)</f>
        <v>0</v>
      </c>
      <c r="L59" s="398"/>
      <c r="M59" s="382"/>
      <c r="N59" s="385"/>
      <c r="O59" s="106">
        <v>4</v>
      </c>
      <c r="P59" s="171"/>
      <c r="Q59" s="107" t="str">
        <f t="shared" ref="Q59:Q61" si="44">IF(OR(R59="Preventivo",R59="Detectivo"),"Probabilidad",IF(R59="Correctivo","Impacto",""))</f>
        <v/>
      </c>
      <c r="R59" s="108"/>
      <c r="S59" s="108"/>
      <c r="T59" s="109" t="str">
        <f t="shared" si="41"/>
        <v/>
      </c>
      <c r="U59" s="108"/>
      <c r="V59" s="108"/>
      <c r="W59" s="108"/>
      <c r="X59" s="110" t="str">
        <f t="shared" ref="X59:X61" si="45">IFERROR(IF(AND(Q58="Probabilidad",Q59="Probabilidad"),(Z58-(+Z58*T59)),IF(AND(Q58="Impacto",Q59="Probabilidad"),(Z57-(+Z57*T59)),IF(Q59="Impacto",Z58,""))),"")</f>
        <v/>
      </c>
      <c r="Y59" s="111" t="str">
        <f t="shared" si="1"/>
        <v/>
      </c>
      <c r="Z59" s="112" t="str">
        <f t="shared" si="42"/>
        <v/>
      </c>
      <c r="AA59" s="111" t="str">
        <f t="shared" si="3"/>
        <v/>
      </c>
      <c r="AB59" s="112" t="str">
        <f t="shared" ref="AB59:AB61" si="46">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7"/>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68"/>
      <c r="B60" s="389"/>
      <c r="C60" s="389"/>
      <c r="D60" s="389"/>
      <c r="E60" s="392"/>
      <c r="F60" s="389"/>
      <c r="G60" s="395"/>
      <c r="H60" s="398"/>
      <c r="I60" s="382"/>
      <c r="J60" s="416"/>
      <c r="K60" s="382">
        <f>IF(NOT(ISERROR(MATCH(J60,_xlfn.ANCHORARRAY(E71),0))),I73&amp;"Por favor no seleccionar los criterios de impacto",J60)</f>
        <v>0</v>
      </c>
      <c r="L60" s="398"/>
      <c r="M60" s="382"/>
      <c r="N60" s="385"/>
      <c r="O60" s="106">
        <v>5</v>
      </c>
      <c r="P60" s="171"/>
      <c r="Q60" s="107" t="str">
        <f t="shared" si="44"/>
        <v/>
      </c>
      <c r="R60" s="108"/>
      <c r="S60" s="108"/>
      <c r="T60" s="109" t="str">
        <f t="shared" si="41"/>
        <v/>
      </c>
      <c r="U60" s="108"/>
      <c r="V60" s="108"/>
      <c r="W60" s="108"/>
      <c r="X60" s="110" t="str">
        <f t="shared" si="45"/>
        <v/>
      </c>
      <c r="Y60" s="111" t="str">
        <f t="shared" si="1"/>
        <v/>
      </c>
      <c r="Z60" s="112" t="str">
        <f t="shared" si="42"/>
        <v/>
      </c>
      <c r="AA60" s="111" t="str">
        <f t="shared" si="3"/>
        <v/>
      </c>
      <c r="AB60" s="112" t="str">
        <f t="shared" si="46"/>
        <v/>
      </c>
      <c r="AC60" s="113" t="str">
        <f t="shared" ref="AC60:AC61" si="47">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7"/>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87"/>
      <c r="B61" s="390"/>
      <c r="C61" s="390"/>
      <c r="D61" s="390"/>
      <c r="E61" s="393"/>
      <c r="F61" s="390"/>
      <c r="G61" s="396"/>
      <c r="H61" s="399"/>
      <c r="I61" s="383"/>
      <c r="J61" s="417"/>
      <c r="K61" s="383">
        <f>IF(NOT(ISERROR(MATCH(J61,_xlfn.ANCHORARRAY(E72),0))),I74&amp;"Por favor no seleccionar los criterios de impacto",J61)</f>
        <v>0</v>
      </c>
      <c r="L61" s="399"/>
      <c r="M61" s="383"/>
      <c r="N61" s="386"/>
      <c r="O61" s="106">
        <v>6</v>
      </c>
      <c r="P61" s="171"/>
      <c r="Q61" s="107" t="str">
        <f t="shared" si="44"/>
        <v/>
      </c>
      <c r="R61" s="108"/>
      <c r="S61" s="108"/>
      <c r="T61" s="109" t="str">
        <f t="shared" si="41"/>
        <v/>
      </c>
      <c r="U61" s="108"/>
      <c r="V61" s="108"/>
      <c r="W61" s="108"/>
      <c r="X61" s="110" t="str">
        <f t="shared" si="45"/>
        <v/>
      </c>
      <c r="Y61" s="111" t="str">
        <f t="shared" si="1"/>
        <v/>
      </c>
      <c r="Z61" s="112" t="str">
        <f t="shared" si="42"/>
        <v/>
      </c>
      <c r="AA61" s="111" t="str">
        <f t="shared" si="3"/>
        <v/>
      </c>
      <c r="AB61" s="112" t="str">
        <f t="shared" si="46"/>
        <v/>
      </c>
      <c r="AC61" s="113" t="str">
        <f t="shared" si="47"/>
        <v/>
      </c>
      <c r="AD61" s="114"/>
      <c r="AE61" s="115"/>
      <c r="AF61" s="116"/>
      <c r="AG61" s="117"/>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67">
        <v>9</v>
      </c>
      <c r="B62" s="388"/>
      <c r="C62" s="388"/>
      <c r="D62" s="388"/>
      <c r="E62" s="391"/>
      <c r="F62" s="388"/>
      <c r="G62" s="394"/>
      <c r="H62" s="397" t="str">
        <f>IF(G62&lt;=0,"",IF(G62&lt;=2,"Muy Baja",IF(G62&lt;=24,"Baja",IF(G62&lt;=500,"Media",IF(G62&lt;=5000,"Alta","Muy Alta")))))</f>
        <v/>
      </c>
      <c r="I62" s="381" t="str">
        <f>IF(H62="","",IF(H62="Muy Baja",0.2,IF(H62="Baja",0.4,IF(H62="Media",0.6,IF(H62="Alta",0.8,IF(H62="Muy Alta",1,))))))</f>
        <v/>
      </c>
      <c r="J62" s="415"/>
      <c r="K62" s="381">
        <f>IF(NOT(ISERROR(MATCH(J62,'Tabla Impacto'!$B$221:$B$223,0))),'Tabla Impacto'!$F$223&amp;"Por favor no seleccionar los criterios de impacto(Afectación Económica o presupuestal y Pérdida Reputacional)",J62)</f>
        <v>0</v>
      </c>
      <c r="L62" s="397" t="str">
        <f>IF(OR(K62='Tabla Impacto'!$C$11,K62='Tabla Impacto'!$D$11),"Leve",IF(OR(K62='Tabla Impacto'!$C$12,K62='Tabla Impacto'!$D$12),"Menor",IF(OR(K62='Tabla Impacto'!$C$13,K62='Tabla Impacto'!$D$13),"Moderado",IF(OR(K62='Tabla Impacto'!$C$14,K62='Tabla Impacto'!$D$14),"Mayor",IF(OR(K62='Tabla Impacto'!$C$15,K62='Tabla Impacto'!$D$15),"Catastrófico","")))))</f>
        <v/>
      </c>
      <c r="M62" s="381" t="str">
        <f>IF(L62="","",IF(L62="Leve",0.2,IF(L62="Menor",0.4,IF(L62="Moderado",0.6,IF(L62="Mayor",0.8,IF(L62="Catastrófico",1,))))))</f>
        <v/>
      </c>
      <c r="N62" s="384"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71"/>
      <c r="Q62" s="156"/>
      <c r="R62" s="162"/>
      <c r="S62" s="162"/>
      <c r="T62" s="163" t="str">
        <f>IF(AND(R62="Preventivo",S62="Automático"),"50%",IF(AND(R62="Preventivo",S62="Manual"),"40%",IF(AND(R62="Detectivo",S62="Automático"),"40%",IF(AND(R62="Detectivo",S62="Manual"),"30%",IF(AND(R62="Correctivo",S62="Automático"),"35%",IF(AND(R62="Correctivo",S62="Manual"),"25%",""))))))</f>
        <v/>
      </c>
      <c r="U62" s="162"/>
      <c r="V62" s="162"/>
      <c r="W62" s="162"/>
      <c r="X62" s="153" t="str">
        <f>IFERROR(IF(Q62="Probabilidad",(I62-(+I62*T62)),IF(Q62="Impacto",I62,"")),"")</f>
        <v/>
      </c>
      <c r="Y62" s="164" t="str">
        <f>IFERROR(IF(X62="","",IF(X62&lt;=0.2,"Muy Baja",IF(X62&lt;=0.4,"Baja",IF(X62&lt;=0.6,"Media",IF(X62&lt;=0.8,"Alta","Muy Alta"))))),"")</f>
        <v/>
      </c>
      <c r="Z62" s="165" t="str">
        <f>+X62</f>
        <v/>
      </c>
      <c r="AA62" s="164" t="str">
        <f>IFERROR(IF(AB62="","",IF(AB62&lt;=0.2,"Leve",IF(AB62&lt;=0.4,"Menor",IF(AB62&lt;=0.6,"Moderado",IF(AB62&lt;=0.8,"Mayor","Catastrófico"))))),"")</f>
        <v/>
      </c>
      <c r="AB62" s="165" t="str">
        <f>IFERROR(IF(Q62="Impacto",(M62-(+M62*T62)),IF(Q62="Probabilidad",M62,"")),"")</f>
        <v/>
      </c>
      <c r="AC62" s="166"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67"/>
      <c r="AE62" s="115"/>
      <c r="AF62" s="115"/>
      <c r="AG62" s="117"/>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68"/>
      <c r="B63" s="389"/>
      <c r="C63" s="389"/>
      <c r="D63" s="389"/>
      <c r="E63" s="392"/>
      <c r="F63" s="389"/>
      <c r="G63" s="395"/>
      <c r="H63" s="398"/>
      <c r="I63" s="382"/>
      <c r="J63" s="416"/>
      <c r="K63" s="382">
        <f>IF(NOT(ISERROR(MATCH(J63,_xlfn.ANCHORARRAY(E74),0))),I76&amp;"Por favor no seleccionar los criterios de impacto",J63)</f>
        <v>0</v>
      </c>
      <c r="L63" s="398"/>
      <c r="M63" s="382"/>
      <c r="N63" s="385"/>
      <c r="O63" s="106">
        <v>2</v>
      </c>
      <c r="P63" s="171"/>
      <c r="Q63" s="107" t="str">
        <f>IF(OR(R63="Preventivo",R63="Detectivo"),"Probabilidad",IF(R63="Correctivo","Impacto",""))</f>
        <v/>
      </c>
      <c r="R63" s="108"/>
      <c r="S63" s="108"/>
      <c r="T63" s="109" t="str">
        <f t="shared" ref="T63:T67" si="48">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49">+X63</f>
        <v/>
      </c>
      <c r="AA63" s="111" t="str">
        <f t="shared" si="3"/>
        <v/>
      </c>
      <c r="AB63" s="112" t="str">
        <f>IFERROR(IF(AND(Q62="Impacto",Q63="Impacto"),(AB62-(+AB62*T63)),IF(Q63="Impacto",(M62-(+M62*T63)),IF(Q63="Probabilidad",AB62,""))),"")</f>
        <v/>
      </c>
      <c r="AC63" s="113" t="str">
        <f t="shared" ref="AC63:AC64" si="50">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68"/>
      <c r="B64" s="389"/>
      <c r="C64" s="389"/>
      <c r="D64" s="389"/>
      <c r="E64" s="392"/>
      <c r="F64" s="389"/>
      <c r="G64" s="395"/>
      <c r="H64" s="398"/>
      <c r="I64" s="382"/>
      <c r="J64" s="416"/>
      <c r="K64" s="382">
        <f>IF(NOT(ISERROR(MATCH(J64,_xlfn.ANCHORARRAY(E75),0))),I77&amp;"Por favor no seleccionar los criterios de impacto",J64)</f>
        <v>0</v>
      </c>
      <c r="L64" s="398"/>
      <c r="M64" s="382"/>
      <c r="N64" s="385"/>
      <c r="O64" s="106">
        <v>3</v>
      </c>
      <c r="P64" s="172"/>
      <c r="Q64" s="107" t="str">
        <f>IF(OR(R64="Preventivo",R64="Detectivo"),"Probabilidad",IF(R64="Correctivo","Impacto",""))</f>
        <v/>
      </c>
      <c r="R64" s="108"/>
      <c r="S64" s="108"/>
      <c r="T64" s="109" t="str">
        <f t="shared" si="48"/>
        <v/>
      </c>
      <c r="U64" s="108"/>
      <c r="V64" s="108"/>
      <c r="W64" s="108"/>
      <c r="X64" s="110" t="str">
        <f>IFERROR(IF(AND(Q63="Probabilidad",Q64="Probabilidad"),(Z63-(+Z63*T64)),IF(AND(Q63="Impacto",Q64="Probabilidad"),(Z62-(+Z62*T64)),IF(Q64="Impacto",Z63,""))),"")</f>
        <v/>
      </c>
      <c r="Y64" s="111" t="str">
        <f t="shared" si="1"/>
        <v/>
      </c>
      <c r="Z64" s="112" t="str">
        <f t="shared" si="49"/>
        <v/>
      </c>
      <c r="AA64" s="111" t="str">
        <f t="shared" si="3"/>
        <v/>
      </c>
      <c r="AB64" s="112" t="str">
        <f>IFERROR(IF(AND(Q63="Impacto",Q64="Impacto"),(AB63-(+AB63*T64)),IF(AND(Q63="Probabilidad",Q64="Impacto"),(AB62-(+AB62*T64)),IF(Q64="Probabilidad",AB63,""))),"")</f>
        <v/>
      </c>
      <c r="AC64" s="113" t="str">
        <f t="shared" si="50"/>
        <v/>
      </c>
      <c r="AD64" s="114"/>
      <c r="AE64" s="115"/>
      <c r="AF64" s="116"/>
      <c r="AG64" s="117"/>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68"/>
      <c r="B65" s="389"/>
      <c r="C65" s="389"/>
      <c r="D65" s="389"/>
      <c r="E65" s="392"/>
      <c r="F65" s="389"/>
      <c r="G65" s="395"/>
      <c r="H65" s="398"/>
      <c r="I65" s="382"/>
      <c r="J65" s="416"/>
      <c r="K65" s="382">
        <f>IF(NOT(ISERROR(MATCH(J65,_xlfn.ANCHORARRAY(E76),0))),#REF!&amp;"Por favor no seleccionar los criterios de impacto",J65)</f>
        <v>0</v>
      </c>
      <c r="L65" s="398"/>
      <c r="M65" s="382"/>
      <c r="N65" s="385"/>
      <c r="O65" s="106">
        <v>4</v>
      </c>
      <c r="P65" s="171"/>
      <c r="Q65" s="107" t="str">
        <f t="shared" ref="Q65:Q67" si="51">IF(OR(R65="Preventivo",R65="Detectivo"),"Probabilidad",IF(R65="Correctivo","Impacto",""))</f>
        <v/>
      </c>
      <c r="R65" s="108"/>
      <c r="S65" s="108"/>
      <c r="T65" s="109" t="str">
        <f t="shared" si="48"/>
        <v/>
      </c>
      <c r="U65" s="108"/>
      <c r="V65" s="108"/>
      <c r="W65" s="108"/>
      <c r="X65" s="110" t="str">
        <f t="shared" ref="X65:X66" si="52">IFERROR(IF(AND(Q64="Probabilidad",Q65="Probabilidad"),(Z64-(+Z64*T65)),IF(AND(Q64="Impacto",Q65="Probabilidad"),(Z63-(+Z63*T65)),IF(Q65="Impacto",Z64,""))),"")</f>
        <v/>
      </c>
      <c r="Y65" s="111" t="str">
        <f t="shared" si="1"/>
        <v/>
      </c>
      <c r="Z65" s="112" t="str">
        <f t="shared" si="49"/>
        <v/>
      </c>
      <c r="AA65" s="111" t="str">
        <f t="shared" si="3"/>
        <v/>
      </c>
      <c r="AB65" s="112" t="str">
        <f t="shared" ref="AB65:AB66" si="53">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7"/>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68"/>
      <c r="B66" s="389"/>
      <c r="C66" s="389"/>
      <c r="D66" s="389"/>
      <c r="E66" s="392"/>
      <c r="F66" s="389"/>
      <c r="G66" s="395"/>
      <c r="H66" s="398"/>
      <c r="I66" s="382"/>
      <c r="J66" s="416"/>
      <c r="K66" s="382">
        <f>IF(NOT(ISERROR(MATCH(J66,_xlfn.ANCHORARRAY(E77),0))),#REF!&amp;"Por favor no seleccionar los criterios de impacto",J66)</f>
        <v>0</v>
      </c>
      <c r="L66" s="398"/>
      <c r="M66" s="382"/>
      <c r="N66" s="385"/>
      <c r="O66" s="106">
        <v>5</v>
      </c>
      <c r="P66" s="171"/>
      <c r="Q66" s="107" t="str">
        <f t="shared" si="51"/>
        <v/>
      </c>
      <c r="R66" s="108"/>
      <c r="S66" s="108"/>
      <c r="T66" s="109" t="str">
        <f t="shared" si="48"/>
        <v/>
      </c>
      <c r="U66" s="108"/>
      <c r="V66" s="108"/>
      <c r="W66" s="108"/>
      <c r="X66" s="110" t="str">
        <f t="shared" si="52"/>
        <v/>
      </c>
      <c r="Y66" s="111" t="str">
        <f t="shared" si="1"/>
        <v/>
      </c>
      <c r="Z66" s="112" t="str">
        <f t="shared" si="49"/>
        <v/>
      </c>
      <c r="AA66" s="111" t="str">
        <f t="shared" si="3"/>
        <v/>
      </c>
      <c r="AB66" s="112" t="str">
        <f t="shared" si="53"/>
        <v/>
      </c>
      <c r="AC66" s="113" t="str">
        <f t="shared" ref="AC66:AC67" si="54">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7"/>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87"/>
      <c r="B67" s="390"/>
      <c r="C67" s="390"/>
      <c r="D67" s="390"/>
      <c r="E67" s="393"/>
      <c r="F67" s="390"/>
      <c r="G67" s="396"/>
      <c r="H67" s="399"/>
      <c r="I67" s="383"/>
      <c r="J67" s="417"/>
      <c r="K67" s="383">
        <f>IF(NOT(ISERROR(MATCH(J67,_xlfn.ANCHORARRAY(#REF!),0))),I78&amp;"Por favor no seleccionar los criterios de impacto",J67)</f>
        <v>0</v>
      </c>
      <c r="L67" s="399"/>
      <c r="M67" s="383"/>
      <c r="N67" s="386"/>
      <c r="O67" s="106">
        <v>6</v>
      </c>
      <c r="P67" s="171"/>
      <c r="Q67" s="107" t="str">
        <f t="shared" si="51"/>
        <v/>
      </c>
      <c r="R67" s="108"/>
      <c r="S67" s="108"/>
      <c r="T67" s="109" t="str">
        <f t="shared" si="48"/>
        <v/>
      </c>
      <c r="U67" s="108"/>
      <c r="V67" s="108"/>
      <c r="W67" s="108"/>
      <c r="X67" s="110" t="str">
        <f>IFERROR(IF(AND(Q66="Probabilidad",Q67="Probabilidad"),(Z66-(+Z66*T67)),IF(AND(Q66="Impacto",Q67="Probabilidad"),(Z65-(+Z65*T67)),IF(Q67="Impacto",Z66,""))),"")</f>
        <v/>
      </c>
      <c r="Y67" s="111" t="str">
        <f t="shared" si="1"/>
        <v/>
      </c>
      <c r="Z67" s="112" t="str">
        <f t="shared" si="49"/>
        <v/>
      </c>
      <c r="AA67" s="111" t="str">
        <f t="shared" si="3"/>
        <v/>
      </c>
      <c r="AB67" s="112" t="str">
        <f>IFERROR(IF(AND(Q66="Impacto",Q67="Impacto"),(AB66-(+AB66*T67)),IF(AND(Q66="Probabilidad",Q67="Impacto"),(AB65-(+AB65*T67)),IF(Q67="Probabilidad",AB66,""))),"")</f>
        <v/>
      </c>
      <c r="AC67" s="113" t="str">
        <f t="shared" si="54"/>
        <v/>
      </c>
      <c r="AD67" s="114"/>
      <c r="AE67" s="115"/>
      <c r="AF67" s="116"/>
      <c r="AG67" s="117"/>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67">
        <v>10</v>
      </c>
      <c r="B68" s="388"/>
      <c r="C68" s="388"/>
      <c r="D68" s="388"/>
      <c r="E68" s="391"/>
      <c r="F68" s="388"/>
      <c r="G68" s="394"/>
      <c r="H68" s="397" t="str">
        <f>IF(G68&lt;=0,"",IF(G68&lt;=2,"Muy Baja",IF(G68&lt;=24,"Baja",IF(G68&lt;=500,"Media",IF(G68&lt;=5000,"Alta","Muy Alta")))))</f>
        <v/>
      </c>
      <c r="I68" s="381" t="str">
        <f>IF(H68="","",IF(H68="Muy Baja",0.2,IF(H68="Baja",0.4,IF(H68="Media",0.6,IF(H68="Alta",0.8,IF(H68="Muy Alta",1,))))))</f>
        <v/>
      </c>
      <c r="J68" s="415"/>
      <c r="K68" s="381">
        <f>IF(NOT(ISERROR(MATCH(J68,'Tabla Impacto'!$B$221:$B$223,0))),'Tabla Impacto'!$F$223&amp;"Por favor no seleccionar los criterios de impacto(Afectación Económica o presupuestal y Pérdida Reputacional)",J68)</f>
        <v>0</v>
      </c>
      <c r="L68" s="397" t="str">
        <f>IF(OR(K68='Tabla Impacto'!$C$11,K68='Tabla Impacto'!$D$11),"Leve",IF(OR(K68='Tabla Impacto'!$C$12,K68='Tabla Impacto'!$D$12),"Menor",IF(OR(K68='Tabla Impacto'!$C$13,K68='Tabla Impacto'!$D$13),"Moderado",IF(OR(K68='Tabla Impacto'!$C$14,K68='Tabla Impacto'!$D$14),"Mayor",IF(OR(K68='Tabla Impacto'!$C$15,K68='Tabla Impacto'!$D$15),"Catastrófico","")))))</f>
        <v/>
      </c>
      <c r="M68" s="381" t="str">
        <f>IF(L68="","",IF(L68="Leve",0.2,IF(L68="Menor",0.4,IF(L68="Moderado",0.6,IF(L68="Mayor",0.8,IF(L68="Catastrófico",1,))))))</f>
        <v/>
      </c>
      <c r="N68" s="384"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71"/>
      <c r="Q68" s="156"/>
      <c r="R68" s="162"/>
      <c r="S68" s="162"/>
      <c r="T68" s="163" t="str">
        <f>IF(AND(R68="Preventivo",S68="Automático"),"50%",IF(AND(R68="Preventivo",S68="Manual"),"40%",IF(AND(R68="Detectivo",S68="Automático"),"40%",IF(AND(R68="Detectivo",S68="Manual"),"30%",IF(AND(R68="Correctivo",S68="Automático"),"35%",IF(AND(R68="Correctivo",S68="Manual"),"25%",""))))))</f>
        <v/>
      </c>
      <c r="U68" s="162"/>
      <c r="V68" s="162"/>
      <c r="W68" s="162"/>
      <c r="X68" s="153" t="str">
        <f>IFERROR(IF(Q68="Probabilidad",(I68-(+I68*T68)),IF(Q68="Impacto",I68,"")),"")</f>
        <v/>
      </c>
      <c r="Y68" s="164" t="str">
        <f>IFERROR(IF(X68="","",IF(X68&lt;=0.2,"Muy Baja",IF(X68&lt;=0.4,"Baja",IF(X68&lt;=0.6,"Media",IF(X68&lt;=0.8,"Alta","Muy Alta"))))),"")</f>
        <v/>
      </c>
      <c r="Z68" s="165" t="str">
        <f>+X68</f>
        <v/>
      </c>
      <c r="AA68" s="164" t="str">
        <f>IFERROR(IF(AB68="","",IF(AB68&lt;=0.2,"Leve",IF(AB68&lt;=0.4,"Menor",IF(AB68&lt;=0.6,"Moderado",IF(AB68&lt;=0.8,"Mayor","Catastrófico"))))),"")</f>
        <v/>
      </c>
      <c r="AB68" s="165" t="str">
        <f>IFERROR(IF(Q68="Impacto",(M68-(+M68*T68)),IF(Q68="Probabilidad",M68,"")),"")</f>
        <v/>
      </c>
      <c r="AC68" s="166"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67"/>
      <c r="AE68" s="115"/>
      <c r="AF68" s="116"/>
      <c r="AG68" s="117"/>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68"/>
      <c r="B69" s="389"/>
      <c r="C69" s="389"/>
      <c r="D69" s="389"/>
      <c r="E69" s="392"/>
      <c r="F69" s="389"/>
      <c r="G69" s="395"/>
      <c r="H69" s="398"/>
      <c r="I69" s="382"/>
      <c r="J69" s="416"/>
      <c r="K69" s="382">
        <f>IF(NOT(ISERROR(MATCH(J69,_xlfn.ANCHORARRAY(E78),0))),I80&amp;"Por favor no seleccionar los criterios de impacto",J69)</f>
        <v>0</v>
      </c>
      <c r="L69" s="398"/>
      <c r="M69" s="382"/>
      <c r="N69" s="385"/>
      <c r="O69" s="106">
        <v>2</v>
      </c>
      <c r="P69" s="171"/>
      <c r="Q69" s="107" t="str">
        <f>IF(OR(R69="Preventivo",R69="Detectivo"),"Probabilidad",IF(R69="Correctivo","Impacto",""))</f>
        <v/>
      </c>
      <c r="R69" s="108"/>
      <c r="S69" s="108"/>
      <c r="T69" s="109" t="str">
        <f t="shared" ref="T69:T73" si="55">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56">+X69</f>
        <v/>
      </c>
      <c r="AA69" s="111" t="str">
        <f t="shared" si="3"/>
        <v/>
      </c>
      <c r="AB69" s="112" t="str">
        <f>IFERROR(IF(AND(Q68="Impacto",Q69="Impacto"),(AB68-(+AB68*T69)),IF(Q69="Impacto",(M68-(+M68*T69)),IF(Q69="Probabilidad",AB68,""))),"")</f>
        <v/>
      </c>
      <c r="AC69" s="113" t="str">
        <f t="shared" ref="AC69:AC70" si="57">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row>
    <row r="70" spans="1:67" ht="18" hidden="1" customHeight="1" x14ac:dyDescent="0.3">
      <c r="A70" s="368"/>
      <c r="B70" s="389"/>
      <c r="C70" s="389"/>
      <c r="D70" s="389"/>
      <c r="E70" s="392"/>
      <c r="F70" s="389"/>
      <c r="G70" s="395"/>
      <c r="H70" s="398"/>
      <c r="I70" s="382"/>
      <c r="J70" s="416"/>
      <c r="K70" s="382">
        <f>IF(NOT(ISERROR(MATCH(J70,_xlfn.ANCHORARRAY(E79),0))),I81&amp;"Por favor no seleccionar los criterios de impacto",J70)</f>
        <v>0</v>
      </c>
      <c r="L70" s="398"/>
      <c r="M70" s="382"/>
      <c r="N70" s="385"/>
      <c r="O70" s="106">
        <v>3</v>
      </c>
      <c r="P70" s="172"/>
      <c r="Q70" s="107" t="str">
        <f>IF(OR(R70="Preventivo",R70="Detectivo"),"Probabilidad",IF(R70="Correctivo","Impacto",""))</f>
        <v/>
      </c>
      <c r="R70" s="108"/>
      <c r="S70" s="108"/>
      <c r="T70" s="109" t="str">
        <f t="shared" si="55"/>
        <v/>
      </c>
      <c r="U70" s="108"/>
      <c r="V70" s="108"/>
      <c r="W70" s="108"/>
      <c r="X70" s="110" t="str">
        <f>IFERROR(IF(AND(Q69="Probabilidad",Q70="Probabilidad"),(Z69-(+Z69*T70)),IF(AND(Q69="Impacto",Q70="Probabilidad"),(Z68-(+Z68*T70)),IF(Q70="Impacto",Z69,""))),"")</f>
        <v/>
      </c>
      <c r="Y70" s="111" t="str">
        <f t="shared" si="1"/>
        <v/>
      </c>
      <c r="Z70" s="112" t="str">
        <f t="shared" si="56"/>
        <v/>
      </c>
      <c r="AA70" s="111" t="str">
        <f t="shared" si="3"/>
        <v/>
      </c>
      <c r="AB70" s="112" t="str">
        <f>IFERROR(IF(AND(Q69="Impacto",Q70="Impacto"),(AB69-(+AB69*T70)),IF(AND(Q69="Probabilidad",Q70="Impacto"),(AB68-(+AB68*T70)),IF(Q70="Probabilidad",AB69,""))),"")</f>
        <v/>
      </c>
      <c r="AC70" s="113" t="str">
        <f t="shared" si="57"/>
        <v/>
      </c>
      <c r="AD70" s="114"/>
      <c r="AE70" s="115"/>
      <c r="AF70" s="116"/>
      <c r="AG70" s="117"/>
      <c r="AH70" s="117"/>
      <c r="AI70" s="117"/>
    </row>
    <row r="71" spans="1:67" ht="18" hidden="1" customHeight="1" x14ac:dyDescent="0.3">
      <c r="A71" s="368"/>
      <c r="B71" s="389"/>
      <c r="C71" s="389"/>
      <c r="D71" s="389"/>
      <c r="E71" s="392"/>
      <c r="F71" s="389"/>
      <c r="G71" s="395"/>
      <c r="H71" s="398"/>
      <c r="I71" s="382"/>
      <c r="J71" s="416"/>
      <c r="K71" s="382">
        <f>IF(NOT(ISERROR(MATCH(J71,_xlfn.ANCHORARRAY(E80),0))),I82&amp;"Por favor no seleccionar los criterios de impacto",J71)</f>
        <v>0</v>
      </c>
      <c r="L71" s="398"/>
      <c r="M71" s="382"/>
      <c r="N71" s="385"/>
      <c r="O71" s="106">
        <v>4</v>
      </c>
      <c r="P71" s="171"/>
      <c r="Q71" s="107" t="str">
        <f t="shared" ref="Q71:Q73" si="58">IF(OR(R71="Preventivo",R71="Detectivo"),"Probabilidad",IF(R71="Correctivo","Impacto",""))</f>
        <v/>
      </c>
      <c r="R71" s="108"/>
      <c r="S71" s="108"/>
      <c r="T71" s="109" t="str">
        <f t="shared" si="55"/>
        <v/>
      </c>
      <c r="U71" s="108"/>
      <c r="V71" s="108"/>
      <c r="W71" s="108"/>
      <c r="X71" s="110" t="str">
        <f t="shared" ref="X71:X72" si="59">IFERROR(IF(AND(Q70="Probabilidad",Q71="Probabilidad"),(Z70-(+Z70*T71)),IF(AND(Q70="Impacto",Q71="Probabilidad"),(Z69-(+Z69*T71)),IF(Q71="Impacto",Z70,""))),"")</f>
        <v/>
      </c>
      <c r="Y71" s="111" t="str">
        <f t="shared" si="1"/>
        <v/>
      </c>
      <c r="Z71" s="112" t="str">
        <f t="shared" si="56"/>
        <v/>
      </c>
      <c r="AA71" s="111" t="str">
        <f t="shared" si="3"/>
        <v/>
      </c>
      <c r="AB71" s="112" t="str">
        <f t="shared" ref="AB71:AB72" si="60">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7"/>
      <c r="AH71" s="117"/>
      <c r="AI71" s="117"/>
    </row>
    <row r="72" spans="1:67" ht="18" hidden="1" customHeight="1" x14ac:dyDescent="0.3">
      <c r="A72" s="368"/>
      <c r="B72" s="389"/>
      <c r="C72" s="389"/>
      <c r="D72" s="389"/>
      <c r="E72" s="392"/>
      <c r="F72" s="389"/>
      <c r="G72" s="395"/>
      <c r="H72" s="398"/>
      <c r="I72" s="382"/>
      <c r="J72" s="416"/>
      <c r="K72" s="382">
        <f>IF(NOT(ISERROR(MATCH(J72,_xlfn.ANCHORARRAY(E81),0))),I83&amp;"Por favor no seleccionar los criterios de impacto",J72)</f>
        <v>0</v>
      </c>
      <c r="L72" s="398"/>
      <c r="M72" s="382"/>
      <c r="N72" s="385"/>
      <c r="O72" s="106">
        <v>5</v>
      </c>
      <c r="P72" s="171"/>
      <c r="Q72" s="107" t="str">
        <f t="shared" si="58"/>
        <v/>
      </c>
      <c r="R72" s="108"/>
      <c r="S72" s="108"/>
      <c r="T72" s="109" t="str">
        <f t="shared" si="55"/>
        <v/>
      </c>
      <c r="U72" s="108"/>
      <c r="V72" s="108"/>
      <c r="W72" s="108"/>
      <c r="X72" s="110" t="str">
        <f t="shared" si="59"/>
        <v/>
      </c>
      <c r="Y72" s="111" t="str">
        <f t="shared" si="1"/>
        <v/>
      </c>
      <c r="Z72" s="112" t="str">
        <f t="shared" si="56"/>
        <v/>
      </c>
      <c r="AA72" s="111" t="str">
        <f t="shared" si="3"/>
        <v/>
      </c>
      <c r="AB72" s="112" t="str">
        <f t="shared" si="60"/>
        <v/>
      </c>
      <c r="AC72" s="113" t="str">
        <f t="shared" ref="AC72:AC73" si="61">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7"/>
      <c r="AH72" s="117"/>
      <c r="AI72" s="117"/>
    </row>
    <row r="73" spans="1:67" ht="18" hidden="1" customHeight="1" x14ac:dyDescent="0.3">
      <c r="A73" s="387"/>
      <c r="B73" s="390"/>
      <c r="C73" s="390"/>
      <c r="D73" s="390"/>
      <c r="E73" s="393"/>
      <c r="F73" s="390"/>
      <c r="G73" s="396"/>
      <c r="H73" s="399"/>
      <c r="I73" s="383"/>
      <c r="J73" s="417"/>
      <c r="K73" s="383">
        <f>IF(NOT(ISERROR(MATCH(J73,_xlfn.ANCHORARRAY(E82),0))),I84&amp;"Por favor no seleccionar los criterios de impacto",J73)</f>
        <v>0</v>
      </c>
      <c r="L73" s="399"/>
      <c r="M73" s="383"/>
      <c r="N73" s="386"/>
      <c r="O73" s="106">
        <v>6</v>
      </c>
      <c r="P73" s="171"/>
      <c r="Q73" s="107" t="str">
        <f t="shared" si="58"/>
        <v/>
      </c>
      <c r="R73" s="108"/>
      <c r="S73" s="108"/>
      <c r="T73" s="109" t="str">
        <f t="shared" si="55"/>
        <v/>
      </c>
      <c r="U73" s="108"/>
      <c r="V73" s="108"/>
      <c r="W73" s="108"/>
      <c r="X73" s="110" t="str">
        <f>IFERROR(IF(AND(Q72="Probabilidad",Q73="Probabilidad"),(Z72-(+Z72*T73)),IF(AND(Q72="Impacto",Q73="Probabilidad"),(Z71-(+Z71*T73)),IF(Q73="Impacto",Z72,""))),"")</f>
        <v/>
      </c>
      <c r="Y73" s="111" t="str">
        <f t="shared" si="1"/>
        <v/>
      </c>
      <c r="Z73" s="112" t="str">
        <f t="shared" si="56"/>
        <v/>
      </c>
      <c r="AA73" s="111" t="str">
        <f t="shared" si="3"/>
        <v/>
      </c>
      <c r="AB73" s="112" t="str">
        <f>IFERROR(IF(AND(Q72="Impacto",Q73="Impacto"),(AB72-(+AB72*T73)),IF(AND(Q72="Probabilidad",Q73="Impacto"),(AB71-(+AB71*T73)),IF(Q73="Probabilidad",AB72,""))),"")</f>
        <v/>
      </c>
      <c r="AC73" s="113" t="str">
        <f t="shared" si="61"/>
        <v/>
      </c>
      <c r="AD73" s="114"/>
      <c r="AE73" s="115"/>
      <c r="AF73" s="116"/>
      <c r="AG73" s="117"/>
      <c r="AH73" s="117"/>
      <c r="AI73" s="117"/>
    </row>
    <row r="74" spans="1:67" ht="34.5" customHeight="1" x14ac:dyDescent="0.3">
      <c r="A74" s="6"/>
      <c r="B74" s="453" t="s">
        <v>197</v>
      </c>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row>
    <row r="76" spans="1:67" x14ac:dyDescent="0.3">
      <c r="A76" s="1"/>
      <c r="B76" s="24" t="s">
        <v>198</v>
      </c>
      <c r="C76" s="1"/>
      <c r="D76" s="1"/>
      <c r="F76" s="1"/>
    </row>
  </sheetData>
  <dataConsolidate/>
  <mergeCells count="204">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H10:H11"/>
    <mergeCell ref="I10:I11"/>
    <mergeCell ref="L10:L11"/>
    <mergeCell ref="M10:M11"/>
    <mergeCell ref="B10:B11"/>
    <mergeCell ref="N10:N11"/>
    <mergeCell ref="J10:J11"/>
    <mergeCell ref="K10:K11"/>
    <mergeCell ref="Q10:Q11"/>
    <mergeCell ref="AE10:AE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A18:A25"/>
    <mergeCell ref="B18:B25"/>
    <mergeCell ref="C18:C25"/>
    <mergeCell ref="D18:D25"/>
    <mergeCell ref="E18:E25"/>
    <mergeCell ref="A26:A31"/>
    <mergeCell ref="B26:B31"/>
    <mergeCell ref="C26:C31"/>
    <mergeCell ref="D26:D31"/>
    <mergeCell ref="E26:E31"/>
    <mergeCell ref="D32:D37"/>
    <mergeCell ref="E32:E37"/>
    <mergeCell ref="F32:F37"/>
    <mergeCell ref="G32:G37"/>
    <mergeCell ref="H32:H37"/>
    <mergeCell ref="I32:I37"/>
    <mergeCell ref="L26:L31"/>
    <mergeCell ref="F18:F25"/>
    <mergeCell ref="G18:G25"/>
    <mergeCell ref="H18:H25"/>
    <mergeCell ref="I18:I25"/>
    <mergeCell ref="J18:J25"/>
    <mergeCell ref="F26:F31"/>
    <mergeCell ref="G26:G31"/>
    <mergeCell ref="H26:H31"/>
    <mergeCell ref="I26:I31"/>
    <mergeCell ref="M38:M43"/>
    <mergeCell ref="N38:N43"/>
    <mergeCell ref="M44:M49"/>
    <mergeCell ref="N44:N49"/>
    <mergeCell ref="J50:J55"/>
    <mergeCell ref="K50:K55"/>
    <mergeCell ref="L50:L55"/>
    <mergeCell ref="J44:J49"/>
    <mergeCell ref="K44:K49"/>
    <mergeCell ref="L44:L49"/>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D56:D61"/>
    <mergeCell ref="I44:I49"/>
    <mergeCell ref="K38:K43"/>
    <mergeCell ref="L38:L43"/>
    <mergeCell ref="A56:A61"/>
    <mergeCell ref="E56:E61"/>
    <mergeCell ref="A50:A55"/>
    <mergeCell ref="B50:B55"/>
    <mergeCell ref="C50:C55"/>
    <mergeCell ref="D50:D55"/>
    <mergeCell ref="E50:E55"/>
    <mergeCell ref="G38:G43"/>
    <mergeCell ref="H38:H43"/>
    <mergeCell ref="A38:A43"/>
    <mergeCell ref="B38:B43"/>
    <mergeCell ref="C38:C43"/>
    <mergeCell ref="A44:A49"/>
    <mergeCell ref="B44:B49"/>
    <mergeCell ref="C44:C49"/>
    <mergeCell ref="D44:D49"/>
    <mergeCell ref="E44:E49"/>
    <mergeCell ref="F44:F49"/>
    <mergeCell ref="D38:D43"/>
    <mergeCell ref="E38:E43"/>
    <mergeCell ref="F38:F43"/>
    <mergeCell ref="AH10:AH11"/>
    <mergeCell ref="O6:Q6"/>
    <mergeCell ref="O9:W9"/>
    <mergeCell ref="X9:AD9"/>
    <mergeCell ref="AE9:AI9"/>
    <mergeCell ref="M26:M31"/>
    <mergeCell ref="N26:N31"/>
    <mergeCell ref="J32:J37"/>
    <mergeCell ref="K32:K37"/>
    <mergeCell ref="L32:L37"/>
    <mergeCell ref="M32:M37"/>
    <mergeCell ref="N32:N37"/>
    <mergeCell ref="K18:K25"/>
    <mergeCell ref="L18:L25"/>
    <mergeCell ref="M18:M25"/>
    <mergeCell ref="N18:N25"/>
    <mergeCell ref="J26:J31"/>
    <mergeCell ref="K26:K31"/>
    <mergeCell ref="C6:N6"/>
    <mergeCell ref="A9:G9"/>
    <mergeCell ref="H9:N9"/>
    <mergeCell ref="A32:A37"/>
    <mergeCell ref="B32:B37"/>
    <mergeCell ref="C32:C37"/>
    <mergeCell ref="A1:D4"/>
    <mergeCell ref="E1:AG4"/>
    <mergeCell ref="AH1:AI1"/>
    <mergeCell ref="AH2:AI2"/>
    <mergeCell ref="AH3:AI3"/>
    <mergeCell ref="AH4:AI4"/>
    <mergeCell ref="A62:A67"/>
    <mergeCell ref="B62:B67"/>
    <mergeCell ref="C62:C67"/>
    <mergeCell ref="D62:D67"/>
    <mergeCell ref="E62:E67"/>
    <mergeCell ref="F62:F67"/>
    <mergeCell ref="G62:G67"/>
    <mergeCell ref="H62:H67"/>
    <mergeCell ref="I62:I67"/>
    <mergeCell ref="J68:J73"/>
    <mergeCell ref="K68:K73"/>
    <mergeCell ref="L68:L73"/>
    <mergeCell ref="X18:X20"/>
    <mergeCell ref="Y18:Y20"/>
    <mergeCell ref="Z18:Z20"/>
    <mergeCell ref="AA18:AA20"/>
    <mergeCell ref="AB18:AB20"/>
    <mergeCell ref="AC18:AC20"/>
    <mergeCell ref="M68:M73"/>
    <mergeCell ref="N68:N73"/>
    <mergeCell ref="I68:I73"/>
    <mergeCell ref="A68:A73"/>
    <mergeCell ref="B68:B73"/>
    <mergeCell ref="C68:C73"/>
    <mergeCell ref="D68:D73"/>
    <mergeCell ref="E68:E73"/>
    <mergeCell ref="F68:F73"/>
    <mergeCell ref="G68:G73"/>
    <mergeCell ref="H68:H73"/>
    <mergeCell ref="I38:I43"/>
    <mergeCell ref="J38:J43"/>
    <mergeCell ref="G44:G49"/>
    <mergeCell ref="H44:H49"/>
    <mergeCell ref="P18:P20"/>
    <mergeCell ref="O18:O20"/>
    <mergeCell ref="Q18:Q20"/>
    <mergeCell ref="R18:R20"/>
    <mergeCell ref="S18:S20"/>
    <mergeCell ref="T18:T20"/>
    <mergeCell ref="U18:U20"/>
    <mergeCell ref="V18:V20"/>
    <mergeCell ref="W18:W20"/>
  </mergeCells>
  <conditionalFormatting sqref="H12 H18:H20 H26">
    <cfRule type="cellIs" dxfId="191" priority="680" operator="equal">
      <formula>"Muy Alta"</formula>
    </cfRule>
    <cfRule type="cellIs" dxfId="190" priority="681" operator="equal">
      <formula>"Alta"</formula>
    </cfRule>
    <cfRule type="cellIs" dxfId="189" priority="682" operator="equal">
      <formula>"Media"</formula>
    </cfRule>
    <cfRule type="cellIs" dxfId="188" priority="683" operator="equal">
      <formula>"Baja"</formula>
    </cfRule>
    <cfRule type="cellIs" dxfId="187" priority="684" operator="equal">
      <formula>"Muy Baja"</formula>
    </cfRule>
  </conditionalFormatting>
  <conditionalFormatting sqref="H44">
    <cfRule type="cellIs" dxfId="186" priority="498" operator="equal">
      <formula>"Muy Alta"</formula>
    </cfRule>
    <cfRule type="cellIs" dxfId="185" priority="499" operator="equal">
      <formula>"Alta"</formula>
    </cfRule>
    <cfRule type="cellIs" dxfId="184" priority="500" operator="equal">
      <formula>"Media"</formula>
    </cfRule>
    <cfRule type="cellIs" dxfId="183" priority="501" operator="equal">
      <formula>"Baja"</formula>
    </cfRule>
    <cfRule type="cellIs" dxfId="182" priority="502" operator="equal">
      <formula>"Muy Baja"</formula>
    </cfRule>
  </conditionalFormatting>
  <conditionalFormatting sqref="H50">
    <cfRule type="cellIs" dxfId="181" priority="470" operator="equal">
      <formula>"Muy Alta"</formula>
    </cfRule>
    <cfRule type="cellIs" dxfId="180" priority="471" operator="equal">
      <formula>"Alta"</formula>
    </cfRule>
    <cfRule type="cellIs" dxfId="179" priority="472" operator="equal">
      <formula>"Media"</formula>
    </cfRule>
    <cfRule type="cellIs" dxfId="178" priority="473" operator="equal">
      <formula>"Baja"</formula>
    </cfRule>
    <cfRule type="cellIs" dxfId="177" priority="474" operator="equal">
      <formula>"Muy Baja"</formula>
    </cfRule>
  </conditionalFormatting>
  <conditionalFormatting sqref="H56">
    <cfRule type="cellIs" dxfId="176" priority="442" operator="equal">
      <formula>"Muy Alta"</formula>
    </cfRule>
    <cfRule type="cellIs" dxfId="175" priority="443" operator="equal">
      <formula>"Alta"</formula>
    </cfRule>
    <cfRule type="cellIs" dxfId="174" priority="444" operator="equal">
      <formula>"Media"</formula>
    </cfRule>
    <cfRule type="cellIs" dxfId="173" priority="445" operator="equal">
      <formula>"Baja"</formula>
    </cfRule>
    <cfRule type="cellIs" dxfId="172" priority="446" operator="equal">
      <formula>"Muy Baja"</formula>
    </cfRule>
  </conditionalFormatting>
  <conditionalFormatting sqref="H62">
    <cfRule type="cellIs" dxfId="171" priority="414" operator="equal">
      <formula>"Muy Alta"</formula>
    </cfRule>
    <cfRule type="cellIs" dxfId="170" priority="415" operator="equal">
      <formula>"Alta"</formula>
    </cfRule>
    <cfRule type="cellIs" dxfId="169" priority="416" operator="equal">
      <formula>"Media"</formula>
    </cfRule>
    <cfRule type="cellIs" dxfId="168" priority="417" operator="equal">
      <formula>"Baja"</formula>
    </cfRule>
    <cfRule type="cellIs" dxfId="167" priority="418" operator="equal">
      <formula>"Muy Baja"</formula>
    </cfRule>
  </conditionalFormatting>
  <conditionalFormatting sqref="H68">
    <cfRule type="cellIs" dxfId="166" priority="386" operator="equal">
      <formula>"Muy Alta"</formula>
    </cfRule>
    <cfRule type="cellIs" dxfId="165" priority="387" operator="equal">
      <formula>"Alta"</formula>
    </cfRule>
    <cfRule type="cellIs" dxfId="164" priority="388" operator="equal">
      <formula>"Media"</formula>
    </cfRule>
    <cfRule type="cellIs" dxfId="163" priority="389" operator="equal">
      <formula>"Baja"</formula>
    </cfRule>
    <cfRule type="cellIs" dxfId="162" priority="390" operator="equal">
      <formula>"Muy Baja"</formula>
    </cfRule>
  </conditionalFormatting>
  <conditionalFormatting sqref="K12:K31 K44:K73">
    <cfRule type="containsText" dxfId="161" priority="159" operator="containsText" text="❌">
      <formula>NOT(ISERROR(SEARCH("❌",K12)))</formula>
    </cfRule>
  </conditionalFormatting>
  <conditionalFormatting sqref="L12 L18:L20 L44 L50 L56 L62 L68 L26">
    <cfRule type="cellIs" dxfId="160" priority="675" operator="equal">
      <formula>"Catastrófico"</formula>
    </cfRule>
    <cfRule type="cellIs" dxfId="159" priority="676" operator="equal">
      <formula>"Mayor"</formula>
    </cfRule>
    <cfRule type="cellIs" dxfId="158" priority="677" operator="equal">
      <formula>"Moderado"</formula>
    </cfRule>
    <cfRule type="cellIs" dxfId="157" priority="678" operator="equal">
      <formula>"Menor"</formula>
    </cfRule>
    <cfRule type="cellIs" dxfId="156" priority="679" operator="equal">
      <formula>"Leve"</formula>
    </cfRule>
  </conditionalFormatting>
  <conditionalFormatting sqref="N12">
    <cfRule type="cellIs" dxfId="155" priority="671" operator="equal">
      <formula>"Extremo"</formula>
    </cfRule>
    <cfRule type="cellIs" dxfId="154" priority="672" operator="equal">
      <formula>"Alto"</formula>
    </cfRule>
    <cfRule type="cellIs" dxfId="153" priority="673" operator="equal">
      <formula>"Moderado"</formula>
    </cfRule>
    <cfRule type="cellIs" dxfId="152" priority="674" operator="equal">
      <formula>"Bajo"</formula>
    </cfRule>
  </conditionalFormatting>
  <conditionalFormatting sqref="N18:N20 N26">
    <cfRule type="cellIs" dxfId="151" priority="601" operator="equal">
      <formula>"Extremo"</formula>
    </cfRule>
    <cfRule type="cellIs" dxfId="150" priority="602" operator="equal">
      <formula>"Alto"</formula>
    </cfRule>
    <cfRule type="cellIs" dxfId="149" priority="603" operator="equal">
      <formula>"Moderado"</formula>
    </cfRule>
    <cfRule type="cellIs" dxfId="148" priority="604" operator="equal">
      <formula>"Bajo"</formula>
    </cfRule>
  </conditionalFormatting>
  <conditionalFormatting sqref="N44">
    <cfRule type="cellIs" dxfId="147" priority="489" operator="equal">
      <formula>"Extremo"</formula>
    </cfRule>
    <cfRule type="cellIs" dxfId="146" priority="490" operator="equal">
      <formula>"Alto"</formula>
    </cfRule>
    <cfRule type="cellIs" dxfId="145" priority="491" operator="equal">
      <formula>"Moderado"</formula>
    </cfRule>
    <cfRule type="cellIs" dxfId="144" priority="492" operator="equal">
      <formula>"Bajo"</formula>
    </cfRule>
  </conditionalFormatting>
  <conditionalFormatting sqref="N50">
    <cfRule type="cellIs" dxfId="143" priority="461" operator="equal">
      <formula>"Extremo"</formula>
    </cfRule>
    <cfRule type="cellIs" dxfId="142" priority="462" operator="equal">
      <formula>"Alto"</formula>
    </cfRule>
    <cfRule type="cellIs" dxfId="141" priority="463" operator="equal">
      <formula>"Moderado"</formula>
    </cfRule>
    <cfRule type="cellIs" dxfId="140" priority="464" operator="equal">
      <formula>"Bajo"</formula>
    </cfRule>
  </conditionalFormatting>
  <conditionalFormatting sqref="N56">
    <cfRule type="cellIs" dxfId="139" priority="433" operator="equal">
      <formula>"Extremo"</formula>
    </cfRule>
    <cfRule type="cellIs" dxfId="138" priority="434" operator="equal">
      <formula>"Alto"</formula>
    </cfRule>
    <cfRule type="cellIs" dxfId="137" priority="435" operator="equal">
      <formula>"Moderado"</formula>
    </cfRule>
    <cfRule type="cellIs" dxfId="136" priority="436" operator="equal">
      <formula>"Bajo"</formula>
    </cfRule>
  </conditionalFormatting>
  <conditionalFormatting sqref="N62">
    <cfRule type="cellIs" dxfId="135" priority="405" operator="equal">
      <formula>"Extremo"</formula>
    </cfRule>
    <cfRule type="cellIs" dxfId="134" priority="406" operator="equal">
      <formula>"Alto"</formula>
    </cfRule>
    <cfRule type="cellIs" dxfId="133" priority="407" operator="equal">
      <formula>"Moderado"</formula>
    </cfRule>
    <cfRule type="cellIs" dxfId="132" priority="408" operator="equal">
      <formula>"Bajo"</formula>
    </cfRule>
  </conditionalFormatting>
  <conditionalFormatting sqref="N68">
    <cfRule type="cellIs" dxfId="131" priority="377" operator="equal">
      <formula>"Extremo"</formula>
    </cfRule>
    <cfRule type="cellIs" dxfId="130" priority="378" operator="equal">
      <formula>"Alto"</formula>
    </cfRule>
    <cfRule type="cellIs" dxfId="129" priority="379" operator="equal">
      <formula>"Moderado"</formula>
    </cfRule>
    <cfRule type="cellIs" dxfId="128" priority="380" operator="equal">
      <formula>"Bajo"</formula>
    </cfRule>
  </conditionalFormatting>
  <conditionalFormatting sqref="Y44:Y73 Y12:Y18 Y23:Y26">
    <cfRule type="cellIs" dxfId="127" priority="169" operator="equal">
      <formula>"Muy Alta"</formula>
    </cfRule>
    <cfRule type="cellIs" dxfId="126" priority="170" operator="equal">
      <formula>"Alta"</formula>
    </cfRule>
    <cfRule type="cellIs" dxfId="125" priority="171" operator="equal">
      <formula>"Media"</formula>
    </cfRule>
    <cfRule type="cellIs" dxfId="124" priority="172" operator="equal">
      <formula>"Baja"</formula>
    </cfRule>
    <cfRule type="cellIs" dxfId="123" priority="173" operator="equal">
      <formula>"Muy Baja"</formula>
    </cfRule>
  </conditionalFormatting>
  <conditionalFormatting sqref="AA44:AA73 AA12:AA18 AA23:AA26">
    <cfRule type="cellIs" dxfId="122" priority="164" operator="equal">
      <formula>"Catastrófico"</formula>
    </cfRule>
    <cfRule type="cellIs" dxfId="121" priority="165" operator="equal">
      <formula>"Mayor"</formula>
    </cfRule>
    <cfRule type="cellIs" dxfId="120" priority="166" operator="equal">
      <formula>"Moderado"</formula>
    </cfRule>
    <cfRule type="cellIs" dxfId="119" priority="167" operator="equal">
      <formula>"Menor"</formula>
    </cfRule>
    <cfRule type="cellIs" dxfId="118" priority="168" operator="equal">
      <formula>"Leve"</formula>
    </cfRule>
  </conditionalFormatting>
  <conditionalFormatting sqref="AC44:AC73 AC12:AC18 AC23:AC26">
    <cfRule type="cellIs" dxfId="117" priority="160" operator="equal">
      <formula>"Extremo"</formula>
    </cfRule>
    <cfRule type="cellIs" dxfId="116" priority="161" operator="equal">
      <formula>"Alto"</formula>
    </cfRule>
    <cfRule type="cellIs" dxfId="115" priority="162" operator="equal">
      <formula>"Moderado"</formula>
    </cfRule>
    <cfRule type="cellIs" dxfId="114" priority="163" operator="equal">
      <formula>"Bajo"</formula>
    </cfRule>
  </conditionalFormatting>
  <conditionalFormatting sqref="Y27:Y31">
    <cfRule type="cellIs" dxfId="113" priority="111" operator="equal">
      <formula>"Muy Alta"</formula>
    </cfRule>
    <cfRule type="cellIs" dxfId="112" priority="112" operator="equal">
      <formula>"Alta"</formula>
    </cfRule>
    <cfRule type="cellIs" dxfId="111" priority="113" operator="equal">
      <formula>"Media"</formula>
    </cfRule>
    <cfRule type="cellIs" dxfId="110" priority="114" operator="equal">
      <formula>"Baja"</formula>
    </cfRule>
    <cfRule type="cellIs" dxfId="109" priority="115" operator="equal">
      <formula>"Muy Baja"</formula>
    </cfRule>
  </conditionalFormatting>
  <conditionalFormatting sqref="AA27:AA31">
    <cfRule type="cellIs" dxfId="108" priority="106" operator="equal">
      <formula>"Catastrófico"</formula>
    </cfRule>
    <cfRule type="cellIs" dxfId="107" priority="107" operator="equal">
      <formula>"Mayor"</formula>
    </cfRule>
    <cfRule type="cellIs" dxfId="106" priority="108" operator="equal">
      <formula>"Moderado"</formula>
    </cfRule>
    <cfRule type="cellIs" dxfId="105" priority="109" operator="equal">
      <formula>"Menor"</formula>
    </cfRule>
    <cfRule type="cellIs" dxfId="104" priority="110" operator="equal">
      <formula>"Leve"</formula>
    </cfRule>
  </conditionalFormatting>
  <conditionalFormatting sqref="AC27:AC31">
    <cfRule type="cellIs" dxfId="103" priority="102" operator="equal">
      <formula>"Extremo"</formula>
    </cfRule>
    <cfRule type="cellIs" dxfId="102" priority="103" operator="equal">
      <formula>"Alto"</formula>
    </cfRule>
    <cfRule type="cellIs" dxfId="101" priority="104" operator="equal">
      <formula>"Moderado"</formula>
    </cfRule>
    <cfRule type="cellIs" dxfId="100" priority="105" operator="equal">
      <formula>"Bajo"</formula>
    </cfRule>
  </conditionalFormatting>
  <conditionalFormatting sqref="Y33:Y37">
    <cfRule type="cellIs" dxfId="99" priority="96" operator="equal">
      <formula>"Muy Alta"</formula>
    </cfRule>
    <cfRule type="cellIs" dxfId="98" priority="97" operator="equal">
      <formula>"Alta"</formula>
    </cfRule>
    <cfRule type="cellIs" dxfId="97" priority="98" operator="equal">
      <formula>"Media"</formula>
    </cfRule>
    <cfRule type="cellIs" dxfId="96" priority="99" operator="equal">
      <formula>"Baja"</formula>
    </cfRule>
    <cfRule type="cellIs" dxfId="95" priority="100" operator="equal">
      <formula>"Muy Baja"</formula>
    </cfRule>
  </conditionalFormatting>
  <conditionalFormatting sqref="AA33:AA37">
    <cfRule type="cellIs" dxfId="94" priority="91" operator="equal">
      <formula>"Catastrófico"</formula>
    </cfRule>
    <cfRule type="cellIs" dxfId="93" priority="92" operator="equal">
      <formula>"Mayor"</formula>
    </cfRule>
    <cfRule type="cellIs" dxfId="92" priority="93" operator="equal">
      <formula>"Moderado"</formula>
    </cfRule>
    <cfRule type="cellIs" dxfId="91" priority="94" operator="equal">
      <formula>"Menor"</formula>
    </cfRule>
    <cfRule type="cellIs" dxfId="90" priority="95" operator="equal">
      <formula>"Leve"</formula>
    </cfRule>
  </conditionalFormatting>
  <conditionalFormatting sqref="AC33:AC37">
    <cfRule type="cellIs" dxfId="89" priority="87" operator="equal">
      <formula>"Extremo"</formula>
    </cfRule>
    <cfRule type="cellIs" dxfId="88" priority="88" operator="equal">
      <formula>"Alto"</formula>
    </cfRule>
    <cfRule type="cellIs" dxfId="87" priority="89" operator="equal">
      <formula>"Moderado"</formula>
    </cfRule>
    <cfRule type="cellIs" dxfId="86" priority="90" operator="equal">
      <formula>"Bajo"</formula>
    </cfRule>
  </conditionalFormatting>
  <conditionalFormatting sqref="H32">
    <cfRule type="cellIs" dxfId="85" priority="77" operator="equal">
      <formula>"Muy Alta"</formula>
    </cfRule>
    <cfRule type="cellIs" dxfId="84" priority="78" operator="equal">
      <formula>"Alta"</formula>
    </cfRule>
    <cfRule type="cellIs" dxfId="83" priority="79" operator="equal">
      <formula>"Media"</formula>
    </cfRule>
    <cfRule type="cellIs" dxfId="82" priority="80" operator="equal">
      <formula>"Baja"</formula>
    </cfRule>
    <cfRule type="cellIs" dxfId="81" priority="81" operator="equal">
      <formula>"Muy Baja"</formula>
    </cfRule>
  </conditionalFormatting>
  <conditionalFormatting sqref="K32:K37">
    <cfRule type="containsText" dxfId="80" priority="72" operator="containsText" text="❌">
      <formula>NOT(ISERROR(SEARCH("❌",K32)))</formula>
    </cfRule>
  </conditionalFormatting>
  <conditionalFormatting sqref="L32">
    <cfRule type="cellIs" dxfId="79" priority="82" operator="equal">
      <formula>"Catastrófico"</formula>
    </cfRule>
    <cfRule type="cellIs" dxfId="78" priority="83" operator="equal">
      <formula>"Mayor"</formula>
    </cfRule>
    <cfRule type="cellIs" dxfId="77" priority="84" operator="equal">
      <formula>"Moderado"</formula>
    </cfRule>
    <cfRule type="cellIs" dxfId="76" priority="85" operator="equal">
      <formula>"Menor"</formula>
    </cfRule>
    <cfRule type="cellIs" dxfId="75" priority="86" operator="equal">
      <formula>"Leve"</formula>
    </cfRule>
  </conditionalFormatting>
  <conditionalFormatting sqref="N32">
    <cfRule type="cellIs" dxfId="74" priority="73" operator="equal">
      <formula>"Extremo"</formula>
    </cfRule>
    <cfRule type="cellIs" dxfId="73" priority="74" operator="equal">
      <formula>"Alto"</formula>
    </cfRule>
    <cfRule type="cellIs" dxfId="72" priority="75" operator="equal">
      <formula>"Moderado"</formula>
    </cfRule>
    <cfRule type="cellIs" dxfId="71" priority="76" operator="equal">
      <formula>"Bajo"</formula>
    </cfRule>
  </conditionalFormatting>
  <conditionalFormatting sqref="Y32">
    <cfRule type="cellIs" dxfId="70" priority="67" operator="equal">
      <formula>"Muy Alta"</formula>
    </cfRule>
    <cfRule type="cellIs" dxfId="69" priority="68" operator="equal">
      <formula>"Alta"</formula>
    </cfRule>
    <cfRule type="cellIs" dxfId="68" priority="69" operator="equal">
      <formula>"Media"</formula>
    </cfRule>
    <cfRule type="cellIs" dxfId="67" priority="70" operator="equal">
      <formula>"Baja"</formula>
    </cfRule>
    <cfRule type="cellIs" dxfId="66" priority="71" operator="equal">
      <formula>"Muy Baja"</formula>
    </cfRule>
  </conditionalFormatting>
  <conditionalFormatting sqref="AA32">
    <cfRule type="cellIs" dxfId="65" priority="62" operator="equal">
      <formula>"Catastrófico"</formula>
    </cfRule>
    <cfRule type="cellIs" dxfId="64" priority="63" operator="equal">
      <formula>"Mayor"</formula>
    </cfRule>
    <cfRule type="cellIs" dxfId="63" priority="64" operator="equal">
      <formula>"Moderado"</formula>
    </cfRule>
    <cfRule type="cellIs" dxfId="62" priority="65" operator="equal">
      <formula>"Menor"</formula>
    </cfRule>
    <cfRule type="cellIs" dxfId="61" priority="66" operator="equal">
      <formula>"Leve"</formula>
    </cfRule>
  </conditionalFormatting>
  <conditionalFormatting sqref="AC32">
    <cfRule type="cellIs" dxfId="60" priority="58" operator="equal">
      <formula>"Extremo"</formula>
    </cfRule>
    <cfRule type="cellIs" dxfId="59" priority="59" operator="equal">
      <formula>"Alto"</formula>
    </cfRule>
    <cfRule type="cellIs" dxfId="58" priority="60" operator="equal">
      <formula>"Moderado"</formula>
    </cfRule>
    <cfRule type="cellIs" dxfId="57" priority="61" operator="equal">
      <formula>"Bajo"</formula>
    </cfRule>
  </conditionalFormatting>
  <conditionalFormatting sqref="Y39:Y43">
    <cfRule type="cellIs" dxfId="56" priority="53" operator="equal">
      <formula>"Muy Alta"</formula>
    </cfRule>
    <cfRule type="cellIs" dxfId="55" priority="54" operator="equal">
      <formula>"Alta"</formula>
    </cfRule>
    <cfRule type="cellIs" dxfId="54" priority="55" operator="equal">
      <formula>"Media"</formula>
    </cfRule>
    <cfRule type="cellIs" dxfId="53" priority="56" operator="equal">
      <formula>"Baja"</formula>
    </cfRule>
    <cfRule type="cellIs" dxfId="52" priority="57" operator="equal">
      <formula>"Muy Baja"</formula>
    </cfRule>
  </conditionalFormatting>
  <conditionalFormatting sqref="AA39:AA43">
    <cfRule type="cellIs" dxfId="51" priority="48" operator="equal">
      <formula>"Catastrófico"</formula>
    </cfRule>
    <cfRule type="cellIs" dxfId="50" priority="49" operator="equal">
      <formula>"Mayor"</formula>
    </cfRule>
    <cfRule type="cellIs" dxfId="49" priority="50" operator="equal">
      <formula>"Moderado"</formula>
    </cfRule>
    <cfRule type="cellIs" dxfId="48" priority="51" operator="equal">
      <formula>"Menor"</formula>
    </cfRule>
    <cfRule type="cellIs" dxfId="47" priority="52" operator="equal">
      <formula>"Leve"</formula>
    </cfRule>
  </conditionalFormatting>
  <conditionalFormatting sqref="AC39:AC43">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H38">
    <cfRule type="cellIs" dxfId="42" priority="34" operator="equal">
      <formula>"Muy Alta"</formula>
    </cfRule>
    <cfRule type="cellIs" dxfId="41" priority="35" operator="equal">
      <formula>"Alta"</formula>
    </cfRule>
    <cfRule type="cellIs" dxfId="40" priority="36" operator="equal">
      <formula>"Media"</formula>
    </cfRule>
    <cfRule type="cellIs" dxfId="39" priority="37" operator="equal">
      <formula>"Baja"</formula>
    </cfRule>
    <cfRule type="cellIs" dxfId="38" priority="38" operator="equal">
      <formula>"Muy Baja"</formula>
    </cfRule>
  </conditionalFormatting>
  <conditionalFormatting sqref="L38">
    <cfRule type="cellIs" dxfId="37" priority="39" operator="equal">
      <formula>"Catastrófico"</formula>
    </cfRule>
    <cfRule type="cellIs" dxfId="36" priority="40" operator="equal">
      <formula>"Mayor"</formula>
    </cfRule>
    <cfRule type="cellIs" dxfId="35" priority="41" operator="equal">
      <formula>"Moderado"</formula>
    </cfRule>
    <cfRule type="cellIs" dxfId="34" priority="42" operator="equal">
      <formula>"Menor"</formula>
    </cfRule>
    <cfRule type="cellIs" dxfId="33" priority="43" operator="equal">
      <formula>"Leve"</formula>
    </cfRule>
  </conditionalFormatting>
  <conditionalFormatting sqref="N38">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K38:K43">
    <cfRule type="containsText" dxfId="28" priority="29" operator="containsText" text="❌">
      <formula>NOT(ISERROR(SEARCH("❌",K38)))</formula>
    </cfRule>
  </conditionalFormatting>
  <conditionalFormatting sqref="Y38">
    <cfRule type="cellIs" dxfId="27" priority="24" operator="equal">
      <formula>"Muy Alta"</formula>
    </cfRule>
    <cfRule type="cellIs" dxfId="26" priority="25" operator="equal">
      <formula>"Alta"</formula>
    </cfRule>
    <cfRule type="cellIs" dxfId="25" priority="26" operator="equal">
      <formula>"Media"</formula>
    </cfRule>
    <cfRule type="cellIs" dxfId="24" priority="27" operator="equal">
      <formula>"Baja"</formula>
    </cfRule>
    <cfRule type="cellIs" dxfId="23" priority="28" operator="equal">
      <formula>"Muy Baja"</formula>
    </cfRule>
  </conditionalFormatting>
  <conditionalFormatting sqref="AA38">
    <cfRule type="cellIs" dxfId="22" priority="19" operator="equal">
      <formula>"Catastrófico"</formula>
    </cfRule>
    <cfRule type="cellIs" dxfId="21" priority="20" operator="equal">
      <formula>"Mayor"</formula>
    </cfRule>
    <cfRule type="cellIs" dxfId="20" priority="21" operator="equal">
      <formula>"Moderado"</formula>
    </cfRule>
    <cfRule type="cellIs" dxfId="19" priority="22" operator="equal">
      <formula>"Menor"</formula>
    </cfRule>
    <cfRule type="cellIs" dxfId="18" priority="23" operator="equal">
      <formula>"Leve"</formula>
    </cfRule>
  </conditionalFormatting>
  <conditionalFormatting sqref="AC38">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Y21:Y22">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A21:AA22">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C21:AC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200-000000000000}">
          <x14:formula1>
            <xm:f>'Tabla Valoración controles'!$D$4:$D$6</xm:f>
          </x14:formula1>
          <xm:sqref>R44:R73 R12:R18 R21:R26</xm:sqref>
        </x14:dataValidation>
        <x14:dataValidation type="list" allowBlank="1" showInputMessage="1" showErrorMessage="1" xr:uid="{00000000-0002-0000-0200-000001000000}">
          <x14:formula1>
            <xm:f>'Tabla Valoración controles'!$D$7:$D$8</xm:f>
          </x14:formula1>
          <xm:sqref>S44:S73 S12:S18 S21:S26</xm:sqref>
        </x14:dataValidation>
        <x14:dataValidation type="list" allowBlank="1" showInputMessage="1" showErrorMessage="1" xr:uid="{00000000-0002-0000-0200-000002000000}">
          <x14:formula1>
            <xm:f>'Tabla Valoración controles'!$D$9:$D$10</xm:f>
          </x14:formula1>
          <xm:sqref>U44:U73 U12:U18 U21:U26</xm:sqref>
        </x14:dataValidation>
        <x14:dataValidation type="list" allowBlank="1" showInputMessage="1" showErrorMessage="1" xr:uid="{00000000-0002-0000-0200-000003000000}">
          <x14:formula1>
            <xm:f>'Tabla Valoración controles'!$D$11:$D$12</xm:f>
          </x14:formula1>
          <xm:sqref>V44:V73 V12:V18 V21:V26</xm:sqref>
        </x14:dataValidation>
        <x14:dataValidation type="list" allowBlank="1" showInputMessage="1" showErrorMessage="1" xr:uid="{00000000-0002-0000-0200-000004000000}">
          <x14:formula1>
            <xm:f>'Tabla Valoración controles'!$D$13:$D$14</xm:f>
          </x14:formula1>
          <xm:sqref>W44:W73 W12:W18 W21:W26</xm:sqref>
        </x14:dataValidation>
        <x14:dataValidation type="list" allowBlank="1" showInputMessage="1" showErrorMessage="1" xr:uid="{00000000-0002-0000-0200-000005000000}">
          <x14:formula1>
            <xm:f>'Opciones Tratamiento'!$B$13:$B$19</xm:f>
          </x14:formula1>
          <xm:sqref>F12:F31 F44:F73</xm:sqref>
        </x14:dataValidation>
        <x14:dataValidation type="list" allowBlank="1" showInputMessage="1" showErrorMessage="1" xr:uid="{00000000-0002-0000-0200-000006000000}">
          <x14:formula1>
            <xm:f>'Opciones Tratamiento'!$E$2:$E$4</xm:f>
          </x14:formula1>
          <xm:sqref>B12:B31 B44:B73</xm:sqref>
        </x14:dataValidation>
        <x14:dataValidation type="list" allowBlank="1" showInputMessage="1" showErrorMessage="1" xr:uid="{00000000-0002-0000-0200-000007000000}">
          <x14:formula1>
            <xm:f>'Opciones Tratamiento'!$B$2:$B$5</xm:f>
          </x14:formula1>
          <xm:sqref>AD12:AD17 AD44:AD73 AD21:AD26</xm:sqref>
        </x14:dataValidation>
        <x14:dataValidation type="list" allowBlank="1" showInputMessage="1" showErrorMessage="1" xr:uid="{00000000-0002-0000-0200-000008000000}">
          <x14:formula1>
            <xm:f>'Tabla Impacto'!$F$210:$F$221</xm:f>
          </x14:formula1>
          <xm:sqref>J12:J31 J44:J73</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AE23:AE25 AE12:AE17 AE44:AE73</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AI23:AI25 AI13:AI17 AI44:AI73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AF12:AF17 AF23:AF25 AF44:AF73</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AG23:AH25 AI12 AG13:AH17 AG44:AH73</xm:sqref>
        </x14:dataValidation>
        <x14:dataValidation type="list" allowBlank="1" showInputMessage="1" showErrorMessage="1" xr:uid="{00000000-0002-0000-0200-00000D000000}">
          <x14:formula1>
            <xm:f>'C:\Users\USUARIO\Desktop\ALCALDIA BGA\1.2025\2.MARZO\MAPAS DE RIESGOS\2.DESARROLLO SOCIAL\[MRG 2024 - DESARROLLO SOCIAL ajustado 1 (nov 19 de 2024) (1).xlsx]Opciones Tratamiento'!#REF!</xm:f>
          </x14:formula1>
          <xm:sqref>AD18:AD20</xm:sqref>
        </x14:dataValidation>
        <x14:dataValidation type="list" allowBlank="1" showInputMessage="1" showErrorMessage="1" xr:uid="{00000000-0002-0000-0200-00000E000000}">
          <x14:formula1>
            <xm:f>'C:\Users\USUARIO\Desktop\ALCALDIA BGA\1.2025\2.MARZO\MAPAS DE RIESGOS\ULTIMOS INSUMOS\[F-DPM-10100-238,37-013 Matriz Mapa Riesgos de Gestión 2025 - PLANEACION Ok.xlsx]Tabla Valoración controles'!#REF!</xm:f>
          </x14:formula1>
          <xm:sqref>R32:S32 U32:W32 R38:S38 U38:W38</xm:sqref>
        </x14:dataValidation>
        <x14:dataValidation type="list" allowBlank="1" showInputMessage="1" showErrorMessage="1" xr:uid="{00000000-0002-0000-0200-00000F000000}">
          <x14:formula1>
            <xm:f>'C:\Users\USUARIO\Desktop\ALCALDIA BGA\1.2025\2.MARZO\MAPAS DE RIESGOS\ULTIMOS INSUMOS\[F-DPM-10100-238,37-013 Matriz Mapa Riesgos de Gestión 2025 - PLANEACION Ok.xlsx]Tabla Impacto'!#REF!</xm:f>
          </x14:formula1>
          <xm:sqref>J32:J38</xm:sqref>
        </x14:dataValidation>
        <x14:dataValidation type="list" allowBlank="1" showInputMessage="1" showErrorMessage="1" xr:uid="{00000000-0002-0000-0200-000010000000}">
          <x14:formula1>
            <xm:f>'C:\Users\USUARIO\Desktop\ALCALDIA BGA\1.2025\2.MARZO\MAPAS DE RIESGOS\ULTIMOS INSUMOS\[F-DPM-10100-238,37-013 Matriz Mapa Riesgos de Gestión 2025 - PLANEACION Ok.xlsx]Opciones Tratamiento'!#REF!</xm:f>
          </x14:formula1>
          <xm:sqref>B32:B38 F32:F38 AD32 AD38</xm:sqref>
        </x14:dataValidation>
        <x14:dataValidation type="custom" allowBlank="1" showInputMessage="1" showErrorMessage="1" error="Recuerde que las acciones se generan bajo la medida de mitigar el riesgo" xr:uid="{00000000-0002-0000-0200-000011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AI39:AI43</xm:sqref>
        </x14:dataValidation>
        <x14:dataValidation type="custom" allowBlank="1" showInputMessage="1" showErrorMessage="1" error="Recuerde que las acciones se generan bajo la medida de mitigar el riesgo" xr:uid="{00000000-0002-0000-0200-000012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AG39:AH43</xm:sqref>
        </x14:dataValidation>
        <x14:dataValidation type="custom" allowBlank="1" showInputMessage="1" showErrorMessage="1" error="Recuerde que las acciones se generan bajo la medida de mitigar el riesgo" xr:uid="{00000000-0002-0000-0200-000013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AF39:AF43</xm:sqref>
        </x14:dataValidation>
        <x14:dataValidation type="custom" allowBlank="1" showInputMessage="1" showErrorMessage="1" error="Recuerde que las acciones se generan bajo la medida de mitigar el riesgo" xr:uid="{00000000-0002-0000-0200-000014000000}">
          <x14:formula1>
            <xm:f>IF(OR(AD39='https://bucaramangagovco-my.sharepoint.com/personal/erruedal_bucaramanga_gov_co/Documents/1.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Tratamiento'!#REF!,AD39='https://bucaramangagovco-my.sharepoint.com/personal/erruedal_bucaramanga_gov_co/Documents/1. GRUPO DE DESARROLLO ECONÓMICO/MAPA DE RIESGOS DE GESTIÓN/2025/FORMULACION MRG 2025/FORMATOS VALIDADOS/[MRG-2025-VALORIZACION.xlsx]Opciones Tratamiento'!#REF!),ISBLANK(AD39),ISTEXT(AD39))</xm:f>
          </x14:formula1>
          <xm:sqref>AE39:AE43</xm:sqref>
        </x14:dataValidation>
        <x14:dataValidation type="list" allowBlank="1" showInputMessage="1" showErrorMessage="1" xr:uid="{00000000-0002-0000-0200-000015000000}">
          <x14:formula1>
            <xm:f>'https://bucaramangagovco-my.sharepoint.com/personal/erruedal_bucaramanga_gov_co/Documents/1. GRUPO DE DESARROLLO ECONÓMICO/MAPA DE RIESGOS DE GESTIÓN/2025/FORMULACION MRG 2025/FORMATOS VALIDADOS/[MRG-2025-VALORIZACION.xlsx]Opciones Tratamiento'!#REF!</xm:f>
          </x14:formula1>
          <xm:sqref>AD39:AD43</xm:sqref>
        </x14:dataValidation>
        <x14:dataValidation type="list" allowBlank="1" showInputMessage="1" showErrorMessage="1" xr:uid="{00000000-0002-0000-0200-000016000000}">
          <x14:formula1>
            <xm:f>'https://bucaramangagovco-my.sharepoint.com/personal/erruedal_bucaramanga_gov_co/Documents/1. GRUPO DE DESARROLLO ECONÓMICO/MAPA DE RIESGOS DE GESTIÓN/2025/FORMULACION MRG 2025/FORMATOS VALIDADOS/[MRG-2025-VALORIZACION.xlsx]Tabla Valoración controles'!#REF!</xm:f>
          </x14:formula1>
          <xm:sqref>R39:S43 U39:W43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73" t="s">
        <v>199</v>
      </c>
      <c r="C2" s="573"/>
      <c r="D2" s="573"/>
      <c r="E2" s="573"/>
      <c r="F2" s="573"/>
      <c r="G2" s="573"/>
      <c r="H2" s="573"/>
      <c r="I2" s="573"/>
      <c r="J2" s="541" t="s">
        <v>26</v>
      </c>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73"/>
      <c r="C3" s="573"/>
      <c r="D3" s="573"/>
      <c r="E3" s="573"/>
      <c r="F3" s="573"/>
      <c r="G3" s="573"/>
      <c r="H3" s="573"/>
      <c r="I3" s="573"/>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73"/>
      <c r="C4" s="573"/>
      <c r="D4" s="573"/>
      <c r="E4" s="573"/>
      <c r="F4" s="573"/>
      <c r="G4" s="573"/>
      <c r="H4" s="573"/>
      <c r="I4" s="573"/>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8" t="s">
        <v>200</v>
      </c>
      <c r="C6" s="488"/>
      <c r="D6" s="489"/>
      <c r="E6" s="526" t="s">
        <v>201</v>
      </c>
      <c r="F6" s="527"/>
      <c r="G6" s="527"/>
      <c r="H6" s="527"/>
      <c r="I6" s="528"/>
      <c r="J6" s="537" t="str">
        <f>IF(AND('Mapa de Riesgos'!$H$12="Muy Alta",'Mapa de Riesgos'!$L$12="Leve"),CONCATENATE("R",'Mapa de Riesgos'!$A$12),"")</f>
        <v/>
      </c>
      <c r="K6" s="538"/>
      <c r="L6" s="538" t="str">
        <f>IF(AND('Mapa de Riesgos'!$H$18="Muy Alta",'Mapa de Riesgos'!$L$18="Leve"),CONCATENATE("R",'Mapa de Riesgos'!$A$18),"")</f>
        <v/>
      </c>
      <c r="M6" s="538"/>
      <c r="N6" s="538" t="str">
        <f>IF(AND('Mapa de Riesgos'!$H$26="Muy Alta",'Mapa de Riesgos'!$L$26="Leve"),CONCATENATE("R",'Mapa de Riesgos'!$A$26),"")</f>
        <v/>
      </c>
      <c r="O6" s="540"/>
      <c r="P6" s="537" t="str">
        <f>IF(AND('Mapa de Riesgos'!$H$12="Muy Alta",'Mapa de Riesgos'!$L$12="Menor"),CONCATENATE("R",'Mapa de Riesgos'!$A$12),"")</f>
        <v/>
      </c>
      <c r="Q6" s="538"/>
      <c r="R6" s="538" t="str">
        <f>IF(AND('Mapa de Riesgos'!$H$18="Muy Alta",'Mapa de Riesgos'!$L$18="Menor"),CONCATENATE("R",'Mapa de Riesgos'!$A$18),"")</f>
        <v/>
      </c>
      <c r="S6" s="538"/>
      <c r="T6" s="538" t="str">
        <f>IF(AND('Mapa de Riesgos'!$H$26="Muy Alta",'Mapa de Riesgos'!$L$26="Menor"),CONCATENATE("R",'Mapa de Riesgos'!$A$26),"")</f>
        <v/>
      </c>
      <c r="U6" s="540"/>
      <c r="V6" s="537" t="str">
        <f>IF(AND('Mapa de Riesgos'!$H$12="Muy Alta",'Mapa de Riesgos'!$L$12="Moderado"),CONCATENATE("R",'Mapa de Riesgos'!$A$12),"")</f>
        <v/>
      </c>
      <c r="W6" s="538"/>
      <c r="X6" s="538" t="str">
        <f>IF(AND('Mapa de Riesgos'!$H$18="Muy Alta",'Mapa de Riesgos'!$L$18="Moderado"),CONCATENATE("R",'Mapa de Riesgos'!$A$18),"")</f>
        <v/>
      </c>
      <c r="Y6" s="538"/>
      <c r="Z6" s="538" t="str">
        <f>IF(AND('Mapa de Riesgos'!$H$26="Muy Alta",'Mapa de Riesgos'!$L$26="Moderado"),CONCATENATE("R",'Mapa de Riesgos'!$A$26),"")</f>
        <v/>
      </c>
      <c r="AA6" s="540"/>
      <c r="AB6" s="537" t="str">
        <f>IF(AND('Mapa de Riesgos'!$H$12="Muy Alta",'Mapa de Riesgos'!$L$12="Mayor"),CONCATENATE("R",'Mapa de Riesgos'!$A$12),"")</f>
        <v/>
      </c>
      <c r="AC6" s="538"/>
      <c r="AD6" s="538" t="str">
        <f>IF(AND('Mapa de Riesgos'!$H$18="Muy Alta",'Mapa de Riesgos'!$L$18="Mayor"),CONCATENATE("R",'Mapa de Riesgos'!$A$18),"")</f>
        <v/>
      </c>
      <c r="AE6" s="538"/>
      <c r="AF6" s="538" t="str">
        <f>IF(AND('Mapa de Riesgos'!$H$26="Muy Alta",'Mapa de Riesgos'!$L$26="Mayor"),CONCATENATE("R",'Mapa de Riesgos'!$A$26),"")</f>
        <v/>
      </c>
      <c r="AG6" s="540"/>
      <c r="AH6" s="552" t="str">
        <f>IF(AND('Mapa de Riesgos'!$H$12="Muy Alta",'Mapa de Riesgos'!$L$12="Catastrófico"),CONCATENATE("R",'Mapa de Riesgos'!$A$12),"")</f>
        <v/>
      </c>
      <c r="AI6" s="553"/>
      <c r="AJ6" s="553" t="str">
        <f>IF(AND('Mapa de Riesgos'!$H$18="Muy Alta",'Mapa de Riesgos'!$L$18="Catastrófico"),CONCATENATE("R",'Mapa de Riesgos'!$A$18),"")</f>
        <v/>
      </c>
      <c r="AK6" s="553"/>
      <c r="AL6" s="553" t="str">
        <f>IF(AND('Mapa de Riesgos'!$H$26="Muy Alta",'Mapa de Riesgos'!$L$26="Catastrófico"),CONCATENATE("R",'Mapa de Riesgos'!$A$26),"")</f>
        <v/>
      </c>
      <c r="AM6" s="554"/>
      <c r="AO6" s="490" t="s">
        <v>202</v>
      </c>
      <c r="AP6" s="491"/>
      <c r="AQ6" s="491"/>
      <c r="AR6" s="491"/>
      <c r="AS6" s="491"/>
      <c r="AT6" s="49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8"/>
      <c r="C7" s="488"/>
      <c r="D7" s="489"/>
      <c r="E7" s="529"/>
      <c r="F7" s="530"/>
      <c r="G7" s="530"/>
      <c r="H7" s="530"/>
      <c r="I7" s="531"/>
      <c r="J7" s="539"/>
      <c r="K7" s="535"/>
      <c r="L7" s="535"/>
      <c r="M7" s="535"/>
      <c r="N7" s="535"/>
      <c r="O7" s="536"/>
      <c r="P7" s="539"/>
      <c r="Q7" s="535"/>
      <c r="R7" s="535"/>
      <c r="S7" s="535"/>
      <c r="T7" s="535"/>
      <c r="U7" s="536"/>
      <c r="V7" s="539"/>
      <c r="W7" s="535"/>
      <c r="X7" s="535"/>
      <c r="Y7" s="535"/>
      <c r="Z7" s="535"/>
      <c r="AA7" s="536"/>
      <c r="AB7" s="539"/>
      <c r="AC7" s="535"/>
      <c r="AD7" s="535"/>
      <c r="AE7" s="535"/>
      <c r="AF7" s="535"/>
      <c r="AG7" s="536"/>
      <c r="AH7" s="546"/>
      <c r="AI7" s="547"/>
      <c r="AJ7" s="547"/>
      <c r="AK7" s="547"/>
      <c r="AL7" s="547"/>
      <c r="AM7" s="548"/>
      <c r="AN7" s="83"/>
      <c r="AO7" s="493"/>
      <c r="AP7" s="494"/>
      <c r="AQ7" s="494"/>
      <c r="AR7" s="494"/>
      <c r="AS7" s="494"/>
      <c r="AT7" s="49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8"/>
      <c r="C8" s="488"/>
      <c r="D8" s="489"/>
      <c r="E8" s="529"/>
      <c r="F8" s="530"/>
      <c r="G8" s="530"/>
      <c r="H8" s="530"/>
      <c r="I8" s="531"/>
      <c r="J8" s="539" t="str">
        <f>IF(AND('Mapa de Riesgos'!$H$32="Muy Alta",'Mapa de Riesgos'!$L$32="Leve"),CONCATENATE("R",'Mapa de Riesgos'!$A$32),"")</f>
        <v/>
      </c>
      <c r="K8" s="535"/>
      <c r="L8" s="535" t="str">
        <f>IF(AND('Mapa de Riesgos'!$H$38="Muy Alta",'Mapa de Riesgos'!$L$38="Leve"),CONCATENATE("R",'Mapa de Riesgos'!$A$38),"")</f>
        <v/>
      </c>
      <c r="M8" s="535"/>
      <c r="N8" s="535" t="str">
        <f>IF(AND('Mapa de Riesgos'!$H$44="Muy Alta",'Mapa de Riesgos'!$L$44="Leve"),CONCATENATE("R",'Mapa de Riesgos'!$A$44),"")</f>
        <v/>
      </c>
      <c r="O8" s="536"/>
      <c r="P8" s="539" t="str">
        <f>IF(AND('Mapa de Riesgos'!$H$32="Muy Alta",'Mapa de Riesgos'!$L$32="Menor"),CONCATENATE("R",'Mapa de Riesgos'!$A$32),"")</f>
        <v/>
      </c>
      <c r="Q8" s="535"/>
      <c r="R8" s="535" t="str">
        <f>IF(AND('Mapa de Riesgos'!$H$38="Muy Alta",'Mapa de Riesgos'!$L$38="Menor"),CONCATENATE("R",'Mapa de Riesgos'!$A$38),"")</f>
        <v/>
      </c>
      <c r="S8" s="535"/>
      <c r="T8" s="535" t="str">
        <f>IF(AND('Mapa de Riesgos'!$H$44="Muy Alta",'Mapa de Riesgos'!$L$44="Menor"),CONCATENATE("R",'Mapa de Riesgos'!$A$44),"")</f>
        <v/>
      </c>
      <c r="U8" s="536"/>
      <c r="V8" s="539" t="str">
        <f>IF(AND('Mapa de Riesgos'!$H$32="Muy Alta",'Mapa de Riesgos'!$L$32="Moderado"),CONCATENATE("R",'Mapa de Riesgos'!$A$32),"")</f>
        <v/>
      </c>
      <c r="W8" s="535"/>
      <c r="X8" s="535" t="str">
        <f>IF(AND('Mapa de Riesgos'!$H$38="Muy Alta",'Mapa de Riesgos'!$L$38="Moderado"),CONCATENATE("R",'Mapa de Riesgos'!$A$38),"")</f>
        <v/>
      </c>
      <c r="Y8" s="535"/>
      <c r="Z8" s="535" t="str">
        <f>IF(AND('Mapa de Riesgos'!$H$44="Muy Alta",'Mapa de Riesgos'!$L$44="Moderado"),CONCATENATE("R",'Mapa de Riesgos'!$A$44),"")</f>
        <v/>
      </c>
      <c r="AA8" s="536"/>
      <c r="AB8" s="539" t="str">
        <f>IF(AND('Mapa de Riesgos'!$H$32="Muy Alta",'Mapa de Riesgos'!$L$32="Mayor"),CONCATENATE("R",'Mapa de Riesgos'!$A$32),"")</f>
        <v/>
      </c>
      <c r="AC8" s="535"/>
      <c r="AD8" s="535" t="str">
        <f>IF(AND('Mapa de Riesgos'!$H$38="Muy Alta",'Mapa de Riesgos'!$L$38="Mayor"),CONCATENATE("R",'Mapa de Riesgos'!$A$38),"")</f>
        <v/>
      </c>
      <c r="AE8" s="535"/>
      <c r="AF8" s="535" t="str">
        <f>IF(AND('Mapa de Riesgos'!$H$44="Muy Alta",'Mapa de Riesgos'!$L$44="Mayor"),CONCATENATE("R",'Mapa de Riesgos'!$A$44),"")</f>
        <v/>
      </c>
      <c r="AG8" s="536"/>
      <c r="AH8" s="546" t="str">
        <f>IF(AND('Mapa de Riesgos'!$H$32="Muy Alta",'Mapa de Riesgos'!$L$32="Catastrófico"),CONCATENATE("R",'Mapa de Riesgos'!$A$32),"")</f>
        <v/>
      </c>
      <c r="AI8" s="547"/>
      <c r="AJ8" s="547" t="str">
        <f>IF(AND('Mapa de Riesgos'!$H$38="Muy Alta",'Mapa de Riesgos'!$L$38="Catastrófico"),CONCATENATE("R",'Mapa de Riesgos'!$A$38),"")</f>
        <v/>
      </c>
      <c r="AK8" s="547"/>
      <c r="AL8" s="547" t="str">
        <f>IF(AND('Mapa de Riesgos'!$H$44="Muy Alta",'Mapa de Riesgos'!$L$44="Catastrófico"),CONCATENATE("R",'Mapa de Riesgos'!$A$44),"")</f>
        <v/>
      </c>
      <c r="AM8" s="548"/>
      <c r="AN8" s="83"/>
      <c r="AO8" s="493"/>
      <c r="AP8" s="494"/>
      <c r="AQ8" s="494"/>
      <c r="AR8" s="494"/>
      <c r="AS8" s="494"/>
      <c r="AT8" s="49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8"/>
      <c r="C9" s="488"/>
      <c r="D9" s="489"/>
      <c r="E9" s="529"/>
      <c r="F9" s="530"/>
      <c r="G9" s="530"/>
      <c r="H9" s="530"/>
      <c r="I9" s="531"/>
      <c r="J9" s="539"/>
      <c r="K9" s="535"/>
      <c r="L9" s="535"/>
      <c r="M9" s="535"/>
      <c r="N9" s="535"/>
      <c r="O9" s="536"/>
      <c r="P9" s="539"/>
      <c r="Q9" s="535"/>
      <c r="R9" s="535"/>
      <c r="S9" s="535"/>
      <c r="T9" s="535"/>
      <c r="U9" s="536"/>
      <c r="V9" s="539"/>
      <c r="W9" s="535"/>
      <c r="X9" s="535"/>
      <c r="Y9" s="535"/>
      <c r="Z9" s="535"/>
      <c r="AA9" s="536"/>
      <c r="AB9" s="539"/>
      <c r="AC9" s="535"/>
      <c r="AD9" s="535"/>
      <c r="AE9" s="535"/>
      <c r="AF9" s="535"/>
      <c r="AG9" s="536"/>
      <c r="AH9" s="546"/>
      <c r="AI9" s="547"/>
      <c r="AJ9" s="547"/>
      <c r="AK9" s="547"/>
      <c r="AL9" s="547"/>
      <c r="AM9" s="548"/>
      <c r="AN9" s="83"/>
      <c r="AO9" s="493"/>
      <c r="AP9" s="494"/>
      <c r="AQ9" s="494"/>
      <c r="AR9" s="494"/>
      <c r="AS9" s="494"/>
      <c r="AT9" s="49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8"/>
      <c r="C10" s="488"/>
      <c r="D10" s="489"/>
      <c r="E10" s="529"/>
      <c r="F10" s="530"/>
      <c r="G10" s="530"/>
      <c r="H10" s="530"/>
      <c r="I10" s="531"/>
      <c r="J10" s="539" t="str">
        <f>IF(AND('Mapa de Riesgos'!$H$50="Muy Alta",'Mapa de Riesgos'!$L$50="Leve"),CONCATENATE("R",'Mapa de Riesgos'!$A$50),"")</f>
        <v/>
      </c>
      <c r="K10" s="535"/>
      <c r="L10" s="535" t="str">
        <f>IF(AND('Mapa de Riesgos'!$H$56="Muy Alta",'Mapa de Riesgos'!$L$56="Leve"),CONCATENATE("R",'Mapa de Riesgos'!$A$56),"")</f>
        <v/>
      </c>
      <c r="M10" s="535"/>
      <c r="N10" s="535" t="str">
        <f>IF(AND('Mapa de Riesgos'!$H$62="Muy Alta",'Mapa de Riesgos'!$L$62="Leve"),CONCATENATE("R",'Mapa de Riesgos'!$A$62),"")</f>
        <v/>
      </c>
      <c r="O10" s="536"/>
      <c r="P10" s="539" t="str">
        <f>IF(AND('Mapa de Riesgos'!$H$50="Muy Alta",'Mapa de Riesgos'!$L$50="Menor"),CONCATENATE("R",'Mapa de Riesgos'!$A$50),"")</f>
        <v/>
      </c>
      <c r="Q10" s="535"/>
      <c r="R10" s="535" t="str">
        <f>IF(AND('Mapa de Riesgos'!$H$56="Muy Alta",'Mapa de Riesgos'!$L$56="Menor"),CONCATENATE("R",'Mapa de Riesgos'!$A$56),"")</f>
        <v/>
      </c>
      <c r="S10" s="535"/>
      <c r="T10" s="535" t="str">
        <f>IF(AND('Mapa de Riesgos'!$H$62="Muy Alta",'Mapa de Riesgos'!$L$62="Menor"),CONCATENATE("R",'Mapa de Riesgos'!$A$62),"")</f>
        <v/>
      </c>
      <c r="U10" s="536"/>
      <c r="V10" s="539" t="str">
        <f>IF(AND('Mapa de Riesgos'!$H$50="Muy Alta",'Mapa de Riesgos'!$L$50="Moderado"),CONCATENATE("R",'Mapa de Riesgos'!$A$50),"")</f>
        <v/>
      </c>
      <c r="W10" s="535"/>
      <c r="X10" s="535" t="str">
        <f>IF(AND('Mapa de Riesgos'!$H$56="Muy Alta",'Mapa de Riesgos'!$L$56="Moderado"),CONCATENATE("R",'Mapa de Riesgos'!$A$56),"")</f>
        <v/>
      </c>
      <c r="Y10" s="535"/>
      <c r="Z10" s="535" t="str">
        <f>IF(AND('Mapa de Riesgos'!$H$62="Muy Alta",'Mapa de Riesgos'!$L$62="Moderado"),CONCATENATE("R",'Mapa de Riesgos'!$A$62),"")</f>
        <v/>
      </c>
      <c r="AA10" s="536"/>
      <c r="AB10" s="539" t="str">
        <f>IF(AND('Mapa de Riesgos'!$H$50="Muy Alta",'Mapa de Riesgos'!$L$50="Mayor"),CONCATENATE("R",'Mapa de Riesgos'!$A$50),"")</f>
        <v/>
      </c>
      <c r="AC10" s="535"/>
      <c r="AD10" s="535" t="str">
        <f>IF(AND('Mapa de Riesgos'!$H$56="Muy Alta",'Mapa de Riesgos'!$L$56="Mayor"),CONCATENATE("R",'Mapa de Riesgos'!$A$56),"")</f>
        <v/>
      </c>
      <c r="AE10" s="535"/>
      <c r="AF10" s="535" t="str">
        <f>IF(AND('Mapa de Riesgos'!$H$62="Muy Alta",'Mapa de Riesgos'!$L$62="Mayor"),CONCATENATE("R",'Mapa de Riesgos'!$A$62),"")</f>
        <v/>
      </c>
      <c r="AG10" s="536"/>
      <c r="AH10" s="546" t="str">
        <f>IF(AND('Mapa de Riesgos'!$H$50="Muy Alta",'Mapa de Riesgos'!$L$50="Catastrófico"),CONCATENATE("R",'Mapa de Riesgos'!$A$50),"")</f>
        <v/>
      </c>
      <c r="AI10" s="547"/>
      <c r="AJ10" s="547" t="str">
        <f>IF(AND('Mapa de Riesgos'!$H$56="Muy Alta",'Mapa de Riesgos'!$L$56="Catastrófico"),CONCATENATE("R",'Mapa de Riesgos'!$A$56),"")</f>
        <v/>
      </c>
      <c r="AK10" s="547"/>
      <c r="AL10" s="547" t="str">
        <f>IF(AND('Mapa de Riesgos'!$H$62="Muy Alta",'Mapa de Riesgos'!$L$62="Catastrófico"),CONCATENATE("R",'Mapa de Riesgos'!$A$62),"")</f>
        <v/>
      </c>
      <c r="AM10" s="548"/>
      <c r="AN10" s="83"/>
      <c r="AO10" s="493"/>
      <c r="AP10" s="494"/>
      <c r="AQ10" s="494"/>
      <c r="AR10" s="494"/>
      <c r="AS10" s="494"/>
      <c r="AT10" s="49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8"/>
      <c r="C11" s="488"/>
      <c r="D11" s="489"/>
      <c r="E11" s="529"/>
      <c r="F11" s="530"/>
      <c r="G11" s="530"/>
      <c r="H11" s="530"/>
      <c r="I11" s="531"/>
      <c r="J11" s="539"/>
      <c r="K11" s="535"/>
      <c r="L11" s="535"/>
      <c r="M11" s="535"/>
      <c r="N11" s="535"/>
      <c r="O11" s="536"/>
      <c r="P11" s="539"/>
      <c r="Q11" s="535"/>
      <c r="R11" s="535"/>
      <c r="S11" s="535"/>
      <c r="T11" s="535"/>
      <c r="U11" s="536"/>
      <c r="V11" s="539"/>
      <c r="W11" s="535"/>
      <c r="X11" s="535"/>
      <c r="Y11" s="535"/>
      <c r="Z11" s="535"/>
      <c r="AA11" s="536"/>
      <c r="AB11" s="539"/>
      <c r="AC11" s="535"/>
      <c r="AD11" s="535"/>
      <c r="AE11" s="535"/>
      <c r="AF11" s="535"/>
      <c r="AG11" s="536"/>
      <c r="AH11" s="546"/>
      <c r="AI11" s="547"/>
      <c r="AJ11" s="547"/>
      <c r="AK11" s="547"/>
      <c r="AL11" s="547"/>
      <c r="AM11" s="548"/>
      <c r="AN11" s="83"/>
      <c r="AO11" s="493"/>
      <c r="AP11" s="494"/>
      <c r="AQ11" s="494"/>
      <c r="AR11" s="494"/>
      <c r="AS11" s="494"/>
      <c r="AT11" s="49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8"/>
      <c r="C12" s="488"/>
      <c r="D12" s="489"/>
      <c r="E12" s="529"/>
      <c r="F12" s="530"/>
      <c r="G12" s="530"/>
      <c r="H12" s="530"/>
      <c r="I12" s="531"/>
      <c r="J12" s="539" t="str">
        <f>IF(AND('Mapa de Riesgos'!$H$68="Muy Alta",'Mapa de Riesgos'!$L$68="Leve"),CONCATENATE("R",'Mapa de Riesgos'!$A$68),"")</f>
        <v/>
      </c>
      <c r="K12" s="535"/>
      <c r="L12" s="535" t="str">
        <f>IF(AND('Mapa de Riesgos'!$H$74="Muy Alta",'Mapa de Riesgos'!$L$74="Leve"),CONCATENATE("R",'Mapa de Riesgos'!$A$74),"")</f>
        <v/>
      </c>
      <c r="M12" s="535"/>
      <c r="N12" s="535" t="str">
        <f>IF(AND('Mapa de Riesgos'!$H$78="Muy Alta",'Mapa de Riesgos'!$L$78="Leve"),CONCATENATE("R",'Mapa de Riesgos'!$A$78),"")</f>
        <v/>
      </c>
      <c r="O12" s="536"/>
      <c r="P12" s="539" t="str">
        <f>IF(AND('Mapa de Riesgos'!$H$68="Muy Alta",'Mapa de Riesgos'!$L$68="Menor"),CONCATENATE("R",'Mapa de Riesgos'!$A$68),"")</f>
        <v/>
      </c>
      <c r="Q12" s="535"/>
      <c r="R12" s="535" t="str">
        <f>IF(AND('Mapa de Riesgos'!$H$74="Muy Alta",'Mapa de Riesgos'!$L$74="Menor"),CONCATENATE("R",'Mapa de Riesgos'!$A$74),"")</f>
        <v/>
      </c>
      <c r="S12" s="535"/>
      <c r="T12" s="535" t="str">
        <f>IF(AND('Mapa de Riesgos'!$H$78="Muy Alta",'Mapa de Riesgos'!$L$78="Menor"),CONCATENATE("R",'Mapa de Riesgos'!$A$78),"")</f>
        <v/>
      </c>
      <c r="U12" s="536"/>
      <c r="V12" s="539" t="str">
        <f>IF(AND('Mapa de Riesgos'!$H$68="Muy Alta",'Mapa de Riesgos'!$L$68="Moderado"),CONCATENATE("R",'Mapa de Riesgos'!$A$68),"")</f>
        <v/>
      </c>
      <c r="W12" s="535"/>
      <c r="X12" s="535" t="str">
        <f>IF(AND('Mapa de Riesgos'!$H$74="Muy Alta",'Mapa de Riesgos'!$L$74="Moderado"),CONCATENATE("R",'Mapa de Riesgos'!$A$74),"")</f>
        <v/>
      </c>
      <c r="Y12" s="535"/>
      <c r="Z12" s="535" t="str">
        <f>IF(AND('Mapa de Riesgos'!$H$78="Muy Alta",'Mapa de Riesgos'!$L$78="Moderado"),CONCATENATE("R",'Mapa de Riesgos'!$A$78),"")</f>
        <v/>
      </c>
      <c r="AA12" s="536"/>
      <c r="AB12" s="539" t="str">
        <f>IF(AND('Mapa de Riesgos'!$H$68="Muy Alta",'Mapa de Riesgos'!$L$68="Mayor"),CONCATENATE("R",'Mapa de Riesgos'!$A$68),"")</f>
        <v/>
      </c>
      <c r="AC12" s="535"/>
      <c r="AD12" s="535" t="str">
        <f>IF(AND('Mapa de Riesgos'!$H$74="Muy Alta",'Mapa de Riesgos'!$L$74="Mayor"),CONCATENATE("R",'Mapa de Riesgos'!$A$74),"")</f>
        <v/>
      </c>
      <c r="AE12" s="535"/>
      <c r="AF12" s="535" t="str">
        <f>IF(AND('Mapa de Riesgos'!$H$78="Muy Alta",'Mapa de Riesgos'!$L$78="Mayor"),CONCATENATE("R",'Mapa de Riesgos'!$A$78),"")</f>
        <v/>
      </c>
      <c r="AG12" s="536"/>
      <c r="AH12" s="546" t="str">
        <f>IF(AND('Mapa de Riesgos'!$H$68="Muy Alta",'Mapa de Riesgos'!$L$68="Catastrófico"),CONCATENATE("R",'Mapa de Riesgos'!$A$68),"")</f>
        <v/>
      </c>
      <c r="AI12" s="547"/>
      <c r="AJ12" s="547" t="str">
        <f>IF(AND('Mapa de Riesgos'!$H$74="Muy Alta",'Mapa de Riesgos'!$L$74="Catastrófico"),CONCATENATE("R",'Mapa de Riesgos'!$A$74),"")</f>
        <v/>
      </c>
      <c r="AK12" s="547"/>
      <c r="AL12" s="547" t="str">
        <f>IF(AND('Mapa de Riesgos'!$H$78="Muy Alta",'Mapa de Riesgos'!$L$78="Catastrófico"),CONCATENATE("R",'Mapa de Riesgos'!$A$78),"")</f>
        <v/>
      </c>
      <c r="AM12" s="548"/>
      <c r="AN12" s="83"/>
      <c r="AO12" s="493"/>
      <c r="AP12" s="494"/>
      <c r="AQ12" s="494"/>
      <c r="AR12" s="494"/>
      <c r="AS12" s="494"/>
      <c r="AT12" s="49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8"/>
      <c r="C13" s="488"/>
      <c r="D13" s="489"/>
      <c r="E13" s="532"/>
      <c r="F13" s="533"/>
      <c r="G13" s="533"/>
      <c r="H13" s="533"/>
      <c r="I13" s="534"/>
      <c r="J13" s="539"/>
      <c r="K13" s="535"/>
      <c r="L13" s="535"/>
      <c r="M13" s="535"/>
      <c r="N13" s="535"/>
      <c r="O13" s="536"/>
      <c r="P13" s="539"/>
      <c r="Q13" s="535"/>
      <c r="R13" s="535"/>
      <c r="S13" s="535"/>
      <c r="T13" s="535"/>
      <c r="U13" s="536"/>
      <c r="V13" s="539"/>
      <c r="W13" s="535"/>
      <c r="X13" s="535"/>
      <c r="Y13" s="535"/>
      <c r="Z13" s="535"/>
      <c r="AA13" s="536"/>
      <c r="AB13" s="539"/>
      <c r="AC13" s="535"/>
      <c r="AD13" s="535"/>
      <c r="AE13" s="535"/>
      <c r="AF13" s="535"/>
      <c r="AG13" s="536"/>
      <c r="AH13" s="549"/>
      <c r="AI13" s="550"/>
      <c r="AJ13" s="550"/>
      <c r="AK13" s="550"/>
      <c r="AL13" s="550"/>
      <c r="AM13" s="551"/>
      <c r="AN13" s="83"/>
      <c r="AO13" s="496"/>
      <c r="AP13" s="497"/>
      <c r="AQ13" s="497"/>
      <c r="AR13" s="497"/>
      <c r="AS13" s="497"/>
      <c r="AT13" s="49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8"/>
      <c r="C14" s="488"/>
      <c r="D14" s="489"/>
      <c r="E14" s="526" t="s">
        <v>203</v>
      </c>
      <c r="F14" s="527"/>
      <c r="G14" s="527"/>
      <c r="H14" s="527"/>
      <c r="I14" s="527"/>
      <c r="J14" s="561" t="str">
        <f>IF(AND('Mapa de Riesgos'!$H$12="Alta",'Mapa de Riesgos'!$L$12="Leve"),CONCATENATE("R",'Mapa de Riesgos'!$A$12),"")</f>
        <v/>
      </c>
      <c r="K14" s="562"/>
      <c r="L14" s="562" t="str">
        <f>IF(AND('Mapa de Riesgos'!$H$18="Alta",'Mapa de Riesgos'!$L$18="Leve"),CONCATENATE("R",'Mapa de Riesgos'!$A$18),"")</f>
        <v/>
      </c>
      <c r="M14" s="562"/>
      <c r="N14" s="562" t="str">
        <f>IF(AND('Mapa de Riesgos'!$H$26="Alta",'Mapa de Riesgos'!$L$26="Leve"),CONCATENATE("R",'Mapa de Riesgos'!$A$26),"")</f>
        <v/>
      </c>
      <c r="O14" s="563"/>
      <c r="P14" s="561" t="str">
        <f>IF(AND('Mapa de Riesgos'!$H$12="Alta",'Mapa de Riesgos'!$L$12="Menor"),CONCATENATE("R",'Mapa de Riesgos'!$A$12),"")</f>
        <v/>
      </c>
      <c r="Q14" s="562"/>
      <c r="R14" s="562" t="str">
        <f>IF(AND('Mapa de Riesgos'!$H$18="Alta",'Mapa de Riesgos'!$L$18="Menor"),CONCATENATE("R",'Mapa de Riesgos'!$A$18),"")</f>
        <v/>
      </c>
      <c r="S14" s="562"/>
      <c r="T14" s="562" t="str">
        <f>IF(AND('Mapa de Riesgos'!$H$26="Alta",'Mapa de Riesgos'!$L$26="Menor"),CONCATENATE("R",'Mapa de Riesgos'!$A$26),"")</f>
        <v/>
      </c>
      <c r="U14" s="563"/>
      <c r="V14" s="537" t="str">
        <f>IF(AND('Mapa de Riesgos'!$H$12="Alta",'Mapa de Riesgos'!$L$12="Moderado"),CONCATENATE("R",'Mapa de Riesgos'!$A$12),"")</f>
        <v/>
      </c>
      <c r="W14" s="538"/>
      <c r="X14" s="538" t="str">
        <f>IF(AND('Mapa de Riesgos'!$H$18="Alta",'Mapa de Riesgos'!$L$18="Moderado"),CONCATENATE("R",'Mapa de Riesgos'!$A$18),"")</f>
        <v/>
      </c>
      <c r="Y14" s="538"/>
      <c r="Z14" s="538" t="str">
        <f>IF(AND('Mapa de Riesgos'!$H$26="Alta",'Mapa de Riesgos'!$L$26="Moderado"),CONCATENATE("R",'Mapa de Riesgos'!$A$26),"")</f>
        <v/>
      </c>
      <c r="AA14" s="540"/>
      <c r="AB14" s="537" t="str">
        <f>IF(AND('Mapa de Riesgos'!$H$12="Alta",'Mapa de Riesgos'!$L$12="Mayor"),CONCATENATE("R",'Mapa de Riesgos'!$A$12),"")</f>
        <v/>
      </c>
      <c r="AC14" s="538"/>
      <c r="AD14" s="538" t="str">
        <f>IF(AND('Mapa de Riesgos'!$H$18="Alta",'Mapa de Riesgos'!$L$18="Mayor"),CONCATENATE("R",'Mapa de Riesgos'!$A$18),"")</f>
        <v/>
      </c>
      <c r="AE14" s="538"/>
      <c r="AF14" s="538" t="str">
        <f>IF(AND('Mapa de Riesgos'!$H$26="Alta",'Mapa de Riesgos'!$L$26="Mayor"),CONCATENATE("R",'Mapa de Riesgos'!$A$26),"")</f>
        <v/>
      </c>
      <c r="AG14" s="540"/>
      <c r="AH14" s="552" t="str">
        <f>IF(AND('Mapa de Riesgos'!$H$12="Alta",'Mapa de Riesgos'!$L$12="Catastrófico"),CONCATENATE("R",'Mapa de Riesgos'!$A$12),"")</f>
        <v/>
      </c>
      <c r="AI14" s="553"/>
      <c r="AJ14" s="553" t="str">
        <f>IF(AND('Mapa de Riesgos'!$H$18="Alta",'Mapa de Riesgos'!$L$18="Catastrófico"),CONCATENATE("R",'Mapa de Riesgos'!$A$18),"")</f>
        <v/>
      </c>
      <c r="AK14" s="553"/>
      <c r="AL14" s="553" t="str">
        <f>IF(AND('Mapa de Riesgos'!$H$26="Alta",'Mapa de Riesgos'!$L$26="Catastrófico"),CONCATENATE("R",'Mapa de Riesgos'!$A$26),"")</f>
        <v/>
      </c>
      <c r="AM14" s="554"/>
      <c r="AN14" s="83"/>
      <c r="AO14" s="499" t="s">
        <v>204</v>
      </c>
      <c r="AP14" s="500"/>
      <c r="AQ14" s="500"/>
      <c r="AR14" s="500"/>
      <c r="AS14" s="500"/>
      <c r="AT14" s="50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8"/>
      <c r="C15" s="488"/>
      <c r="D15" s="489"/>
      <c r="E15" s="529"/>
      <c r="F15" s="530"/>
      <c r="G15" s="530"/>
      <c r="H15" s="530"/>
      <c r="I15" s="530"/>
      <c r="J15" s="555"/>
      <c r="K15" s="556"/>
      <c r="L15" s="556"/>
      <c r="M15" s="556"/>
      <c r="N15" s="556"/>
      <c r="O15" s="557"/>
      <c r="P15" s="555"/>
      <c r="Q15" s="556"/>
      <c r="R15" s="556"/>
      <c r="S15" s="556"/>
      <c r="T15" s="556"/>
      <c r="U15" s="557"/>
      <c r="V15" s="539"/>
      <c r="W15" s="535"/>
      <c r="X15" s="535"/>
      <c r="Y15" s="535"/>
      <c r="Z15" s="535"/>
      <c r="AA15" s="536"/>
      <c r="AB15" s="539"/>
      <c r="AC15" s="535"/>
      <c r="AD15" s="535"/>
      <c r="AE15" s="535"/>
      <c r="AF15" s="535"/>
      <c r="AG15" s="536"/>
      <c r="AH15" s="546"/>
      <c r="AI15" s="547"/>
      <c r="AJ15" s="547"/>
      <c r="AK15" s="547"/>
      <c r="AL15" s="547"/>
      <c r="AM15" s="548"/>
      <c r="AN15" s="83"/>
      <c r="AO15" s="502"/>
      <c r="AP15" s="503"/>
      <c r="AQ15" s="503"/>
      <c r="AR15" s="503"/>
      <c r="AS15" s="503"/>
      <c r="AT15" s="50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8"/>
      <c r="C16" s="488"/>
      <c r="D16" s="489"/>
      <c r="E16" s="529"/>
      <c r="F16" s="530"/>
      <c r="G16" s="530"/>
      <c r="H16" s="530"/>
      <c r="I16" s="530"/>
      <c r="J16" s="555" t="str">
        <f>IF(AND('Mapa de Riesgos'!$H$32="Alta",'Mapa de Riesgos'!$L$32="Leve"),CONCATENATE("R",'Mapa de Riesgos'!$A$32),"")</f>
        <v/>
      </c>
      <c r="K16" s="556"/>
      <c r="L16" s="556" t="str">
        <f>IF(AND('Mapa de Riesgos'!$H$38="Alta",'Mapa de Riesgos'!$L$38="Leve"),CONCATENATE("R",'Mapa de Riesgos'!$A$38),"")</f>
        <v/>
      </c>
      <c r="M16" s="556"/>
      <c r="N16" s="556" t="str">
        <f>IF(AND('Mapa de Riesgos'!$H$44="Alta",'Mapa de Riesgos'!$L$44="Leve"),CONCATENATE("R",'Mapa de Riesgos'!$A$44),"")</f>
        <v/>
      </c>
      <c r="O16" s="557"/>
      <c r="P16" s="555" t="str">
        <f>IF(AND('Mapa de Riesgos'!$H$32="Alta",'Mapa de Riesgos'!$L$32="Menor"),CONCATENATE("R",'Mapa de Riesgos'!$A$32),"")</f>
        <v/>
      </c>
      <c r="Q16" s="556"/>
      <c r="R16" s="556" t="str">
        <f>IF(AND('Mapa de Riesgos'!$H$38="Alta",'Mapa de Riesgos'!$L$38="Menor"),CONCATENATE("R",'Mapa de Riesgos'!$A$38),"")</f>
        <v/>
      </c>
      <c r="S16" s="556"/>
      <c r="T16" s="556" t="str">
        <f>IF(AND('Mapa de Riesgos'!$H$44="Alta",'Mapa de Riesgos'!$L$44="Menor"),CONCATENATE("R",'Mapa de Riesgos'!$A$44),"")</f>
        <v/>
      </c>
      <c r="U16" s="557"/>
      <c r="V16" s="539" t="str">
        <f>IF(AND('Mapa de Riesgos'!$H$32="Alta",'Mapa de Riesgos'!$L$32="Moderado"),CONCATENATE("R",'Mapa de Riesgos'!$A$32),"")</f>
        <v/>
      </c>
      <c r="W16" s="535"/>
      <c r="X16" s="535" t="str">
        <f>IF(AND('Mapa de Riesgos'!$H$38="Alta",'Mapa de Riesgos'!$L$38="Moderado"),CONCATENATE("R",'Mapa de Riesgos'!$A$38),"")</f>
        <v/>
      </c>
      <c r="Y16" s="535"/>
      <c r="Z16" s="535" t="str">
        <f>IF(AND('Mapa de Riesgos'!$H$44="Alta",'Mapa de Riesgos'!$L$44="Moderado"),CONCATENATE("R",'Mapa de Riesgos'!$A$44),"")</f>
        <v/>
      </c>
      <c r="AA16" s="536"/>
      <c r="AB16" s="539" t="str">
        <f>IF(AND('Mapa de Riesgos'!$H$32="Alta",'Mapa de Riesgos'!$L$32="Mayor"),CONCATENATE("R",'Mapa de Riesgos'!$A$32),"")</f>
        <v/>
      </c>
      <c r="AC16" s="535"/>
      <c r="AD16" s="535" t="str">
        <f>IF(AND('Mapa de Riesgos'!$H$38="Alta",'Mapa de Riesgos'!$L$38="Mayor"),CONCATENATE("R",'Mapa de Riesgos'!$A$38),"")</f>
        <v/>
      </c>
      <c r="AE16" s="535"/>
      <c r="AF16" s="535" t="str">
        <f>IF(AND('Mapa de Riesgos'!$H$44="Alta",'Mapa de Riesgos'!$L$44="Mayor"),CONCATENATE("R",'Mapa de Riesgos'!$A$44),"")</f>
        <v/>
      </c>
      <c r="AG16" s="536"/>
      <c r="AH16" s="546" t="str">
        <f>IF(AND('Mapa de Riesgos'!$H$32="Alta",'Mapa de Riesgos'!$L$32="Catastrófico"),CONCATENATE("R",'Mapa de Riesgos'!$A$32),"")</f>
        <v/>
      </c>
      <c r="AI16" s="547"/>
      <c r="AJ16" s="547" t="str">
        <f>IF(AND('Mapa de Riesgos'!$H$38="Alta",'Mapa de Riesgos'!$L$38="Catastrófico"),CONCATENATE("R",'Mapa de Riesgos'!$A$38),"")</f>
        <v/>
      </c>
      <c r="AK16" s="547"/>
      <c r="AL16" s="547" t="str">
        <f>IF(AND('Mapa de Riesgos'!$H$44="Alta",'Mapa de Riesgos'!$L$44="Catastrófico"),CONCATENATE("R",'Mapa de Riesgos'!$A$44),"")</f>
        <v/>
      </c>
      <c r="AM16" s="548"/>
      <c r="AN16" s="83"/>
      <c r="AO16" s="502"/>
      <c r="AP16" s="503"/>
      <c r="AQ16" s="503"/>
      <c r="AR16" s="503"/>
      <c r="AS16" s="503"/>
      <c r="AT16" s="50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8"/>
      <c r="C17" s="488"/>
      <c r="D17" s="489"/>
      <c r="E17" s="529"/>
      <c r="F17" s="530"/>
      <c r="G17" s="530"/>
      <c r="H17" s="530"/>
      <c r="I17" s="530"/>
      <c r="J17" s="555"/>
      <c r="K17" s="556"/>
      <c r="L17" s="556"/>
      <c r="M17" s="556"/>
      <c r="N17" s="556"/>
      <c r="O17" s="557"/>
      <c r="P17" s="555"/>
      <c r="Q17" s="556"/>
      <c r="R17" s="556"/>
      <c r="S17" s="556"/>
      <c r="T17" s="556"/>
      <c r="U17" s="557"/>
      <c r="V17" s="539"/>
      <c r="W17" s="535"/>
      <c r="X17" s="535"/>
      <c r="Y17" s="535"/>
      <c r="Z17" s="535"/>
      <c r="AA17" s="536"/>
      <c r="AB17" s="539"/>
      <c r="AC17" s="535"/>
      <c r="AD17" s="535"/>
      <c r="AE17" s="535"/>
      <c r="AF17" s="535"/>
      <c r="AG17" s="536"/>
      <c r="AH17" s="546"/>
      <c r="AI17" s="547"/>
      <c r="AJ17" s="547"/>
      <c r="AK17" s="547"/>
      <c r="AL17" s="547"/>
      <c r="AM17" s="548"/>
      <c r="AN17" s="83"/>
      <c r="AO17" s="502"/>
      <c r="AP17" s="503"/>
      <c r="AQ17" s="503"/>
      <c r="AR17" s="503"/>
      <c r="AS17" s="503"/>
      <c r="AT17" s="50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8"/>
      <c r="C18" s="488"/>
      <c r="D18" s="489"/>
      <c r="E18" s="529"/>
      <c r="F18" s="530"/>
      <c r="G18" s="530"/>
      <c r="H18" s="530"/>
      <c r="I18" s="530"/>
      <c r="J18" s="555" t="str">
        <f>IF(AND('Mapa de Riesgos'!$H$50="Alta",'Mapa de Riesgos'!$L$50="Leve"),CONCATENATE("R",'Mapa de Riesgos'!$A$50),"")</f>
        <v/>
      </c>
      <c r="K18" s="556"/>
      <c r="L18" s="556" t="str">
        <f>IF(AND('Mapa de Riesgos'!$H$56="Alta",'Mapa de Riesgos'!$L$56="Leve"),CONCATENATE("R",'Mapa de Riesgos'!$A$56),"")</f>
        <v/>
      </c>
      <c r="M18" s="556"/>
      <c r="N18" s="556" t="str">
        <f>IF(AND('Mapa de Riesgos'!$H$62="Alta",'Mapa de Riesgos'!$L$62="Leve"),CONCATENATE("R",'Mapa de Riesgos'!$A$62),"")</f>
        <v/>
      </c>
      <c r="O18" s="557"/>
      <c r="P18" s="555" t="str">
        <f>IF(AND('Mapa de Riesgos'!$H$50="Alta",'Mapa de Riesgos'!$L$50="Menor"),CONCATENATE("R",'Mapa de Riesgos'!$A$50),"")</f>
        <v/>
      </c>
      <c r="Q18" s="556"/>
      <c r="R18" s="556" t="str">
        <f>IF(AND('Mapa de Riesgos'!$H$56="Alta",'Mapa de Riesgos'!$L$56="Menor"),CONCATENATE("R",'Mapa de Riesgos'!$A$56),"")</f>
        <v/>
      </c>
      <c r="S18" s="556"/>
      <c r="T18" s="556" t="str">
        <f>IF(AND('Mapa de Riesgos'!$H$62="Alta",'Mapa de Riesgos'!$L$62="Menor"),CONCATENATE("R",'Mapa de Riesgos'!$A$62),"")</f>
        <v/>
      </c>
      <c r="U18" s="557"/>
      <c r="V18" s="539" t="str">
        <f>IF(AND('Mapa de Riesgos'!$H$50="Alta",'Mapa de Riesgos'!$L$50="Moderado"),CONCATENATE("R",'Mapa de Riesgos'!$A$50),"")</f>
        <v/>
      </c>
      <c r="W18" s="535"/>
      <c r="X18" s="535" t="str">
        <f>IF(AND('Mapa de Riesgos'!$H$56="Alta",'Mapa de Riesgos'!$L$56="Moderado"),CONCATENATE("R",'Mapa de Riesgos'!$A$56),"")</f>
        <v/>
      </c>
      <c r="Y18" s="535"/>
      <c r="Z18" s="535" t="str">
        <f>IF(AND('Mapa de Riesgos'!$H$62="Alta",'Mapa de Riesgos'!$L$62="Moderado"),CONCATENATE("R",'Mapa de Riesgos'!$A$62),"")</f>
        <v/>
      </c>
      <c r="AA18" s="536"/>
      <c r="AB18" s="539" t="str">
        <f>IF(AND('Mapa de Riesgos'!$H$50="Alta",'Mapa de Riesgos'!$L$50="Mayor"),CONCATENATE("R",'Mapa de Riesgos'!$A$50),"")</f>
        <v/>
      </c>
      <c r="AC18" s="535"/>
      <c r="AD18" s="535" t="str">
        <f>IF(AND('Mapa de Riesgos'!$H$56="Alta",'Mapa de Riesgos'!$L$56="Mayor"),CONCATENATE("R",'Mapa de Riesgos'!$A$56),"")</f>
        <v/>
      </c>
      <c r="AE18" s="535"/>
      <c r="AF18" s="535" t="str">
        <f>IF(AND('Mapa de Riesgos'!$H$62="Alta",'Mapa de Riesgos'!$L$62="Mayor"),CONCATENATE("R",'Mapa de Riesgos'!$A$62),"")</f>
        <v/>
      </c>
      <c r="AG18" s="536"/>
      <c r="AH18" s="546" t="str">
        <f>IF(AND('Mapa de Riesgos'!$H$50="Alta",'Mapa de Riesgos'!$L$50="Catastrófico"),CONCATENATE("R",'Mapa de Riesgos'!$A$50),"")</f>
        <v/>
      </c>
      <c r="AI18" s="547"/>
      <c r="AJ18" s="547" t="str">
        <f>IF(AND('Mapa de Riesgos'!$H$56="Alta",'Mapa de Riesgos'!$L$56="Catastrófico"),CONCATENATE("R",'Mapa de Riesgos'!$A$56),"")</f>
        <v/>
      </c>
      <c r="AK18" s="547"/>
      <c r="AL18" s="547" t="str">
        <f>IF(AND('Mapa de Riesgos'!$H$62="Alta",'Mapa de Riesgos'!$L$62="Catastrófico"),CONCATENATE("R",'Mapa de Riesgos'!$A$62),"")</f>
        <v/>
      </c>
      <c r="AM18" s="548"/>
      <c r="AN18" s="83"/>
      <c r="AO18" s="502"/>
      <c r="AP18" s="503"/>
      <c r="AQ18" s="503"/>
      <c r="AR18" s="503"/>
      <c r="AS18" s="503"/>
      <c r="AT18" s="50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8"/>
      <c r="C19" s="488"/>
      <c r="D19" s="489"/>
      <c r="E19" s="529"/>
      <c r="F19" s="530"/>
      <c r="G19" s="530"/>
      <c r="H19" s="530"/>
      <c r="I19" s="530"/>
      <c r="J19" s="555"/>
      <c r="K19" s="556"/>
      <c r="L19" s="556"/>
      <c r="M19" s="556"/>
      <c r="N19" s="556"/>
      <c r="O19" s="557"/>
      <c r="P19" s="555"/>
      <c r="Q19" s="556"/>
      <c r="R19" s="556"/>
      <c r="S19" s="556"/>
      <c r="T19" s="556"/>
      <c r="U19" s="557"/>
      <c r="V19" s="539"/>
      <c r="W19" s="535"/>
      <c r="X19" s="535"/>
      <c r="Y19" s="535"/>
      <c r="Z19" s="535"/>
      <c r="AA19" s="536"/>
      <c r="AB19" s="539"/>
      <c r="AC19" s="535"/>
      <c r="AD19" s="535"/>
      <c r="AE19" s="535"/>
      <c r="AF19" s="535"/>
      <c r="AG19" s="536"/>
      <c r="AH19" s="546"/>
      <c r="AI19" s="547"/>
      <c r="AJ19" s="547"/>
      <c r="AK19" s="547"/>
      <c r="AL19" s="547"/>
      <c r="AM19" s="548"/>
      <c r="AN19" s="83"/>
      <c r="AO19" s="502"/>
      <c r="AP19" s="503"/>
      <c r="AQ19" s="503"/>
      <c r="AR19" s="503"/>
      <c r="AS19" s="503"/>
      <c r="AT19" s="50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8"/>
      <c r="C20" s="488"/>
      <c r="D20" s="489"/>
      <c r="E20" s="529"/>
      <c r="F20" s="530"/>
      <c r="G20" s="530"/>
      <c r="H20" s="530"/>
      <c r="I20" s="530"/>
      <c r="J20" s="555" t="str">
        <f>IF(AND('Mapa de Riesgos'!$H$68="Alta",'Mapa de Riesgos'!$L$68="Leve"),CONCATENATE("R",'Mapa de Riesgos'!$A$68),"")</f>
        <v/>
      </c>
      <c r="K20" s="556"/>
      <c r="L20" s="556" t="str">
        <f>IF(AND('Mapa de Riesgos'!$H$74="Alta",'Mapa de Riesgos'!$L$74="Leve"),CONCATENATE("R",'Mapa de Riesgos'!$A$74),"")</f>
        <v/>
      </c>
      <c r="M20" s="556"/>
      <c r="N20" s="556" t="str">
        <f>IF(AND('Mapa de Riesgos'!$H$78="Alta",'Mapa de Riesgos'!$L$78="Leve"),CONCATENATE("R",'Mapa de Riesgos'!$A$78),"")</f>
        <v/>
      </c>
      <c r="O20" s="557"/>
      <c r="P20" s="555" t="str">
        <f>IF(AND('Mapa de Riesgos'!$H$68="Alta",'Mapa de Riesgos'!$L$68="Menor"),CONCATENATE("R",'Mapa de Riesgos'!$A$68),"")</f>
        <v/>
      </c>
      <c r="Q20" s="556"/>
      <c r="R20" s="556" t="str">
        <f>IF(AND('Mapa de Riesgos'!$H$74="Alta",'Mapa de Riesgos'!$L$74="Menor"),CONCATENATE("R",'Mapa de Riesgos'!$A$74),"")</f>
        <v/>
      </c>
      <c r="S20" s="556"/>
      <c r="T20" s="556" t="str">
        <f>IF(AND('Mapa de Riesgos'!$H$78="Alta",'Mapa de Riesgos'!$L$78="Menor"),CONCATENATE("R",'Mapa de Riesgos'!$A$78),"")</f>
        <v/>
      </c>
      <c r="U20" s="557"/>
      <c r="V20" s="539" t="str">
        <f>IF(AND('Mapa de Riesgos'!$H$68="Alta",'Mapa de Riesgos'!$L$68="Moderado"),CONCATENATE("R",'Mapa de Riesgos'!$A$68),"")</f>
        <v/>
      </c>
      <c r="W20" s="535"/>
      <c r="X20" s="535" t="str">
        <f>IF(AND('Mapa de Riesgos'!$H$74="Alta",'Mapa de Riesgos'!$L$74="Moderado"),CONCATENATE("R",'Mapa de Riesgos'!$A$74),"")</f>
        <v/>
      </c>
      <c r="Y20" s="535"/>
      <c r="Z20" s="535" t="str">
        <f>IF(AND('Mapa de Riesgos'!$H$78="Alta",'Mapa de Riesgos'!$L$78="Moderado"),CONCATENATE("R",'Mapa de Riesgos'!$A$78),"")</f>
        <v/>
      </c>
      <c r="AA20" s="536"/>
      <c r="AB20" s="539" t="str">
        <f>IF(AND('Mapa de Riesgos'!$H$68="Alta",'Mapa de Riesgos'!$L$68="Mayor"),CONCATENATE("R",'Mapa de Riesgos'!$A$68),"")</f>
        <v/>
      </c>
      <c r="AC20" s="535"/>
      <c r="AD20" s="535" t="str">
        <f>IF(AND('Mapa de Riesgos'!$H$74="Alta",'Mapa de Riesgos'!$L$74="Mayor"),CONCATENATE("R",'Mapa de Riesgos'!$A$74),"")</f>
        <v/>
      </c>
      <c r="AE20" s="535"/>
      <c r="AF20" s="535" t="str">
        <f>IF(AND('Mapa de Riesgos'!$H$78="Alta",'Mapa de Riesgos'!$L$78="Mayor"),CONCATENATE("R",'Mapa de Riesgos'!$A$78),"")</f>
        <v/>
      </c>
      <c r="AG20" s="536"/>
      <c r="AH20" s="546" t="str">
        <f>IF(AND('Mapa de Riesgos'!$H$68="Alta",'Mapa de Riesgos'!$L$68="Catastrófico"),CONCATENATE("R",'Mapa de Riesgos'!$A$68),"")</f>
        <v/>
      </c>
      <c r="AI20" s="547"/>
      <c r="AJ20" s="547" t="str">
        <f>IF(AND('Mapa de Riesgos'!$H$74="Alta",'Mapa de Riesgos'!$L$74="Catastrófico"),CONCATENATE("R",'Mapa de Riesgos'!$A$74),"")</f>
        <v/>
      </c>
      <c r="AK20" s="547"/>
      <c r="AL20" s="547" t="str">
        <f>IF(AND('Mapa de Riesgos'!$H$78="Alta",'Mapa de Riesgos'!$L$78="Catastrófico"),CONCATENATE("R",'Mapa de Riesgos'!$A$78),"")</f>
        <v/>
      </c>
      <c r="AM20" s="548"/>
      <c r="AN20" s="83"/>
      <c r="AO20" s="502"/>
      <c r="AP20" s="503"/>
      <c r="AQ20" s="503"/>
      <c r="AR20" s="503"/>
      <c r="AS20" s="503"/>
      <c r="AT20" s="50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8"/>
      <c r="C21" s="488"/>
      <c r="D21" s="489"/>
      <c r="E21" s="532"/>
      <c r="F21" s="533"/>
      <c r="G21" s="533"/>
      <c r="H21" s="533"/>
      <c r="I21" s="533"/>
      <c r="J21" s="558"/>
      <c r="K21" s="559"/>
      <c r="L21" s="559"/>
      <c r="M21" s="559"/>
      <c r="N21" s="559"/>
      <c r="O21" s="560"/>
      <c r="P21" s="558"/>
      <c r="Q21" s="559"/>
      <c r="R21" s="559"/>
      <c r="S21" s="559"/>
      <c r="T21" s="559"/>
      <c r="U21" s="560"/>
      <c r="V21" s="543"/>
      <c r="W21" s="544"/>
      <c r="X21" s="544"/>
      <c r="Y21" s="544"/>
      <c r="Z21" s="544"/>
      <c r="AA21" s="545"/>
      <c r="AB21" s="543"/>
      <c r="AC21" s="544"/>
      <c r="AD21" s="544"/>
      <c r="AE21" s="544"/>
      <c r="AF21" s="544"/>
      <c r="AG21" s="545"/>
      <c r="AH21" s="549"/>
      <c r="AI21" s="550"/>
      <c r="AJ21" s="550"/>
      <c r="AK21" s="550"/>
      <c r="AL21" s="550"/>
      <c r="AM21" s="551"/>
      <c r="AN21" s="83"/>
      <c r="AO21" s="505"/>
      <c r="AP21" s="506"/>
      <c r="AQ21" s="506"/>
      <c r="AR21" s="506"/>
      <c r="AS21" s="506"/>
      <c r="AT21" s="50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8"/>
      <c r="C22" s="488"/>
      <c r="D22" s="489"/>
      <c r="E22" s="526" t="s">
        <v>205</v>
      </c>
      <c r="F22" s="527"/>
      <c r="G22" s="527"/>
      <c r="H22" s="527"/>
      <c r="I22" s="528"/>
      <c r="J22" s="561" t="str">
        <f>IF(AND('Mapa de Riesgos'!$H$12="Media",'Mapa de Riesgos'!$L$12="Leve"),CONCATENATE("R",'Mapa de Riesgos'!$A$12),"")</f>
        <v/>
      </c>
      <c r="K22" s="562"/>
      <c r="L22" s="562" t="str">
        <f>IF(AND('Mapa de Riesgos'!$H$18="Media",'Mapa de Riesgos'!$L$18="Leve"),CONCATENATE("R",'Mapa de Riesgos'!$A$18),"")</f>
        <v/>
      </c>
      <c r="M22" s="562"/>
      <c r="N22" s="562" t="str">
        <f>IF(AND('Mapa de Riesgos'!$H$26="Media",'Mapa de Riesgos'!$L$26="Leve"),CONCATENATE("R",'Mapa de Riesgos'!$A$26),"")</f>
        <v/>
      </c>
      <c r="O22" s="563"/>
      <c r="P22" s="561" t="str">
        <f>IF(AND('Mapa de Riesgos'!$H$12="Media",'Mapa de Riesgos'!$L$12="Menor"),CONCATENATE("R",'Mapa de Riesgos'!$A$12),"")</f>
        <v/>
      </c>
      <c r="Q22" s="562"/>
      <c r="R22" s="562" t="str">
        <f>IF(AND('Mapa de Riesgos'!$H$18="Media",'Mapa de Riesgos'!$L$18="Menor"),CONCATENATE("R",'Mapa de Riesgos'!$A$18),"")</f>
        <v/>
      </c>
      <c r="S22" s="562"/>
      <c r="T22" s="562" t="str">
        <f>IF(AND('Mapa de Riesgos'!$H$26="Media",'Mapa de Riesgos'!$L$26="Menor"),CONCATENATE("R",'Mapa de Riesgos'!$A$26),"")</f>
        <v/>
      </c>
      <c r="U22" s="563"/>
      <c r="V22" s="561" t="str">
        <f>IF(AND('Mapa de Riesgos'!$H$12="Media",'Mapa de Riesgos'!$L$12="Moderado"),CONCATENATE("R",'Mapa de Riesgos'!$A$12),"")</f>
        <v/>
      </c>
      <c r="W22" s="562"/>
      <c r="X22" s="562" t="str">
        <f>IF(AND('Mapa de Riesgos'!$H$18="Media",'Mapa de Riesgos'!$L$18="Moderado"),CONCATENATE("R",'Mapa de Riesgos'!$A$18),"")</f>
        <v>R2</v>
      </c>
      <c r="Y22" s="562"/>
      <c r="Z22" s="562" t="str">
        <f>IF(AND('Mapa de Riesgos'!$H$26="Media",'Mapa de Riesgos'!$L$26="Moderado"),CONCATENATE("R",'Mapa de Riesgos'!$A$26),"")</f>
        <v/>
      </c>
      <c r="AA22" s="563"/>
      <c r="AB22" s="537" t="str">
        <f>IF(AND('Mapa de Riesgos'!$H$12="Media",'Mapa de Riesgos'!$L$12="Mayor"),CONCATENATE("R",'Mapa de Riesgos'!$A$12),"")</f>
        <v/>
      </c>
      <c r="AC22" s="538"/>
      <c r="AD22" s="538" t="str">
        <f>IF(AND('Mapa de Riesgos'!$H$18="Media",'Mapa de Riesgos'!$L$18="Mayor"),CONCATENATE("R",'Mapa de Riesgos'!$A$18),"")</f>
        <v/>
      </c>
      <c r="AE22" s="538"/>
      <c r="AF22" s="538" t="str">
        <f>IF(AND('Mapa de Riesgos'!$H$26="Media",'Mapa de Riesgos'!$L$26="Mayor"),CONCATENATE("R",'Mapa de Riesgos'!$A$26),"")</f>
        <v/>
      </c>
      <c r="AG22" s="540"/>
      <c r="AH22" s="552" t="str">
        <f>IF(AND('Mapa de Riesgos'!$H$12="Media",'Mapa de Riesgos'!$L$12="Catastrófico"),CONCATENATE("R",'Mapa de Riesgos'!$A$12),"")</f>
        <v>R1</v>
      </c>
      <c r="AI22" s="553"/>
      <c r="AJ22" s="553" t="str">
        <f>IF(AND('Mapa de Riesgos'!$H$18="Media",'Mapa de Riesgos'!$L$18="Catastrófico"),CONCATENATE("R",'Mapa de Riesgos'!$A$18),"")</f>
        <v/>
      </c>
      <c r="AK22" s="553"/>
      <c r="AL22" s="553" t="str">
        <f>IF(AND('Mapa de Riesgos'!$H$26="Media",'Mapa de Riesgos'!$L$26="Catastrófico"),CONCATENATE("R",'Mapa de Riesgos'!$A$26),"")</f>
        <v/>
      </c>
      <c r="AM22" s="554"/>
      <c r="AN22" s="83"/>
      <c r="AO22" s="508" t="s">
        <v>206</v>
      </c>
      <c r="AP22" s="509"/>
      <c r="AQ22" s="509"/>
      <c r="AR22" s="509"/>
      <c r="AS22" s="509"/>
      <c r="AT22" s="51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8"/>
      <c r="C23" s="488"/>
      <c r="D23" s="489"/>
      <c r="E23" s="529"/>
      <c r="F23" s="530"/>
      <c r="G23" s="530"/>
      <c r="H23" s="530"/>
      <c r="I23" s="531"/>
      <c r="J23" s="555"/>
      <c r="K23" s="556"/>
      <c r="L23" s="556"/>
      <c r="M23" s="556"/>
      <c r="N23" s="556"/>
      <c r="O23" s="557"/>
      <c r="P23" s="555"/>
      <c r="Q23" s="556"/>
      <c r="R23" s="556"/>
      <c r="S23" s="556"/>
      <c r="T23" s="556"/>
      <c r="U23" s="557"/>
      <c r="V23" s="555"/>
      <c r="W23" s="556"/>
      <c r="X23" s="556"/>
      <c r="Y23" s="556"/>
      <c r="Z23" s="556"/>
      <c r="AA23" s="557"/>
      <c r="AB23" s="539"/>
      <c r="AC23" s="535"/>
      <c r="AD23" s="535"/>
      <c r="AE23" s="535"/>
      <c r="AF23" s="535"/>
      <c r="AG23" s="536"/>
      <c r="AH23" s="546"/>
      <c r="AI23" s="547"/>
      <c r="AJ23" s="547"/>
      <c r="AK23" s="547"/>
      <c r="AL23" s="547"/>
      <c r="AM23" s="548"/>
      <c r="AN23" s="83"/>
      <c r="AO23" s="511"/>
      <c r="AP23" s="512"/>
      <c r="AQ23" s="512"/>
      <c r="AR23" s="512"/>
      <c r="AS23" s="512"/>
      <c r="AT23" s="51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8"/>
      <c r="C24" s="488"/>
      <c r="D24" s="489"/>
      <c r="E24" s="529"/>
      <c r="F24" s="530"/>
      <c r="G24" s="530"/>
      <c r="H24" s="530"/>
      <c r="I24" s="531"/>
      <c r="J24" s="555" t="str">
        <f>IF(AND('Mapa de Riesgos'!$H$32="Media",'Mapa de Riesgos'!$L$32="Leve"),CONCATENATE("R",'Mapa de Riesgos'!$A$32),"")</f>
        <v/>
      </c>
      <c r="K24" s="556"/>
      <c r="L24" s="556" t="str">
        <f>IF(AND('Mapa de Riesgos'!$H$38="Media",'Mapa de Riesgos'!$L$38="Leve"),CONCATENATE("R",'Mapa de Riesgos'!$A$38),"")</f>
        <v/>
      </c>
      <c r="M24" s="556"/>
      <c r="N24" s="556" t="str">
        <f>IF(AND('Mapa de Riesgos'!$H$44="Media",'Mapa de Riesgos'!$L$44="Leve"),CONCATENATE("R",'Mapa de Riesgos'!$A$44),"")</f>
        <v/>
      </c>
      <c r="O24" s="557"/>
      <c r="P24" s="555" t="str">
        <f>IF(AND('Mapa de Riesgos'!$H$32="Media",'Mapa de Riesgos'!$L$32="Menor"),CONCATENATE("R",'Mapa de Riesgos'!$A$32),"")</f>
        <v/>
      </c>
      <c r="Q24" s="556"/>
      <c r="R24" s="556" t="str">
        <f>IF(AND('Mapa de Riesgos'!$H$38="Media",'Mapa de Riesgos'!$L$38="Menor"),CONCATENATE("R",'Mapa de Riesgos'!$A$38),"")</f>
        <v/>
      </c>
      <c r="S24" s="556"/>
      <c r="T24" s="556" t="str">
        <f>IF(AND('Mapa de Riesgos'!$H$44="Media",'Mapa de Riesgos'!$L$44="Menor"),CONCATENATE("R",'Mapa de Riesgos'!$A$44),"")</f>
        <v/>
      </c>
      <c r="U24" s="557"/>
      <c r="V24" s="555" t="str">
        <f>IF(AND('Mapa de Riesgos'!$H$32="Media",'Mapa de Riesgos'!$L$32="Moderado"),CONCATENATE("R",'Mapa de Riesgos'!$A$32),"")</f>
        <v>R4</v>
      </c>
      <c r="W24" s="556"/>
      <c r="X24" s="556" t="str">
        <f>IF(AND('Mapa de Riesgos'!$H$38="Media",'Mapa de Riesgos'!$L$38="Moderado"),CONCATENATE("R",'Mapa de Riesgos'!$A$38),"")</f>
        <v/>
      </c>
      <c r="Y24" s="556"/>
      <c r="Z24" s="556" t="str">
        <f>IF(AND('Mapa de Riesgos'!$H$44="Media",'Mapa de Riesgos'!$L$44="Moderado"),CONCATENATE("R",'Mapa de Riesgos'!$A$44),"")</f>
        <v/>
      </c>
      <c r="AA24" s="557"/>
      <c r="AB24" s="539" t="str">
        <f>IF(AND('Mapa de Riesgos'!$H$32="Media",'Mapa de Riesgos'!$L$32="Mayor"),CONCATENATE("R",'Mapa de Riesgos'!$A$32),"")</f>
        <v/>
      </c>
      <c r="AC24" s="535"/>
      <c r="AD24" s="535" t="str">
        <f>IF(AND('Mapa de Riesgos'!$H$38="Media",'Mapa de Riesgos'!$L$38="Mayor"),CONCATENATE("R",'Mapa de Riesgos'!$A$38),"")</f>
        <v/>
      </c>
      <c r="AE24" s="535"/>
      <c r="AF24" s="535" t="str">
        <f>IF(AND('Mapa de Riesgos'!$H$44="Media",'Mapa de Riesgos'!$L$44="Mayor"),CONCATENATE("R",'Mapa de Riesgos'!$A$44),"")</f>
        <v/>
      </c>
      <c r="AG24" s="536"/>
      <c r="AH24" s="546" t="str">
        <f>IF(AND('Mapa de Riesgos'!$H$32="Media",'Mapa de Riesgos'!$L$32="Catastrófico"),CONCATENATE("R",'Mapa de Riesgos'!$A$32),"")</f>
        <v/>
      </c>
      <c r="AI24" s="547"/>
      <c r="AJ24" s="547" t="str">
        <f>IF(AND('Mapa de Riesgos'!$H$38="Media",'Mapa de Riesgos'!$L$38="Catastrófico"),CONCATENATE("R",'Mapa de Riesgos'!$A$38),"")</f>
        <v/>
      </c>
      <c r="AK24" s="547"/>
      <c r="AL24" s="547" t="str">
        <f>IF(AND('Mapa de Riesgos'!$H$44="Media",'Mapa de Riesgos'!$L$44="Catastrófico"),CONCATENATE("R",'Mapa de Riesgos'!$A$44),"")</f>
        <v/>
      </c>
      <c r="AM24" s="548"/>
      <c r="AN24" s="83"/>
      <c r="AO24" s="511"/>
      <c r="AP24" s="512"/>
      <c r="AQ24" s="512"/>
      <c r="AR24" s="512"/>
      <c r="AS24" s="512"/>
      <c r="AT24" s="51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8"/>
      <c r="C25" s="488"/>
      <c r="D25" s="489"/>
      <c r="E25" s="529"/>
      <c r="F25" s="530"/>
      <c r="G25" s="530"/>
      <c r="H25" s="530"/>
      <c r="I25" s="531"/>
      <c r="J25" s="555"/>
      <c r="K25" s="556"/>
      <c r="L25" s="556"/>
      <c r="M25" s="556"/>
      <c r="N25" s="556"/>
      <c r="O25" s="557"/>
      <c r="P25" s="555"/>
      <c r="Q25" s="556"/>
      <c r="R25" s="556"/>
      <c r="S25" s="556"/>
      <c r="T25" s="556"/>
      <c r="U25" s="557"/>
      <c r="V25" s="555"/>
      <c r="W25" s="556"/>
      <c r="X25" s="556"/>
      <c r="Y25" s="556"/>
      <c r="Z25" s="556"/>
      <c r="AA25" s="557"/>
      <c r="AB25" s="539"/>
      <c r="AC25" s="535"/>
      <c r="AD25" s="535"/>
      <c r="AE25" s="535"/>
      <c r="AF25" s="535"/>
      <c r="AG25" s="536"/>
      <c r="AH25" s="546"/>
      <c r="AI25" s="547"/>
      <c r="AJ25" s="547"/>
      <c r="AK25" s="547"/>
      <c r="AL25" s="547"/>
      <c r="AM25" s="548"/>
      <c r="AN25" s="83"/>
      <c r="AO25" s="511"/>
      <c r="AP25" s="512"/>
      <c r="AQ25" s="512"/>
      <c r="AR25" s="512"/>
      <c r="AS25" s="512"/>
      <c r="AT25" s="51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8"/>
      <c r="C26" s="488"/>
      <c r="D26" s="489"/>
      <c r="E26" s="529"/>
      <c r="F26" s="530"/>
      <c r="G26" s="530"/>
      <c r="H26" s="530"/>
      <c r="I26" s="531"/>
      <c r="J26" s="555" t="str">
        <f>IF(AND('Mapa de Riesgos'!$H$50="Media",'Mapa de Riesgos'!$L$50="Leve"),CONCATENATE("R",'Mapa de Riesgos'!$A$50),"")</f>
        <v/>
      </c>
      <c r="K26" s="556"/>
      <c r="L26" s="556" t="str">
        <f>IF(AND('Mapa de Riesgos'!$H$56="Media",'Mapa de Riesgos'!$L$56="Leve"),CONCATENATE("R",'Mapa de Riesgos'!$A$56),"")</f>
        <v/>
      </c>
      <c r="M26" s="556"/>
      <c r="N26" s="556" t="str">
        <f>IF(AND('Mapa de Riesgos'!$H$62="Media",'Mapa de Riesgos'!$L$62="Leve"),CONCATENATE("R",'Mapa de Riesgos'!$A$62),"")</f>
        <v/>
      </c>
      <c r="O26" s="557"/>
      <c r="P26" s="555" t="str">
        <f>IF(AND('Mapa de Riesgos'!$H$50="Media",'Mapa de Riesgos'!$L$50="Menor"),CONCATENATE("R",'Mapa de Riesgos'!$A$50),"")</f>
        <v/>
      </c>
      <c r="Q26" s="556"/>
      <c r="R26" s="556" t="str">
        <f>IF(AND('Mapa de Riesgos'!$H$56="Media",'Mapa de Riesgos'!$L$56="Menor"),CONCATENATE("R",'Mapa de Riesgos'!$A$56),"")</f>
        <v/>
      </c>
      <c r="S26" s="556"/>
      <c r="T26" s="556" t="str">
        <f>IF(AND('Mapa de Riesgos'!$H$62="Media",'Mapa de Riesgos'!$L$62="Menor"),CONCATENATE("R",'Mapa de Riesgos'!$A$62),"")</f>
        <v/>
      </c>
      <c r="U26" s="557"/>
      <c r="V26" s="555" t="str">
        <f>IF(AND('Mapa de Riesgos'!$H$50="Media",'Mapa de Riesgos'!$L$50="Moderado"),CONCATENATE("R",'Mapa de Riesgos'!$A$50),"")</f>
        <v/>
      </c>
      <c r="W26" s="556"/>
      <c r="X26" s="556" t="str">
        <f>IF(AND('Mapa de Riesgos'!$H$56="Media",'Mapa de Riesgos'!$L$56="Moderado"),CONCATENATE("R",'Mapa de Riesgos'!$A$56),"")</f>
        <v/>
      </c>
      <c r="Y26" s="556"/>
      <c r="Z26" s="556" t="str">
        <f>IF(AND('Mapa de Riesgos'!$H$62="Media",'Mapa de Riesgos'!$L$62="Moderado"),CONCATENATE("R",'Mapa de Riesgos'!$A$62),"")</f>
        <v/>
      </c>
      <c r="AA26" s="557"/>
      <c r="AB26" s="539" t="str">
        <f>IF(AND('Mapa de Riesgos'!$H$50="Media",'Mapa de Riesgos'!$L$50="Mayor"),CONCATENATE("R",'Mapa de Riesgos'!$A$50),"")</f>
        <v/>
      </c>
      <c r="AC26" s="535"/>
      <c r="AD26" s="535" t="str">
        <f>IF(AND('Mapa de Riesgos'!$H$56="Media",'Mapa de Riesgos'!$L$56="Mayor"),CONCATENATE("R",'Mapa de Riesgos'!$A$56),"")</f>
        <v/>
      </c>
      <c r="AE26" s="535"/>
      <c r="AF26" s="535" t="str">
        <f>IF(AND('Mapa de Riesgos'!$H$62="Media",'Mapa de Riesgos'!$L$62="Mayor"),CONCATENATE("R",'Mapa de Riesgos'!$A$62),"")</f>
        <v/>
      </c>
      <c r="AG26" s="536"/>
      <c r="AH26" s="546" t="str">
        <f>IF(AND('Mapa de Riesgos'!$H$50="Media",'Mapa de Riesgos'!$L$50="Catastrófico"),CONCATENATE("R",'Mapa de Riesgos'!$A$50),"")</f>
        <v/>
      </c>
      <c r="AI26" s="547"/>
      <c r="AJ26" s="547" t="str">
        <f>IF(AND('Mapa de Riesgos'!$H$56="Media",'Mapa de Riesgos'!$L$56="Catastrófico"),CONCATENATE("R",'Mapa de Riesgos'!$A$56),"")</f>
        <v/>
      </c>
      <c r="AK26" s="547"/>
      <c r="AL26" s="547" t="str">
        <f>IF(AND('Mapa de Riesgos'!$H$62="Media",'Mapa de Riesgos'!$L$62="Catastrófico"),CONCATENATE("R",'Mapa de Riesgos'!$A$62),"")</f>
        <v/>
      </c>
      <c r="AM26" s="548"/>
      <c r="AN26" s="83"/>
      <c r="AO26" s="511"/>
      <c r="AP26" s="512"/>
      <c r="AQ26" s="512"/>
      <c r="AR26" s="512"/>
      <c r="AS26" s="512"/>
      <c r="AT26" s="51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8"/>
      <c r="C27" s="488"/>
      <c r="D27" s="489"/>
      <c r="E27" s="529"/>
      <c r="F27" s="530"/>
      <c r="G27" s="530"/>
      <c r="H27" s="530"/>
      <c r="I27" s="531"/>
      <c r="J27" s="555"/>
      <c r="K27" s="556"/>
      <c r="L27" s="556"/>
      <c r="M27" s="556"/>
      <c r="N27" s="556"/>
      <c r="O27" s="557"/>
      <c r="P27" s="555"/>
      <c r="Q27" s="556"/>
      <c r="R27" s="556"/>
      <c r="S27" s="556"/>
      <c r="T27" s="556"/>
      <c r="U27" s="557"/>
      <c r="V27" s="555"/>
      <c r="W27" s="556"/>
      <c r="X27" s="556"/>
      <c r="Y27" s="556"/>
      <c r="Z27" s="556"/>
      <c r="AA27" s="557"/>
      <c r="AB27" s="539"/>
      <c r="AC27" s="535"/>
      <c r="AD27" s="535"/>
      <c r="AE27" s="535"/>
      <c r="AF27" s="535"/>
      <c r="AG27" s="536"/>
      <c r="AH27" s="546"/>
      <c r="AI27" s="547"/>
      <c r="AJ27" s="547"/>
      <c r="AK27" s="547"/>
      <c r="AL27" s="547"/>
      <c r="AM27" s="548"/>
      <c r="AN27" s="83"/>
      <c r="AO27" s="511"/>
      <c r="AP27" s="512"/>
      <c r="AQ27" s="512"/>
      <c r="AR27" s="512"/>
      <c r="AS27" s="512"/>
      <c r="AT27" s="51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8"/>
      <c r="C28" s="488"/>
      <c r="D28" s="489"/>
      <c r="E28" s="529"/>
      <c r="F28" s="530"/>
      <c r="G28" s="530"/>
      <c r="H28" s="530"/>
      <c r="I28" s="531"/>
      <c r="J28" s="555" t="str">
        <f>IF(AND('Mapa de Riesgos'!$H$68="Media",'Mapa de Riesgos'!$L$68="Leve"),CONCATENATE("R",'Mapa de Riesgos'!$A$68),"")</f>
        <v/>
      </c>
      <c r="K28" s="556"/>
      <c r="L28" s="556" t="str">
        <f>IF(AND('Mapa de Riesgos'!$H$74="Media",'Mapa de Riesgos'!$L$74="Leve"),CONCATENATE("R",'Mapa de Riesgos'!$A$74),"")</f>
        <v/>
      </c>
      <c r="M28" s="556"/>
      <c r="N28" s="556" t="str">
        <f>IF(AND('Mapa de Riesgos'!$H$78="Media",'Mapa de Riesgos'!$L$78="Leve"),CONCATENATE("R",'Mapa de Riesgos'!$A$78),"")</f>
        <v/>
      </c>
      <c r="O28" s="557"/>
      <c r="P28" s="555" t="str">
        <f>IF(AND('Mapa de Riesgos'!$H$68="Media",'Mapa de Riesgos'!$L$68="Menor"),CONCATENATE("R",'Mapa de Riesgos'!$A$68),"")</f>
        <v/>
      </c>
      <c r="Q28" s="556"/>
      <c r="R28" s="556" t="str">
        <f>IF(AND('Mapa de Riesgos'!$H$74="Media",'Mapa de Riesgos'!$L$74="Menor"),CONCATENATE("R",'Mapa de Riesgos'!$A$74),"")</f>
        <v/>
      </c>
      <c r="S28" s="556"/>
      <c r="T28" s="556" t="str">
        <f>IF(AND('Mapa de Riesgos'!$H$78="Media",'Mapa de Riesgos'!$L$78="Menor"),CONCATENATE("R",'Mapa de Riesgos'!$A$78),"")</f>
        <v/>
      </c>
      <c r="U28" s="557"/>
      <c r="V28" s="555" t="str">
        <f>IF(AND('Mapa de Riesgos'!$H$68="Media",'Mapa de Riesgos'!$L$68="Moderado"),CONCATENATE("R",'Mapa de Riesgos'!$A$68),"")</f>
        <v/>
      </c>
      <c r="W28" s="556"/>
      <c r="X28" s="556" t="str">
        <f>IF(AND('Mapa de Riesgos'!$H$74="Media",'Mapa de Riesgos'!$L$74="Moderado"),CONCATENATE("R",'Mapa de Riesgos'!$A$74),"")</f>
        <v/>
      </c>
      <c r="Y28" s="556"/>
      <c r="Z28" s="556" t="str">
        <f>IF(AND('Mapa de Riesgos'!$H$78="Media",'Mapa de Riesgos'!$L$78="Moderado"),CONCATENATE("R",'Mapa de Riesgos'!$A$78),"")</f>
        <v/>
      </c>
      <c r="AA28" s="557"/>
      <c r="AB28" s="539" t="str">
        <f>IF(AND('Mapa de Riesgos'!$H$68="Media",'Mapa de Riesgos'!$L$68="Mayor"),CONCATENATE("R",'Mapa de Riesgos'!$A$68),"")</f>
        <v/>
      </c>
      <c r="AC28" s="535"/>
      <c r="AD28" s="535" t="str">
        <f>IF(AND('Mapa de Riesgos'!$H$74="Media",'Mapa de Riesgos'!$L$74="Mayor"),CONCATENATE("R",'Mapa de Riesgos'!$A$74),"")</f>
        <v/>
      </c>
      <c r="AE28" s="535"/>
      <c r="AF28" s="535" t="str">
        <f>IF(AND('Mapa de Riesgos'!$H$78="Media",'Mapa de Riesgos'!$L$78="Mayor"),CONCATENATE("R",'Mapa de Riesgos'!$A$78),"")</f>
        <v/>
      </c>
      <c r="AG28" s="536"/>
      <c r="AH28" s="546" t="str">
        <f>IF(AND('Mapa de Riesgos'!$H$68="Media",'Mapa de Riesgos'!$L$68="Catastrófico"),CONCATENATE("R",'Mapa de Riesgos'!$A$68),"")</f>
        <v/>
      </c>
      <c r="AI28" s="547"/>
      <c r="AJ28" s="547" t="str">
        <f>IF(AND('Mapa de Riesgos'!$H$74="Media",'Mapa de Riesgos'!$L$74="Catastrófico"),CONCATENATE("R",'Mapa de Riesgos'!$A$74),"")</f>
        <v/>
      </c>
      <c r="AK28" s="547"/>
      <c r="AL28" s="547" t="str">
        <f>IF(AND('Mapa de Riesgos'!$H$78="Media",'Mapa de Riesgos'!$L$78="Catastrófico"),CONCATENATE("R",'Mapa de Riesgos'!$A$78),"")</f>
        <v/>
      </c>
      <c r="AM28" s="548"/>
      <c r="AN28" s="83"/>
      <c r="AO28" s="511"/>
      <c r="AP28" s="512"/>
      <c r="AQ28" s="512"/>
      <c r="AR28" s="512"/>
      <c r="AS28" s="512"/>
      <c r="AT28" s="51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8"/>
      <c r="C29" s="488"/>
      <c r="D29" s="489"/>
      <c r="E29" s="532"/>
      <c r="F29" s="533"/>
      <c r="G29" s="533"/>
      <c r="H29" s="533"/>
      <c r="I29" s="534"/>
      <c r="J29" s="555"/>
      <c r="K29" s="556"/>
      <c r="L29" s="556"/>
      <c r="M29" s="556"/>
      <c r="N29" s="556"/>
      <c r="O29" s="557"/>
      <c r="P29" s="558"/>
      <c r="Q29" s="559"/>
      <c r="R29" s="559"/>
      <c r="S29" s="559"/>
      <c r="T29" s="559"/>
      <c r="U29" s="560"/>
      <c r="V29" s="558"/>
      <c r="W29" s="559"/>
      <c r="X29" s="559"/>
      <c r="Y29" s="559"/>
      <c r="Z29" s="559"/>
      <c r="AA29" s="560"/>
      <c r="AB29" s="543"/>
      <c r="AC29" s="544"/>
      <c r="AD29" s="544"/>
      <c r="AE29" s="544"/>
      <c r="AF29" s="544"/>
      <c r="AG29" s="545"/>
      <c r="AH29" s="549"/>
      <c r="AI29" s="550"/>
      <c r="AJ29" s="550"/>
      <c r="AK29" s="550"/>
      <c r="AL29" s="550"/>
      <c r="AM29" s="551"/>
      <c r="AN29" s="83"/>
      <c r="AO29" s="514"/>
      <c r="AP29" s="515"/>
      <c r="AQ29" s="515"/>
      <c r="AR29" s="515"/>
      <c r="AS29" s="515"/>
      <c r="AT29" s="51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8"/>
      <c r="C30" s="488"/>
      <c r="D30" s="489"/>
      <c r="E30" s="526" t="s">
        <v>207</v>
      </c>
      <c r="F30" s="527"/>
      <c r="G30" s="527"/>
      <c r="H30" s="527"/>
      <c r="I30" s="527"/>
      <c r="J30" s="570" t="str">
        <f>IF(AND('Mapa de Riesgos'!$H$12="Baja",'Mapa de Riesgos'!$L$12="Leve"),CONCATENATE("R",'Mapa de Riesgos'!$A$12),"")</f>
        <v/>
      </c>
      <c r="K30" s="571"/>
      <c r="L30" s="571" t="str">
        <f>IF(AND('Mapa de Riesgos'!$H$18="Baja",'Mapa de Riesgos'!$L$18="Leve"),CONCATENATE("R",'Mapa de Riesgos'!$A$18),"")</f>
        <v/>
      </c>
      <c r="M30" s="571"/>
      <c r="N30" s="571" t="str">
        <f>IF(AND('Mapa de Riesgos'!$H$26="Baja",'Mapa de Riesgos'!$L$26="Leve"),CONCATENATE("R",'Mapa de Riesgos'!$A$26),"")</f>
        <v/>
      </c>
      <c r="O30" s="572"/>
      <c r="P30" s="562" t="str">
        <f>IF(AND('Mapa de Riesgos'!$H$12="Baja",'Mapa de Riesgos'!$L$12="Menor"),CONCATENATE("R",'Mapa de Riesgos'!$A$12),"")</f>
        <v/>
      </c>
      <c r="Q30" s="562"/>
      <c r="R30" s="562" t="str">
        <f>IF(AND('Mapa de Riesgos'!$H$18="Baja",'Mapa de Riesgos'!$L$18="Menor"),CONCATENATE("R",'Mapa de Riesgos'!$A$18),"")</f>
        <v/>
      </c>
      <c r="S30" s="562"/>
      <c r="T30" s="562" t="str">
        <f>IF(AND('Mapa de Riesgos'!$H$26="Baja",'Mapa de Riesgos'!$L$26="Menor"),CONCATENATE("R",'Mapa de Riesgos'!$A$26),"")</f>
        <v/>
      </c>
      <c r="U30" s="563"/>
      <c r="V30" s="561" t="str">
        <f>IF(AND('Mapa de Riesgos'!$H$12="Baja",'Mapa de Riesgos'!$L$12="Moderado"),CONCATENATE("R",'Mapa de Riesgos'!$A$12),"")</f>
        <v/>
      </c>
      <c r="W30" s="562"/>
      <c r="X30" s="562" t="str">
        <f>IF(AND('Mapa de Riesgos'!$H$18="Baja",'Mapa de Riesgos'!$L$18="Moderado"),CONCATENATE("R",'Mapa de Riesgos'!$A$18),"")</f>
        <v/>
      </c>
      <c r="Y30" s="562"/>
      <c r="Z30" s="562" t="str">
        <f>IF(AND('Mapa de Riesgos'!$H$26="Baja",'Mapa de Riesgos'!$L$26="Moderado"),CONCATENATE("R",'Mapa de Riesgos'!$A$26),"")</f>
        <v/>
      </c>
      <c r="AA30" s="563"/>
      <c r="AB30" s="537" t="str">
        <f>IF(AND('Mapa de Riesgos'!$H$12="Baja",'Mapa de Riesgos'!$L$12="Mayor"),CONCATENATE("R",'Mapa de Riesgos'!$A$12),"")</f>
        <v/>
      </c>
      <c r="AC30" s="538"/>
      <c r="AD30" s="538" t="str">
        <f>IF(AND('Mapa de Riesgos'!$H$18="Baja",'Mapa de Riesgos'!$L$18="Mayor"),CONCATENATE("R",'Mapa de Riesgos'!$A$18),"")</f>
        <v/>
      </c>
      <c r="AE30" s="538"/>
      <c r="AF30" s="538" t="str">
        <f>IF(AND('Mapa de Riesgos'!$H$26="Baja",'Mapa de Riesgos'!$L$26="Mayor"),CONCATENATE("R",'Mapa de Riesgos'!$A$26),"")</f>
        <v/>
      </c>
      <c r="AG30" s="540"/>
      <c r="AH30" s="552" t="str">
        <f>IF(AND('Mapa de Riesgos'!$H$12="Baja",'Mapa de Riesgos'!$L$12="Catastrófico"),CONCATENATE("R",'Mapa de Riesgos'!$A$12),"")</f>
        <v/>
      </c>
      <c r="AI30" s="553"/>
      <c r="AJ30" s="553" t="str">
        <f>IF(AND('Mapa de Riesgos'!$H$18="Baja",'Mapa de Riesgos'!$L$18="Catastrófico"),CONCATENATE("R",'Mapa de Riesgos'!$A$18),"")</f>
        <v/>
      </c>
      <c r="AK30" s="553"/>
      <c r="AL30" s="553" t="str">
        <f>IF(AND('Mapa de Riesgos'!$H$26="Baja",'Mapa de Riesgos'!$L$26="Catastrófico"),CONCATENATE("R",'Mapa de Riesgos'!$A$26),"")</f>
        <v>R3</v>
      </c>
      <c r="AM30" s="554"/>
      <c r="AN30" s="83"/>
      <c r="AO30" s="517" t="s">
        <v>208</v>
      </c>
      <c r="AP30" s="518"/>
      <c r="AQ30" s="518"/>
      <c r="AR30" s="518"/>
      <c r="AS30" s="518"/>
      <c r="AT30" s="51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8"/>
      <c r="C31" s="488"/>
      <c r="D31" s="489"/>
      <c r="E31" s="529"/>
      <c r="F31" s="530"/>
      <c r="G31" s="530"/>
      <c r="H31" s="530"/>
      <c r="I31" s="530"/>
      <c r="J31" s="566"/>
      <c r="K31" s="564"/>
      <c r="L31" s="564"/>
      <c r="M31" s="564"/>
      <c r="N31" s="564"/>
      <c r="O31" s="565"/>
      <c r="P31" s="556"/>
      <c r="Q31" s="556"/>
      <c r="R31" s="556"/>
      <c r="S31" s="556"/>
      <c r="T31" s="556"/>
      <c r="U31" s="557"/>
      <c r="V31" s="555"/>
      <c r="W31" s="556"/>
      <c r="X31" s="556"/>
      <c r="Y31" s="556"/>
      <c r="Z31" s="556"/>
      <c r="AA31" s="557"/>
      <c r="AB31" s="539"/>
      <c r="AC31" s="535"/>
      <c r="AD31" s="535"/>
      <c r="AE31" s="535"/>
      <c r="AF31" s="535"/>
      <c r="AG31" s="536"/>
      <c r="AH31" s="546"/>
      <c r="AI31" s="547"/>
      <c r="AJ31" s="547"/>
      <c r="AK31" s="547"/>
      <c r="AL31" s="547"/>
      <c r="AM31" s="548"/>
      <c r="AN31" s="83"/>
      <c r="AO31" s="520"/>
      <c r="AP31" s="521"/>
      <c r="AQ31" s="521"/>
      <c r="AR31" s="521"/>
      <c r="AS31" s="521"/>
      <c r="AT31" s="52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8"/>
      <c r="C32" s="488"/>
      <c r="D32" s="489"/>
      <c r="E32" s="529"/>
      <c r="F32" s="530"/>
      <c r="G32" s="530"/>
      <c r="H32" s="530"/>
      <c r="I32" s="530"/>
      <c r="J32" s="566" t="str">
        <f>IF(AND('Mapa de Riesgos'!$H$32="Baja",'Mapa de Riesgos'!$L$32="Leve"),CONCATENATE("R",'Mapa de Riesgos'!$A$32),"")</f>
        <v/>
      </c>
      <c r="K32" s="564"/>
      <c r="L32" s="564" t="str">
        <f>IF(AND('Mapa de Riesgos'!$H$38="Baja",'Mapa de Riesgos'!$L$38="Leve"),CONCATENATE("R",'Mapa de Riesgos'!$A$38),"")</f>
        <v/>
      </c>
      <c r="M32" s="564"/>
      <c r="N32" s="564" t="str">
        <f>IF(AND('Mapa de Riesgos'!$H$44="Baja",'Mapa de Riesgos'!$L$44="Leve"),CONCATENATE("R",'Mapa de Riesgos'!$A$44),"")</f>
        <v/>
      </c>
      <c r="O32" s="565"/>
      <c r="P32" s="556" t="str">
        <f>IF(AND('Mapa de Riesgos'!$H$32="Baja",'Mapa de Riesgos'!$L$32="Menor"),CONCATENATE("R",'Mapa de Riesgos'!$A$32),"")</f>
        <v/>
      </c>
      <c r="Q32" s="556"/>
      <c r="R32" s="556" t="str">
        <f>IF(AND('Mapa de Riesgos'!$H$38="Baja",'Mapa de Riesgos'!$L$38="Menor"),CONCATENATE("R",'Mapa de Riesgos'!$A$38),"")</f>
        <v/>
      </c>
      <c r="S32" s="556"/>
      <c r="T32" s="556" t="str">
        <f>IF(AND('Mapa de Riesgos'!$H$44="Baja",'Mapa de Riesgos'!$L$44="Menor"),CONCATENATE("R",'Mapa de Riesgos'!$A$44),"")</f>
        <v/>
      </c>
      <c r="U32" s="557"/>
      <c r="V32" s="555" t="str">
        <f>IF(AND('Mapa de Riesgos'!$H$32="Baja",'Mapa de Riesgos'!$L$32="Moderado"),CONCATENATE("R",'Mapa de Riesgos'!$A$32),"")</f>
        <v/>
      </c>
      <c r="W32" s="556"/>
      <c r="X32" s="556" t="str">
        <f>IF(AND('Mapa de Riesgos'!$H$38="Baja",'Mapa de Riesgos'!$L$38="Moderado"),CONCATENATE("R",'Mapa de Riesgos'!$A$38),"")</f>
        <v/>
      </c>
      <c r="Y32" s="556"/>
      <c r="Z32" s="556" t="str">
        <f>IF(AND('Mapa de Riesgos'!$H$44="Baja",'Mapa de Riesgos'!$L$44="Moderado"),CONCATENATE("R",'Mapa de Riesgos'!$A$44),"")</f>
        <v/>
      </c>
      <c r="AA32" s="557"/>
      <c r="AB32" s="539" t="str">
        <f>IF(AND('Mapa de Riesgos'!$H$32="Baja",'Mapa de Riesgos'!$L$32="Mayor"),CONCATENATE("R",'Mapa de Riesgos'!$A$32),"")</f>
        <v/>
      </c>
      <c r="AC32" s="535"/>
      <c r="AD32" s="535" t="str">
        <f>IF(AND('Mapa de Riesgos'!$H$38="Baja",'Mapa de Riesgos'!$L$38="Mayor"),CONCATENATE("R",'Mapa de Riesgos'!$A$38),"")</f>
        <v/>
      </c>
      <c r="AE32" s="535"/>
      <c r="AF32" s="535" t="str">
        <f>IF(AND('Mapa de Riesgos'!$H$44="Baja",'Mapa de Riesgos'!$L$44="Mayor"),CONCATENATE("R",'Mapa de Riesgos'!$A$44),"")</f>
        <v/>
      </c>
      <c r="AG32" s="536"/>
      <c r="AH32" s="546" t="str">
        <f>IF(AND('Mapa de Riesgos'!$H$32="Baja",'Mapa de Riesgos'!$L$32="Catastrófico"),CONCATENATE("R",'Mapa de Riesgos'!$A$32),"")</f>
        <v/>
      </c>
      <c r="AI32" s="547"/>
      <c r="AJ32" s="547" t="str">
        <f>IF(AND('Mapa de Riesgos'!$H$38="Baja",'Mapa de Riesgos'!$L$38="Catastrófico"),CONCATENATE("R",'Mapa de Riesgos'!$A$38),"")</f>
        <v/>
      </c>
      <c r="AK32" s="547"/>
      <c r="AL32" s="547" t="str">
        <f>IF(AND('Mapa de Riesgos'!$H$44="Baja",'Mapa de Riesgos'!$L$44="Catastrófico"),CONCATENATE("R",'Mapa de Riesgos'!$A$44),"")</f>
        <v/>
      </c>
      <c r="AM32" s="548"/>
      <c r="AN32" s="83"/>
      <c r="AO32" s="520"/>
      <c r="AP32" s="521"/>
      <c r="AQ32" s="521"/>
      <c r="AR32" s="521"/>
      <c r="AS32" s="521"/>
      <c r="AT32" s="52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8"/>
      <c r="C33" s="488"/>
      <c r="D33" s="489"/>
      <c r="E33" s="529"/>
      <c r="F33" s="530"/>
      <c r="G33" s="530"/>
      <c r="H33" s="530"/>
      <c r="I33" s="530"/>
      <c r="J33" s="566"/>
      <c r="K33" s="564"/>
      <c r="L33" s="564"/>
      <c r="M33" s="564"/>
      <c r="N33" s="564"/>
      <c r="O33" s="565"/>
      <c r="P33" s="556"/>
      <c r="Q33" s="556"/>
      <c r="R33" s="556"/>
      <c r="S33" s="556"/>
      <c r="T33" s="556"/>
      <c r="U33" s="557"/>
      <c r="V33" s="555"/>
      <c r="W33" s="556"/>
      <c r="X33" s="556"/>
      <c r="Y33" s="556"/>
      <c r="Z33" s="556"/>
      <c r="AA33" s="557"/>
      <c r="AB33" s="539"/>
      <c r="AC33" s="535"/>
      <c r="AD33" s="535"/>
      <c r="AE33" s="535"/>
      <c r="AF33" s="535"/>
      <c r="AG33" s="536"/>
      <c r="AH33" s="546"/>
      <c r="AI33" s="547"/>
      <c r="AJ33" s="547"/>
      <c r="AK33" s="547"/>
      <c r="AL33" s="547"/>
      <c r="AM33" s="548"/>
      <c r="AN33" s="83"/>
      <c r="AO33" s="520"/>
      <c r="AP33" s="521"/>
      <c r="AQ33" s="521"/>
      <c r="AR33" s="521"/>
      <c r="AS33" s="521"/>
      <c r="AT33" s="52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8"/>
      <c r="C34" s="488"/>
      <c r="D34" s="489"/>
      <c r="E34" s="529"/>
      <c r="F34" s="530"/>
      <c r="G34" s="530"/>
      <c r="H34" s="530"/>
      <c r="I34" s="530"/>
      <c r="J34" s="566" t="str">
        <f>IF(AND('Mapa de Riesgos'!$H$50="Baja",'Mapa de Riesgos'!$L$50="Leve"),CONCATENATE("R",'Mapa de Riesgos'!$A$50),"")</f>
        <v/>
      </c>
      <c r="K34" s="564"/>
      <c r="L34" s="564" t="str">
        <f>IF(AND('Mapa de Riesgos'!$H$56="Baja",'Mapa de Riesgos'!$L$56="Leve"),CONCATENATE("R",'Mapa de Riesgos'!$A$56),"")</f>
        <v/>
      </c>
      <c r="M34" s="564"/>
      <c r="N34" s="564" t="str">
        <f>IF(AND('Mapa de Riesgos'!$H$62="Baja",'Mapa de Riesgos'!$L$62="Leve"),CONCATENATE("R",'Mapa de Riesgos'!$A$62),"")</f>
        <v/>
      </c>
      <c r="O34" s="565"/>
      <c r="P34" s="556" t="str">
        <f>IF(AND('Mapa de Riesgos'!$H$50="Baja",'Mapa de Riesgos'!$L$50="Menor"),CONCATENATE("R",'Mapa de Riesgos'!$A$50),"")</f>
        <v/>
      </c>
      <c r="Q34" s="556"/>
      <c r="R34" s="556" t="str">
        <f>IF(AND('Mapa de Riesgos'!$H$56="Baja",'Mapa de Riesgos'!$L$56="Menor"),CONCATENATE("R",'Mapa de Riesgos'!$A$56),"")</f>
        <v/>
      </c>
      <c r="S34" s="556"/>
      <c r="T34" s="556" t="str">
        <f>IF(AND('Mapa de Riesgos'!$H$62="Baja",'Mapa de Riesgos'!$L$62="Menor"),CONCATENATE("R",'Mapa de Riesgos'!$A$62),"")</f>
        <v/>
      </c>
      <c r="U34" s="557"/>
      <c r="V34" s="555" t="str">
        <f>IF(AND('Mapa de Riesgos'!$H$50="Baja",'Mapa de Riesgos'!$L$50="Moderado"),CONCATENATE("R",'Mapa de Riesgos'!$A$50),"")</f>
        <v/>
      </c>
      <c r="W34" s="556"/>
      <c r="X34" s="556" t="str">
        <f>IF(AND('Mapa de Riesgos'!$H$56="Baja",'Mapa de Riesgos'!$L$56="Moderado"),CONCATENATE("R",'Mapa de Riesgos'!$A$56),"")</f>
        <v/>
      </c>
      <c r="Y34" s="556"/>
      <c r="Z34" s="556" t="str">
        <f>IF(AND('Mapa de Riesgos'!$H$62="Baja",'Mapa de Riesgos'!$L$62="Moderado"),CONCATENATE("R",'Mapa de Riesgos'!$A$62),"")</f>
        <v/>
      </c>
      <c r="AA34" s="557"/>
      <c r="AB34" s="539" t="str">
        <f>IF(AND('Mapa de Riesgos'!$H$50="Baja",'Mapa de Riesgos'!$L$50="Mayor"),CONCATENATE("R",'Mapa de Riesgos'!$A$50),"")</f>
        <v/>
      </c>
      <c r="AC34" s="535"/>
      <c r="AD34" s="535" t="str">
        <f>IF(AND('Mapa de Riesgos'!$H$56="Baja",'Mapa de Riesgos'!$L$56="Mayor"),CONCATENATE("R",'Mapa de Riesgos'!$A$56),"")</f>
        <v/>
      </c>
      <c r="AE34" s="535"/>
      <c r="AF34" s="535" t="str">
        <f>IF(AND('Mapa de Riesgos'!$H$62="Baja",'Mapa de Riesgos'!$L$62="Mayor"),CONCATENATE("R",'Mapa de Riesgos'!$A$62),"")</f>
        <v/>
      </c>
      <c r="AG34" s="536"/>
      <c r="AH34" s="546" t="str">
        <f>IF(AND('Mapa de Riesgos'!$H$50="Baja",'Mapa de Riesgos'!$L$50="Catastrófico"),CONCATENATE("R",'Mapa de Riesgos'!$A$50),"")</f>
        <v/>
      </c>
      <c r="AI34" s="547"/>
      <c r="AJ34" s="547" t="str">
        <f>IF(AND('Mapa de Riesgos'!$H$56="Baja",'Mapa de Riesgos'!$L$56="Catastrófico"),CONCATENATE("R",'Mapa de Riesgos'!$A$56),"")</f>
        <v/>
      </c>
      <c r="AK34" s="547"/>
      <c r="AL34" s="547" t="str">
        <f>IF(AND('Mapa de Riesgos'!$H$62="Baja",'Mapa de Riesgos'!$L$62="Catastrófico"),CONCATENATE("R",'Mapa de Riesgos'!$A$62),"")</f>
        <v/>
      </c>
      <c r="AM34" s="548"/>
      <c r="AN34" s="83"/>
      <c r="AO34" s="520"/>
      <c r="AP34" s="521"/>
      <c r="AQ34" s="521"/>
      <c r="AR34" s="521"/>
      <c r="AS34" s="521"/>
      <c r="AT34" s="52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8"/>
      <c r="C35" s="488"/>
      <c r="D35" s="489"/>
      <c r="E35" s="529"/>
      <c r="F35" s="530"/>
      <c r="G35" s="530"/>
      <c r="H35" s="530"/>
      <c r="I35" s="530"/>
      <c r="J35" s="566"/>
      <c r="K35" s="564"/>
      <c r="L35" s="564"/>
      <c r="M35" s="564"/>
      <c r="N35" s="564"/>
      <c r="O35" s="565"/>
      <c r="P35" s="556"/>
      <c r="Q35" s="556"/>
      <c r="R35" s="556"/>
      <c r="S35" s="556"/>
      <c r="T35" s="556"/>
      <c r="U35" s="557"/>
      <c r="V35" s="555"/>
      <c r="W35" s="556"/>
      <c r="X35" s="556"/>
      <c r="Y35" s="556"/>
      <c r="Z35" s="556"/>
      <c r="AA35" s="557"/>
      <c r="AB35" s="539"/>
      <c r="AC35" s="535"/>
      <c r="AD35" s="535"/>
      <c r="AE35" s="535"/>
      <c r="AF35" s="535"/>
      <c r="AG35" s="536"/>
      <c r="AH35" s="546"/>
      <c r="AI35" s="547"/>
      <c r="AJ35" s="547"/>
      <c r="AK35" s="547"/>
      <c r="AL35" s="547"/>
      <c r="AM35" s="548"/>
      <c r="AN35" s="83"/>
      <c r="AO35" s="520"/>
      <c r="AP35" s="521"/>
      <c r="AQ35" s="521"/>
      <c r="AR35" s="521"/>
      <c r="AS35" s="521"/>
      <c r="AT35" s="52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8"/>
      <c r="C36" s="488"/>
      <c r="D36" s="489"/>
      <c r="E36" s="529"/>
      <c r="F36" s="530"/>
      <c r="G36" s="530"/>
      <c r="H36" s="530"/>
      <c r="I36" s="530"/>
      <c r="J36" s="566" t="str">
        <f>IF(AND('Mapa de Riesgos'!$H$68="Baja",'Mapa de Riesgos'!$L$68="Leve"),CONCATENATE("R",'Mapa de Riesgos'!$A$68),"")</f>
        <v/>
      </c>
      <c r="K36" s="564"/>
      <c r="L36" s="564" t="str">
        <f>IF(AND('Mapa de Riesgos'!$H$74="Baja",'Mapa de Riesgos'!$L$74="Leve"),CONCATENATE("R",'Mapa de Riesgos'!$A$74),"")</f>
        <v/>
      </c>
      <c r="M36" s="564"/>
      <c r="N36" s="564" t="str">
        <f>IF(AND('Mapa de Riesgos'!$H$78="Baja",'Mapa de Riesgos'!$L$78="Leve"),CONCATENATE("R",'Mapa de Riesgos'!$A$78),"")</f>
        <v/>
      </c>
      <c r="O36" s="565"/>
      <c r="P36" s="556" t="str">
        <f>IF(AND('Mapa de Riesgos'!$H$68="Baja",'Mapa de Riesgos'!$L$68="Menor"),CONCATENATE("R",'Mapa de Riesgos'!$A$68),"")</f>
        <v/>
      </c>
      <c r="Q36" s="556"/>
      <c r="R36" s="556" t="str">
        <f>IF(AND('Mapa de Riesgos'!$H$74="Baja",'Mapa de Riesgos'!$L$74="Menor"),CONCATENATE("R",'Mapa de Riesgos'!$A$74),"")</f>
        <v/>
      </c>
      <c r="S36" s="556"/>
      <c r="T36" s="556" t="str">
        <f>IF(AND('Mapa de Riesgos'!$H$78="Baja",'Mapa de Riesgos'!$L$78="Menor"),CONCATENATE("R",'Mapa de Riesgos'!$A$78),"")</f>
        <v/>
      </c>
      <c r="U36" s="557"/>
      <c r="V36" s="555" t="str">
        <f>IF(AND('Mapa de Riesgos'!$H$68="Baja",'Mapa de Riesgos'!$L$68="Moderado"),CONCATENATE("R",'Mapa de Riesgos'!$A$68),"")</f>
        <v/>
      </c>
      <c r="W36" s="556"/>
      <c r="X36" s="556" t="str">
        <f>IF(AND('Mapa de Riesgos'!$H$74="Baja",'Mapa de Riesgos'!$L$74="Moderado"),CONCATENATE("R",'Mapa de Riesgos'!$A$74),"")</f>
        <v/>
      </c>
      <c r="Y36" s="556"/>
      <c r="Z36" s="556" t="str">
        <f>IF(AND('Mapa de Riesgos'!$H$78="Baja",'Mapa de Riesgos'!$L$78="Moderado"),CONCATENATE("R",'Mapa de Riesgos'!$A$78),"")</f>
        <v/>
      </c>
      <c r="AA36" s="557"/>
      <c r="AB36" s="539" t="str">
        <f>IF(AND('Mapa de Riesgos'!$H$68="Baja",'Mapa de Riesgos'!$L$68="Mayor"),CONCATENATE("R",'Mapa de Riesgos'!$A$68),"")</f>
        <v/>
      </c>
      <c r="AC36" s="535"/>
      <c r="AD36" s="535" t="str">
        <f>IF(AND('Mapa de Riesgos'!$H$74="Baja",'Mapa de Riesgos'!$L$74="Mayor"),CONCATENATE("R",'Mapa de Riesgos'!$A$74),"")</f>
        <v/>
      </c>
      <c r="AE36" s="535"/>
      <c r="AF36" s="535" t="str">
        <f>IF(AND('Mapa de Riesgos'!$H$78="Baja",'Mapa de Riesgos'!$L$78="Mayor"),CONCATENATE("R",'Mapa de Riesgos'!$A$78),"")</f>
        <v/>
      </c>
      <c r="AG36" s="536"/>
      <c r="AH36" s="546" t="str">
        <f>IF(AND('Mapa de Riesgos'!$H$68="Baja",'Mapa de Riesgos'!$L$68="Catastrófico"),CONCATENATE("R",'Mapa de Riesgos'!$A$68),"")</f>
        <v/>
      </c>
      <c r="AI36" s="547"/>
      <c r="AJ36" s="547" t="str">
        <f>IF(AND('Mapa de Riesgos'!$H$74="Baja",'Mapa de Riesgos'!$L$74="Catastrófico"),CONCATENATE("R",'Mapa de Riesgos'!$A$74),"")</f>
        <v/>
      </c>
      <c r="AK36" s="547"/>
      <c r="AL36" s="547" t="str">
        <f>IF(AND('Mapa de Riesgos'!$H$78="Baja",'Mapa de Riesgos'!$L$78="Catastrófico"),CONCATENATE("R",'Mapa de Riesgos'!$A$78),"")</f>
        <v/>
      </c>
      <c r="AM36" s="548"/>
      <c r="AN36" s="83"/>
      <c r="AO36" s="520"/>
      <c r="AP36" s="521"/>
      <c r="AQ36" s="521"/>
      <c r="AR36" s="521"/>
      <c r="AS36" s="521"/>
      <c r="AT36" s="52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8"/>
      <c r="C37" s="488"/>
      <c r="D37" s="489"/>
      <c r="E37" s="532"/>
      <c r="F37" s="533"/>
      <c r="G37" s="533"/>
      <c r="H37" s="533"/>
      <c r="I37" s="533"/>
      <c r="J37" s="567"/>
      <c r="K37" s="568"/>
      <c r="L37" s="568"/>
      <c r="M37" s="568"/>
      <c r="N37" s="568"/>
      <c r="O37" s="569"/>
      <c r="P37" s="559"/>
      <c r="Q37" s="559"/>
      <c r="R37" s="559"/>
      <c r="S37" s="559"/>
      <c r="T37" s="559"/>
      <c r="U37" s="560"/>
      <c r="V37" s="558"/>
      <c r="W37" s="559"/>
      <c r="X37" s="559"/>
      <c r="Y37" s="559"/>
      <c r="Z37" s="559"/>
      <c r="AA37" s="560"/>
      <c r="AB37" s="543"/>
      <c r="AC37" s="544"/>
      <c r="AD37" s="544"/>
      <c r="AE37" s="544"/>
      <c r="AF37" s="544"/>
      <c r="AG37" s="545"/>
      <c r="AH37" s="549"/>
      <c r="AI37" s="550"/>
      <c r="AJ37" s="550"/>
      <c r="AK37" s="550"/>
      <c r="AL37" s="550"/>
      <c r="AM37" s="551"/>
      <c r="AN37" s="83"/>
      <c r="AO37" s="523"/>
      <c r="AP37" s="524"/>
      <c r="AQ37" s="524"/>
      <c r="AR37" s="524"/>
      <c r="AS37" s="524"/>
      <c r="AT37" s="52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8"/>
      <c r="C38" s="488"/>
      <c r="D38" s="489"/>
      <c r="E38" s="526" t="s">
        <v>209</v>
      </c>
      <c r="F38" s="527"/>
      <c r="G38" s="527"/>
      <c r="H38" s="527"/>
      <c r="I38" s="528"/>
      <c r="J38" s="570" t="str">
        <f>IF(AND('Mapa de Riesgos'!$H$12="Muy Baja",'Mapa de Riesgos'!$L$12="Leve"),CONCATENATE("R",'Mapa de Riesgos'!$A$12),"")</f>
        <v/>
      </c>
      <c r="K38" s="571"/>
      <c r="L38" s="571" t="str">
        <f>IF(AND('Mapa de Riesgos'!$H$18="Muy Baja",'Mapa de Riesgos'!$L$18="Leve"),CONCATENATE("R",'Mapa de Riesgos'!$A$18),"")</f>
        <v/>
      </c>
      <c r="M38" s="571"/>
      <c r="N38" s="571" t="str">
        <f>IF(AND('Mapa de Riesgos'!$H$26="Muy Baja",'Mapa de Riesgos'!$L$26="Leve"),CONCATENATE("R",'Mapa de Riesgos'!$A$26),"")</f>
        <v/>
      </c>
      <c r="O38" s="572"/>
      <c r="P38" s="570" t="str">
        <f>IF(AND('Mapa de Riesgos'!$H$12="Muy Baja",'Mapa de Riesgos'!$L$12="Menor"),CONCATENATE("R",'Mapa de Riesgos'!$A$12),"")</f>
        <v/>
      </c>
      <c r="Q38" s="571"/>
      <c r="R38" s="571" t="str">
        <f>IF(AND('Mapa de Riesgos'!$H$18="Muy Baja",'Mapa de Riesgos'!$L$18="Menor"),CONCATENATE("R",'Mapa de Riesgos'!$A$18),"")</f>
        <v/>
      </c>
      <c r="S38" s="571"/>
      <c r="T38" s="571" t="str">
        <f>IF(AND('Mapa de Riesgos'!$H$26="Muy Baja",'Mapa de Riesgos'!$L$26="Menor"),CONCATENATE("R",'Mapa de Riesgos'!$A$26),"")</f>
        <v/>
      </c>
      <c r="U38" s="572"/>
      <c r="V38" s="561" t="str">
        <f>IF(AND('Mapa de Riesgos'!$H$12="Muy Baja",'Mapa de Riesgos'!$L$12="Moderado"),CONCATENATE("R",'Mapa de Riesgos'!$A$12),"")</f>
        <v/>
      </c>
      <c r="W38" s="562"/>
      <c r="X38" s="562" t="str">
        <f>IF(AND('Mapa de Riesgos'!$H$18="Muy Baja",'Mapa de Riesgos'!$L$18="Moderado"),CONCATENATE("R",'Mapa de Riesgos'!$A$18),"")</f>
        <v/>
      </c>
      <c r="Y38" s="562"/>
      <c r="Z38" s="562" t="str">
        <f>IF(AND('Mapa de Riesgos'!$H$26="Muy Baja",'Mapa de Riesgos'!$L$26="Moderado"),CONCATENATE("R",'Mapa de Riesgos'!$A$26),"")</f>
        <v/>
      </c>
      <c r="AA38" s="563"/>
      <c r="AB38" s="537" t="str">
        <f>IF(AND('Mapa de Riesgos'!$H$12="Muy Baja",'Mapa de Riesgos'!$L$12="Mayor"),CONCATENATE("R",'Mapa de Riesgos'!$A$12),"")</f>
        <v/>
      </c>
      <c r="AC38" s="538"/>
      <c r="AD38" s="538" t="str">
        <f>IF(AND('Mapa de Riesgos'!$H$18="Muy Baja",'Mapa de Riesgos'!$L$18="Mayor"),CONCATENATE("R",'Mapa de Riesgos'!$A$18),"")</f>
        <v/>
      </c>
      <c r="AE38" s="538"/>
      <c r="AF38" s="538" t="str">
        <f>IF(AND('Mapa de Riesgos'!$H$26="Muy Baja",'Mapa de Riesgos'!$L$26="Mayor"),CONCATENATE("R",'Mapa de Riesgos'!$A$26),"")</f>
        <v/>
      </c>
      <c r="AG38" s="540"/>
      <c r="AH38" s="552" t="str">
        <f>IF(AND('Mapa de Riesgos'!$H$12="Muy Baja",'Mapa de Riesgos'!$L$12="Catastrófico"),CONCATENATE("R",'Mapa de Riesgos'!$A$12),"")</f>
        <v/>
      </c>
      <c r="AI38" s="553"/>
      <c r="AJ38" s="553" t="str">
        <f>IF(AND('Mapa de Riesgos'!$H$18="Muy Baja",'Mapa de Riesgos'!$L$18="Catastrófico"),CONCATENATE("R",'Mapa de Riesgos'!$A$18),"")</f>
        <v/>
      </c>
      <c r="AK38" s="553"/>
      <c r="AL38" s="553" t="str">
        <f>IF(AND('Mapa de Riesgos'!$H$26="Muy Baja",'Mapa de Riesgos'!$L$26="Catastrófico"),CONCATENATE("R",'Mapa de Riesgos'!$A$26),"")</f>
        <v/>
      </c>
      <c r="AM38" s="55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8"/>
      <c r="C39" s="488"/>
      <c r="D39" s="489"/>
      <c r="E39" s="529"/>
      <c r="F39" s="530"/>
      <c r="G39" s="530"/>
      <c r="H39" s="530"/>
      <c r="I39" s="531"/>
      <c r="J39" s="566"/>
      <c r="K39" s="564"/>
      <c r="L39" s="564"/>
      <c r="M39" s="564"/>
      <c r="N39" s="564"/>
      <c r="O39" s="565"/>
      <c r="P39" s="566"/>
      <c r="Q39" s="564"/>
      <c r="R39" s="564"/>
      <c r="S39" s="564"/>
      <c r="T39" s="564"/>
      <c r="U39" s="565"/>
      <c r="V39" s="555"/>
      <c r="W39" s="556"/>
      <c r="X39" s="556"/>
      <c r="Y39" s="556"/>
      <c r="Z39" s="556"/>
      <c r="AA39" s="557"/>
      <c r="AB39" s="539"/>
      <c r="AC39" s="535"/>
      <c r="AD39" s="535"/>
      <c r="AE39" s="535"/>
      <c r="AF39" s="535"/>
      <c r="AG39" s="536"/>
      <c r="AH39" s="546"/>
      <c r="AI39" s="547"/>
      <c r="AJ39" s="547"/>
      <c r="AK39" s="547"/>
      <c r="AL39" s="547"/>
      <c r="AM39" s="54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8"/>
      <c r="C40" s="488"/>
      <c r="D40" s="489"/>
      <c r="E40" s="529"/>
      <c r="F40" s="530"/>
      <c r="G40" s="530"/>
      <c r="H40" s="530"/>
      <c r="I40" s="531"/>
      <c r="J40" s="566" t="str">
        <f>IF(AND('Mapa de Riesgos'!$H$32="Muy Baja",'Mapa de Riesgos'!$L$32="Leve"),CONCATENATE("R",'Mapa de Riesgos'!$A$32),"")</f>
        <v/>
      </c>
      <c r="K40" s="564"/>
      <c r="L40" s="564" t="str">
        <f>IF(AND('Mapa de Riesgos'!$H$38="Muy Baja",'Mapa de Riesgos'!$L$38="Leve"),CONCATENATE("R",'Mapa de Riesgos'!$A$38),"")</f>
        <v/>
      </c>
      <c r="M40" s="564"/>
      <c r="N40" s="564" t="str">
        <f>IF(AND('Mapa de Riesgos'!$H$44="Muy Baja",'Mapa de Riesgos'!$L$44="Leve"),CONCATENATE("R",'Mapa de Riesgos'!$A$44),"")</f>
        <v/>
      </c>
      <c r="O40" s="565"/>
      <c r="P40" s="566" t="str">
        <f>IF(AND('Mapa de Riesgos'!$H$32="Muy Baja",'Mapa de Riesgos'!$L$32="Menor"),CONCATENATE("R",'Mapa de Riesgos'!$A$32),"")</f>
        <v/>
      </c>
      <c r="Q40" s="564"/>
      <c r="R40" s="564" t="str">
        <f>IF(AND('Mapa de Riesgos'!$H$38="Muy Baja",'Mapa de Riesgos'!$L$38="Menor"),CONCATENATE("R",'Mapa de Riesgos'!$A$38),"")</f>
        <v/>
      </c>
      <c r="S40" s="564"/>
      <c r="T40" s="564" t="str">
        <f>IF(AND('Mapa de Riesgos'!$H$44="Muy Baja",'Mapa de Riesgos'!$L$44="Menor"),CONCATENATE("R",'Mapa de Riesgos'!$A$44),"")</f>
        <v/>
      </c>
      <c r="U40" s="565"/>
      <c r="V40" s="555" t="str">
        <f>IF(AND('Mapa de Riesgos'!$H$32="Muy Baja",'Mapa de Riesgos'!$L$32="Moderado"),CONCATENATE("R",'Mapa de Riesgos'!$A$32),"")</f>
        <v/>
      </c>
      <c r="W40" s="556"/>
      <c r="X40" s="556" t="str">
        <f>IF(AND('Mapa de Riesgos'!$H$38="Muy Baja",'Mapa de Riesgos'!$L$38="Moderado"),CONCATENATE("R",'Mapa de Riesgos'!$A$38),"")</f>
        <v>R5</v>
      </c>
      <c r="Y40" s="556"/>
      <c r="Z40" s="556" t="str">
        <f>IF(AND('Mapa de Riesgos'!$H$44="Muy Baja",'Mapa de Riesgos'!$L$44="Moderado"),CONCATENATE("R",'Mapa de Riesgos'!$A$44),"")</f>
        <v/>
      </c>
      <c r="AA40" s="557"/>
      <c r="AB40" s="539" t="str">
        <f>IF(AND('Mapa de Riesgos'!$H$32="Muy Baja",'Mapa de Riesgos'!$L$32="Mayor"),CONCATENATE("R",'Mapa de Riesgos'!$A$32),"")</f>
        <v/>
      </c>
      <c r="AC40" s="535"/>
      <c r="AD40" s="535" t="str">
        <f>IF(AND('Mapa de Riesgos'!$H$38="Muy Baja",'Mapa de Riesgos'!$L$38="Mayor"),CONCATENATE("R",'Mapa de Riesgos'!$A$38),"")</f>
        <v/>
      </c>
      <c r="AE40" s="535"/>
      <c r="AF40" s="535" t="str">
        <f>IF(AND('Mapa de Riesgos'!$H$44="Muy Baja",'Mapa de Riesgos'!$L$44="Mayor"),CONCATENATE("R",'Mapa de Riesgos'!$A$44),"")</f>
        <v/>
      </c>
      <c r="AG40" s="536"/>
      <c r="AH40" s="546" t="str">
        <f>IF(AND('Mapa de Riesgos'!$H$32="Muy Baja",'Mapa de Riesgos'!$L$32="Catastrófico"),CONCATENATE("R",'Mapa de Riesgos'!$A$32),"")</f>
        <v/>
      </c>
      <c r="AI40" s="547"/>
      <c r="AJ40" s="547" t="str">
        <f>IF(AND('Mapa de Riesgos'!$H$38="Muy Baja",'Mapa de Riesgos'!$L$38="Catastrófico"),CONCATENATE("R",'Mapa de Riesgos'!$A$38),"")</f>
        <v/>
      </c>
      <c r="AK40" s="547"/>
      <c r="AL40" s="547" t="str">
        <f>IF(AND('Mapa de Riesgos'!$H$44="Muy Baja",'Mapa de Riesgos'!$L$44="Catastrófico"),CONCATENATE("R",'Mapa de Riesgos'!$A$44),"")</f>
        <v/>
      </c>
      <c r="AM40" s="54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8"/>
      <c r="C41" s="488"/>
      <c r="D41" s="489"/>
      <c r="E41" s="529"/>
      <c r="F41" s="530"/>
      <c r="G41" s="530"/>
      <c r="H41" s="530"/>
      <c r="I41" s="531"/>
      <c r="J41" s="566"/>
      <c r="K41" s="564"/>
      <c r="L41" s="564"/>
      <c r="M41" s="564"/>
      <c r="N41" s="564"/>
      <c r="O41" s="565"/>
      <c r="P41" s="566"/>
      <c r="Q41" s="564"/>
      <c r="R41" s="564"/>
      <c r="S41" s="564"/>
      <c r="T41" s="564"/>
      <c r="U41" s="565"/>
      <c r="V41" s="555"/>
      <c r="W41" s="556"/>
      <c r="X41" s="556"/>
      <c r="Y41" s="556"/>
      <c r="Z41" s="556"/>
      <c r="AA41" s="557"/>
      <c r="AB41" s="539"/>
      <c r="AC41" s="535"/>
      <c r="AD41" s="535"/>
      <c r="AE41" s="535"/>
      <c r="AF41" s="535"/>
      <c r="AG41" s="536"/>
      <c r="AH41" s="546"/>
      <c r="AI41" s="547"/>
      <c r="AJ41" s="547"/>
      <c r="AK41" s="547"/>
      <c r="AL41" s="547"/>
      <c r="AM41" s="54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8"/>
      <c r="C42" s="488"/>
      <c r="D42" s="489"/>
      <c r="E42" s="529"/>
      <c r="F42" s="530"/>
      <c r="G42" s="530"/>
      <c r="H42" s="530"/>
      <c r="I42" s="531"/>
      <c r="J42" s="566" t="str">
        <f>IF(AND('Mapa de Riesgos'!$H$50="Muy Baja",'Mapa de Riesgos'!$L$50="Leve"),CONCATENATE("R",'Mapa de Riesgos'!$A$50),"")</f>
        <v/>
      </c>
      <c r="K42" s="564"/>
      <c r="L42" s="564" t="str">
        <f>IF(AND('Mapa de Riesgos'!$H$56="Muy Baja",'Mapa de Riesgos'!$L$56="Leve"),CONCATENATE("R",'Mapa de Riesgos'!$A$56),"")</f>
        <v/>
      </c>
      <c r="M42" s="564"/>
      <c r="N42" s="564" t="str">
        <f>IF(AND('Mapa de Riesgos'!$H$62="Muy Baja",'Mapa de Riesgos'!$L$62="Leve"),CONCATENATE("R",'Mapa de Riesgos'!$A$62),"")</f>
        <v/>
      </c>
      <c r="O42" s="565"/>
      <c r="P42" s="566" t="str">
        <f>IF(AND('Mapa de Riesgos'!$H$50="Muy Baja",'Mapa de Riesgos'!$L$50="Menor"),CONCATENATE("R",'Mapa de Riesgos'!$A$50),"")</f>
        <v/>
      </c>
      <c r="Q42" s="564"/>
      <c r="R42" s="564" t="str">
        <f>IF(AND('Mapa de Riesgos'!$H$56="Muy Baja",'Mapa de Riesgos'!$L$56="Menor"),CONCATENATE("R",'Mapa de Riesgos'!$A$56),"")</f>
        <v/>
      </c>
      <c r="S42" s="564"/>
      <c r="T42" s="564" t="str">
        <f>IF(AND('Mapa de Riesgos'!$H$62="Muy Baja",'Mapa de Riesgos'!$L$62="Menor"),CONCATENATE("R",'Mapa de Riesgos'!$A$62),"")</f>
        <v/>
      </c>
      <c r="U42" s="565"/>
      <c r="V42" s="555" t="str">
        <f>IF(AND('Mapa de Riesgos'!$H$50="Muy Baja",'Mapa de Riesgos'!$L$50="Moderado"),CONCATENATE("R",'Mapa de Riesgos'!$A$50),"")</f>
        <v/>
      </c>
      <c r="W42" s="556"/>
      <c r="X42" s="556" t="str">
        <f>IF(AND('Mapa de Riesgos'!$H$56="Muy Baja",'Mapa de Riesgos'!$L$56="Moderado"),CONCATENATE("R",'Mapa de Riesgos'!$A$56),"")</f>
        <v/>
      </c>
      <c r="Y42" s="556"/>
      <c r="Z42" s="556" t="str">
        <f>IF(AND('Mapa de Riesgos'!$H$62="Muy Baja",'Mapa de Riesgos'!$L$62="Moderado"),CONCATENATE("R",'Mapa de Riesgos'!$A$62),"")</f>
        <v/>
      </c>
      <c r="AA42" s="557"/>
      <c r="AB42" s="539" t="str">
        <f>IF(AND('Mapa de Riesgos'!$H$50="Muy Baja",'Mapa de Riesgos'!$L$50="Mayor"),CONCATENATE("R",'Mapa de Riesgos'!$A$50),"")</f>
        <v/>
      </c>
      <c r="AC42" s="535"/>
      <c r="AD42" s="535" t="str">
        <f>IF(AND('Mapa de Riesgos'!$H$56="Muy Baja",'Mapa de Riesgos'!$L$56="Mayor"),CONCATENATE("R",'Mapa de Riesgos'!$A$56),"")</f>
        <v/>
      </c>
      <c r="AE42" s="535"/>
      <c r="AF42" s="535" t="str">
        <f>IF(AND('Mapa de Riesgos'!$H$62="Muy Baja",'Mapa de Riesgos'!$L$62="Mayor"),CONCATENATE("R",'Mapa de Riesgos'!$A$62),"")</f>
        <v/>
      </c>
      <c r="AG42" s="536"/>
      <c r="AH42" s="546" t="str">
        <f>IF(AND('Mapa de Riesgos'!$H$50="Muy Baja",'Mapa de Riesgos'!$L$50="Catastrófico"),CONCATENATE("R",'Mapa de Riesgos'!$A$50),"")</f>
        <v/>
      </c>
      <c r="AI42" s="547"/>
      <c r="AJ42" s="547" t="str">
        <f>IF(AND('Mapa de Riesgos'!$H$56="Muy Baja",'Mapa de Riesgos'!$L$56="Catastrófico"),CONCATENATE("R",'Mapa de Riesgos'!$A$56),"")</f>
        <v/>
      </c>
      <c r="AK42" s="547"/>
      <c r="AL42" s="547" t="str">
        <f>IF(AND('Mapa de Riesgos'!$H$62="Muy Baja",'Mapa de Riesgos'!$L$62="Catastrófico"),CONCATENATE("R",'Mapa de Riesgos'!$A$62),"")</f>
        <v/>
      </c>
      <c r="AM42" s="54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8"/>
      <c r="C43" s="488"/>
      <c r="D43" s="489"/>
      <c r="E43" s="529"/>
      <c r="F43" s="530"/>
      <c r="G43" s="530"/>
      <c r="H43" s="530"/>
      <c r="I43" s="531"/>
      <c r="J43" s="566"/>
      <c r="K43" s="564"/>
      <c r="L43" s="564"/>
      <c r="M43" s="564"/>
      <c r="N43" s="564"/>
      <c r="O43" s="565"/>
      <c r="P43" s="566"/>
      <c r="Q43" s="564"/>
      <c r="R43" s="564"/>
      <c r="S43" s="564"/>
      <c r="T43" s="564"/>
      <c r="U43" s="565"/>
      <c r="V43" s="555"/>
      <c r="W43" s="556"/>
      <c r="X43" s="556"/>
      <c r="Y43" s="556"/>
      <c r="Z43" s="556"/>
      <c r="AA43" s="557"/>
      <c r="AB43" s="539"/>
      <c r="AC43" s="535"/>
      <c r="AD43" s="535"/>
      <c r="AE43" s="535"/>
      <c r="AF43" s="535"/>
      <c r="AG43" s="536"/>
      <c r="AH43" s="546"/>
      <c r="AI43" s="547"/>
      <c r="AJ43" s="547"/>
      <c r="AK43" s="547"/>
      <c r="AL43" s="547"/>
      <c r="AM43" s="54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8"/>
      <c r="C44" s="488"/>
      <c r="D44" s="489"/>
      <c r="E44" s="529"/>
      <c r="F44" s="530"/>
      <c r="G44" s="530"/>
      <c r="H44" s="530"/>
      <c r="I44" s="531"/>
      <c r="J44" s="566" t="str">
        <f>IF(AND('Mapa de Riesgos'!$H$68="Muy Baja",'Mapa de Riesgos'!$L$68="Leve"),CONCATENATE("R",'Mapa de Riesgos'!$A$68),"")</f>
        <v/>
      </c>
      <c r="K44" s="564"/>
      <c r="L44" s="564" t="str">
        <f>IF(AND('Mapa de Riesgos'!$H$74="Muy Baja",'Mapa de Riesgos'!$L$74="Leve"),CONCATENATE("R",'Mapa de Riesgos'!$A$74),"")</f>
        <v/>
      </c>
      <c r="M44" s="564"/>
      <c r="N44" s="564" t="str">
        <f>IF(AND('Mapa de Riesgos'!$H$78="Muy Baja",'Mapa de Riesgos'!$L$78="Leve"),CONCATENATE("R",'Mapa de Riesgos'!$A$78),"")</f>
        <v/>
      </c>
      <c r="O44" s="565"/>
      <c r="P44" s="566" t="str">
        <f>IF(AND('Mapa de Riesgos'!$H$68="Muy Baja",'Mapa de Riesgos'!$L$68="Menor"),CONCATENATE("R",'Mapa de Riesgos'!$A$68),"")</f>
        <v/>
      </c>
      <c r="Q44" s="564"/>
      <c r="R44" s="564" t="str">
        <f>IF(AND('Mapa de Riesgos'!$H$74="Muy Baja",'Mapa de Riesgos'!$L$74="Menor"),CONCATENATE("R",'Mapa de Riesgos'!$A$74),"")</f>
        <v/>
      </c>
      <c r="S44" s="564"/>
      <c r="T44" s="564" t="str">
        <f>IF(AND('Mapa de Riesgos'!$H$78="Muy Baja",'Mapa de Riesgos'!$L$78="Menor"),CONCATENATE("R",'Mapa de Riesgos'!$A$78),"")</f>
        <v/>
      </c>
      <c r="U44" s="565"/>
      <c r="V44" s="555" t="str">
        <f>IF(AND('Mapa de Riesgos'!$H$68="Muy Baja",'Mapa de Riesgos'!$L$68="Moderado"),CONCATENATE("R",'Mapa de Riesgos'!$A$68),"")</f>
        <v/>
      </c>
      <c r="W44" s="556"/>
      <c r="X44" s="556" t="str">
        <f>IF(AND('Mapa de Riesgos'!$H$74="Muy Baja",'Mapa de Riesgos'!$L$74="Moderado"),CONCATENATE("R",'Mapa de Riesgos'!$A$74),"")</f>
        <v/>
      </c>
      <c r="Y44" s="556"/>
      <c r="Z44" s="556" t="str">
        <f>IF(AND('Mapa de Riesgos'!$H$78="Muy Baja",'Mapa de Riesgos'!$L$78="Moderado"),CONCATENATE("R",'Mapa de Riesgos'!$A$78),"")</f>
        <v/>
      </c>
      <c r="AA44" s="557"/>
      <c r="AB44" s="539" t="str">
        <f>IF(AND('Mapa de Riesgos'!$H$68="Muy Baja",'Mapa de Riesgos'!$L$68="Mayor"),CONCATENATE("R",'Mapa de Riesgos'!$A$68),"")</f>
        <v/>
      </c>
      <c r="AC44" s="535"/>
      <c r="AD44" s="535" t="str">
        <f>IF(AND('Mapa de Riesgos'!$H$74="Muy Baja",'Mapa de Riesgos'!$L$74="Mayor"),CONCATENATE("R",'Mapa de Riesgos'!$A$74),"")</f>
        <v/>
      </c>
      <c r="AE44" s="535"/>
      <c r="AF44" s="535" t="str">
        <f>IF(AND('Mapa de Riesgos'!$H$78="Muy Baja",'Mapa de Riesgos'!$L$78="Mayor"),CONCATENATE("R",'Mapa de Riesgos'!$A$78),"")</f>
        <v/>
      </c>
      <c r="AG44" s="536"/>
      <c r="AH44" s="546" t="str">
        <f>IF(AND('Mapa de Riesgos'!$H$68="Muy Baja",'Mapa de Riesgos'!$L$68="Catastrófico"),CONCATENATE("R",'Mapa de Riesgos'!$A$68),"")</f>
        <v/>
      </c>
      <c r="AI44" s="547"/>
      <c r="AJ44" s="547" t="str">
        <f>IF(AND('Mapa de Riesgos'!$H$74="Muy Baja",'Mapa de Riesgos'!$L$74="Catastrófico"),CONCATENATE("R",'Mapa de Riesgos'!$A$74),"")</f>
        <v/>
      </c>
      <c r="AK44" s="547"/>
      <c r="AL44" s="547" t="str">
        <f>IF(AND('Mapa de Riesgos'!$H$78="Muy Baja",'Mapa de Riesgos'!$L$78="Catastrófico"),CONCATENATE("R",'Mapa de Riesgos'!$A$78),"")</f>
        <v/>
      </c>
      <c r="AM44" s="54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8"/>
      <c r="C45" s="488"/>
      <c r="D45" s="489"/>
      <c r="E45" s="532"/>
      <c r="F45" s="533"/>
      <c r="G45" s="533"/>
      <c r="H45" s="533"/>
      <c r="I45" s="534"/>
      <c r="J45" s="567"/>
      <c r="K45" s="568"/>
      <c r="L45" s="568"/>
      <c r="M45" s="568"/>
      <c r="N45" s="568"/>
      <c r="O45" s="569"/>
      <c r="P45" s="567"/>
      <c r="Q45" s="568"/>
      <c r="R45" s="568"/>
      <c r="S45" s="568"/>
      <c r="T45" s="568"/>
      <c r="U45" s="569"/>
      <c r="V45" s="558"/>
      <c r="W45" s="559"/>
      <c r="X45" s="559"/>
      <c r="Y45" s="559"/>
      <c r="Z45" s="559"/>
      <c r="AA45" s="560"/>
      <c r="AB45" s="543"/>
      <c r="AC45" s="544"/>
      <c r="AD45" s="544"/>
      <c r="AE45" s="544"/>
      <c r="AF45" s="544"/>
      <c r="AG45" s="545"/>
      <c r="AH45" s="549"/>
      <c r="AI45" s="550"/>
      <c r="AJ45" s="550"/>
      <c r="AK45" s="550"/>
      <c r="AL45" s="550"/>
      <c r="AM45" s="55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26" t="s">
        <v>210</v>
      </c>
      <c r="K46" s="527"/>
      <c r="L46" s="527"/>
      <c r="M46" s="527"/>
      <c r="N46" s="527"/>
      <c r="O46" s="528"/>
      <c r="P46" s="526" t="s">
        <v>211</v>
      </c>
      <c r="Q46" s="527"/>
      <c r="R46" s="527"/>
      <c r="S46" s="527"/>
      <c r="T46" s="527"/>
      <c r="U46" s="528"/>
      <c r="V46" s="526" t="s">
        <v>212</v>
      </c>
      <c r="W46" s="527"/>
      <c r="X46" s="527"/>
      <c r="Y46" s="527"/>
      <c r="Z46" s="527"/>
      <c r="AA46" s="528"/>
      <c r="AB46" s="526" t="s">
        <v>213</v>
      </c>
      <c r="AC46" s="542"/>
      <c r="AD46" s="527"/>
      <c r="AE46" s="527"/>
      <c r="AF46" s="527"/>
      <c r="AG46" s="528"/>
      <c r="AH46" s="526" t="s">
        <v>214</v>
      </c>
      <c r="AI46" s="527"/>
      <c r="AJ46" s="527"/>
      <c r="AK46" s="527"/>
      <c r="AL46" s="527"/>
      <c r="AM46" s="52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29"/>
      <c r="K47" s="530"/>
      <c r="L47" s="530"/>
      <c r="M47" s="530"/>
      <c r="N47" s="530"/>
      <c r="O47" s="531"/>
      <c r="P47" s="529"/>
      <c r="Q47" s="530"/>
      <c r="R47" s="530"/>
      <c r="S47" s="530"/>
      <c r="T47" s="530"/>
      <c r="U47" s="531"/>
      <c r="V47" s="529"/>
      <c r="W47" s="530"/>
      <c r="X47" s="530"/>
      <c r="Y47" s="530"/>
      <c r="Z47" s="530"/>
      <c r="AA47" s="531"/>
      <c r="AB47" s="529"/>
      <c r="AC47" s="530"/>
      <c r="AD47" s="530"/>
      <c r="AE47" s="530"/>
      <c r="AF47" s="530"/>
      <c r="AG47" s="531"/>
      <c r="AH47" s="529"/>
      <c r="AI47" s="530"/>
      <c r="AJ47" s="530"/>
      <c r="AK47" s="530"/>
      <c r="AL47" s="530"/>
      <c r="AM47" s="53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29"/>
      <c r="K48" s="530"/>
      <c r="L48" s="530"/>
      <c r="M48" s="530"/>
      <c r="N48" s="530"/>
      <c r="O48" s="531"/>
      <c r="P48" s="529"/>
      <c r="Q48" s="530"/>
      <c r="R48" s="530"/>
      <c r="S48" s="530"/>
      <c r="T48" s="530"/>
      <c r="U48" s="531"/>
      <c r="V48" s="529"/>
      <c r="W48" s="530"/>
      <c r="X48" s="530"/>
      <c r="Y48" s="530"/>
      <c r="Z48" s="530"/>
      <c r="AA48" s="531"/>
      <c r="AB48" s="529"/>
      <c r="AC48" s="530"/>
      <c r="AD48" s="530"/>
      <c r="AE48" s="530"/>
      <c r="AF48" s="530"/>
      <c r="AG48" s="531"/>
      <c r="AH48" s="529"/>
      <c r="AI48" s="530"/>
      <c r="AJ48" s="530"/>
      <c r="AK48" s="530"/>
      <c r="AL48" s="530"/>
      <c r="AM48" s="53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29"/>
      <c r="K49" s="530"/>
      <c r="L49" s="530"/>
      <c r="M49" s="530"/>
      <c r="N49" s="530"/>
      <c r="O49" s="531"/>
      <c r="P49" s="529"/>
      <c r="Q49" s="530"/>
      <c r="R49" s="530"/>
      <c r="S49" s="530"/>
      <c r="T49" s="530"/>
      <c r="U49" s="531"/>
      <c r="V49" s="529"/>
      <c r="W49" s="530"/>
      <c r="X49" s="530"/>
      <c r="Y49" s="530"/>
      <c r="Z49" s="530"/>
      <c r="AA49" s="531"/>
      <c r="AB49" s="529"/>
      <c r="AC49" s="530"/>
      <c r="AD49" s="530"/>
      <c r="AE49" s="530"/>
      <c r="AF49" s="530"/>
      <c r="AG49" s="531"/>
      <c r="AH49" s="529"/>
      <c r="AI49" s="530"/>
      <c r="AJ49" s="530"/>
      <c r="AK49" s="530"/>
      <c r="AL49" s="530"/>
      <c r="AM49" s="53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29"/>
      <c r="K50" s="530"/>
      <c r="L50" s="530"/>
      <c r="M50" s="530"/>
      <c r="N50" s="530"/>
      <c r="O50" s="531"/>
      <c r="P50" s="529"/>
      <c r="Q50" s="530"/>
      <c r="R50" s="530"/>
      <c r="S50" s="530"/>
      <c r="T50" s="530"/>
      <c r="U50" s="531"/>
      <c r="V50" s="529"/>
      <c r="W50" s="530"/>
      <c r="X50" s="530"/>
      <c r="Y50" s="530"/>
      <c r="Z50" s="530"/>
      <c r="AA50" s="531"/>
      <c r="AB50" s="529"/>
      <c r="AC50" s="530"/>
      <c r="AD50" s="530"/>
      <c r="AE50" s="530"/>
      <c r="AF50" s="530"/>
      <c r="AG50" s="531"/>
      <c r="AH50" s="529"/>
      <c r="AI50" s="530"/>
      <c r="AJ50" s="530"/>
      <c r="AK50" s="530"/>
      <c r="AL50" s="530"/>
      <c r="AM50" s="53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32"/>
      <c r="K51" s="533"/>
      <c r="L51" s="533"/>
      <c r="M51" s="533"/>
      <c r="N51" s="533"/>
      <c r="O51" s="534"/>
      <c r="P51" s="532"/>
      <c r="Q51" s="533"/>
      <c r="R51" s="533"/>
      <c r="S51" s="533"/>
      <c r="T51" s="533"/>
      <c r="U51" s="534"/>
      <c r="V51" s="532"/>
      <c r="W51" s="533"/>
      <c r="X51" s="533"/>
      <c r="Y51" s="533"/>
      <c r="Z51" s="533"/>
      <c r="AA51" s="534"/>
      <c r="AB51" s="532"/>
      <c r="AC51" s="533"/>
      <c r="AD51" s="533"/>
      <c r="AE51" s="533"/>
      <c r="AF51" s="533"/>
      <c r="AG51" s="534"/>
      <c r="AH51" s="532"/>
      <c r="AI51" s="533"/>
      <c r="AJ51" s="533"/>
      <c r="AK51" s="533"/>
      <c r="AL51" s="533"/>
      <c r="AM51" s="53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99" t="s">
        <v>215</v>
      </c>
      <c r="C2" s="600"/>
      <c r="D2" s="600"/>
      <c r="E2" s="600"/>
      <c r="F2" s="600"/>
      <c r="G2" s="600"/>
      <c r="H2" s="600"/>
      <c r="I2" s="600"/>
      <c r="J2" s="541" t="s">
        <v>26</v>
      </c>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600"/>
      <c r="C3" s="600"/>
      <c r="D3" s="600"/>
      <c r="E3" s="600"/>
      <c r="F3" s="600"/>
      <c r="G3" s="600"/>
      <c r="H3" s="600"/>
      <c r="I3" s="600"/>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600"/>
      <c r="C4" s="600"/>
      <c r="D4" s="600"/>
      <c r="E4" s="600"/>
      <c r="F4" s="600"/>
      <c r="G4" s="600"/>
      <c r="H4" s="600"/>
      <c r="I4" s="600"/>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8" t="s">
        <v>200</v>
      </c>
      <c r="C6" s="488"/>
      <c r="D6" s="489"/>
      <c r="E6" s="583" t="s">
        <v>201</v>
      </c>
      <c r="F6" s="584"/>
      <c r="G6" s="584"/>
      <c r="H6" s="584"/>
      <c r="I6" s="60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90" t="s">
        <v>202</v>
      </c>
      <c r="AP6" s="591"/>
      <c r="AQ6" s="591"/>
      <c r="AR6" s="591"/>
      <c r="AS6" s="591"/>
      <c r="AT6" s="59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8"/>
      <c r="C7" s="488"/>
      <c r="D7" s="489"/>
      <c r="E7" s="587"/>
      <c r="F7" s="586"/>
      <c r="G7" s="586"/>
      <c r="H7" s="586"/>
      <c r="I7" s="602"/>
      <c r="J7" s="52" t="str">
        <f>IF(AND('Mapa de Riesgos'!$Y$18="Muy Alta",'Mapa de Riesgos'!$AA$18="Leve"),CONCATENATE("R2C",'Mapa de Riesgos'!$O$18),"")</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Riesgos'!$Y$18="Muy Alta",'Mapa de Riesgos'!$AA$18="Menor"),CONCATENATE("R2C",'Mapa de Riesgos'!$O$18),"")</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Riesgos'!$Y$18="Muy Alta",'Mapa de Riesgos'!$AA$18="Moderado"),CONCATENATE("R2C",'Mapa de Riesgos'!$O$18),"")</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Riesgos'!$Y$18="Muy Alta",'Mapa de Riesgos'!$AA$18="Mayor"),CONCATENATE("R2C",'Mapa de Riesgos'!$O$18),"")</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Riesgos'!$Y$18="Muy Alta",'Mapa de Riesgos'!$AA$18="Catastrófico"),CONCATENATE("R2C",'Mapa de Riesgos'!$O$18),"")</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93"/>
      <c r="AP7" s="594"/>
      <c r="AQ7" s="594"/>
      <c r="AR7" s="594"/>
      <c r="AS7" s="594"/>
      <c r="AT7" s="59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8"/>
      <c r="C8" s="488"/>
      <c r="D8" s="489"/>
      <c r="E8" s="587"/>
      <c r="F8" s="586"/>
      <c r="G8" s="586"/>
      <c r="H8" s="586"/>
      <c r="I8" s="602"/>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93"/>
      <c r="AP8" s="594"/>
      <c r="AQ8" s="594"/>
      <c r="AR8" s="594"/>
      <c r="AS8" s="594"/>
      <c r="AT8" s="59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8"/>
      <c r="C9" s="488"/>
      <c r="D9" s="489"/>
      <c r="E9" s="587"/>
      <c r="F9" s="586"/>
      <c r="G9" s="586"/>
      <c r="H9" s="586"/>
      <c r="I9" s="602"/>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93"/>
      <c r="AP9" s="594"/>
      <c r="AQ9" s="594"/>
      <c r="AR9" s="594"/>
      <c r="AS9" s="594"/>
      <c r="AT9" s="59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8"/>
      <c r="C10" s="488"/>
      <c r="D10" s="489"/>
      <c r="E10" s="587"/>
      <c r="F10" s="586"/>
      <c r="G10" s="586"/>
      <c r="H10" s="586"/>
      <c r="I10" s="602"/>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93"/>
      <c r="AP10" s="594"/>
      <c r="AQ10" s="594"/>
      <c r="AR10" s="594"/>
      <c r="AS10" s="594"/>
      <c r="AT10" s="59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8"/>
      <c r="C11" s="488"/>
      <c r="D11" s="489"/>
      <c r="E11" s="587"/>
      <c r="F11" s="586"/>
      <c r="G11" s="586"/>
      <c r="H11" s="586"/>
      <c r="I11" s="602"/>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93"/>
      <c r="AP11" s="594"/>
      <c r="AQ11" s="594"/>
      <c r="AR11" s="594"/>
      <c r="AS11" s="594"/>
      <c r="AT11" s="59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8"/>
      <c r="C12" s="488"/>
      <c r="D12" s="489"/>
      <c r="E12" s="587"/>
      <c r="F12" s="586"/>
      <c r="G12" s="586"/>
      <c r="H12" s="586"/>
      <c r="I12" s="602"/>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93"/>
      <c r="AP12" s="594"/>
      <c r="AQ12" s="594"/>
      <c r="AR12" s="594"/>
      <c r="AS12" s="594"/>
      <c r="AT12" s="59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8"/>
      <c r="C13" s="488"/>
      <c r="D13" s="489"/>
      <c r="E13" s="587"/>
      <c r="F13" s="586"/>
      <c r="G13" s="586"/>
      <c r="H13" s="586"/>
      <c r="I13" s="602"/>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93"/>
      <c r="AP13" s="594"/>
      <c r="AQ13" s="594"/>
      <c r="AR13" s="594"/>
      <c r="AS13" s="594"/>
      <c r="AT13" s="59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8"/>
      <c r="C14" s="488"/>
      <c r="D14" s="489"/>
      <c r="E14" s="587"/>
      <c r="F14" s="586"/>
      <c r="G14" s="586"/>
      <c r="H14" s="586"/>
      <c r="I14" s="602"/>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93"/>
      <c r="AP14" s="594"/>
      <c r="AQ14" s="594"/>
      <c r="AR14" s="594"/>
      <c r="AS14" s="594"/>
      <c r="AT14" s="59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8"/>
      <c r="C15" s="488"/>
      <c r="D15" s="489"/>
      <c r="E15" s="588"/>
      <c r="F15" s="589"/>
      <c r="G15" s="589"/>
      <c r="H15" s="589"/>
      <c r="I15" s="603"/>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96"/>
      <c r="AP15" s="597"/>
      <c r="AQ15" s="597"/>
      <c r="AR15" s="597"/>
      <c r="AS15" s="597"/>
      <c r="AT15" s="59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8"/>
      <c r="C16" s="488"/>
      <c r="D16" s="489"/>
      <c r="E16" s="583" t="s">
        <v>203</v>
      </c>
      <c r="F16" s="584"/>
      <c r="G16" s="584"/>
      <c r="H16" s="584"/>
      <c r="I16" s="584"/>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74" t="s">
        <v>204</v>
      </c>
      <c r="AP16" s="575"/>
      <c r="AQ16" s="575"/>
      <c r="AR16" s="575"/>
      <c r="AS16" s="575"/>
      <c r="AT16" s="57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8"/>
      <c r="C17" s="488"/>
      <c r="D17" s="489"/>
      <c r="E17" s="585"/>
      <c r="F17" s="586"/>
      <c r="G17" s="586"/>
      <c r="H17" s="586"/>
      <c r="I17" s="586"/>
      <c r="J17" s="67" t="str">
        <f>IF(AND('Mapa de Riesgos'!$Y$18="Alta",'Mapa de Riesgos'!$AA$18="Leve"),CONCATENATE("R2C",'Mapa de Riesgos'!$O$18),"")</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Riesgos'!$Y$18="Alta",'Mapa de Riesgos'!$AA$18="Menor"),CONCATENATE("R2C",'Mapa de Riesgos'!$O$18),"")</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Riesgos'!$Y$18="Alta",'Mapa de Riesgos'!$AA$18="Moderado"),CONCATENATE("R2C",'Mapa de Riesgos'!$O$18),"")</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Riesgos'!$Y$18="Alta",'Mapa de Riesgos'!$AA$18="Mayor"),CONCATENATE("R2C",'Mapa de Riesgos'!$O$18),"")</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Riesgos'!$Y$18="Alta",'Mapa de Riesgos'!$AA$18="Catastrófico"),CONCATENATE("R2C",'Mapa de Riesgos'!$O$18),"")</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77"/>
      <c r="AP17" s="578"/>
      <c r="AQ17" s="578"/>
      <c r="AR17" s="578"/>
      <c r="AS17" s="578"/>
      <c r="AT17" s="57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8"/>
      <c r="C18" s="488"/>
      <c r="D18" s="489"/>
      <c r="E18" s="587"/>
      <c r="F18" s="586"/>
      <c r="G18" s="586"/>
      <c r="H18" s="586"/>
      <c r="I18" s="586"/>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77"/>
      <c r="AP18" s="578"/>
      <c r="AQ18" s="578"/>
      <c r="AR18" s="578"/>
      <c r="AS18" s="578"/>
      <c r="AT18" s="57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8"/>
      <c r="C19" s="488"/>
      <c r="D19" s="489"/>
      <c r="E19" s="587"/>
      <c r="F19" s="586"/>
      <c r="G19" s="586"/>
      <c r="H19" s="586"/>
      <c r="I19" s="586"/>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77"/>
      <c r="AP19" s="578"/>
      <c r="AQ19" s="578"/>
      <c r="AR19" s="578"/>
      <c r="AS19" s="578"/>
      <c r="AT19" s="57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8"/>
      <c r="C20" s="488"/>
      <c r="D20" s="489"/>
      <c r="E20" s="587"/>
      <c r="F20" s="586"/>
      <c r="G20" s="586"/>
      <c r="H20" s="586"/>
      <c r="I20" s="586"/>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77"/>
      <c r="AP20" s="578"/>
      <c r="AQ20" s="578"/>
      <c r="AR20" s="578"/>
      <c r="AS20" s="578"/>
      <c r="AT20" s="57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8"/>
      <c r="C21" s="488"/>
      <c r="D21" s="489"/>
      <c r="E21" s="587"/>
      <c r="F21" s="586"/>
      <c r="G21" s="586"/>
      <c r="H21" s="586"/>
      <c r="I21" s="586"/>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77"/>
      <c r="AP21" s="578"/>
      <c r="AQ21" s="578"/>
      <c r="AR21" s="578"/>
      <c r="AS21" s="578"/>
      <c r="AT21" s="57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8"/>
      <c r="C22" s="488"/>
      <c r="D22" s="489"/>
      <c r="E22" s="587"/>
      <c r="F22" s="586"/>
      <c r="G22" s="586"/>
      <c r="H22" s="586"/>
      <c r="I22" s="586"/>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77"/>
      <c r="AP22" s="578"/>
      <c r="AQ22" s="578"/>
      <c r="AR22" s="578"/>
      <c r="AS22" s="578"/>
      <c r="AT22" s="57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8"/>
      <c r="C23" s="488"/>
      <c r="D23" s="489"/>
      <c r="E23" s="587"/>
      <c r="F23" s="586"/>
      <c r="G23" s="586"/>
      <c r="H23" s="586"/>
      <c r="I23" s="586"/>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77"/>
      <c r="AP23" s="578"/>
      <c r="AQ23" s="578"/>
      <c r="AR23" s="578"/>
      <c r="AS23" s="578"/>
      <c r="AT23" s="57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8"/>
      <c r="C24" s="488"/>
      <c r="D24" s="489"/>
      <c r="E24" s="587"/>
      <c r="F24" s="586"/>
      <c r="G24" s="586"/>
      <c r="H24" s="586"/>
      <c r="I24" s="586"/>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77"/>
      <c r="AP24" s="578"/>
      <c r="AQ24" s="578"/>
      <c r="AR24" s="578"/>
      <c r="AS24" s="578"/>
      <c r="AT24" s="57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8"/>
      <c r="C25" s="488"/>
      <c r="D25" s="489"/>
      <c r="E25" s="588"/>
      <c r="F25" s="589"/>
      <c r="G25" s="589"/>
      <c r="H25" s="589"/>
      <c r="I25" s="589"/>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80"/>
      <c r="AP25" s="581"/>
      <c r="AQ25" s="581"/>
      <c r="AR25" s="581"/>
      <c r="AS25" s="581"/>
      <c r="AT25" s="58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8"/>
      <c r="C26" s="488"/>
      <c r="D26" s="489"/>
      <c r="E26" s="583" t="s">
        <v>205</v>
      </c>
      <c r="F26" s="584"/>
      <c r="G26" s="584"/>
      <c r="H26" s="584"/>
      <c r="I26" s="60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613" t="s">
        <v>206</v>
      </c>
      <c r="AP26" s="614"/>
      <c r="AQ26" s="614"/>
      <c r="AR26" s="614"/>
      <c r="AS26" s="614"/>
      <c r="AT26" s="61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8"/>
      <c r="C27" s="488"/>
      <c r="D27" s="489"/>
      <c r="E27" s="585"/>
      <c r="F27" s="586"/>
      <c r="G27" s="586"/>
      <c r="H27" s="586"/>
      <c r="I27" s="602"/>
      <c r="J27" s="67" t="str">
        <f>IF(AND('Mapa de Riesgos'!$Y$18="Media",'Mapa de Riesgos'!$AA$18="Leve"),CONCATENATE("R2C",'Mapa de Riesgos'!$O$18),"")</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Riesgos'!$Y$18="Media",'Mapa de Riesgos'!$AA$18="Menor"),CONCATENATE("R2C",'Mapa de Riesgos'!$O$18),"")</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Riesgos'!$Y$18="Media",'Mapa de Riesgos'!$AA$18="Moderado"),CONCATENATE("R2C",'Mapa de Riesgos'!$O$18),"")</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Riesgos'!$Y$18="Media",'Mapa de Riesgos'!$AA$18="Mayor"),CONCATENATE("R2C",'Mapa de Riesgos'!$O$18),"")</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Riesgos'!$Y$18="Media",'Mapa de Riesgos'!$AA$18="Catastrófico"),CONCATENATE("R2C",'Mapa de Riesgos'!$O$18),"")</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616"/>
      <c r="AP27" s="617"/>
      <c r="AQ27" s="617"/>
      <c r="AR27" s="617"/>
      <c r="AS27" s="617"/>
      <c r="AT27" s="61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8"/>
      <c r="C28" s="488"/>
      <c r="D28" s="489"/>
      <c r="E28" s="587"/>
      <c r="F28" s="586"/>
      <c r="G28" s="586"/>
      <c r="H28" s="586"/>
      <c r="I28" s="602"/>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616"/>
      <c r="AP28" s="617"/>
      <c r="AQ28" s="617"/>
      <c r="AR28" s="617"/>
      <c r="AS28" s="617"/>
      <c r="AT28" s="61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8"/>
      <c r="C29" s="488"/>
      <c r="D29" s="489"/>
      <c r="E29" s="587"/>
      <c r="F29" s="586"/>
      <c r="G29" s="586"/>
      <c r="H29" s="586"/>
      <c r="I29" s="602"/>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616"/>
      <c r="AP29" s="617"/>
      <c r="AQ29" s="617"/>
      <c r="AR29" s="617"/>
      <c r="AS29" s="617"/>
      <c r="AT29" s="61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8"/>
      <c r="C30" s="488"/>
      <c r="D30" s="489"/>
      <c r="E30" s="587"/>
      <c r="F30" s="586"/>
      <c r="G30" s="586"/>
      <c r="H30" s="586"/>
      <c r="I30" s="602"/>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616"/>
      <c r="AP30" s="617"/>
      <c r="AQ30" s="617"/>
      <c r="AR30" s="617"/>
      <c r="AS30" s="617"/>
      <c r="AT30" s="61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8"/>
      <c r="C31" s="488"/>
      <c r="D31" s="489"/>
      <c r="E31" s="587"/>
      <c r="F31" s="586"/>
      <c r="G31" s="586"/>
      <c r="H31" s="586"/>
      <c r="I31" s="602"/>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616"/>
      <c r="AP31" s="617"/>
      <c r="AQ31" s="617"/>
      <c r="AR31" s="617"/>
      <c r="AS31" s="617"/>
      <c r="AT31" s="61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8"/>
      <c r="C32" s="488"/>
      <c r="D32" s="489"/>
      <c r="E32" s="587"/>
      <c r="F32" s="586"/>
      <c r="G32" s="586"/>
      <c r="H32" s="586"/>
      <c r="I32" s="602"/>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616"/>
      <c r="AP32" s="617"/>
      <c r="AQ32" s="617"/>
      <c r="AR32" s="617"/>
      <c r="AS32" s="617"/>
      <c r="AT32" s="61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8"/>
      <c r="C33" s="488"/>
      <c r="D33" s="489"/>
      <c r="E33" s="587"/>
      <c r="F33" s="586"/>
      <c r="G33" s="586"/>
      <c r="H33" s="586"/>
      <c r="I33" s="602"/>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616"/>
      <c r="AP33" s="617"/>
      <c r="AQ33" s="617"/>
      <c r="AR33" s="617"/>
      <c r="AS33" s="617"/>
      <c r="AT33" s="61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8"/>
      <c r="C34" s="488"/>
      <c r="D34" s="489"/>
      <c r="E34" s="587"/>
      <c r="F34" s="586"/>
      <c r="G34" s="586"/>
      <c r="H34" s="586"/>
      <c r="I34" s="602"/>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616"/>
      <c r="AP34" s="617"/>
      <c r="AQ34" s="617"/>
      <c r="AR34" s="617"/>
      <c r="AS34" s="617"/>
      <c r="AT34" s="61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8"/>
      <c r="C35" s="488"/>
      <c r="D35" s="489"/>
      <c r="E35" s="588"/>
      <c r="F35" s="589"/>
      <c r="G35" s="589"/>
      <c r="H35" s="589"/>
      <c r="I35" s="603"/>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619"/>
      <c r="AP35" s="620"/>
      <c r="AQ35" s="620"/>
      <c r="AR35" s="620"/>
      <c r="AS35" s="620"/>
      <c r="AT35" s="62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8"/>
      <c r="C36" s="488"/>
      <c r="D36" s="489"/>
      <c r="E36" s="583" t="s">
        <v>207</v>
      </c>
      <c r="F36" s="584"/>
      <c r="G36" s="584"/>
      <c r="H36" s="584"/>
      <c r="I36" s="584"/>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R1C1</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604" t="s">
        <v>208</v>
      </c>
      <c r="AP36" s="605"/>
      <c r="AQ36" s="605"/>
      <c r="AR36" s="605"/>
      <c r="AS36" s="605"/>
      <c r="AT36" s="60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8"/>
      <c r="C37" s="488"/>
      <c r="D37" s="489"/>
      <c r="E37" s="585"/>
      <c r="F37" s="586"/>
      <c r="G37" s="586"/>
      <c r="H37" s="586"/>
      <c r="I37" s="586"/>
      <c r="J37" s="76" t="str">
        <f>IF(AND('Mapa de Riesgos'!$Y$18="Baja",'Mapa de Riesgos'!$AA$18="Leve"),CONCATENATE("R2C",'Mapa de Riesgos'!$O$18),"")</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Riesgos'!$Y$18="Baja",'Mapa de Riesgos'!$AA$18="Menor"),CONCATENATE("R2C",'Mapa de Riesgos'!$O$18),"")</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Riesgos'!$Y$18="Baja",'Mapa de Riesgos'!$AA$18="Moderado"),CONCATENATE("R2C",'Mapa de Riesgos'!$O$18),"")</f>
        <v>R2C1</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Riesgos'!$Y$18="Baja",'Mapa de Riesgos'!$AA$18="Mayor"),CONCATENATE("R2C",'Mapa de Riesgos'!$O$18),"")</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Riesgos'!$Y$18="Baja",'Mapa de Riesgos'!$AA$18="Catastrófico"),CONCATENATE("R2C",'Mapa de Riesgos'!$O$18),"")</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607"/>
      <c r="AP37" s="608"/>
      <c r="AQ37" s="608"/>
      <c r="AR37" s="608"/>
      <c r="AS37" s="608"/>
      <c r="AT37" s="60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8"/>
      <c r="C38" s="488"/>
      <c r="D38" s="489"/>
      <c r="E38" s="587"/>
      <c r="F38" s="586"/>
      <c r="G38" s="586"/>
      <c r="H38" s="586"/>
      <c r="I38" s="586"/>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R3C1</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607"/>
      <c r="AP38" s="608"/>
      <c r="AQ38" s="608"/>
      <c r="AR38" s="608"/>
      <c r="AS38" s="608"/>
      <c r="AT38" s="60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8"/>
      <c r="C39" s="488"/>
      <c r="D39" s="489"/>
      <c r="E39" s="587"/>
      <c r="F39" s="586"/>
      <c r="G39" s="586"/>
      <c r="H39" s="586"/>
      <c r="I39" s="586"/>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607"/>
      <c r="AP39" s="608"/>
      <c r="AQ39" s="608"/>
      <c r="AR39" s="608"/>
      <c r="AS39" s="608"/>
      <c r="AT39" s="60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8"/>
      <c r="C40" s="488"/>
      <c r="D40" s="489"/>
      <c r="E40" s="587"/>
      <c r="F40" s="586"/>
      <c r="G40" s="586"/>
      <c r="H40" s="586"/>
      <c r="I40" s="586"/>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607"/>
      <c r="AP40" s="608"/>
      <c r="AQ40" s="608"/>
      <c r="AR40" s="608"/>
      <c r="AS40" s="608"/>
      <c r="AT40" s="60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8"/>
      <c r="C41" s="488"/>
      <c r="D41" s="489"/>
      <c r="E41" s="587"/>
      <c r="F41" s="586"/>
      <c r="G41" s="586"/>
      <c r="H41" s="586"/>
      <c r="I41" s="586"/>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607"/>
      <c r="AP41" s="608"/>
      <c r="AQ41" s="608"/>
      <c r="AR41" s="608"/>
      <c r="AS41" s="608"/>
      <c r="AT41" s="60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8"/>
      <c r="C42" s="488"/>
      <c r="D42" s="489"/>
      <c r="E42" s="587"/>
      <c r="F42" s="586"/>
      <c r="G42" s="586"/>
      <c r="H42" s="586"/>
      <c r="I42" s="586"/>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607"/>
      <c r="AP42" s="608"/>
      <c r="AQ42" s="608"/>
      <c r="AR42" s="608"/>
      <c r="AS42" s="608"/>
      <c r="AT42" s="60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8"/>
      <c r="C43" s="488"/>
      <c r="D43" s="489"/>
      <c r="E43" s="587"/>
      <c r="F43" s="586"/>
      <c r="G43" s="586"/>
      <c r="H43" s="586"/>
      <c r="I43" s="586"/>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607"/>
      <c r="AP43" s="608"/>
      <c r="AQ43" s="608"/>
      <c r="AR43" s="608"/>
      <c r="AS43" s="608"/>
      <c r="AT43" s="60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8"/>
      <c r="C44" s="488"/>
      <c r="D44" s="489"/>
      <c r="E44" s="587"/>
      <c r="F44" s="586"/>
      <c r="G44" s="586"/>
      <c r="H44" s="586"/>
      <c r="I44" s="586"/>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607"/>
      <c r="AP44" s="608"/>
      <c r="AQ44" s="608"/>
      <c r="AR44" s="608"/>
      <c r="AS44" s="608"/>
      <c r="AT44" s="60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8"/>
      <c r="C45" s="488"/>
      <c r="D45" s="489"/>
      <c r="E45" s="588"/>
      <c r="F45" s="589"/>
      <c r="G45" s="589"/>
      <c r="H45" s="589"/>
      <c r="I45" s="589"/>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610"/>
      <c r="AP45" s="611"/>
      <c r="AQ45" s="611"/>
      <c r="AR45" s="611"/>
      <c r="AS45" s="611"/>
      <c r="AT45" s="612"/>
    </row>
    <row r="46" spans="1:80" ht="46.5" customHeight="1" x14ac:dyDescent="0.35">
      <c r="A46" s="83"/>
      <c r="B46" s="488"/>
      <c r="C46" s="488"/>
      <c r="D46" s="489"/>
      <c r="E46" s="583" t="s">
        <v>209</v>
      </c>
      <c r="F46" s="584"/>
      <c r="G46" s="584"/>
      <c r="H46" s="584"/>
      <c r="I46" s="60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8"/>
      <c r="C47" s="488"/>
      <c r="D47" s="489"/>
      <c r="E47" s="585"/>
      <c r="F47" s="586"/>
      <c r="G47" s="586"/>
      <c r="H47" s="586"/>
      <c r="I47" s="602"/>
      <c r="J47" s="76" t="str">
        <f>IF(AND('Mapa de Riesgos'!$Y$18="Muy Baja",'Mapa de Riesgos'!$AA$18="Leve"),CONCATENATE("R2C",'Mapa de Riesgos'!$O$18),"")</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Riesgos'!$Y$18="Muy Baja",'Mapa de Riesgos'!$AA$18="Menor"),CONCATENATE("R2C",'Mapa de Riesgos'!$O$18),"")</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Riesgos'!$Y$18="Muy Baja",'Mapa de Riesgos'!$AA$18="Moderado"),CONCATENATE("R2C",'Mapa de Riesgos'!$O$18),"")</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Riesgos'!$Y$18="Muy Baja",'Mapa de Riesgos'!$AA$18="Mayor"),CONCATENATE("R2C",'Mapa de Riesgos'!$O$18),"")</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Riesgos'!$Y$18="Muy Baja",'Mapa de Riesgos'!$AA$18="Catastrófico"),CONCATENATE("R2C",'Mapa de Riesgos'!$O$18),"")</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8"/>
      <c r="C48" s="488"/>
      <c r="D48" s="489"/>
      <c r="E48" s="585"/>
      <c r="F48" s="586"/>
      <c r="G48" s="586"/>
      <c r="H48" s="586"/>
      <c r="I48" s="602"/>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8"/>
      <c r="C49" s="488"/>
      <c r="D49" s="489"/>
      <c r="E49" s="587"/>
      <c r="F49" s="586"/>
      <c r="G49" s="586"/>
      <c r="H49" s="586"/>
      <c r="I49" s="602"/>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8"/>
      <c r="C50" s="488"/>
      <c r="D50" s="489"/>
      <c r="E50" s="587"/>
      <c r="F50" s="586"/>
      <c r="G50" s="586"/>
      <c r="H50" s="586"/>
      <c r="I50" s="602"/>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R5C1</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8"/>
      <c r="C51" s="488"/>
      <c r="D51" s="489"/>
      <c r="E51" s="587"/>
      <c r="F51" s="586"/>
      <c r="G51" s="586"/>
      <c r="H51" s="586"/>
      <c r="I51" s="602"/>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8"/>
      <c r="C52" s="488"/>
      <c r="D52" s="489"/>
      <c r="E52" s="587"/>
      <c r="F52" s="586"/>
      <c r="G52" s="586"/>
      <c r="H52" s="586"/>
      <c r="I52" s="602"/>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8"/>
      <c r="C53" s="488"/>
      <c r="D53" s="489"/>
      <c r="E53" s="587"/>
      <c r="F53" s="586"/>
      <c r="G53" s="586"/>
      <c r="H53" s="586"/>
      <c r="I53" s="602"/>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8"/>
      <c r="C54" s="488"/>
      <c r="D54" s="489"/>
      <c r="E54" s="587"/>
      <c r="F54" s="586"/>
      <c r="G54" s="586"/>
      <c r="H54" s="586"/>
      <c r="I54" s="602"/>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8"/>
      <c r="C55" s="488"/>
      <c r="D55" s="489"/>
      <c r="E55" s="588"/>
      <c r="F55" s="589"/>
      <c r="G55" s="589"/>
      <c r="H55" s="589"/>
      <c r="I55" s="603"/>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83" t="s">
        <v>210</v>
      </c>
      <c r="K56" s="584"/>
      <c r="L56" s="584"/>
      <c r="M56" s="584"/>
      <c r="N56" s="584"/>
      <c r="O56" s="601"/>
      <c r="P56" s="583" t="s">
        <v>211</v>
      </c>
      <c r="Q56" s="584"/>
      <c r="R56" s="584"/>
      <c r="S56" s="584"/>
      <c r="T56" s="584"/>
      <c r="U56" s="601"/>
      <c r="V56" s="583" t="s">
        <v>212</v>
      </c>
      <c r="W56" s="584"/>
      <c r="X56" s="584"/>
      <c r="Y56" s="584"/>
      <c r="Z56" s="584"/>
      <c r="AA56" s="601"/>
      <c r="AB56" s="583" t="s">
        <v>213</v>
      </c>
      <c r="AC56" s="622"/>
      <c r="AD56" s="584"/>
      <c r="AE56" s="584"/>
      <c r="AF56" s="584"/>
      <c r="AG56" s="601"/>
      <c r="AH56" s="583" t="s">
        <v>214</v>
      </c>
      <c r="AI56" s="584"/>
      <c r="AJ56" s="584"/>
      <c r="AK56" s="584"/>
      <c r="AL56" s="584"/>
      <c r="AM56" s="60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87"/>
      <c r="K57" s="586"/>
      <c r="L57" s="586"/>
      <c r="M57" s="586"/>
      <c r="N57" s="586"/>
      <c r="O57" s="602"/>
      <c r="P57" s="587"/>
      <c r="Q57" s="586"/>
      <c r="R57" s="586"/>
      <c r="S57" s="586"/>
      <c r="T57" s="586"/>
      <c r="U57" s="602"/>
      <c r="V57" s="587"/>
      <c r="W57" s="586"/>
      <c r="X57" s="586"/>
      <c r="Y57" s="586"/>
      <c r="Z57" s="586"/>
      <c r="AA57" s="602"/>
      <c r="AB57" s="587"/>
      <c r="AC57" s="586"/>
      <c r="AD57" s="586"/>
      <c r="AE57" s="586"/>
      <c r="AF57" s="586"/>
      <c r="AG57" s="602"/>
      <c r="AH57" s="587"/>
      <c r="AI57" s="586"/>
      <c r="AJ57" s="586"/>
      <c r="AK57" s="586"/>
      <c r="AL57" s="586"/>
      <c r="AM57" s="60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87"/>
      <c r="K58" s="586"/>
      <c r="L58" s="586"/>
      <c r="M58" s="586"/>
      <c r="N58" s="586"/>
      <c r="O58" s="602"/>
      <c r="P58" s="587"/>
      <c r="Q58" s="586"/>
      <c r="R58" s="586"/>
      <c r="S58" s="586"/>
      <c r="T58" s="586"/>
      <c r="U58" s="602"/>
      <c r="V58" s="587"/>
      <c r="W58" s="586"/>
      <c r="X58" s="586"/>
      <c r="Y58" s="586"/>
      <c r="Z58" s="586"/>
      <c r="AA58" s="602"/>
      <c r="AB58" s="587"/>
      <c r="AC58" s="586"/>
      <c r="AD58" s="586"/>
      <c r="AE58" s="586"/>
      <c r="AF58" s="586"/>
      <c r="AG58" s="602"/>
      <c r="AH58" s="587"/>
      <c r="AI58" s="586"/>
      <c r="AJ58" s="586"/>
      <c r="AK58" s="586"/>
      <c r="AL58" s="586"/>
      <c r="AM58" s="60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87"/>
      <c r="K59" s="586"/>
      <c r="L59" s="586"/>
      <c r="M59" s="586"/>
      <c r="N59" s="586"/>
      <c r="O59" s="602"/>
      <c r="P59" s="587"/>
      <c r="Q59" s="586"/>
      <c r="R59" s="586"/>
      <c r="S59" s="586"/>
      <c r="T59" s="586"/>
      <c r="U59" s="602"/>
      <c r="V59" s="587"/>
      <c r="W59" s="586"/>
      <c r="X59" s="586"/>
      <c r="Y59" s="586"/>
      <c r="Z59" s="586"/>
      <c r="AA59" s="602"/>
      <c r="AB59" s="587"/>
      <c r="AC59" s="586"/>
      <c r="AD59" s="586"/>
      <c r="AE59" s="586"/>
      <c r="AF59" s="586"/>
      <c r="AG59" s="602"/>
      <c r="AH59" s="587"/>
      <c r="AI59" s="586"/>
      <c r="AJ59" s="586"/>
      <c r="AK59" s="586"/>
      <c r="AL59" s="586"/>
      <c r="AM59" s="60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87"/>
      <c r="K60" s="586"/>
      <c r="L60" s="586"/>
      <c r="M60" s="586"/>
      <c r="N60" s="586"/>
      <c r="O60" s="602"/>
      <c r="P60" s="587"/>
      <c r="Q60" s="586"/>
      <c r="R60" s="586"/>
      <c r="S60" s="586"/>
      <c r="T60" s="586"/>
      <c r="U60" s="602"/>
      <c r="V60" s="587"/>
      <c r="W60" s="586"/>
      <c r="X60" s="586"/>
      <c r="Y60" s="586"/>
      <c r="Z60" s="586"/>
      <c r="AA60" s="602"/>
      <c r="AB60" s="587"/>
      <c r="AC60" s="586"/>
      <c r="AD60" s="586"/>
      <c r="AE60" s="586"/>
      <c r="AF60" s="586"/>
      <c r="AG60" s="602"/>
      <c r="AH60" s="587"/>
      <c r="AI60" s="586"/>
      <c r="AJ60" s="586"/>
      <c r="AK60" s="586"/>
      <c r="AL60" s="586"/>
      <c r="AM60" s="60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88"/>
      <c r="K61" s="589"/>
      <c r="L61" s="589"/>
      <c r="M61" s="589"/>
      <c r="N61" s="589"/>
      <c r="O61" s="603"/>
      <c r="P61" s="588"/>
      <c r="Q61" s="589"/>
      <c r="R61" s="589"/>
      <c r="S61" s="589"/>
      <c r="T61" s="589"/>
      <c r="U61" s="603"/>
      <c r="V61" s="588"/>
      <c r="W61" s="589"/>
      <c r="X61" s="589"/>
      <c r="Y61" s="589"/>
      <c r="Z61" s="589"/>
      <c r="AA61" s="603"/>
      <c r="AB61" s="588"/>
      <c r="AC61" s="589"/>
      <c r="AD61" s="589"/>
      <c r="AE61" s="589"/>
      <c r="AF61" s="589"/>
      <c r="AG61" s="603"/>
      <c r="AH61" s="588"/>
      <c r="AI61" s="589"/>
      <c r="AJ61" s="589"/>
      <c r="AK61" s="589"/>
      <c r="AL61" s="589"/>
      <c r="AM61" s="60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23" t="s">
        <v>216</v>
      </c>
      <c r="C1" s="623"/>
      <c r="D1" s="62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217</v>
      </c>
      <c r="D3" s="12" t="s">
        <v>200</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218</v>
      </c>
      <c r="C4" s="14" t="s">
        <v>219</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220</v>
      </c>
      <c r="C5" s="17" t="s">
        <v>221</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222</v>
      </c>
      <c r="C6" s="17" t="s">
        <v>223</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224</v>
      </c>
      <c r="C7" s="17" t="s">
        <v>225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226</v>
      </c>
      <c r="C8" s="17" t="s">
        <v>227</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24" t="s">
        <v>228</v>
      </c>
      <c r="C1" s="624"/>
      <c r="D1" s="62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229</v>
      </c>
      <c r="D3" s="36" t="s">
        <v>230</v>
      </c>
      <c r="E3" s="83"/>
      <c r="F3" s="83"/>
      <c r="G3" s="83"/>
      <c r="H3" s="83"/>
      <c r="I3" s="83"/>
      <c r="J3" s="83"/>
      <c r="K3" s="83"/>
      <c r="L3" s="83"/>
      <c r="M3" s="83"/>
      <c r="N3" s="83"/>
      <c r="O3" s="83"/>
      <c r="P3" s="83"/>
      <c r="Q3" s="83"/>
      <c r="R3" s="83"/>
      <c r="S3" s="83"/>
      <c r="T3" s="83"/>
      <c r="U3" s="83"/>
    </row>
    <row r="4" spans="1:21" ht="33.75" x14ac:dyDescent="0.25">
      <c r="A4" s="100" t="s">
        <v>231</v>
      </c>
      <c r="B4" s="39" t="s">
        <v>232</v>
      </c>
      <c r="C4" s="44" t="s">
        <v>233</v>
      </c>
      <c r="D4" s="37" t="s">
        <v>234</v>
      </c>
      <c r="E4" s="83"/>
      <c r="F4" s="83"/>
      <c r="G4" s="83"/>
      <c r="H4" s="83"/>
      <c r="I4" s="83"/>
      <c r="J4" s="83"/>
      <c r="K4" s="83"/>
      <c r="L4" s="83"/>
      <c r="M4" s="83"/>
      <c r="N4" s="83"/>
      <c r="O4" s="83"/>
      <c r="P4" s="83"/>
      <c r="Q4" s="83"/>
      <c r="R4" s="83"/>
      <c r="S4" s="83"/>
      <c r="T4" s="83"/>
      <c r="U4" s="83"/>
    </row>
    <row r="5" spans="1:21" ht="67.5" x14ac:dyDescent="0.25">
      <c r="A5" s="100" t="s">
        <v>235</v>
      </c>
      <c r="B5" s="40" t="s">
        <v>236</v>
      </c>
      <c r="C5" s="45" t="s">
        <v>237</v>
      </c>
      <c r="D5" s="38" t="s">
        <v>238</v>
      </c>
      <c r="E5" s="83"/>
      <c r="F5" s="83"/>
      <c r="G5" s="83"/>
      <c r="H5" s="83"/>
      <c r="I5" s="83"/>
      <c r="J5" s="83"/>
      <c r="K5" s="83"/>
      <c r="L5" s="83"/>
      <c r="M5" s="83"/>
      <c r="N5" s="83"/>
      <c r="O5" s="83"/>
      <c r="P5" s="83"/>
      <c r="Q5" s="83"/>
      <c r="R5" s="83"/>
      <c r="S5" s="83"/>
      <c r="T5" s="83"/>
      <c r="U5" s="83"/>
    </row>
    <row r="6" spans="1:21" ht="67.5" x14ac:dyDescent="0.25">
      <c r="A6" s="100" t="s">
        <v>206</v>
      </c>
      <c r="B6" s="41" t="s">
        <v>239</v>
      </c>
      <c r="C6" s="45" t="s">
        <v>240</v>
      </c>
      <c r="D6" s="38" t="s">
        <v>241</v>
      </c>
      <c r="E6" s="83"/>
      <c r="F6" s="83"/>
      <c r="G6" s="83"/>
      <c r="H6" s="83"/>
      <c r="I6" s="83"/>
      <c r="J6" s="83"/>
      <c r="K6" s="83"/>
      <c r="L6" s="83"/>
      <c r="M6" s="83"/>
      <c r="N6" s="83"/>
      <c r="O6" s="83"/>
      <c r="P6" s="83"/>
      <c r="Q6" s="83"/>
      <c r="R6" s="83"/>
      <c r="S6" s="83"/>
      <c r="T6" s="83"/>
      <c r="U6" s="83"/>
    </row>
    <row r="7" spans="1:21" ht="101.25" x14ac:dyDescent="0.25">
      <c r="A7" s="100" t="s">
        <v>242</v>
      </c>
      <c r="B7" s="42" t="s">
        <v>243</v>
      </c>
      <c r="C7" s="45" t="s">
        <v>244</v>
      </c>
      <c r="D7" s="38" t="s">
        <v>245</v>
      </c>
      <c r="E7" s="83"/>
      <c r="F7" s="83"/>
      <c r="G7" s="83"/>
      <c r="H7" s="83"/>
      <c r="I7" s="83"/>
      <c r="J7" s="83"/>
      <c r="K7" s="83"/>
      <c r="L7" s="83"/>
      <c r="M7" s="83"/>
      <c r="N7" s="83"/>
      <c r="O7" s="83"/>
      <c r="P7" s="83"/>
      <c r="Q7" s="83"/>
      <c r="R7" s="83"/>
      <c r="S7" s="83"/>
      <c r="T7" s="83"/>
      <c r="U7" s="83"/>
    </row>
    <row r="8" spans="1:21" ht="67.5" x14ac:dyDescent="0.25">
      <c r="A8" s="100" t="s">
        <v>246</v>
      </c>
      <c r="B8" s="43" t="s">
        <v>247</v>
      </c>
      <c r="C8" s="45" t="s">
        <v>248</v>
      </c>
      <c r="D8" s="38" t="s">
        <v>249</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250</v>
      </c>
      <c r="C11" s="100" t="s">
        <v>251</v>
      </c>
      <c r="D11" s="100" t="s">
        <v>252</v>
      </c>
      <c r="E11" s="83"/>
      <c r="F11" s="83"/>
      <c r="G11" s="83"/>
      <c r="H11" s="83"/>
      <c r="I11" s="83"/>
      <c r="J11" s="83"/>
      <c r="K11" s="83"/>
      <c r="L11" s="83"/>
      <c r="M11" s="83"/>
      <c r="N11" s="83"/>
      <c r="O11" s="83"/>
      <c r="P11" s="83"/>
      <c r="Q11" s="83"/>
      <c r="R11" s="83"/>
      <c r="S11" s="83"/>
      <c r="T11" s="83"/>
      <c r="U11" s="83"/>
    </row>
    <row r="12" spans="1:21" x14ac:dyDescent="0.25">
      <c r="A12" s="100"/>
      <c r="B12" s="100" t="s">
        <v>253</v>
      </c>
      <c r="C12" s="100" t="s">
        <v>254</v>
      </c>
      <c r="D12" s="100" t="s">
        <v>255</v>
      </c>
      <c r="E12" s="83"/>
      <c r="F12" s="83"/>
      <c r="G12" s="83"/>
      <c r="H12" s="83"/>
      <c r="I12" s="83"/>
      <c r="J12" s="83"/>
      <c r="K12" s="83"/>
      <c r="L12" s="83"/>
      <c r="M12" s="83"/>
      <c r="N12" s="83"/>
      <c r="O12" s="83"/>
      <c r="P12" s="83"/>
      <c r="Q12" s="83"/>
      <c r="R12" s="83"/>
      <c r="S12" s="83"/>
      <c r="T12" s="83"/>
      <c r="U12" s="83"/>
    </row>
    <row r="13" spans="1:21" x14ac:dyDescent="0.25">
      <c r="A13" s="100"/>
      <c r="B13" s="100"/>
      <c r="C13" s="100" t="s">
        <v>256</v>
      </c>
      <c r="D13" s="100" t="s">
        <v>172</v>
      </c>
      <c r="E13" s="83"/>
      <c r="F13" s="83"/>
      <c r="G13" s="83"/>
      <c r="H13" s="83"/>
      <c r="I13" s="83"/>
      <c r="J13" s="83"/>
      <c r="K13" s="83"/>
      <c r="L13" s="83"/>
      <c r="M13" s="83"/>
      <c r="N13" s="83"/>
      <c r="O13" s="83"/>
      <c r="P13" s="83"/>
      <c r="Q13" s="83"/>
      <c r="R13" s="83"/>
      <c r="S13" s="83"/>
      <c r="T13" s="83"/>
      <c r="U13" s="83"/>
    </row>
    <row r="14" spans="1:21" x14ac:dyDescent="0.25">
      <c r="A14" s="100"/>
      <c r="B14" s="100"/>
      <c r="C14" s="100" t="s">
        <v>257</v>
      </c>
      <c r="D14" s="100" t="s">
        <v>258</v>
      </c>
      <c r="E14" s="83"/>
      <c r="F14" s="83"/>
      <c r="G14" s="83"/>
      <c r="H14" s="83"/>
      <c r="I14" s="83"/>
      <c r="J14" s="83"/>
      <c r="K14" s="83"/>
      <c r="L14" s="83"/>
      <c r="M14" s="83"/>
      <c r="N14" s="83"/>
      <c r="O14" s="83"/>
      <c r="P14" s="83"/>
      <c r="Q14" s="83"/>
      <c r="R14" s="83"/>
      <c r="S14" s="83"/>
      <c r="T14" s="83"/>
      <c r="U14" s="83"/>
    </row>
    <row r="15" spans="1:21" x14ac:dyDescent="0.25">
      <c r="A15" s="100"/>
      <c r="B15" s="100"/>
      <c r="C15" s="100" t="s">
        <v>160</v>
      </c>
      <c r="D15" s="100" t="s">
        <v>259</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260</v>
      </c>
      <c r="C209" s="30" t="s">
        <v>261</v>
      </c>
      <c r="D209" s="33" t="s">
        <v>260</v>
      </c>
      <c r="E209" s="33" t="s">
        <v>261</v>
      </c>
    </row>
    <row r="210" spans="1:8" ht="21" x14ac:dyDescent="0.35">
      <c r="A210" s="83"/>
      <c r="B210" s="31" t="s">
        <v>262</v>
      </c>
      <c r="C210" s="31" t="s">
        <v>263</v>
      </c>
      <c r="D210" t="s">
        <v>262</v>
      </c>
      <c r="F210" t="str">
        <f>IF(NOT(ISBLANK(D210)),D210,IF(NOT(ISBLANK(E210)),"     "&amp;E210,FALSE))</f>
        <v>Afectación Económica o presupuestal</v>
      </c>
      <c r="G210" t="s">
        <v>262</v>
      </c>
      <c r="H210" t="str">
        <f>IF(NOT(ISERROR(MATCH(G210,_xlfn.ANCHORARRAY(B221),0))),F223&amp;"Por favor no seleccionar los criterios de impacto",G210)</f>
        <v>❌Por favor no seleccionar los criterios de impacto</v>
      </c>
    </row>
    <row r="211" spans="1:8" ht="21" x14ac:dyDescent="0.35">
      <c r="A211" s="83"/>
      <c r="B211" s="31" t="s">
        <v>262</v>
      </c>
      <c r="C211" s="31" t="s">
        <v>237</v>
      </c>
      <c r="E211" t="s">
        <v>263</v>
      </c>
      <c r="F211" t="str">
        <f t="shared" ref="F211:F221" si="0">IF(NOT(ISBLANK(D211)),D211,IF(NOT(ISBLANK(E211)),"     "&amp;E211,FALSE))</f>
        <v xml:space="preserve">     Afectación menor a 10 SMLMV .</v>
      </c>
    </row>
    <row r="212" spans="1:8" ht="21" x14ac:dyDescent="0.35">
      <c r="A212" s="83"/>
      <c r="B212" s="31" t="s">
        <v>262</v>
      </c>
      <c r="C212" s="31" t="s">
        <v>240</v>
      </c>
      <c r="E212" t="s">
        <v>237</v>
      </c>
      <c r="F212" t="str">
        <f t="shared" si="0"/>
        <v xml:space="preserve">     Entre 10 y 50 SMLMV </v>
      </c>
    </row>
    <row r="213" spans="1:8" ht="21" x14ac:dyDescent="0.35">
      <c r="A213" s="83"/>
      <c r="B213" s="31" t="s">
        <v>262</v>
      </c>
      <c r="C213" s="31" t="s">
        <v>244</v>
      </c>
      <c r="E213" t="s">
        <v>240</v>
      </c>
      <c r="F213" t="str">
        <f t="shared" si="0"/>
        <v xml:space="preserve">     Entre 50 y 100 SMLMV </v>
      </c>
    </row>
    <row r="214" spans="1:8" ht="21" x14ac:dyDescent="0.35">
      <c r="A214" s="83"/>
      <c r="B214" s="31" t="s">
        <v>262</v>
      </c>
      <c r="C214" s="31" t="s">
        <v>248</v>
      </c>
      <c r="E214" t="s">
        <v>244</v>
      </c>
      <c r="F214" t="str">
        <f t="shared" si="0"/>
        <v xml:space="preserve">     Entre 100 y 500 SMLMV </v>
      </c>
    </row>
    <row r="215" spans="1:8" ht="21" x14ac:dyDescent="0.35">
      <c r="A215" s="83"/>
      <c r="B215" s="31" t="s">
        <v>230</v>
      </c>
      <c r="C215" s="31" t="s">
        <v>234</v>
      </c>
      <c r="E215" t="s">
        <v>248</v>
      </c>
      <c r="F215" t="str">
        <f t="shared" si="0"/>
        <v xml:space="preserve">     Mayor a 500 SMLMV </v>
      </c>
    </row>
    <row r="216" spans="1:8" ht="21" x14ac:dyDescent="0.35">
      <c r="A216" s="83"/>
      <c r="B216" s="31" t="s">
        <v>230</v>
      </c>
      <c r="C216" s="31" t="s">
        <v>238</v>
      </c>
      <c r="D216" t="s">
        <v>230</v>
      </c>
      <c r="F216" t="str">
        <f t="shared" si="0"/>
        <v>Pérdida Reputacional</v>
      </c>
    </row>
    <row r="217" spans="1:8" ht="21" x14ac:dyDescent="0.35">
      <c r="A217" s="83"/>
      <c r="B217" s="31" t="s">
        <v>230</v>
      </c>
      <c r="C217" s="31" t="s">
        <v>241</v>
      </c>
      <c r="E217" t="s">
        <v>234</v>
      </c>
      <c r="F217" t="str">
        <f t="shared" si="0"/>
        <v xml:space="preserve">     El riesgo afecta la imagen de alguna área de la organización</v>
      </c>
    </row>
    <row r="218" spans="1:8" ht="21" x14ac:dyDescent="0.35">
      <c r="A218" s="83"/>
      <c r="B218" s="31" t="s">
        <v>230</v>
      </c>
      <c r="C218" s="31" t="s">
        <v>245</v>
      </c>
      <c r="E218" t="s">
        <v>238</v>
      </c>
      <c r="F218" t="str">
        <f t="shared" si="0"/>
        <v xml:space="preserve">     El riesgo afecta la imagen de la entidad internamente, de conocimiento general, nivel interno, de junta dircetiva y accionistas y/o de provedores</v>
      </c>
    </row>
    <row r="219" spans="1:8" ht="21" x14ac:dyDescent="0.35">
      <c r="A219" s="83"/>
      <c r="B219" s="31" t="s">
        <v>230</v>
      </c>
      <c r="C219" s="31" t="s">
        <v>249</v>
      </c>
      <c r="E219" t="s">
        <v>241</v>
      </c>
      <c r="F219" t="str">
        <f t="shared" si="0"/>
        <v xml:space="preserve">     El riesgo afecta la imagen de la entidad con algunos usuarios de relevancia frente al logro de los objetivos</v>
      </c>
    </row>
    <row r="220" spans="1:8" x14ac:dyDescent="0.25">
      <c r="A220" s="83"/>
      <c r="B220" s="32"/>
      <c r="C220" s="32"/>
      <c r="E220" t="s">
        <v>245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249</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264</v>
      </c>
    </row>
    <row r="224" spans="1:8" x14ac:dyDescent="0.25">
      <c r="B224" s="22"/>
      <c r="C224" s="22"/>
      <c r="F224" s="35" t="s">
        <v>265</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25" t="s">
        <v>266</v>
      </c>
      <c r="C1" s="626"/>
      <c r="D1" s="626"/>
      <c r="E1" s="626"/>
      <c r="F1" s="627"/>
    </row>
    <row r="2" spans="2:6" ht="16.5" thickBot="1" x14ac:dyDescent="0.3">
      <c r="B2" s="86"/>
      <c r="C2" s="86"/>
      <c r="D2" s="86"/>
      <c r="E2" s="86"/>
      <c r="F2" s="86"/>
    </row>
    <row r="3" spans="2:6" ht="16.5" thickBot="1" x14ac:dyDescent="0.25">
      <c r="B3" s="629" t="s">
        <v>267</v>
      </c>
      <c r="C3" s="630"/>
      <c r="D3" s="630"/>
      <c r="E3" s="98" t="s">
        <v>268</v>
      </c>
      <c r="F3" s="99" t="s">
        <v>269</v>
      </c>
    </row>
    <row r="4" spans="2:6" ht="31.5" x14ac:dyDescent="0.2">
      <c r="B4" s="631" t="s">
        <v>270</v>
      </c>
      <c r="C4" s="633" t="s">
        <v>152</v>
      </c>
      <c r="D4" s="87" t="s">
        <v>161</v>
      </c>
      <c r="E4" s="88" t="s">
        <v>271</v>
      </c>
      <c r="F4" s="89">
        <v>0.25</v>
      </c>
    </row>
    <row r="5" spans="2:6" ht="47.25" x14ac:dyDescent="0.2">
      <c r="B5" s="632"/>
      <c r="C5" s="634"/>
      <c r="D5" s="90" t="s">
        <v>272</v>
      </c>
      <c r="E5" s="91" t="s">
        <v>273</v>
      </c>
      <c r="F5" s="92">
        <v>0.15</v>
      </c>
    </row>
    <row r="6" spans="2:6" ht="47.25" x14ac:dyDescent="0.2">
      <c r="B6" s="632"/>
      <c r="C6" s="634"/>
      <c r="D6" s="90" t="s">
        <v>274</v>
      </c>
      <c r="E6" s="91" t="s">
        <v>275</v>
      </c>
      <c r="F6" s="92">
        <v>0.1</v>
      </c>
    </row>
    <row r="7" spans="2:6" ht="63" x14ac:dyDescent="0.2">
      <c r="B7" s="632"/>
      <c r="C7" s="634" t="s">
        <v>153</v>
      </c>
      <c r="D7" s="90" t="s">
        <v>276</v>
      </c>
      <c r="E7" s="91" t="s">
        <v>277</v>
      </c>
      <c r="F7" s="92">
        <v>0.25</v>
      </c>
    </row>
    <row r="8" spans="2:6" ht="31.5" x14ac:dyDescent="0.2">
      <c r="B8" s="632"/>
      <c r="C8" s="634"/>
      <c r="D8" s="90" t="s">
        <v>162</v>
      </c>
      <c r="E8" s="91" t="s">
        <v>278</v>
      </c>
      <c r="F8" s="92">
        <v>0.15</v>
      </c>
    </row>
    <row r="9" spans="2:6" ht="47.25" x14ac:dyDescent="0.2">
      <c r="B9" s="632" t="s">
        <v>279</v>
      </c>
      <c r="C9" s="634" t="s">
        <v>155</v>
      </c>
      <c r="D9" s="90" t="s">
        <v>163</v>
      </c>
      <c r="E9" s="91" t="s">
        <v>280</v>
      </c>
      <c r="F9" s="93" t="s">
        <v>281</v>
      </c>
    </row>
    <row r="10" spans="2:6" ht="63" x14ac:dyDescent="0.2">
      <c r="B10" s="632"/>
      <c r="C10" s="634"/>
      <c r="D10" s="90" t="s">
        <v>282</v>
      </c>
      <c r="E10" s="91" t="s">
        <v>283</v>
      </c>
      <c r="F10" s="93" t="s">
        <v>281</v>
      </c>
    </row>
    <row r="11" spans="2:6" ht="47.25" x14ac:dyDescent="0.2">
      <c r="B11" s="632"/>
      <c r="C11" s="634" t="s">
        <v>156</v>
      </c>
      <c r="D11" s="90" t="s">
        <v>164</v>
      </c>
      <c r="E11" s="91" t="s">
        <v>284</v>
      </c>
      <c r="F11" s="93" t="s">
        <v>281</v>
      </c>
    </row>
    <row r="12" spans="2:6" ht="47.25" x14ac:dyDescent="0.2">
      <c r="B12" s="632"/>
      <c r="C12" s="634"/>
      <c r="D12" s="90" t="s">
        <v>285</v>
      </c>
      <c r="E12" s="91" t="s">
        <v>286</v>
      </c>
      <c r="F12" s="93" t="s">
        <v>281</v>
      </c>
    </row>
    <row r="13" spans="2:6" ht="31.5" x14ac:dyDescent="0.2">
      <c r="B13" s="632"/>
      <c r="C13" s="634" t="s">
        <v>157</v>
      </c>
      <c r="D13" s="90" t="s">
        <v>165</v>
      </c>
      <c r="E13" s="91" t="s">
        <v>287</v>
      </c>
      <c r="F13" s="93" t="s">
        <v>281</v>
      </c>
    </row>
    <row r="14" spans="2:6" ht="32.25" thickBot="1" x14ac:dyDescent="0.25">
      <c r="B14" s="635"/>
      <c r="C14" s="636"/>
      <c r="D14" s="94" t="s">
        <v>288</v>
      </c>
      <c r="E14" s="95" t="s">
        <v>289</v>
      </c>
      <c r="F14" s="96" t="s">
        <v>281</v>
      </c>
    </row>
    <row r="15" spans="2:6" ht="49.5" customHeight="1" x14ac:dyDescent="0.2">
      <c r="B15" s="628" t="s">
        <v>290</v>
      </c>
      <c r="C15" s="628"/>
      <c r="D15" s="628"/>
      <c r="E15" s="628"/>
      <c r="F15" s="62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291</v>
      </c>
      <c r="E2" t="s">
        <v>292</v>
      </c>
    </row>
    <row r="3" spans="2:5" x14ac:dyDescent="0.25">
      <c r="B3" t="s">
        <v>293</v>
      </c>
      <c r="E3" t="s">
        <v>169</v>
      </c>
    </row>
    <row r="4" spans="2:5" x14ac:dyDescent="0.25">
      <c r="B4" t="s">
        <v>294</v>
      </c>
      <c r="E4" t="s">
        <v>158</v>
      </c>
    </row>
    <row r="5" spans="2:5" x14ac:dyDescent="0.25">
      <c r="B5" t="s">
        <v>166</v>
      </c>
    </row>
    <row r="8" spans="2:5" x14ac:dyDescent="0.25">
      <c r="B8" t="s">
        <v>295</v>
      </c>
    </row>
    <row r="9" spans="2:5" x14ac:dyDescent="0.25">
      <c r="B9" t="s">
        <v>296</v>
      </c>
    </row>
    <row r="10" spans="2:5" x14ac:dyDescent="0.25">
      <c r="B10" t="s">
        <v>297</v>
      </c>
    </row>
    <row r="13" spans="2:5" x14ac:dyDescent="0.25">
      <c r="B13" t="s">
        <v>298</v>
      </c>
    </row>
    <row r="14" spans="2:5" x14ac:dyDescent="0.25">
      <c r="B14" t="s">
        <v>187</v>
      </c>
    </row>
    <row r="15" spans="2:5" x14ac:dyDescent="0.25">
      <c r="B15" t="s">
        <v>299</v>
      </c>
    </row>
    <row r="16" spans="2:5" x14ac:dyDescent="0.25">
      <c r="B16" t="s">
        <v>300</v>
      </c>
    </row>
    <row r="17" spans="2:2" x14ac:dyDescent="0.25">
      <c r="B17" t="s">
        <v>301</v>
      </c>
    </row>
    <row r="18" spans="2:2" x14ac:dyDescent="0.25">
      <c r="B18" t="s">
        <v>302</v>
      </c>
    </row>
    <row r="19" spans="2:2" x14ac:dyDescent="0.25">
      <c r="B19" t="s">
        <v>303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2025-08-14T20:55:17Z</dcterms:modified>
  <cp:category/>
  <cp:contentStatus/>
</cp:coreProperties>
</file>