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9E8877A5-09C7-400D-AF0E-D249B72FA3EC}"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8" i="1" l="1"/>
  <c r="Q38" i="1"/>
  <c r="AB38" i="1" s="1"/>
  <c r="AA38" i="1" s="1"/>
  <c r="K38" i="1"/>
  <c r="T37" i="1"/>
  <c r="Q37" i="1"/>
  <c r="K37" i="1"/>
  <c r="T36" i="1"/>
  <c r="Q36" i="1"/>
  <c r="K36" i="1"/>
  <c r="T35" i="1"/>
  <c r="Q35" i="1"/>
  <c r="K35" i="1"/>
  <c r="T34" i="1"/>
  <c r="Q34" i="1"/>
  <c r="X35" i="1" s="1"/>
  <c r="K34" i="1"/>
  <c r="T33" i="1"/>
  <c r="Q33" i="1"/>
  <c r="X34" i="1" s="1"/>
  <c r="K33" i="1"/>
  <c r="L33" i="1" s="1"/>
  <c r="M33" i="1" s="1"/>
  <c r="AB33" i="1" s="1"/>
  <c r="AA33" i="1" s="1"/>
  <c r="H33" i="1"/>
  <c r="N33" i="1" s="1"/>
  <c r="T32" i="1"/>
  <c r="Q32" i="1"/>
  <c r="K32" i="1"/>
  <c r="T31" i="1"/>
  <c r="Q31" i="1"/>
  <c r="AB32" i="1" s="1"/>
  <c r="AA32" i="1" s="1"/>
  <c r="K31" i="1"/>
  <c r="T30" i="1"/>
  <c r="Q30" i="1"/>
  <c r="AB31" i="1" s="1"/>
  <c r="AA31" i="1" s="1"/>
  <c r="K30" i="1"/>
  <c r="T29" i="1"/>
  <c r="Q29" i="1"/>
  <c r="K29" i="1"/>
  <c r="T28" i="1"/>
  <c r="Q28" i="1"/>
  <c r="AB29" i="1" s="1"/>
  <c r="AA29" i="1" s="1"/>
  <c r="K28" i="1"/>
  <c r="T25" i="1"/>
  <c r="Q25" i="1"/>
  <c r="AB28" i="1" s="1"/>
  <c r="AA28" i="1" s="1"/>
  <c r="K25" i="1"/>
  <c r="L25" i="1" s="1"/>
  <c r="M25" i="1" s="1"/>
  <c r="H25" i="1"/>
  <c r="AB30" i="1" l="1"/>
  <c r="AA30" i="1" s="1"/>
  <c r="X30" i="1"/>
  <c r="Z30" i="1" s="1"/>
  <c r="AB35" i="1"/>
  <c r="AA35" i="1" s="1"/>
  <c r="X36" i="1"/>
  <c r="Z36" i="1" s="1"/>
  <c r="X37" i="1"/>
  <c r="Z37" i="1" s="1"/>
  <c r="AB36" i="1"/>
  <c r="AA36" i="1" s="1"/>
  <c r="X38" i="1"/>
  <c r="AB37" i="1"/>
  <c r="AA37" i="1" s="1"/>
  <c r="Y35" i="1"/>
  <c r="AC35" i="1" s="1"/>
  <c r="Z35" i="1"/>
  <c r="Y34" i="1"/>
  <c r="Z34" i="1"/>
  <c r="Y38" i="1"/>
  <c r="AC38" i="1" s="1"/>
  <c r="Z38" i="1"/>
  <c r="Y36" i="1"/>
  <c r="AC36" i="1" s="1"/>
  <c r="I33" i="1"/>
  <c r="X33" i="1" s="1"/>
  <c r="AB34" i="1"/>
  <c r="AA34" i="1" s="1"/>
  <c r="Y37" i="1"/>
  <c r="AC37" i="1" s="1"/>
  <c r="N25" i="1"/>
  <c r="AB25" i="1"/>
  <c r="AA25" i="1" s="1"/>
  <c r="Y30" i="1"/>
  <c r="AC30" i="1" s="1"/>
  <c r="X31" i="1"/>
  <c r="I25" i="1"/>
  <c r="X25" i="1" s="1"/>
  <c r="X28" i="1"/>
  <c r="X32" i="1"/>
  <c r="X29" i="1"/>
  <c r="AC34" i="1" l="1"/>
  <c r="Z33" i="1"/>
  <c r="Y33" i="1"/>
  <c r="AC33" i="1" s="1"/>
  <c r="Z25" i="1"/>
  <c r="Y25" i="1"/>
  <c r="AC25" i="1" s="1"/>
  <c r="Y28" i="1"/>
  <c r="AC28" i="1" s="1"/>
  <c r="Z28" i="1"/>
  <c r="Y32" i="1"/>
  <c r="AC32" i="1" s="1"/>
  <c r="Z32" i="1"/>
  <c r="Z29" i="1"/>
  <c r="Y29" i="1"/>
  <c r="AC29" i="1" s="1"/>
  <c r="Z31" i="1"/>
  <c r="Y31" i="1"/>
  <c r="AC31" i="1" s="1"/>
  <c r="AA24" i="1" l="1"/>
  <c r="Y24" i="1"/>
  <c r="T24" i="1"/>
  <c r="K24" i="1"/>
  <c r="AA23" i="1"/>
  <c r="Y23" i="1"/>
  <c r="AC23" i="1" s="1"/>
  <c r="T23" i="1"/>
  <c r="K23" i="1"/>
  <c r="AB22" i="1"/>
  <c r="AA22" i="1"/>
  <c r="Y22" i="1"/>
  <c r="T22" i="1"/>
  <c r="K22" i="1"/>
  <c r="AB21" i="1"/>
  <c r="AA21" i="1" s="1"/>
  <c r="Y21" i="1"/>
  <c r="T21" i="1"/>
  <c r="K21" i="1"/>
  <c r="AB20" i="1"/>
  <c r="AA20" i="1" s="1"/>
  <c r="Y20" i="1"/>
  <c r="T20" i="1"/>
  <c r="K20" i="1"/>
  <c r="T19" i="1"/>
  <c r="Q19" i="1"/>
  <c r="K19" i="1"/>
  <c r="L19" i="1" s="1"/>
  <c r="M19" i="1" s="1"/>
  <c r="AB19" i="1" s="1"/>
  <c r="AA19" i="1" s="1"/>
  <c r="H19" i="1"/>
  <c r="AC22" i="1" l="1"/>
  <c r="AC21" i="1"/>
  <c r="AC20" i="1"/>
  <c r="AC24" i="1"/>
  <c r="N19" i="1"/>
  <c r="I19" i="1"/>
  <c r="X19" i="1" s="1"/>
  <c r="Z19" i="1" l="1"/>
  <c r="Y19" i="1"/>
  <c r="AC19" i="1" s="1"/>
  <c r="C8" i="1" l="1"/>
  <c r="C7" i="1"/>
  <c r="C6" i="1"/>
  <c r="Q12" i="1"/>
  <c r="H63" i="1" l="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12" i="1" l="1"/>
  <c r="H12" i="1" l="1"/>
  <c r="I12" i="1" s="1"/>
  <c r="K62" i="1"/>
  <c r="K54" i="1"/>
  <c r="K59" i="1"/>
  <c r="K43" i="1"/>
  <c r="K53" i="1"/>
  <c r="K40" i="1"/>
  <c r="K52" i="1"/>
  <c r="K61" i="1"/>
  <c r="K44" i="1"/>
  <c r="K55" i="1"/>
  <c r="K42" i="1"/>
  <c r="K46" i="1"/>
  <c r="K60" i="1"/>
  <c r="K47" i="1"/>
  <c r="K41" i="1"/>
  <c r="K58" i="1"/>
  <c r="K48" i="1"/>
  <c r="K56" i="1"/>
  <c r="K49" i="1"/>
  <c r="K50" i="1"/>
  <c r="F221" i="13" l="1"/>
  <c r="F211" i="13"/>
  <c r="F212" i="13"/>
  <c r="F213" i="13"/>
  <c r="F214" i="13"/>
  <c r="F215" i="13"/>
  <c r="F216" i="13"/>
  <c r="F217" i="13"/>
  <c r="F218" i="13"/>
  <c r="F219" i="13"/>
  <c r="F220" i="13"/>
  <c r="F210" i="13"/>
  <c r="K18" i="1"/>
  <c r="K17" i="1"/>
  <c r="K14" i="1"/>
  <c r="K15" i="1"/>
  <c r="B221" i="13" a="1"/>
  <c r="K16" i="1"/>
  <c r="B221" i="13" l="1"/>
  <c r="Q52" i="1"/>
  <c r="Q46" i="1"/>
  <c r="K63" i="1" l="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N69" i="1"/>
  <c r="N63" i="1"/>
  <c r="M63" i="1"/>
  <c r="AB63" i="1" s="1"/>
  <c r="AA63" i="1" s="1"/>
  <c r="AC63" i="1" s="1"/>
  <c r="T62" i="1"/>
  <c r="Q62" i="1"/>
  <c r="T61" i="1"/>
  <c r="Q61" i="1"/>
  <c r="T60" i="1"/>
  <c r="Q60" i="1"/>
  <c r="T59" i="1"/>
  <c r="Q59" i="1"/>
  <c r="T58" i="1"/>
  <c r="Q58" i="1"/>
  <c r="T57" i="1"/>
  <c r="H57" i="1"/>
  <c r="I57" i="1" s="1"/>
  <c r="T56" i="1"/>
  <c r="Q56" i="1"/>
  <c r="T55" i="1"/>
  <c r="Q55" i="1"/>
  <c r="T54" i="1"/>
  <c r="Q54" i="1"/>
  <c r="T53" i="1"/>
  <c r="Q53" i="1"/>
  <c r="T52" i="1"/>
  <c r="T51" i="1"/>
  <c r="Q51" i="1"/>
  <c r="H51" i="1"/>
  <c r="I51" i="1" s="1"/>
  <c r="T50" i="1"/>
  <c r="Q50" i="1"/>
  <c r="T49" i="1"/>
  <c r="Q49" i="1"/>
  <c r="T48" i="1"/>
  <c r="Q48" i="1"/>
  <c r="T47" i="1"/>
  <c r="Q47" i="1"/>
  <c r="T46" i="1"/>
  <c r="H45" i="1"/>
  <c r="I45" i="1" s="1"/>
  <c r="T44" i="1"/>
  <c r="Q44" i="1"/>
  <c r="T43" i="1"/>
  <c r="Q43" i="1"/>
  <c r="T42" i="1"/>
  <c r="Q42" i="1"/>
  <c r="T41" i="1"/>
  <c r="Q41" i="1"/>
  <c r="T40" i="1"/>
  <c r="Q40" i="1"/>
  <c r="I39" i="1"/>
  <c r="Q18" i="1"/>
  <c r="Q17" i="1"/>
  <c r="X57" i="1" l="1"/>
  <c r="X41" i="1"/>
  <c r="X49" i="1"/>
  <c r="X61" i="1"/>
  <c r="X43" i="1"/>
  <c r="X55" i="1"/>
  <c r="AB58" i="1"/>
  <c r="X59" i="1"/>
  <c r="X58" i="1"/>
  <c r="X54" i="1"/>
  <c r="X53" i="1"/>
  <c r="X56" i="1"/>
  <c r="X60" i="1"/>
  <c r="X62" i="1"/>
  <c r="X40" i="1"/>
  <c r="X39" i="1"/>
  <c r="X42" i="1"/>
  <c r="X44" i="1"/>
  <c r="X48" i="1"/>
  <c r="X47" i="1"/>
  <c r="X50" i="1"/>
  <c r="AB46" i="1"/>
  <c r="X46" i="1"/>
  <c r="X45" i="1"/>
  <c r="X51" i="1"/>
  <c r="AB40" i="1"/>
  <c r="AB55" i="1"/>
  <c r="AA55" i="1" s="1"/>
  <c r="AB56" i="1"/>
  <c r="AA56" i="1" s="1"/>
  <c r="Y57" i="1" l="1"/>
  <c r="Z57" i="1"/>
  <c r="Z58" i="1" s="1"/>
  <c r="Y56" i="1"/>
  <c r="Z56" i="1"/>
  <c r="Y55" i="1"/>
  <c r="Z55" i="1"/>
  <c r="Y51" i="1"/>
  <c r="Z51" i="1"/>
  <c r="X52" i="1" s="1"/>
  <c r="Y45" i="1"/>
  <c r="Z45" i="1"/>
  <c r="Z46" i="1" s="1"/>
  <c r="Y39" i="1"/>
  <c r="Z39" i="1"/>
  <c r="Y58" i="1" l="1"/>
  <c r="Y46" i="1"/>
  <c r="Y47" i="1"/>
  <c r="Z47" i="1"/>
  <c r="Z59" i="1"/>
  <c r="Y5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5" i="1"/>
  <c r="AC56" i="1"/>
  <c r="T14" i="1"/>
  <c r="T17" i="1"/>
  <c r="T18" i="1"/>
  <c r="Y60" i="1" l="1"/>
  <c r="Z60" i="1"/>
  <c r="Y53" i="1"/>
  <c r="Z53" i="1"/>
  <c r="Y52" i="1"/>
  <c r="Z52" i="1"/>
  <c r="Y40" i="1"/>
  <c r="Z40" i="1"/>
  <c r="Y41" i="1" s="1"/>
  <c r="Z41" i="1" l="1"/>
  <c r="Z42" i="1" s="1"/>
  <c r="Y61" i="1"/>
  <c r="Z61" i="1"/>
  <c r="Y48" i="1"/>
  <c r="Z48" i="1"/>
  <c r="Y49" i="1" s="1"/>
  <c r="Y42" i="1"/>
  <c r="Y54" i="1"/>
  <c r="Z54" i="1"/>
  <c r="Y62" i="1" l="1"/>
  <c r="Z62" i="1"/>
  <c r="Z49" i="1"/>
  <c r="Y50" i="1" s="1"/>
  <c r="Z43" i="1"/>
  <c r="Y43" i="1"/>
  <c r="X12" i="1"/>
  <c r="Y12" i="1" s="1"/>
  <c r="Y44" i="1" l="1"/>
  <c r="Z44" i="1"/>
  <c r="Z50" i="1"/>
  <c r="Q14" i="1"/>
  <c r="Z12" i="1" l="1"/>
  <c r="X14" i="1" s="1"/>
  <c r="Y14" i="1" l="1"/>
  <c r="Z14" i="1" l="1"/>
  <c r="X17" i="1" l="1"/>
  <c r="Y17" i="1" l="1"/>
  <c r="Z17" i="1"/>
  <c r="X18" i="1" s="1"/>
  <c r="Y18" i="1" l="1"/>
  <c r="Z18" i="1"/>
  <c r="K45" i="1" l="1"/>
  <c r="L45" i="1" s="1"/>
  <c r="K57" i="1"/>
  <c r="L57" i="1" s="1"/>
  <c r="K51" i="1"/>
  <c r="L51" i="1" s="1"/>
  <c r="K39" i="1"/>
  <c r="L39" i="1" s="1"/>
  <c r="K12" i="1"/>
  <c r="L12"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4" i="1" s="1"/>
  <c r="N12" i="1"/>
  <c r="M51" i="1"/>
  <c r="AH34" i="18"/>
  <c r="AH42" i="18"/>
  <c r="AH18" i="18"/>
  <c r="AB10" i="18"/>
  <c r="J26" i="18"/>
  <c r="V18" i="18"/>
  <c r="V42" i="18"/>
  <c r="J42" i="18"/>
  <c r="P10" i="18"/>
  <c r="AB26" i="18"/>
  <c r="J34" i="18"/>
  <c r="J18" i="18"/>
  <c r="AH10" i="18"/>
  <c r="AB34" i="18"/>
  <c r="P26" i="18"/>
  <c r="P34" i="18"/>
  <c r="V34" i="18"/>
  <c r="AH26" i="18"/>
  <c r="J10" i="18"/>
  <c r="N51" i="1"/>
  <c r="P18" i="18"/>
  <c r="AB42" i="18"/>
  <c r="V10" i="18"/>
  <c r="AB18" i="18"/>
  <c r="P42" i="18"/>
  <c r="V26" i="18"/>
  <c r="Z32" i="18"/>
  <c r="N24" i="18"/>
  <c r="AL32" i="18"/>
  <c r="AL40" i="18"/>
  <c r="N8" i="18"/>
  <c r="AF24" i="18"/>
  <c r="Z40" i="18"/>
  <c r="Z16" i="18"/>
  <c r="N32" i="18"/>
  <c r="T32" i="18"/>
  <c r="N40" i="18"/>
  <c r="T8" i="18"/>
  <c r="M45" i="1"/>
  <c r="AF32" i="18"/>
  <c r="AL8" i="18"/>
  <c r="T24" i="18"/>
  <c r="N16" i="18"/>
  <c r="T16" i="18"/>
  <c r="Z24" i="18"/>
  <c r="AF16" i="18"/>
  <c r="N45" i="1"/>
  <c r="T40" i="18"/>
  <c r="AF8" i="18"/>
  <c r="AL24" i="18"/>
  <c r="Z8" i="18"/>
  <c r="AF40" i="18"/>
  <c r="AL16" i="18"/>
  <c r="AB45" i="1" l="1"/>
  <c r="AA45" i="1" s="1"/>
  <c r="AB57" i="1"/>
  <c r="AA57" i="1" s="1"/>
  <c r="AA12" i="1"/>
  <c r="AB51" i="1"/>
  <c r="AB39" i="1"/>
  <c r="AA39" i="1" s="1"/>
  <c r="AA51" i="1" l="1"/>
  <c r="V22" i="19" s="1"/>
  <c r="AB52" i="1"/>
  <c r="J28" i="19"/>
  <c r="J47" i="19"/>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5"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AA14" i="1"/>
  <c r="AB41" i="1"/>
  <c r="AA40" i="1"/>
  <c r="AA46" i="1"/>
  <c r="AB47" i="1"/>
  <c r="AA47" i="1" s="1"/>
  <c r="AB48" i="1"/>
  <c r="AB53" i="1"/>
  <c r="AA53" i="1" s="1"/>
  <c r="AB54" i="1"/>
  <c r="AA54" i="1" s="1"/>
  <c r="AA52" i="1"/>
  <c r="AA58" i="1"/>
  <c r="AB59" i="1"/>
  <c r="V37" i="19" l="1"/>
  <c r="V38" i="19"/>
  <c r="P8" i="19"/>
  <c r="AB38" i="19"/>
  <c r="P28" i="19"/>
  <c r="V28" i="19"/>
  <c r="P17" i="19"/>
  <c r="AH32" i="19"/>
  <c r="AB52" i="19"/>
  <c r="J32" i="19"/>
  <c r="V12" i="19"/>
  <c r="J42" i="19"/>
  <c r="J12" i="19"/>
  <c r="J22" i="19"/>
  <c r="AB12" i="19"/>
  <c r="AC51"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6"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3" i="1"/>
  <c r="AD12" i="19"/>
  <c r="AD32" i="19"/>
  <c r="AD22" i="19"/>
  <c r="X52" i="19"/>
  <c r="AD52" i="19"/>
  <c r="L42" i="19"/>
  <c r="R42" i="19"/>
  <c r="AJ21" i="19"/>
  <c r="AD31" i="19"/>
  <c r="R21" i="19"/>
  <c r="AD41" i="19"/>
  <c r="AJ11" i="19"/>
  <c r="AJ51" i="19"/>
  <c r="AC47" i="1"/>
  <c r="L41" i="19"/>
  <c r="AD11" i="19"/>
  <c r="L21" i="19"/>
  <c r="L11" i="19"/>
  <c r="X51" i="19"/>
  <c r="X21" i="19"/>
  <c r="R11" i="19"/>
  <c r="R31" i="19"/>
  <c r="AJ41" i="19"/>
  <c r="L31" i="19"/>
  <c r="R51" i="19"/>
  <c r="X31" i="19"/>
  <c r="X11" i="19"/>
  <c r="X41" i="19"/>
  <c r="AJ31" i="19"/>
  <c r="AD51" i="19"/>
  <c r="R41" i="19"/>
  <c r="AD21" i="19"/>
  <c r="L51" i="19"/>
  <c r="AA59" i="1"/>
  <c r="AB60" i="1"/>
  <c r="K42" i="19"/>
  <c r="AC32" i="19"/>
  <c r="W42" i="19"/>
  <c r="AI52" i="19"/>
  <c r="K22" i="19"/>
  <c r="Q32" i="19"/>
  <c r="AI12" i="19"/>
  <c r="AC52" i="19"/>
  <c r="Q42" i="19"/>
  <c r="AC42" i="19"/>
  <c r="K12" i="19"/>
  <c r="Q22" i="19"/>
  <c r="W52" i="19"/>
  <c r="AI42" i="19"/>
  <c r="W32" i="19"/>
  <c r="AI22" i="19"/>
  <c r="W12" i="19"/>
  <c r="AI32" i="19"/>
  <c r="AC12" i="19"/>
  <c r="Q12" i="19"/>
  <c r="Q52" i="19"/>
  <c r="AC52" i="1"/>
  <c r="K32" i="19"/>
  <c r="W22" i="19"/>
  <c r="K52" i="19"/>
  <c r="AC22" i="19"/>
  <c r="AC40" i="19"/>
  <c r="W10" i="19"/>
  <c r="AC50" i="19"/>
  <c r="Q10" i="19"/>
  <c r="Q30" i="19"/>
  <c r="W50" i="19"/>
  <c r="K40" i="19"/>
  <c r="Q50" i="19"/>
  <c r="W20" i="19"/>
  <c r="AC40" i="1"/>
  <c r="K10" i="19"/>
  <c r="Q40" i="19"/>
  <c r="K30" i="19"/>
  <c r="AI50" i="19"/>
  <c r="AI20" i="19"/>
  <c r="K50" i="19"/>
  <c r="AI40" i="19"/>
  <c r="W40" i="19"/>
  <c r="K20" i="19"/>
  <c r="AC10" i="19"/>
  <c r="AI10" i="19"/>
  <c r="AC20" i="19"/>
  <c r="AI30" i="19"/>
  <c r="AC30" i="19"/>
  <c r="W30" i="19"/>
  <c r="Q20" i="19"/>
  <c r="AC14"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AC54" i="1"/>
  <c r="M52" i="19"/>
  <c r="S12" i="19"/>
  <c r="M32" i="19"/>
  <c r="S52" i="19"/>
  <c r="Y52" i="19"/>
  <c r="Y42" i="19"/>
  <c r="AK12" i="19"/>
  <c r="S22" i="19"/>
  <c r="AE12" i="19"/>
  <c r="Y22" i="19"/>
  <c r="S32" i="19"/>
  <c r="AK52" i="19"/>
  <c r="M22" i="19"/>
  <c r="AK32" i="19"/>
  <c r="AE22" i="19"/>
  <c r="AE42" i="19"/>
  <c r="Y32" i="19"/>
  <c r="M42" i="19"/>
  <c r="Y12" i="19"/>
  <c r="AE52" i="19"/>
  <c r="AK22" i="19"/>
  <c r="S42" i="19"/>
  <c r="AA48" i="1"/>
  <c r="AB50" i="1"/>
  <c r="AA50" i="1" s="1"/>
  <c r="AB49" i="1"/>
  <c r="AA49" i="1" s="1"/>
  <c r="AA41" i="1"/>
  <c r="AB42"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41" i="1"/>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0"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2" i="1"/>
  <c r="AB43" i="1"/>
  <c r="AE11" i="19"/>
  <c r="Y41" i="19"/>
  <c r="M41" i="19"/>
  <c r="Y21" i="19"/>
  <c r="AK41" i="19"/>
  <c r="S31" i="19"/>
  <c r="M31" i="19"/>
  <c r="M51" i="19"/>
  <c r="Y51" i="19"/>
  <c r="AK21" i="19"/>
  <c r="AK31" i="19"/>
  <c r="Y11" i="19"/>
  <c r="AE41" i="19"/>
  <c r="AE21" i="19"/>
  <c r="S51" i="19"/>
  <c r="AE51" i="19"/>
  <c r="AK51" i="19"/>
  <c r="M21" i="19"/>
  <c r="AE31" i="19"/>
  <c r="AC48"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3" i="1" l="1"/>
  <c r="AB44" i="1"/>
  <c r="AA44"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1" i="1"/>
  <c r="AB62" i="1"/>
  <c r="AA62"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<sst xmlns="http://schemas.openxmlformats.org/spreadsheetml/2006/main" count="448" uniqueCount="309">
  <si>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</si>
  <si>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</si>
  <si>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</si>
  <si>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</si>
  <si>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</si>
  <si>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</si>
  <si>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</si>
  <si>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</si>
  <si>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</si>
  <si>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</si>
  <si>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</si>
  <si>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</si>
  <si>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</si>
  <si>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</si>
  <si>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</si>
  <si>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</si>
  <si>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</si>
  <si>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</si>
  <si>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</si>
  <si>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</si>
  <si>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</si>
  <si>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</si>
  <si>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</si>
  <si>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</si>
  <si>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</si>
  <si>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</si>
  <si>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</si>
  <si>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</si>
  <si>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</si>
  <si>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</si>
  <si>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</si>
  <si>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</si>
  <si>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</si>
  <si>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</si>
  <si>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</si>
  <si>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</si>
  <si>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</si>
  <si>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</si>
  <si>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</si>
  <si>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</si>
  <si>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</si>
  <si>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</si>
  <si>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</si>
  <si>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</si>
  <si>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</si>
  <si>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</si>
  <si>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</si>
  <si>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</si>
  <si>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</si>
  <si>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</si>
  <si>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</si>
  <si>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</si>
  <si>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</si>
  <si>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</si>
  <si>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</si>
  <si>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</si>
  <si>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</si>
  <si>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</si>
  <si>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</si>
  <si>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</si>
  <si>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</si>
  <si>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</si>
  <si>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</si>
  <si>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</si>
  <si>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</si>
  <si>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</si>
  <si>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</si>
  <si>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</si>
  <si>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</si>
  <si>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</si>
  <si>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</si>
  <si>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</si>
  <si>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</si>
  <si>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</si>
  <si>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</si>
  <si>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</si>
  <si>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</si>
  <si>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</si>
  <si>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</si>
  <si>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</si>
  <si>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DEL SERVICIO A LA CIUDADANÍA</t>
  </si>
  <si>
    <t>ALCANCE:</t>
  </si>
  <si>
    <t>Inicia garantizando la atención eficiente, oportuna y de calidad a los ciudadanos de Bucaramanga, proporcionando soluciones asus solicitudes, quejas, reclamos y sugerencias. Este proceso incluye la recepción, clasificación, atención y seguimiento de las peticiones de los ciudadanos, asegurando la transparencia y el cumplimiento de los tiempos establecidos por la normativa vigente. Además, se busca mejorar continuamente el servicio a través de la retroalimentación ciudadana y la optimización de los recursos disponibles.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</si>
  <si>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</si>
  <si>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</si>
  <si>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</si>
  <si>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</si>
  <si>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</si>
  <si>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</si>
  <si>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Brindar atención con calidad y oportunidad en las diferentes solicitudes de trámites, servicios, peticiones, quejas, reclamos y sugerencias de los ciudadanos, mediante la implementación de políticas claras de servicio, atención y canales de comunicación efectivos, que contribuyan conel nivel de satisfacción de la ciudadanía en el marco del alcance misional de la Alcaldía de Bucaramanga.</t>
  </si>
  <si>
    <t xml:space="preserve">Recibe y da tratamiento a PQRSD, Elaboración de evaluación de satisfacción del servicio. Elaboración y seguimiento de medidas correctivas, preventivas y de mejora. Seguimiento y elebarocación de informe comportamental de PQRSD. </t>
  </si>
  <si>
    <t xml:space="preserve">Distribución y seguimiento de solicitudes de  las áreas competentes. </t>
  </si>
  <si>
    <t>MATRIZ DOFA</t>
  </si>
  <si>
    <t>DEBILIDADES</t>
  </si>
  <si>
    <t>AMENAZAS</t>
  </si>
  <si>
    <t>1.  Falta de equipos tecnologicos optimos en los módulos de atencion al ciuadadano</t>
  </si>
  <si>
    <t>1. Nuevas tecnologías en el mercado a alto costo que impiden la adquisición de las mismas.</t>
  </si>
  <si>
    <t>2. Incumplimiento en los términos establecidos por la ley para dar respuesta a las PQRSD realizadas por los ciudadanos</t>
  </si>
  <si>
    <t>2. Emergencias sanitarias, que afectan la prestación directa del servicio al ciudadano.</t>
  </si>
  <si>
    <t>3.  Demora en la asignación de las PQRSD a las Secretarias y Oficinas para su respectivas respuestas</t>
  </si>
  <si>
    <t>3. Baja satisfacción del ciudadano frente a los servicios y atención prestada por la entidad</t>
  </si>
  <si>
    <t>4. Errores en la clasificación y radicación de las solicitudes de los ciudadanos</t>
  </si>
  <si>
    <t>FORTALEZAS</t>
  </si>
  <si>
    <t>OPORTUNIDADES</t>
  </si>
  <si>
    <t>1. Talento humano capacitado, con conocimiento y experiencia para el desarrollo de las funciones</t>
  </si>
  <si>
    <t>1. Migración a nuevas formas de Trabajo y Comunicación para la prestación del servicio público, generado por las condiciones de emergencias sanitarias.</t>
  </si>
  <si>
    <t>2.Instalaciones físicas amplias para el desarrollo de las actividades y atención de los ciudadanos</t>
  </si>
  <si>
    <t>2. Disponibilidad de equipos y herramientas tecnológicas que permitan agilizar los procesos de respuesta a las PQRSD</t>
  </si>
  <si>
    <t>3. Flexibilidad en el horario de los servidores públicos para la atención a los usuarios y desarrollo de sus funciones en tiempo de emergencias sanitarias.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</si>
  <si>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</si>
  <si>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</si>
  <si>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</si>
  <si>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</si>
  <si>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</si>
  <si>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</si>
  <si>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</si>
  <si>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</si>
  <si>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</si>
  <si>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</si>
  <si>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</si>
  <si>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</si>
  <si>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</si>
  <si>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</si>
  <si>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</si>
  <si>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</si>
  <si>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</si>
  <si>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</si>
  <si>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</si>
  <si>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</si>
  <si>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</si>
  <si>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</si>
  <si>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</si>
  <si>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</si>
  <si>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</si>
  <si>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</si>
  <si>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</si>
  <si>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</si>
  <si>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</si>
  <si>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</si>
  <si>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</si>
  <si>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</si>
  <si>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</si>
  <si>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</si>
  <si>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</si>
  <si>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</si>
  <si>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</si>
  <si>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</si>
  <si>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</si>
  <si>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 xml:space="preserve"> Investigaciones y sanciones por entes de control</t>
  </si>
  <si>
    <t>Demora en la asignación de peticiones de la ciudadanía a las dependencias, para dar respuesta en los términos de ley.</t>
  </si>
  <si>
    <t>Posibilidad de afectación económica y reputacional por investigaciones y sanciones por entes de control, debido a la demora en la asignación de peticiones de la ciudadanía a las dependencias, para dar respuesta en los términos de ley.</t>
  </si>
  <si>
    <t>Ejecucion y Administracion de procesos</t>
  </si>
  <si>
    <t xml:space="preserve">     Entre 100 y 500 SMLMV </t>
  </si>
  <si>
    <t>El profesional asignado, revisa las solicitudes de la comunidad y de acuerdo a los temas los direcciona oportunamente a través de los diferentes medios de la entidad, a la dependencia o dependencias competentes para dar respuesta en los términos requeridos.</t>
  </si>
  <si>
    <t>Preventivo</t>
  </si>
  <si>
    <t>Manual</t>
  </si>
  <si>
    <t>Documentado</t>
  </si>
  <si>
    <t>Continua</t>
  </si>
  <si>
    <t>Con Registro</t>
  </si>
  <si>
    <t>Reducir (mitigar)</t>
  </si>
  <si>
    <t>Realizar seguimiento semestral a las socializaciones a servidores públicos y contratistas del CAME, sobre el portafolio de servicios de las competencias y procedimientos de cada una de las dependencias de la entidad.</t>
  </si>
  <si>
    <t>Lider del proceso</t>
  </si>
  <si>
    <t>Informe de socializaciones realizadas en el semestre (2)</t>
  </si>
  <si>
    <t>Realizar seguimiento mensual a las devoluciones realizadas por parte de las Dependencias, de las PQRSD asignadas por el CAME</t>
  </si>
  <si>
    <t>Acta de seguimiento de medición (9)</t>
  </si>
  <si>
    <t>Reputacional</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</si>
  <si>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</si>
  <si>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</si>
  <si>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 xml:space="preserve">     El riesgo afecta la imagen de la entidad con algunos usuarios de relevancia frente al logro de los objetivos</t>
  </si>
  <si>
    <t>El líder del proceso revisa las acciones correctivas y de mejora, establecidas y plasmadas en los Planes de Mejoramiento de auditorías internas suscritos, a través de seguimiento al proceso de gestión de servicio a la ciudadanía</t>
  </si>
  <si>
    <t>Realizar  un seguimiento semestral a las acciones establecidas en los Planes de Mejoramiento de auditorías internas suscritos</t>
  </si>
  <si>
    <t>Acta de reunión (2)</t>
  </si>
  <si>
    <t>Investigaciones disciplinarias y sanciones por entes de control.</t>
  </si>
  <si>
    <t>Incumplimiento de la Ley 594 del 2000 en los documentos generados por el Área de Gestión del Servicio a la Ciudadanía</t>
  </si>
  <si>
    <t>Posibilidad de afectación reputacional por posibles investigaciones y sanciones disciplinarias por entes de control, debido al incumplimiento de la Ley 594 del 2000 en los documentos generados por el Área de Gestión del Servicio a la Ciudadanía</t>
  </si>
  <si>
    <t>El equipo asignado para el manejo del archivo aplica los manuales y procedimientos para la intervencion documental establecidos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</si>
  <si>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del Área de Gestión de Servicio a la ciudadanía, en los tiempos establecidos en el cronograma para la vigencia que aplique la tabla de retención documental vigentes</t>
  </si>
  <si>
    <t>Líder del proceso y equipo asignado</t>
  </si>
  <si>
    <t>Acta de transferencia documental F-GDO-8600-238,37-022 
(1)</t>
  </si>
  <si>
    <t>Organizar el 100% de los expedientes producidos por el Área de Gestión de Servicio a la ciudadanía</t>
  </si>
  <si>
    <t xml:space="preserve">Informe de seguimiento a la organización documental F-GDO-8600-238,37-033 
(2) </t>
  </si>
  <si>
    <t>Elaborar el 100% de los inventarios documentales de los archivos producidos por el Área de Gestión de Servicio a la ciudadanía</t>
  </si>
  <si>
    <t>Inventarios documentales F-GDO-8600-238,37-003
(2)</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</si>
  <si>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</si>
  <si>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</si>
  <si>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</si>
  <si>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</si>
  <si>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Gestión de Talento Humano, de acuerdo con los estandares establecidos en la Resolucuión 1519 de 2020.</t>
  </si>
  <si>
    <t>Lider de proceso y profesional asignado</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</si>
  <si>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</si>
  <si>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</si>
  <si>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</si>
  <si>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</si>
  <si>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</si>
  <si>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</si>
  <si>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</si>
  <si>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</si>
  <si>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</si>
  <si>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</si>
  <si>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</si>
  <si>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</si>
  <si>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</si>
  <si>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</si>
  <si>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</si>
  <si>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</si>
  <si>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</si>
  <si>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</si>
  <si>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</si>
  <si>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</si>
  <si>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</si>
  <si>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</si>
  <si>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</si>
  <si>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</si>
  <si>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</si>
  <si>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</si>
  <si>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</si>
  <si>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</si>
  <si>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</si>
  <si>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</si>
  <si>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</si>
  <si>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</si>
  <si>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</si>
  <si>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</si>
  <si>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</si>
  <si>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</si>
  <si>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</si>
  <si>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</si>
  <si>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</si>
  <si>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</si>
  <si>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</si>
  <si>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</si>
  <si>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</si>
  <si>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</si>
  <si>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</si>
  <si>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</si>
  <si>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</si>
  <si>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</si>
  <si>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</si>
  <si>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</si>
  <si>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</si>
  <si>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</si>
  <si>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</si>
  <si>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</si>
  <si>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</si>
  <si>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</si>
  <si>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</si>
  <si>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</si>
  <si>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</si>
  <si>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</si>
  <si>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</si>
  <si>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</si>
  <si>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</si>
  <si>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</si>
  <si>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</si>
  <si>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</si>
  <si>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</si>
  <si>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</si>
  <si>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</si>
  <si>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</si>
  <si>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</si>
  <si>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</si>
  <si>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</si>
  <si>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</si>
  <si>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</si>
  <si>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</si>
  <si>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</si>
  <si>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</si>
  <si>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</si>
  <si>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</si>
  <si>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</si>
  <si>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</si>
  <si>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</si>
  <si>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</si>
  <si>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</si>
  <si>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</si>
  <si>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</si>
  <si>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</si>
  <si>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</si>
  <si>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</si>
  <si>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</si>
  <si>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</si>
  <si>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</si>
  <si>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</si>
  <si>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</si>
  <si>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</si>
  <si>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</si>
  <si>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</si>
  <si>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</si>
  <si>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</si>
  <si>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</si>
  <si>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</si>
  <si>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</si>
  <si>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</si>
  <si>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</si>
  <si>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</si>
  <si>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</si>
  <si>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</si>
  <si>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</si>
  <si>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</si>
  <si>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</si>
  <si>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</si>
  <si>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</si>
  <si>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</si>
  <si>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</si>
  <si>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</si>
  <si>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</si>
  <si>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</si>
  <si>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</si>
  <si>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 xml:space="preserve"> incumplimiento de las acciones correctivas y de mejora, en los tiempos estipulados y plasmados en los Planes de Mejoramiento de auditorías internas realizadas por la Oficina de Control Interno de Gestión,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</si>
</sst>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2"/>
      <name val="Calibri"/>
      <family val="2"/>
    </font>
    <font>
      <sz val="11"/>
      <color rgb="FF000000"/>
      <name val="Arial Narrow"/>
      <family val="2"/>
    </font>
    <font>
      <sz val="14"/>
      <color theme="1"/>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2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rgb="FF50505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50505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505050"/>
      </right>
      <top style="medium">
        <color rgb="FF000000"/>
      </top>
      <bottom style="thin">
        <color rgb="FF000000"/>
      </bottom>
      <diagonal/>
    </border>
    <border>
      <left/>
      <right style="medium">
        <color rgb="FF505050"/>
      </right>
      <top style="thin">
        <color rgb="FF000000"/>
      </top>
      <bottom style="thin">
        <color rgb="FF000000"/>
      </bottom>
      <diagonal/>
    </border>
    <border>
      <left/>
      <right/>
      <top style="thin">
        <color rgb="FF000000"/>
      </top>
      <bottom/>
      <diagonal/>
    </border>
    <border>
      <left/>
      <right style="medium">
        <color rgb="FF505050"/>
      </right>
      <top style="thin">
        <color rgb="FF000000"/>
      </top>
      <bottom/>
      <diagonal/>
    </border>
    <border>
      <left style="medium">
        <color rgb="FF000000"/>
      </left>
      <right/>
      <top style="thin">
        <color rgb="FF000000"/>
      </top>
      <bottom style="thin">
        <color rgb="FF000000"/>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8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6" xfId="0" applyFont="1" applyFill="1" applyBorder="1" applyAlignment="1">
      <alignment horizontal="left" vertical="center" wrapText="1" indent="1"/>
    </xf>
    <xf numFmtId="0" fontId="69" fillId="17" borderId="105"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13"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textRotation="90"/>
      <protection locked="0"/>
    </xf>
    <xf numFmtId="164" fontId="1" fillId="0" borderId="10" xfId="1" applyNumberFormat="1" applyFont="1" applyBorder="1" applyAlignment="1">
      <alignment horizontal="center" vertical="center"/>
    </xf>
    <xf numFmtId="0" fontId="1" fillId="0" borderId="2" xfId="0" applyFont="1" applyBorder="1" applyAlignment="1" applyProtection="1">
      <alignment horizontal="center" vertical="center"/>
      <protection locked="0"/>
    </xf>
    <xf numFmtId="9" fontId="1" fillId="0" borderId="29" xfId="0" applyNumberFormat="1" applyFont="1" applyBorder="1" applyAlignment="1" applyProtection="1">
      <alignment horizontal="center" vertical="center"/>
      <protection hidden="1"/>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4" fillId="3" borderId="67" xfId="0" applyFont="1" applyFill="1" applyBorder="1" applyAlignment="1">
      <alignment horizontal="left" vertical="center" wrapText="1"/>
    </xf>
    <xf numFmtId="0" fontId="54" fillId="3" borderId="68"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4" fillId="15" borderId="74" xfId="3" applyFont="1" applyFill="1" applyBorder="1" applyAlignment="1">
      <alignment horizontal="center" vertical="center" wrapText="1"/>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71" fillId="0" borderId="35" xfId="0" applyFont="1" applyBorder="1" applyAlignment="1">
      <alignment horizontal="left" vertical="center" wrapText="1"/>
    </xf>
    <xf numFmtId="0" fontId="71" fillId="0" borderId="31" xfId="0" applyFont="1" applyBorder="1" applyAlignment="1">
      <alignment horizontal="left" vertical="center" wrapText="1"/>
    </xf>
    <xf numFmtId="0" fontId="71" fillId="0" borderId="36" xfId="0" applyFont="1" applyBorder="1" applyAlignment="1">
      <alignment horizontal="left"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8" fillId="0" borderId="105"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106" xfId="0" applyFont="1" applyBorder="1" applyAlignment="1">
      <alignment horizontal="center" vertical="center" wrapText="1"/>
    </xf>
    <xf numFmtId="0" fontId="68" fillId="0" borderId="107" xfId="0" applyFont="1" applyBorder="1" applyAlignment="1">
      <alignment horizontal="center" vertical="center" wrapText="1"/>
    </xf>
    <xf numFmtId="0" fontId="68" fillId="0" borderId="108" xfId="0" applyFont="1" applyBorder="1" applyAlignment="1">
      <alignment horizontal="center" vertical="center" wrapText="1"/>
    </xf>
    <xf numFmtId="0" fontId="68" fillId="0" borderId="109" xfId="0" applyFont="1" applyBorder="1" applyAlignment="1">
      <alignment horizontal="center" vertical="center" wrapText="1"/>
    </xf>
    <xf numFmtId="0" fontId="68" fillId="0" borderId="110" xfId="0" applyFont="1" applyBorder="1" applyAlignment="1">
      <alignment horizontal="center" vertical="center" wrapText="1"/>
    </xf>
    <xf numFmtId="0" fontId="68" fillId="0" borderId="111" xfId="0" applyFont="1" applyBorder="1" applyAlignment="1">
      <alignment horizontal="center" vertical="center" wrapText="1"/>
    </xf>
    <xf numFmtId="0" fontId="68" fillId="0" borderId="112" xfId="0" applyFont="1" applyBorder="1" applyAlignment="1">
      <alignment horizontal="center" vertical="center" wrapText="1"/>
    </xf>
    <xf numFmtId="0" fontId="71" fillId="0" borderId="35" xfId="0" applyFont="1" applyBorder="1" applyAlignment="1">
      <alignment horizontal="left" wrapText="1"/>
    </xf>
    <xf numFmtId="0" fontId="71" fillId="0" borderId="36" xfId="0" applyFont="1" applyBorder="1" applyAlignment="1">
      <alignment horizontal="left" wrapText="1"/>
    </xf>
    <xf numFmtId="0" fontId="59" fillId="0" borderId="35" xfId="0" applyFont="1" applyBorder="1" applyAlignment="1">
      <alignment horizontal="left" wrapText="1"/>
    </xf>
    <xf numFmtId="0" fontId="59" fillId="0" borderId="36" xfId="0" applyFont="1" applyBorder="1" applyAlignment="1">
      <alignment horizontal="left" wrapText="1"/>
    </xf>
    <xf numFmtId="0" fontId="1" fillId="0" borderId="115" xfId="0" applyFont="1" applyBorder="1" applyAlignment="1">
      <alignment horizontal="left" vertical="center" wrapText="1"/>
    </xf>
    <xf numFmtId="0" fontId="73" fillId="0" borderId="116" xfId="0" applyFont="1" applyBorder="1" applyAlignment="1"/>
    <xf numFmtId="0" fontId="73" fillId="0" borderId="117" xfId="0" applyFont="1" applyBorder="1" applyAlignment="1"/>
    <xf numFmtId="0" fontId="1" fillId="0" borderId="125" xfId="0" applyFont="1" applyBorder="1" applyAlignment="1">
      <alignment horizontal="left" vertical="center" wrapText="1"/>
    </xf>
    <xf numFmtId="0" fontId="73" fillId="0" borderId="122" xfId="0" applyFont="1" applyBorder="1" applyAlignment="1"/>
    <xf numFmtId="0" fontId="1" fillId="0" borderId="118" xfId="0" applyFont="1" applyBorder="1" applyAlignment="1">
      <alignment horizontal="left" vertical="center" wrapText="1"/>
    </xf>
    <xf numFmtId="0" fontId="73" fillId="0" borderId="119" xfId="0" applyFont="1" applyBorder="1" applyAlignment="1"/>
    <xf numFmtId="0" fontId="73" fillId="0" borderId="120" xfId="0" applyFont="1" applyBorder="1" applyAlignment="1"/>
    <xf numFmtId="0" fontId="71" fillId="0" borderId="37" xfId="0" applyFont="1" applyBorder="1" applyAlignment="1">
      <alignment horizontal="left" vertical="center" wrapText="1"/>
    </xf>
    <xf numFmtId="0" fontId="71" fillId="0" borderId="38" xfId="0" applyFont="1" applyBorder="1" applyAlignment="1">
      <alignment horizontal="left" vertical="center" wrapText="1"/>
    </xf>
    <xf numFmtId="0" fontId="71" fillId="0" borderId="39" xfId="0" applyFont="1" applyBorder="1" applyAlignment="1">
      <alignment horizontal="left" vertical="center" wrapText="1"/>
    </xf>
    <xf numFmtId="0" fontId="59" fillId="0" borderId="104" xfId="0" applyFont="1" applyBorder="1" applyAlignment="1">
      <alignment horizontal="left"/>
    </xf>
    <xf numFmtId="0" fontId="59" fillId="0" borderId="99" xfId="0" applyFont="1" applyBorder="1" applyAlignment="1">
      <alignment horizontal="left"/>
    </xf>
    <xf numFmtId="0" fontId="59" fillId="0" borderId="31" xfId="0" applyFont="1" applyBorder="1" applyAlignment="1">
      <alignment horizontal="left" vertical="center" wrapText="1"/>
    </xf>
    <xf numFmtId="0" fontId="59" fillId="0" borderId="100" xfId="0" applyFont="1" applyBorder="1" applyAlignment="1">
      <alignment horizontal="left"/>
    </xf>
    <xf numFmtId="0" fontId="59" fillId="0" borderId="77" xfId="0" applyFont="1" applyBorder="1" applyAlignment="1">
      <alignment horizontal="left"/>
    </xf>
    <xf numFmtId="0" fontId="59" fillId="0" borderId="101" xfId="0" applyFont="1" applyBorder="1" applyAlignment="1">
      <alignment horizontal="left"/>
    </xf>
    <xf numFmtId="0" fontId="59" fillId="0" borderId="35" xfId="0" applyFont="1" applyBorder="1" applyAlignment="1">
      <alignment horizontal="left" vertical="center"/>
    </xf>
    <xf numFmtId="0" fontId="59" fillId="0" borderId="31" xfId="0" applyFont="1" applyBorder="1" applyAlignment="1">
      <alignment horizontal="left" vertical="center"/>
    </xf>
    <xf numFmtId="0" fontId="59" fillId="0" borderId="36" xfId="0" applyFont="1" applyBorder="1" applyAlignment="1">
      <alignment horizontal="left" vertical="center"/>
    </xf>
    <xf numFmtId="0" fontId="71" fillId="0" borderId="102" xfId="0" applyFont="1" applyBorder="1" applyAlignment="1">
      <alignment horizontal="left" vertical="center"/>
    </xf>
    <xf numFmtId="0" fontId="71" fillId="0" borderId="36" xfId="0" applyFont="1" applyBorder="1" applyAlignment="1">
      <alignment horizontal="left" vertical="center"/>
    </xf>
    <xf numFmtId="0" fontId="71" fillId="0" borderId="100" xfId="0" applyFont="1" applyBorder="1" applyAlignment="1">
      <alignment horizontal="left" vertical="center"/>
    </xf>
    <xf numFmtId="0" fontId="71" fillId="0" borderId="101" xfId="0" applyFont="1" applyBorder="1" applyAlignment="1">
      <alignment horizontal="left" vertical="center"/>
    </xf>
    <xf numFmtId="0" fontId="59" fillId="0" borderId="37" xfId="0" applyFont="1" applyBorder="1" applyAlignment="1">
      <alignment horizontal="left" vertical="center"/>
    </xf>
    <xf numFmtId="0" fontId="59" fillId="0" borderId="38" xfId="0" applyFont="1" applyBorder="1" applyAlignment="1">
      <alignment horizontal="left" vertical="center"/>
    </xf>
    <xf numFmtId="0" fontId="59" fillId="0" borderId="39" xfId="0" applyFont="1" applyBorder="1" applyAlignment="1">
      <alignment horizontal="left" vertical="center"/>
    </xf>
    <xf numFmtId="0" fontId="71" fillId="0" borderId="103" xfId="0" applyFont="1" applyBorder="1" applyAlignment="1">
      <alignment horizontal="left" wrapText="1"/>
    </xf>
    <xf numFmtId="0" fontId="71" fillId="0" borderId="39" xfId="0" applyFont="1" applyBorder="1" applyAlignment="1">
      <alignment horizontal="left" wrapText="1"/>
    </xf>
    <xf numFmtId="0" fontId="67" fillId="20" borderId="14" xfId="0" applyFont="1" applyFill="1" applyBorder="1" applyAlignment="1">
      <alignment horizontal="center" vertical="center" wrapText="1"/>
    </xf>
    <xf numFmtId="0" fontId="67" fillId="20" borderId="0" xfId="0" applyFont="1" applyFill="1" applyAlignment="1">
      <alignment horizontal="center" vertical="center" wrapText="1"/>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59" fillId="0" borderId="102" xfId="0" applyFont="1" applyBorder="1" applyAlignment="1">
      <alignment horizontal="left" vertical="center" wrapText="1"/>
    </xf>
    <xf numFmtId="0" fontId="59" fillId="0" borderId="102" xfId="0" applyFont="1" applyBorder="1" applyAlignment="1">
      <alignment horizontal="left" vertical="center"/>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5" xfId="0" applyFont="1" applyFill="1" applyBorder="1" applyAlignment="1">
      <alignment horizontal="center" vertical="center" wrapText="1"/>
    </xf>
    <xf numFmtId="0" fontId="58" fillId="0" borderId="0" xfId="0" applyFont="1" applyAlignment="1">
      <alignment horizontal="center" vertical="center"/>
    </xf>
    <xf numFmtId="0" fontId="71" fillId="0" borderId="102" xfId="0" applyFont="1" applyBorder="1" applyAlignment="1">
      <alignment horizontal="left" vertical="center" wrapText="1"/>
    </xf>
    <xf numFmtId="0" fontId="67" fillId="20" borderId="34" xfId="0" applyFont="1" applyFill="1" applyBorder="1" applyAlignment="1">
      <alignment horizontal="center" vertical="center" wrapText="1"/>
    </xf>
    <xf numFmtId="0" fontId="70" fillId="0" borderId="12"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16" xfId="0" applyFont="1" applyBorder="1" applyAlignment="1">
      <alignment horizontal="center" vertical="center" wrapText="1"/>
    </xf>
    <xf numFmtId="0" fontId="70" fillId="0" borderId="17" xfId="0" applyFont="1" applyBorder="1" applyAlignment="1">
      <alignment horizontal="center" vertical="center" wrapText="1"/>
    </xf>
    <xf numFmtId="0" fontId="66" fillId="0" borderId="92" xfId="0" applyFont="1" applyBorder="1" applyAlignment="1">
      <alignment vertical="top" wrapText="1"/>
    </xf>
    <xf numFmtId="0" fontId="66" fillId="0" borderId="94" xfId="0" applyFont="1" applyBorder="1" applyAlignment="1">
      <alignment vertical="top" wrapText="1"/>
    </xf>
    <xf numFmtId="0" fontId="72" fillId="0" borderId="12"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0" xfId="0" applyFont="1" applyAlignment="1">
      <alignment horizontal="center" vertical="center" wrapText="1"/>
    </xf>
    <xf numFmtId="0" fontId="67" fillId="18" borderId="114"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68" fillId="18" borderId="97" xfId="0" applyFont="1" applyFill="1" applyBorder="1" applyAlignment="1">
      <alignment horizontal="left" vertical="center" wrapText="1" indent="1"/>
    </xf>
    <xf numFmtId="0" fontId="68" fillId="18" borderId="98" xfId="0" applyFont="1" applyFill="1" applyBorder="1" applyAlignment="1">
      <alignment horizontal="left" vertical="center" wrapText="1" indent="1"/>
    </xf>
    <xf numFmtId="0" fontId="68" fillId="18" borderId="99"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3" fillId="0" borderId="113" xfId="0" applyFont="1" applyBorder="1" applyAlignment="1">
      <alignment horizontal="center" vertical="center"/>
    </xf>
    <xf numFmtId="0" fontId="63" fillId="0" borderId="113" xfId="0" applyFont="1" applyBorder="1" applyAlignment="1">
      <alignment horizontal="center"/>
    </xf>
    <xf numFmtId="0" fontId="59" fillId="0" borderId="114" xfId="0" applyFont="1" applyBorder="1" applyAlignment="1">
      <alignment horizontal="center" vertical="center" wrapText="1"/>
    </xf>
    <xf numFmtId="0" fontId="59" fillId="0" borderId="72" xfId="0" applyFont="1" applyBorder="1" applyAlignment="1">
      <alignment horizontal="center" vertical="center" wrapText="1"/>
    </xf>
    <xf numFmtId="0" fontId="1" fillId="0" borderId="116" xfId="0" applyFont="1" applyBorder="1" applyAlignment="1">
      <alignment horizontal="left" vertical="center"/>
    </xf>
    <xf numFmtId="0" fontId="73" fillId="0" borderId="121" xfId="0" applyFont="1" applyBorder="1" applyAlignment="1"/>
    <xf numFmtId="0" fontId="74" fillId="0" borderId="119" xfId="0" applyFont="1" applyBorder="1" applyAlignment="1">
      <alignment horizontal="left" vertical="center" wrapText="1"/>
    </xf>
    <xf numFmtId="0" fontId="1" fillId="0" borderId="123" xfId="0" applyFont="1" applyBorder="1" applyAlignment="1">
      <alignment horizontal="left" vertical="center"/>
    </xf>
    <xf numFmtId="0" fontId="73" fillId="0" borderId="124" xfId="0" applyFont="1" applyBorder="1" applyAlignment="1"/>
    <xf numFmtId="0" fontId="71" fillId="0" borderId="31" xfId="0" applyFont="1" applyBorder="1" applyAlignment="1">
      <alignment horizontal="left" wrapText="1"/>
    </xf>
    <xf numFmtId="0" fontId="59" fillId="0" borderId="72" xfId="0" applyFont="1" applyBorder="1" applyAlignment="1">
      <alignment horizontal="left" vertical="center" wrapText="1"/>
    </xf>
    <xf numFmtId="0" fontId="59" fillId="0" borderId="41" xfId="0" applyFont="1" applyBorder="1" applyAlignment="1">
      <alignment horizontal="left" vertical="center" wrapTex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75" fillId="3" borderId="6" xfId="0" applyFont="1" applyFill="1" applyBorder="1" applyAlignment="1" applyProtection="1">
      <alignment horizontal="justify" vertical="center" wrapText="1"/>
      <protection locked="0"/>
    </xf>
    <xf numFmtId="0" fontId="75" fillId="3" borderId="10" xfId="0" applyFont="1" applyFill="1" applyBorder="1" applyAlignment="1" applyProtection="1">
      <alignment horizontal="justify" vertical="center" wrapText="1"/>
      <protection locked="0"/>
    </xf>
    <xf numFmtId="0" fontId="75"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0" fillId="2" borderId="31" xfId="0" applyFont="1" applyFill="1" applyBorder="1" applyAlignment="1">
      <alignment horizontal="center" vertical="center" wrapText="1"/>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4" fillId="2" borderId="8" xfId="0" applyFont="1" applyFill="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5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opLeftCell="A4"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5" t="s">
        <v>0</v>
      </c>
      <c r="C2" s="226"/>
      <c r="D2" s="226"/>
      <c r="E2" s="226"/>
      <c r="F2" s="226"/>
      <c r="G2" s="226"/>
      <c r="H2" s="227"/>
    </row>
    <row r="3" spans="1:8" x14ac:dyDescent="0.25">
      <c r="B3" s="118"/>
      <c r="C3" s="119"/>
      <c r="D3" s="119"/>
      <c r="E3" s="119"/>
      <c r="F3" s="119"/>
      <c r="G3" s="119"/>
      <c r="H3" s="120"/>
    </row>
    <row r="4" spans="1:8" ht="63" customHeight="1" x14ac:dyDescent="0.25">
      <c r="B4" s="228" t="s">
        <v>1</v>
      </c>
      <c r="C4" s="229"/>
      <c r="D4" s="229"/>
      <c r="E4" s="229"/>
      <c r="F4" s="229"/>
      <c r="G4" s="229"/>
      <c r="H4" s="230"/>
    </row>
    <row r="5" spans="1:8" ht="63" customHeight="1" x14ac:dyDescent="0.25">
      <c r="B5" s="231"/>
      <c r="C5" s="232"/>
      <c r="D5" s="232"/>
      <c r="E5" s="232"/>
      <c r="F5" s="232"/>
      <c r="G5" s="232"/>
      <c r="H5" s="233"/>
    </row>
    <row r="6" spans="1:8" ht="16.5" x14ac:dyDescent="0.25">
      <c r="A6" s="121"/>
      <c r="B6" s="234" t="s">
        <v>2</v>
      </c>
      <c r="C6" s="235"/>
      <c r="D6" s="235"/>
      <c r="E6" s="235"/>
      <c r="F6" s="235"/>
      <c r="G6" s="235"/>
      <c r="H6" s="236"/>
    </row>
    <row r="7" spans="1:8" ht="95.25" customHeight="1" x14ac:dyDescent="0.25">
      <c r="A7" s="121"/>
      <c r="B7" s="237" t="s">
        <v>3</v>
      </c>
      <c r="C7" s="237"/>
      <c r="D7" s="237"/>
      <c r="E7" s="237"/>
      <c r="F7" s="237"/>
      <c r="G7" s="237"/>
      <c r="H7" s="238"/>
    </row>
    <row r="8" spans="1:8" ht="16.5" x14ac:dyDescent="0.25">
      <c r="A8" s="121"/>
      <c r="B8" s="122"/>
      <c r="C8" s="123"/>
      <c r="D8" s="123"/>
      <c r="E8" s="123"/>
      <c r="F8" s="123"/>
      <c r="G8" s="123"/>
      <c r="H8" s="124"/>
    </row>
    <row r="9" spans="1:8" ht="16.5" customHeight="1" x14ac:dyDescent="0.25">
      <c r="A9" s="121"/>
      <c r="B9" s="239" t="s">
        <v>4</v>
      </c>
      <c r="C9" s="239"/>
      <c r="D9" s="239"/>
      <c r="E9" s="239"/>
      <c r="F9" s="239"/>
      <c r="G9" s="239"/>
      <c r="H9" s="240"/>
    </row>
    <row r="10" spans="1:8" ht="16.5" customHeight="1" x14ac:dyDescent="0.25">
      <c r="A10" s="121"/>
      <c r="B10" s="239"/>
      <c r="C10" s="239"/>
      <c r="D10" s="239"/>
      <c r="E10" s="239"/>
      <c r="F10" s="239"/>
      <c r="G10" s="239"/>
      <c r="H10" s="240"/>
    </row>
    <row r="11" spans="1:8" ht="11.65" customHeight="1" x14ac:dyDescent="0.25">
      <c r="A11" s="121"/>
      <c r="B11" s="239"/>
      <c r="C11" s="239"/>
      <c r="D11" s="239"/>
      <c r="E11" s="239"/>
      <c r="F11" s="239"/>
      <c r="G11" s="239"/>
      <c r="H11" s="240"/>
    </row>
    <row r="12" spans="1:8" ht="11.65" customHeight="1" thickBot="1" x14ac:dyDescent="0.3">
      <c r="A12" s="121"/>
      <c r="B12" s="125"/>
      <c r="C12" s="125"/>
      <c r="D12" s="125"/>
      <c r="E12" s="125"/>
      <c r="F12" s="125"/>
      <c r="G12" s="125"/>
      <c r="H12" s="126"/>
    </row>
    <row r="13" spans="1:8" ht="14.25" customHeight="1" thickTop="1" x14ac:dyDescent="0.25">
      <c r="A13" s="121"/>
      <c r="B13" s="125"/>
      <c r="C13" s="224" t="s">
        <v>5</v>
      </c>
      <c r="D13" s="217"/>
      <c r="E13" s="218" t="s">
        <v>6</v>
      </c>
      <c r="F13" s="219"/>
      <c r="G13" s="125"/>
      <c r="H13" s="126"/>
    </row>
    <row r="14" spans="1:8" ht="23.25" customHeight="1" x14ac:dyDescent="0.25">
      <c r="A14" s="121"/>
      <c r="B14" s="125"/>
      <c r="C14" s="205" t="s">
        <v>7</v>
      </c>
      <c r="D14" s="206"/>
      <c r="E14" s="207" t="s">
        <v>8</v>
      </c>
      <c r="F14" s="202"/>
      <c r="G14" s="125"/>
      <c r="H14" s="126"/>
    </row>
    <row r="15" spans="1:8" ht="27" customHeight="1" x14ac:dyDescent="0.25">
      <c r="A15" s="121"/>
      <c r="B15" s="125"/>
      <c r="C15" s="205" t="s">
        <v>9</v>
      </c>
      <c r="D15" s="206"/>
      <c r="E15" s="207" t="s">
        <v>10</v>
      </c>
      <c r="F15" s="202"/>
      <c r="G15" s="125"/>
      <c r="H15" s="126"/>
    </row>
    <row r="16" spans="1:8" ht="39" customHeight="1" x14ac:dyDescent="0.25">
      <c r="A16" s="121"/>
      <c r="B16" s="125"/>
      <c r="C16" s="205" t="s">
        <v>11</v>
      </c>
      <c r="D16" s="206"/>
      <c r="E16" s="207" t="s">
        <v>12</v>
      </c>
      <c r="F16" s="202"/>
      <c r="G16" s="125"/>
      <c r="H16" s="126"/>
    </row>
    <row r="17" spans="1:8" ht="24.75" customHeight="1" x14ac:dyDescent="0.25">
      <c r="A17" s="121"/>
      <c r="B17" s="125"/>
      <c r="C17" s="205" t="s">
        <v>13</v>
      </c>
      <c r="D17" s="206"/>
      <c r="E17" s="207" t="s">
        <v>14</v>
      </c>
      <c r="F17" s="202"/>
      <c r="G17" s="125"/>
      <c r="H17" s="127"/>
    </row>
    <row r="18" spans="1:8" ht="12.4" customHeight="1" x14ac:dyDescent="0.25">
      <c r="A18" s="121"/>
      <c r="B18" s="125"/>
      <c r="C18" s="205" t="s">
        <v>15</v>
      </c>
      <c r="D18" s="206"/>
      <c r="E18" s="208" t="s">
        <v>16</v>
      </c>
      <c r="F18" s="202"/>
      <c r="G18" s="125"/>
      <c r="H18" s="126"/>
    </row>
    <row r="19" spans="1:8" ht="24" customHeight="1" thickBot="1" x14ac:dyDescent="0.3">
      <c r="A19" s="121"/>
      <c r="B19" s="125"/>
      <c r="C19" s="209" t="s">
        <v>17</v>
      </c>
      <c r="D19" s="210"/>
      <c r="E19" s="211" t="s">
        <v>18</v>
      </c>
      <c r="F19" s="212"/>
      <c r="G19" s="125"/>
      <c r="H19" s="126"/>
    </row>
    <row r="20" spans="1:8" ht="11.65" customHeight="1" thickTop="1" x14ac:dyDescent="0.25">
      <c r="A20" s="121"/>
      <c r="B20" s="125"/>
      <c r="C20" s="128"/>
      <c r="D20" s="128"/>
      <c r="E20" s="128"/>
      <c r="F20" s="128"/>
      <c r="G20" s="125"/>
      <c r="H20" s="126"/>
    </row>
    <row r="21" spans="1:8" ht="27.4" customHeight="1" thickBot="1" x14ac:dyDescent="0.3">
      <c r="A21" s="121"/>
      <c r="B21" s="213" t="s">
        <v>19</v>
      </c>
      <c r="C21" s="214"/>
      <c r="D21" s="214"/>
      <c r="E21" s="214"/>
      <c r="F21" s="214"/>
      <c r="G21" s="214"/>
      <c r="H21" s="215"/>
    </row>
    <row r="22" spans="1:8" ht="15.75" thickTop="1" x14ac:dyDescent="0.25">
      <c r="A22" s="121"/>
      <c r="B22" s="129"/>
      <c r="C22" s="216" t="s">
        <v>5</v>
      </c>
      <c r="D22" s="217"/>
      <c r="E22" s="218" t="s">
        <v>6</v>
      </c>
      <c r="F22" s="219"/>
      <c r="G22" s="128"/>
      <c r="H22" s="130"/>
    </row>
    <row r="23" spans="1:8" ht="13.5" customHeight="1" x14ac:dyDescent="0.25">
      <c r="A23" s="121"/>
      <c r="B23" s="131"/>
      <c r="C23" s="220" t="s">
        <v>7</v>
      </c>
      <c r="D23" s="221"/>
      <c r="E23" s="222" t="s">
        <v>20</v>
      </c>
      <c r="F23" s="223"/>
      <c r="G23" s="132"/>
      <c r="H23" s="133"/>
    </row>
    <row r="24" spans="1:8" ht="13.5" customHeight="1" x14ac:dyDescent="0.25">
      <c r="A24" s="121"/>
      <c r="B24" s="131"/>
      <c r="C24" s="199" t="s">
        <v>21</v>
      </c>
      <c r="D24" s="200"/>
      <c r="E24" s="201" t="s">
        <v>22</v>
      </c>
      <c r="F24" s="202"/>
      <c r="G24" s="132"/>
      <c r="H24" s="133"/>
    </row>
    <row r="25" spans="1:8" ht="13.5" customHeight="1" x14ac:dyDescent="0.25">
      <c r="A25" s="121"/>
      <c r="B25" s="131"/>
      <c r="C25" s="199" t="s">
        <v>9</v>
      </c>
      <c r="D25" s="200"/>
      <c r="E25" s="201" t="s">
        <v>23</v>
      </c>
      <c r="F25" s="202"/>
      <c r="G25" s="132"/>
      <c r="H25" s="133"/>
    </row>
    <row r="26" spans="1:8" ht="22.9" customHeight="1" x14ac:dyDescent="0.25">
      <c r="A26" s="121"/>
      <c r="B26" s="131"/>
      <c r="C26" s="199" t="s">
        <v>24</v>
      </c>
      <c r="D26" s="200"/>
      <c r="E26" s="203" t="s">
        <v>25</v>
      </c>
      <c r="F26" s="204"/>
      <c r="G26" s="132"/>
      <c r="H26" s="133"/>
    </row>
    <row r="27" spans="1:8" ht="39.75" customHeight="1" x14ac:dyDescent="0.25">
      <c r="A27" s="121"/>
      <c r="B27" s="131"/>
      <c r="C27" s="190" t="s">
        <v>26</v>
      </c>
      <c r="D27" s="198"/>
      <c r="E27" s="191" t="s">
        <v>27</v>
      </c>
      <c r="F27" s="192"/>
      <c r="G27" s="132"/>
      <c r="H27" s="134"/>
    </row>
    <row r="28" spans="1:8" ht="34.5" customHeight="1" x14ac:dyDescent="0.25">
      <c r="B28" s="135"/>
      <c r="C28" s="197" t="s">
        <v>28</v>
      </c>
      <c r="D28" s="198"/>
      <c r="E28" s="191" t="s">
        <v>29</v>
      </c>
      <c r="F28" s="192"/>
      <c r="G28" s="132"/>
      <c r="H28" s="134"/>
    </row>
    <row r="29" spans="1:8" ht="27.75" customHeight="1" x14ac:dyDescent="0.25">
      <c r="B29" s="135"/>
      <c r="C29" s="197" t="s">
        <v>30</v>
      </c>
      <c r="D29" s="198"/>
      <c r="E29" s="191" t="s">
        <v>31</v>
      </c>
      <c r="F29" s="192"/>
      <c r="G29" s="132"/>
      <c r="H29" s="134"/>
    </row>
    <row r="30" spans="1:8" ht="72" customHeight="1" x14ac:dyDescent="0.25">
      <c r="B30" s="135"/>
      <c r="C30" s="197" t="s">
        <v>32</v>
      </c>
      <c r="D30" s="198"/>
      <c r="E30" s="191" t="s">
        <v>33</v>
      </c>
      <c r="F30" s="192"/>
      <c r="G30" s="132"/>
      <c r="H30" s="134"/>
    </row>
    <row r="31" spans="1:8" ht="72.75" customHeight="1" x14ac:dyDescent="0.25">
      <c r="B31" s="135"/>
      <c r="C31" s="197" t="s">
        <v>34</v>
      </c>
      <c r="D31" s="198"/>
      <c r="E31" s="191" t="s">
        <v>35</v>
      </c>
      <c r="F31" s="192"/>
      <c r="G31" s="132"/>
      <c r="H31" s="134"/>
    </row>
    <row r="32" spans="1:8" ht="64.5" customHeight="1" x14ac:dyDescent="0.25">
      <c r="B32" s="135"/>
      <c r="C32" s="197" t="s">
        <v>36</v>
      </c>
      <c r="D32" s="198"/>
      <c r="E32" s="191" t="s">
        <v>37</v>
      </c>
      <c r="F32" s="192"/>
      <c r="G32" s="132"/>
      <c r="H32" s="134"/>
    </row>
    <row r="33" spans="2:8" ht="71.25" customHeight="1" x14ac:dyDescent="0.25">
      <c r="B33" s="135"/>
      <c r="C33" s="189" t="s">
        <v>38</v>
      </c>
      <c r="D33" s="190"/>
      <c r="E33" s="191" t="s">
        <v>39</v>
      </c>
      <c r="F33" s="192"/>
      <c r="G33" s="132"/>
      <c r="H33" s="134"/>
    </row>
    <row r="34" spans="2:8" ht="55.5" customHeight="1" x14ac:dyDescent="0.25">
      <c r="B34" s="135"/>
      <c r="C34" s="189" t="s">
        <v>40</v>
      </c>
      <c r="D34" s="190"/>
      <c r="E34" s="191" t="s">
        <v>41</v>
      </c>
      <c r="F34" s="192"/>
      <c r="G34" s="132"/>
      <c r="H34" s="134"/>
    </row>
    <row r="35" spans="2:8" ht="42" customHeight="1" x14ac:dyDescent="0.25">
      <c r="B35" s="135"/>
      <c r="C35" s="189" t="s">
        <v>42</v>
      </c>
      <c r="D35" s="190"/>
      <c r="E35" s="191" t="s">
        <v>43</v>
      </c>
      <c r="F35" s="192"/>
      <c r="G35" s="132"/>
      <c r="H35" s="134"/>
    </row>
    <row r="36" spans="2:8" ht="59.25" customHeight="1" x14ac:dyDescent="0.25">
      <c r="B36" s="135"/>
      <c r="C36" s="189" t="s">
        <v>44</v>
      </c>
      <c r="D36" s="190"/>
      <c r="E36" s="191" t="s">
        <v>45</v>
      </c>
      <c r="F36" s="192"/>
      <c r="G36" s="132"/>
      <c r="H36" s="134"/>
    </row>
    <row r="37" spans="2:8" ht="23.25" customHeight="1" x14ac:dyDescent="0.25">
      <c r="B37" s="135"/>
      <c r="C37" s="189" t="s">
        <v>46</v>
      </c>
      <c r="D37" s="190"/>
      <c r="E37" s="191" t="s">
        <v>47</v>
      </c>
      <c r="F37" s="192"/>
      <c r="G37" s="132"/>
      <c r="H37" s="134"/>
    </row>
    <row r="38" spans="2:8" ht="30.75" customHeight="1" x14ac:dyDescent="0.25">
      <c r="B38" s="135"/>
      <c r="C38" s="189" t="s">
        <v>48</v>
      </c>
      <c r="D38" s="190"/>
      <c r="E38" s="191" t="s">
        <v>49</v>
      </c>
      <c r="F38" s="192"/>
      <c r="G38" s="132"/>
      <c r="H38" s="134"/>
    </row>
    <row r="39" spans="2:8" ht="35.25" customHeight="1" x14ac:dyDescent="0.25">
      <c r="B39" s="135"/>
      <c r="C39" s="189" t="s">
        <v>48</v>
      </c>
      <c r="D39" s="190"/>
      <c r="E39" s="191" t="s">
        <v>49</v>
      </c>
      <c r="F39" s="192"/>
      <c r="G39" s="132"/>
      <c r="H39" s="134"/>
    </row>
    <row r="40" spans="2:8" ht="33" customHeight="1" x14ac:dyDescent="0.25">
      <c r="B40" s="135"/>
      <c r="C40" s="189" t="s">
        <v>50</v>
      </c>
      <c r="D40" s="190"/>
      <c r="E40" s="191" t="s">
        <v>51</v>
      </c>
      <c r="F40" s="192"/>
      <c r="G40" s="132"/>
      <c r="H40" s="134"/>
    </row>
    <row r="41" spans="2:8" ht="30" customHeight="1" x14ac:dyDescent="0.25">
      <c r="B41" s="135"/>
      <c r="C41" s="189" t="s">
        <v>52</v>
      </c>
      <c r="D41" s="190"/>
      <c r="E41" s="191" t="s">
        <v>53</v>
      </c>
      <c r="F41" s="192"/>
      <c r="G41" s="132"/>
      <c r="H41" s="134"/>
    </row>
    <row r="42" spans="2:8" ht="35.25" customHeight="1" x14ac:dyDescent="0.25">
      <c r="B42" s="135"/>
      <c r="C42" s="189" t="s">
        <v>54</v>
      </c>
      <c r="D42" s="190"/>
      <c r="E42" s="191" t="s">
        <v>55</v>
      </c>
      <c r="F42" s="192"/>
      <c r="G42" s="132"/>
      <c r="H42" s="134"/>
    </row>
    <row r="43" spans="2:8" ht="31.5" customHeight="1" x14ac:dyDescent="0.25">
      <c r="B43" s="135"/>
      <c r="C43" s="189" t="s">
        <v>56</v>
      </c>
      <c r="D43" s="190"/>
      <c r="E43" s="191" t="s">
        <v>57</v>
      </c>
      <c r="F43" s="192"/>
      <c r="G43" s="132"/>
      <c r="H43" s="134"/>
    </row>
    <row r="44" spans="2:8" ht="54" customHeight="1" x14ac:dyDescent="0.25">
      <c r="B44" s="135"/>
      <c r="C44" s="189" t="s">
        <v>58</v>
      </c>
      <c r="D44" s="190"/>
      <c r="E44" s="191" t="s">
        <v>59</v>
      </c>
      <c r="F44" s="192"/>
      <c r="G44" s="132"/>
      <c r="H44" s="134"/>
    </row>
    <row r="45" spans="2:8" ht="59.25" customHeight="1" x14ac:dyDescent="0.25">
      <c r="B45" s="135"/>
      <c r="C45" s="189" t="s">
        <v>60</v>
      </c>
      <c r="D45" s="190"/>
      <c r="E45" s="191" t="s">
        <v>61</v>
      </c>
      <c r="F45" s="192"/>
      <c r="G45" s="132"/>
      <c r="H45" s="134"/>
    </row>
    <row r="46" spans="2:8" ht="84" customHeight="1" x14ac:dyDescent="0.25">
      <c r="B46" s="135"/>
      <c r="C46" s="189" t="s">
        <v>62</v>
      </c>
      <c r="D46" s="190"/>
      <c r="E46" s="191" t="s">
        <v>63</v>
      </c>
      <c r="F46" s="192"/>
      <c r="G46" s="132"/>
      <c r="H46" s="134"/>
    </row>
    <row r="47" spans="2:8" ht="46.5" customHeight="1" thickBot="1" x14ac:dyDescent="0.3">
      <c r="B47" s="135"/>
      <c r="C47" s="193"/>
      <c r="D47" s="194"/>
      <c r="E47" s="195"/>
      <c r="F47" s="196"/>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154</v>
      </c>
      <c r="D3" s="10" t="s">
        <v>297</v>
      </c>
    </row>
    <row r="4" spans="1:4" ht="51" x14ac:dyDescent="0.2">
      <c r="A4" s="10" t="s">
        <v>265</v>
      </c>
      <c r="D4" s="10" t="s">
        <v>298</v>
      </c>
    </row>
    <row r="5" spans="1:4" ht="51" x14ac:dyDescent="0.2">
      <c r="A5" s="10" t="s">
        <v>267</v>
      </c>
      <c r="D5" s="10" t="s">
        <v>299</v>
      </c>
    </row>
    <row r="6" spans="1:4" ht="89.25" x14ac:dyDescent="0.2">
      <c r="A6" s="10" t="s">
        <v>269</v>
      </c>
      <c r="D6" s="10" t="s">
        <v>300</v>
      </c>
    </row>
    <row r="7" spans="1:4" ht="63.75" x14ac:dyDescent="0.2">
      <c r="A7" s="10" t="s">
        <v>155</v>
      </c>
      <c r="D7" s="10" t="s">
        <v>301</v>
      </c>
    </row>
    <row r="8" spans="1:4" x14ac:dyDescent="0.2">
      <c r="A8" s="10" t="s">
        <v>156</v>
      </c>
      <c r="D8" s="10"/>
    </row>
    <row r="9" spans="1:4" x14ac:dyDescent="0.2">
      <c r="A9" s="10" t="s">
        <v>275</v>
      </c>
    </row>
    <row r="10" spans="1:4" x14ac:dyDescent="0.2">
      <c r="A10" s="10" t="s">
        <v>157</v>
      </c>
      <c r="D10" s="10" t="s">
        <v>302</v>
      </c>
    </row>
    <row r="11" spans="1:4" x14ac:dyDescent="0.2">
      <c r="A11" s="10" t="s">
        <v>278</v>
      </c>
    </row>
    <row r="12" spans="1:4" x14ac:dyDescent="0.2">
      <c r="A12" s="10" t="s">
        <v>303</v>
      </c>
      <c r="D12" s="10"/>
    </row>
    <row r="13" spans="1:4" x14ac:dyDescent="0.2">
      <c r="A13" s="10" t="s">
        <v>304</v>
      </c>
    </row>
    <row r="14" spans="1:4" x14ac:dyDescent="0.2">
      <c r="A14" s="10" t="s">
        <v>305</v>
      </c>
    </row>
    <row r="16" spans="1:4" x14ac:dyDescent="0.2">
      <c r="A16" s="10" t="s">
        <v>306</v>
      </c>
    </row>
    <row r="17" spans="1:1" x14ac:dyDescent="0.2">
      <c r="A17" s="10" t="s">
        <v>284</v>
      </c>
    </row>
    <row r="18" spans="1:1" x14ac:dyDescent="0.2">
      <c r="A18" s="10" t="s">
        <v>286</v>
      </c>
    </row>
    <row r="20" spans="1:1" x14ac:dyDescent="0.2">
      <c r="A20" s="10" t="s">
        <v>289</v>
      </c>
    </row>
    <row r="21" spans="1:1" x14ac:dyDescent="0.2">
      <c r="A21" s="10"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zoomScale="91" zoomScaleNormal="91" workbookViewId="0">
      <selection activeCell="E12" sqref="E12:E17"/>
    </sheetView>
  </sheetViews>
  <sheetFormatPr baseColWidth="10" defaultColWidth="11.42578125" defaultRowHeight="14.25" x14ac:dyDescent="0.2"/>
  <cols>
    <col min="1" max="1" width="7.5703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5703125" style="164" customWidth="1"/>
    <col min="53" max="16384" width="11.42578125" style="164"/>
  </cols>
  <sheetData>
    <row r="1" spans="2:52" ht="16.5" customHeight="1" thickBot="1" x14ac:dyDescent="0.25">
      <c r="AZ1" s="165" t="s">
        <v>69</v>
      </c>
    </row>
    <row r="2" spans="2:52" ht="18" customHeight="1" thickBot="1" x14ac:dyDescent="0.25">
      <c r="B2" s="308"/>
      <c r="C2" s="310" t="s">
        <v>70</v>
      </c>
      <c r="D2" s="311"/>
      <c r="E2" s="311"/>
      <c r="F2" s="144" t="s">
        <v>71</v>
      </c>
      <c r="AZ2" s="165" t="s">
        <v>72</v>
      </c>
    </row>
    <row r="3" spans="2:52" ht="18" customHeight="1" thickBot="1" x14ac:dyDescent="0.25">
      <c r="B3" s="309"/>
      <c r="C3" s="312"/>
      <c r="D3" s="313"/>
      <c r="E3" s="313"/>
      <c r="F3" s="145" t="s">
        <v>73</v>
      </c>
      <c r="AZ3" s="165" t="s">
        <v>74</v>
      </c>
    </row>
    <row r="4" spans="2:52" ht="18" customHeight="1" thickBot="1" x14ac:dyDescent="0.25">
      <c r="B4" s="309"/>
      <c r="C4" s="312"/>
      <c r="D4" s="313"/>
      <c r="E4" s="313"/>
      <c r="F4" s="163" t="s">
        <v>75</v>
      </c>
      <c r="AZ4" s="165" t="s">
        <v>76</v>
      </c>
    </row>
    <row r="5" spans="2:52" ht="18" customHeight="1" thickBot="1" x14ac:dyDescent="0.25">
      <c r="B5" s="309"/>
      <c r="C5" s="312"/>
      <c r="D5" s="313"/>
      <c r="E5" s="313"/>
      <c r="F5" s="174" t="s">
        <v>77</v>
      </c>
      <c r="AZ5" s="166"/>
    </row>
    <row r="6" spans="2:52" ht="18" customHeight="1" thickBot="1" x14ac:dyDescent="0.25">
      <c r="B6" s="321" t="s">
        <v>78</v>
      </c>
      <c r="C6" s="322"/>
      <c r="D6" s="322"/>
      <c r="E6" s="322"/>
      <c r="F6" s="323"/>
      <c r="AZ6" s="166"/>
    </row>
    <row r="7" spans="2:52" ht="33.4" customHeight="1" x14ac:dyDescent="0.2">
      <c r="B7" s="175" t="s">
        <v>79</v>
      </c>
      <c r="C7" s="314" t="s">
        <v>80</v>
      </c>
      <c r="D7" s="315"/>
      <c r="E7" s="315"/>
      <c r="F7" s="316"/>
      <c r="AZ7" s="166"/>
    </row>
    <row r="8" spans="2:52" ht="64.5" customHeight="1" thickBot="1" x14ac:dyDescent="0.25">
      <c r="B8" s="167" t="s">
        <v>81</v>
      </c>
      <c r="C8" s="317" t="s">
        <v>82</v>
      </c>
      <c r="D8" s="318"/>
      <c r="E8" s="318"/>
      <c r="F8" s="319"/>
      <c r="AZ8" s="166"/>
    </row>
    <row r="9" spans="2:52" ht="16.5" thickBot="1" x14ac:dyDescent="0.25">
      <c r="B9" s="320"/>
      <c r="C9" s="320"/>
      <c r="D9" s="320"/>
      <c r="E9" s="320"/>
      <c r="F9" s="320"/>
    </row>
    <row r="10" spans="2:52" ht="15.6" customHeight="1" thickBot="1" x14ac:dyDescent="0.25">
      <c r="B10" s="294" t="s">
        <v>83</v>
      </c>
      <c r="C10" s="295"/>
      <c r="D10" s="295"/>
      <c r="E10" s="295"/>
      <c r="F10" s="296"/>
    </row>
    <row r="11" spans="2:52" ht="32.25" thickBot="1" x14ac:dyDescent="0.25">
      <c r="B11" s="297" t="s">
        <v>84</v>
      </c>
      <c r="C11" s="298"/>
      <c r="D11" s="168" t="s">
        <v>85</v>
      </c>
      <c r="E11" s="168" t="s">
        <v>86</v>
      </c>
      <c r="F11" s="169" t="s">
        <v>87</v>
      </c>
    </row>
    <row r="12" spans="2:52" ht="34.9" customHeight="1" x14ac:dyDescent="0.2">
      <c r="B12" s="302" t="s">
        <v>88</v>
      </c>
      <c r="C12" s="303"/>
      <c r="D12" s="246" t="s">
        <v>89</v>
      </c>
      <c r="E12" s="249" t="s">
        <v>90</v>
      </c>
      <c r="F12" s="252" t="s">
        <v>91</v>
      </c>
    </row>
    <row r="13" spans="2:52" ht="36.75" customHeight="1" x14ac:dyDescent="0.2">
      <c r="B13" s="304"/>
      <c r="C13" s="305"/>
      <c r="D13" s="247"/>
      <c r="E13" s="250"/>
      <c r="F13" s="253"/>
    </row>
    <row r="14" spans="2:52" ht="30.6" customHeight="1" x14ac:dyDescent="0.2">
      <c r="B14" s="304"/>
      <c r="C14" s="305"/>
      <c r="D14" s="247"/>
      <c r="E14" s="250"/>
      <c r="F14" s="253"/>
    </row>
    <row r="15" spans="2:52" ht="34.5" customHeight="1" x14ac:dyDescent="0.2">
      <c r="B15" s="304"/>
      <c r="C15" s="305"/>
      <c r="D15" s="247"/>
      <c r="E15" s="250"/>
      <c r="F15" s="253"/>
    </row>
    <row r="16" spans="2:52" ht="29.45" customHeight="1" x14ac:dyDescent="0.2">
      <c r="B16" s="304"/>
      <c r="C16" s="305"/>
      <c r="D16" s="247"/>
      <c r="E16" s="250"/>
      <c r="F16" s="253"/>
    </row>
    <row r="17" spans="2:6" ht="33.6" customHeight="1" thickBot="1" x14ac:dyDescent="0.25">
      <c r="B17" s="306"/>
      <c r="C17" s="307"/>
      <c r="D17" s="248"/>
      <c r="E17" s="251"/>
      <c r="F17" s="254"/>
    </row>
    <row r="18" spans="2:6" ht="18.75" thickBot="1" x14ac:dyDescent="0.25">
      <c r="B18" s="299" t="s">
        <v>92</v>
      </c>
      <c r="C18" s="299"/>
      <c r="D18" s="299"/>
      <c r="E18" s="299"/>
      <c r="F18" s="299"/>
    </row>
    <row r="19" spans="2:6" ht="16.5" thickBot="1" x14ac:dyDescent="0.25">
      <c r="B19" s="290" t="s">
        <v>93</v>
      </c>
      <c r="C19" s="301"/>
      <c r="D19" s="291"/>
      <c r="E19" s="290" t="s">
        <v>94</v>
      </c>
      <c r="F19" s="291"/>
    </row>
    <row r="20" spans="2:6" ht="15" customHeight="1" x14ac:dyDescent="0.25">
      <c r="B20" s="259" t="s">
        <v>95</v>
      </c>
      <c r="C20" s="260"/>
      <c r="D20" s="261"/>
      <c r="E20" s="328" t="s">
        <v>96</v>
      </c>
      <c r="F20" s="329"/>
    </row>
    <row r="21" spans="2:6" ht="15" customHeight="1" x14ac:dyDescent="0.25">
      <c r="B21" s="264" t="s">
        <v>97</v>
      </c>
      <c r="C21" s="265"/>
      <c r="D21" s="266"/>
      <c r="E21" s="330" t="s">
        <v>98</v>
      </c>
      <c r="F21" s="263"/>
    </row>
    <row r="22" spans="2:6" ht="15" customHeight="1" x14ac:dyDescent="0.25">
      <c r="B22" s="264" t="s">
        <v>99</v>
      </c>
      <c r="C22" s="265"/>
      <c r="D22" s="266"/>
      <c r="E22" s="331" t="s">
        <v>100</v>
      </c>
      <c r="F22" s="332"/>
    </row>
    <row r="23" spans="2:6" ht="15" customHeight="1" x14ac:dyDescent="0.25">
      <c r="B23" s="264" t="s">
        <v>101</v>
      </c>
      <c r="C23" s="265"/>
      <c r="D23" s="265"/>
      <c r="E23" s="255"/>
      <c r="F23" s="333"/>
    </row>
    <row r="24" spans="2:6" ht="15" customHeight="1" x14ac:dyDescent="0.2">
      <c r="B24" s="255"/>
      <c r="C24" s="333"/>
      <c r="D24" s="256"/>
      <c r="E24" s="334"/>
      <c r="F24" s="335"/>
    </row>
    <row r="25" spans="2:6" ht="15" customHeight="1" x14ac:dyDescent="0.2">
      <c r="B25" s="255"/>
      <c r="C25" s="333"/>
      <c r="D25" s="256"/>
      <c r="E25" s="292"/>
      <c r="F25" s="245"/>
    </row>
    <row r="26" spans="2:6" ht="15" customHeight="1" x14ac:dyDescent="0.2">
      <c r="B26" s="276"/>
      <c r="C26" s="277"/>
      <c r="D26" s="278"/>
      <c r="E26" s="300"/>
      <c r="F26" s="243"/>
    </row>
    <row r="27" spans="2:6" ht="15.75" customHeight="1" x14ac:dyDescent="0.2">
      <c r="B27" s="244"/>
      <c r="C27" s="272"/>
      <c r="D27" s="245"/>
      <c r="E27" s="292"/>
      <c r="F27" s="245"/>
    </row>
    <row r="28" spans="2:6" x14ac:dyDescent="0.2">
      <c r="B28" s="276"/>
      <c r="C28" s="277"/>
      <c r="D28" s="278"/>
      <c r="E28" s="293"/>
      <c r="F28" s="278"/>
    </row>
    <row r="29" spans="2:6" ht="15" customHeight="1" x14ac:dyDescent="0.2">
      <c r="B29" s="244"/>
      <c r="C29" s="272"/>
      <c r="D29" s="245"/>
      <c r="E29" s="279"/>
      <c r="F29" s="280"/>
    </row>
    <row r="30" spans="2:6" ht="15" customHeight="1" x14ac:dyDescent="0.2">
      <c r="B30" s="276"/>
      <c r="C30" s="277"/>
      <c r="D30" s="278"/>
      <c r="E30" s="279"/>
      <c r="F30" s="280"/>
    </row>
    <row r="31" spans="2:6" ht="15" customHeight="1" x14ac:dyDescent="0.2">
      <c r="B31" s="276"/>
      <c r="C31" s="277"/>
      <c r="D31" s="278"/>
      <c r="E31" s="279"/>
      <c r="F31" s="280"/>
    </row>
    <row r="32" spans="2:6" ht="15" customHeight="1" x14ac:dyDescent="0.2">
      <c r="B32" s="276"/>
      <c r="C32" s="277"/>
      <c r="D32" s="278"/>
      <c r="E32" s="281"/>
      <c r="F32" s="282"/>
    </row>
    <row r="33" spans="2:6" ht="15" customHeight="1" thickBot="1" x14ac:dyDescent="0.25">
      <c r="B33" s="283"/>
      <c r="C33" s="284"/>
      <c r="D33" s="285"/>
      <c r="E33" s="286"/>
      <c r="F33" s="287"/>
    </row>
    <row r="34" spans="2:6" ht="15" customHeight="1" thickBot="1" x14ac:dyDescent="0.25">
      <c r="B34" s="288" t="s">
        <v>102</v>
      </c>
      <c r="C34" s="289"/>
      <c r="D34" s="289"/>
      <c r="E34" s="290" t="s">
        <v>103</v>
      </c>
      <c r="F34" s="291"/>
    </row>
    <row r="35" spans="2:6" ht="15.75" customHeight="1" x14ac:dyDescent="0.25">
      <c r="B35" s="259" t="s">
        <v>104</v>
      </c>
      <c r="C35" s="260"/>
      <c r="D35" s="261"/>
      <c r="E35" s="262" t="s">
        <v>105</v>
      </c>
      <c r="F35" s="263"/>
    </row>
    <row r="36" spans="2:6" ht="15.75" x14ac:dyDescent="0.25">
      <c r="B36" s="264" t="s">
        <v>106</v>
      </c>
      <c r="C36" s="265"/>
      <c r="D36" s="266"/>
      <c r="E36" s="262" t="s">
        <v>107</v>
      </c>
      <c r="F36" s="263"/>
    </row>
    <row r="37" spans="2:6" ht="15.75" x14ac:dyDescent="0.25">
      <c r="B37" s="264" t="s">
        <v>108</v>
      </c>
      <c r="C37" s="265"/>
      <c r="D37" s="266"/>
      <c r="E37" s="241"/>
      <c r="F37" s="243"/>
    </row>
    <row r="38" spans="2:6" x14ac:dyDescent="0.2">
      <c r="B38" s="241"/>
      <c r="C38" s="242"/>
      <c r="D38" s="243"/>
      <c r="E38" s="255"/>
      <c r="F38" s="256"/>
    </row>
    <row r="39" spans="2:6" x14ac:dyDescent="0.2">
      <c r="B39" s="241"/>
      <c r="C39" s="242"/>
      <c r="D39" s="243"/>
      <c r="E39" s="257"/>
      <c r="F39" s="258"/>
    </row>
    <row r="40" spans="2:6" x14ac:dyDescent="0.2">
      <c r="B40" s="241"/>
      <c r="C40" s="242"/>
      <c r="D40" s="243"/>
      <c r="E40" s="241"/>
      <c r="F40" s="243"/>
    </row>
    <row r="41" spans="2:6" x14ac:dyDescent="0.2">
      <c r="B41" s="241"/>
      <c r="C41" s="242"/>
      <c r="D41" s="243"/>
      <c r="E41" s="244"/>
      <c r="F41" s="245"/>
    </row>
    <row r="42" spans="2:6" x14ac:dyDescent="0.2">
      <c r="B42" s="241"/>
      <c r="C42" s="242"/>
      <c r="D42" s="243"/>
      <c r="E42" s="244"/>
      <c r="F42" s="245"/>
    </row>
    <row r="43" spans="2:6" x14ac:dyDescent="0.2">
      <c r="B43" s="244"/>
      <c r="C43" s="272"/>
      <c r="D43" s="245"/>
      <c r="E43" s="244"/>
      <c r="F43" s="245"/>
    </row>
    <row r="44" spans="2:6" x14ac:dyDescent="0.2">
      <c r="B44" s="273"/>
      <c r="C44" s="274"/>
      <c r="D44" s="275"/>
      <c r="E44" s="273"/>
      <c r="F44" s="275"/>
    </row>
    <row r="45" spans="2:6" ht="15" thickBot="1" x14ac:dyDescent="0.25">
      <c r="B45" s="267"/>
      <c r="C45" s="268"/>
      <c r="D45" s="269"/>
      <c r="E45" s="270"/>
      <c r="F45" s="271"/>
    </row>
    <row r="46" spans="2:6" ht="15" thickBot="1" x14ac:dyDescent="0.25"/>
    <row r="47" spans="2:6" ht="16.5" thickTop="1" thickBot="1" x14ac:dyDescent="0.25">
      <c r="B47" s="324" t="s">
        <v>109</v>
      </c>
      <c r="C47" s="324"/>
      <c r="D47" s="324"/>
      <c r="E47" s="324"/>
      <c r="F47" s="324"/>
    </row>
    <row r="48" spans="2:6" ht="16.5" thickTop="1" thickBot="1" x14ac:dyDescent="0.3">
      <c r="B48" s="173" t="s">
        <v>110</v>
      </c>
      <c r="C48" s="173" t="s">
        <v>111</v>
      </c>
      <c r="D48" s="325" t="s">
        <v>112</v>
      </c>
      <c r="E48" s="325"/>
      <c r="F48" s="173" t="s">
        <v>113</v>
      </c>
    </row>
    <row r="49" spans="2:6" ht="44.25" customHeight="1" thickTop="1" x14ac:dyDescent="0.2">
      <c r="B49" s="170" t="s">
        <v>114</v>
      </c>
      <c r="C49" s="171">
        <v>45723</v>
      </c>
      <c r="D49" s="326" t="s">
        <v>115</v>
      </c>
      <c r="E49" s="327"/>
      <c r="F49" s="172" t="s">
        <v>116</v>
      </c>
    </row>
  </sheetData>
  <mergeCells count="70">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8:F18"/>
    <mergeCell ref="E26:F26"/>
    <mergeCell ref="E19:F19"/>
    <mergeCell ref="B19:D19"/>
    <mergeCell ref="B12:C17"/>
    <mergeCell ref="B27:D27"/>
    <mergeCell ref="E27:F27"/>
    <mergeCell ref="B28:D28"/>
    <mergeCell ref="E28:F28"/>
    <mergeCell ref="B29:D29"/>
    <mergeCell ref="E29:F29"/>
    <mergeCell ref="B30:D30"/>
    <mergeCell ref="E30:F30"/>
    <mergeCell ref="B31:D31"/>
    <mergeCell ref="E31:F31"/>
    <mergeCell ref="E36:F36"/>
    <mergeCell ref="B32:D32"/>
    <mergeCell ref="E32:F32"/>
    <mergeCell ref="B33:D33"/>
    <mergeCell ref="E33:F33"/>
    <mergeCell ref="B34:D34"/>
    <mergeCell ref="E34:F34"/>
    <mergeCell ref="B45:D45"/>
    <mergeCell ref="E45:F45"/>
    <mergeCell ref="B42:D42"/>
    <mergeCell ref="E42:F42"/>
    <mergeCell ref="B43:D43"/>
    <mergeCell ref="E43:F43"/>
    <mergeCell ref="B44:D44"/>
    <mergeCell ref="E44:F44"/>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7"/>
  <sheetViews>
    <sheetView tabSelected="1" topLeftCell="U18" zoomScale="90" zoomScaleNormal="90" workbookViewId="0">
      <selection activeCell="AI25" sqref="AI25"/>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9.7109375" style="2" customWidth="1"/>
    <col min="5" max="5" width="3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62"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2.42578125" style="1" customWidth="1"/>
    <col min="32" max="32" width="18.85546875" style="1" customWidth="1"/>
    <col min="33" max="33" width="20.7109375" style="1" customWidth="1"/>
    <col min="34" max="35" width="14.5703125" style="1" customWidth="1"/>
    <col min="36" max="16384" width="11.42578125" style="1"/>
  </cols>
  <sheetData>
    <row r="1" spans="1:67" ht="15" customHeight="1" x14ac:dyDescent="0.3">
      <c r="A1" s="400"/>
      <c r="B1" s="401"/>
      <c r="C1" s="401"/>
      <c r="D1" s="401"/>
      <c r="E1" s="435" t="s">
        <v>307</v>
      </c>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6" t="s">
        <v>71</v>
      </c>
      <c r="AI1" s="436"/>
    </row>
    <row r="2" spans="1:67" ht="15" customHeight="1" x14ac:dyDescent="0.3">
      <c r="A2" s="402"/>
      <c r="B2" s="403"/>
      <c r="C2" s="403"/>
      <c r="D2" s="403"/>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6" t="s">
        <v>73</v>
      </c>
      <c r="AI2" s="436"/>
    </row>
    <row r="3" spans="1:67" ht="15" customHeight="1" x14ac:dyDescent="0.3">
      <c r="A3" s="402"/>
      <c r="B3" s="403"/>
      <c r="C3" s="403"/>
      <c r="D3" s="403"/>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7" t="s">
        <v>75</v>
      </c>
      <c r="AI3" s="437"/>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4"/>
      <c r="B4" s="405"/>
      <c r="C4" s="405"/>
      <c r="D4" s="40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6" t="s">
        <v>77</v>
      </c>
      <c r="AI4" s="43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20" t="s">
        <v>117</v>
      </c>
      <c r="B6" s="421"/>
      <c r="C6" s="406" t="str">
        <f>CONTEXTO!C7</f>
        <v>GESTIÓN DEL SERVICIO A LA CIUDADANÍA</v>
      </c>
      <c r="D6" s="407"/>
      <c r="E6" s="407"/>
      <c r="F6" s="407"/>
      <c r="G6" s="407"/>
      <c r="H6" s="407"/>
      <c r="I6" s="407"/>
      <c r="J6" s="407"/>
      <c r="K6" s="407"/>
      <c r="L6" s="407"/>
      <c r="M6" s="407"/>
      <c r="N6" s="408"/>
      <c r="O6" s="380"/>
      <c r="P6" s="380"/>
      <c r="Q6" s="38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75" customHeight="1" x14ac:dyDescent="0.3">
      <c r="A7" s="420" t="s">
        <v>118</v>
      </c>
      <c r="B7" s="421"/>
      <c r="C7" s="428" t="str">
        <f>CONTEXTO!D12</f>
        <v>Brindar atención con calidad y oportunidad en las diferentes solicitudes de trámites, servicios, peticiones, quejas, reclamos y sugerencias de los ciudadanos, mediante la implementación de políticas claras de servicio, atención y canales de comunicación efectivos, que contribuyan conel nivel de satisfacción de la ciudadanía en el marco del alcance misional de la Alcaldía de Bucaramanga.</v>
      </c>
      <c r="D7" s="429"/>
      <c r="E7" s="429"/>
      <c r="F7" s="429"/>
      <c r="G7" s="429"/>
      <c r="H7" s="429"/>
      <c r="I7" s="429"/>
      <c r="J7" s="429"/>
      <c r="K7" s="429"/>
      <c r="L7" s="429"/>
      <c r="M7" s="429"/>
      <c r="N7" s="430"/>
      <c r="O7" s="8"/>
      <c r="P7" s="161"/>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9.25" customHeight="1" x14ac:dyDescent="0.3">
      <c r="A8" s="420" t="s">
        <v>119</v>
      </c>
      <c r="B8" s="421"/>
      <c r="C8" s="428" t="str">
        <f>CONTEXTO!C8</f>
        <v>Inicia garantizando la atención eficiente, oportuna y de calidad a los ciudadanos de Bucaramanga, proporcionando soluciones asus solicitudes, quejas, reclamos y sugerencias. Este proceso incluye la recepción, clasificación, atención y seguimiento de las peticiones de los ciudadanos, asegurando la transparencia y el cumplimiento de los tiempos establecidos por la normativa vigente. Además, se busca mejorar continuamente el servicio a través de la retroalimentación ciudadana y la optimización de los recursos disponibles.</v>
      </c>
      <c r="D8" s="429"/>
      <c r="E8" s="429"/>
      <c r="F8" s="429"/>
      <c r="G8" s="429"/>
      <c r="H8" s="429"/>
      <c r="I8" s="429"/>
      <c r="J8" s="429"/>
      <c r="K8" s="429"/>
      <c r="L8" s="429"/>
      <c r="M8" s="429"/>
      <c r="N8" s="430"/>
      <c r="O8" s="8"/>
      <c r="P8" s="16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81" t="s">
        <v>120</v>
      </c>
      <c r="B9" s="382"/>
      <c r="C9" s="382"/>
      <c r="D9" s="382"/>
      <c r="E9" s="382"/>
      <c r="F9" s="382"/>
      <c r="G9" s="383"/>
      <c r="H9" s="381" t="s">
        <v>121</v>
      </c>
      <c r="I9" s="382"/>
      <c r="J9" s="382"/>
      <c r="K9" s="382"/>
      <c r="L9" s="382"/>
      <c r="M9" s="382"/>
      <c r="N9" s="383"/>
      <c r="O9" s="381" t="s">
        <v>122</v>
      </c>
      <c r="P9" s="382"/>
      <c r="Q9" s="382"/>
      <c r="R9" s="382"/>
      <c r="S9" s="382"/>
      <c r="T9" s="382"/>
      <c r="U9" s="382"/>
      <c r="V9" s="382"/>
      <c r="W9" s="383"/>
      <c r="X9" s="381" t="s">
        <v>123</v>
      </c>
      <c r="Y9" s="382"/>
      <c r="Z9" s="382"/>
      <c r="AA9" s="382"/>
      <c r="AB9" s="382"/>
      <c r="AC9" s="382"/>
      <c r="AD9" s="383"/>
      <c r="AE9" s="397" t="s">
        <v>124</v>
      </c>
      <c r="AF9" s="398"/>
      <c r="AG9" s="398"/>
      <c r="AH9" s="398"/>
      <c r="AI9" s="399"/>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22" t="s">
        <v>125</v>
      </c>
      <c r="B10" s="425" t="s">
        <v>26</v>
      </c>
      <c r="C10" s="379" t="s">
        <v>28</v>
      </c>
      <c r="D10" s="379" t="s">
        <v>30</v>
      </c>
      <c r="E10" s="424" t="s">
        <v>32</v>
      </c>
      <c r="F10" s="378" t="s">
        <v>34</v>
      </c>
      <c r="G10" s="379" t="s">
        <v>126</v>
      </c>
      <c r="H10" s="438" t="s">
        <v>127</v>
      </c>
      <c r="I10" s="434" t="s">
        <v>128</v>
      </c>
      <c r="J10" s="378" t="s">
        <v>129</v>
      </c>
      <c r="K10" s="378" t="s">
        <v>130</v>
      </c>
      <c r="L10" s="432" t="s">
        <v>131</v>
      </c>
      <c r="M10" s="434" t="s">
        <v>128</v>
      </c>
      <c r="N10" s="379" t="s">
        <v>40</v>
      </c>
      <c r="O10" s="426" t="s">
        <v>132</v>
      </c>
      <c r="P10" s="396" t="s">
        <v>42</v>
      </c>
      <c r="Q10" s="378" t="s">
        <v>44</v>
      </c>
      <c r="R10" s="396" t="s">
        <v>133</v>
      </c>
      <c r="S10" s="396"/>
      <c r="T10" s="396"/>
      <c r="U10" s="396"/>
      <c r="V10" s="396"/>
      <c r="W10" s="396"/>
      <c r="X10" s="431" t="s">
        <v>134</v>
      </c>
      <c r="Y10" s="431" t="s">
        <v>135</v>
      </c>
      <c r="Z10" s="431" t="s">
        <v>128</v>
      </c>
      <c r="AA10" s="431" t="s">
        <v>136</v>
      </c>
      <c r="AB10" s="431" t="s">
        <v>128</v>
      </c>
      <c r="AC10" s="431" t="s">
        <v>137</v>
      </c>
      <c r="AD10" s="426" t="s">
        <v>60</v>
      </c>
      <c r="AE10" s="396" t="s">
        <v>124</v>
      </c>
      <c r="AF10" s="396" t="s">
        <v>113</v>
      </c>
      <c r="AG10" s="396" t="s">
        <v>138</v>
      </c>
      <c r="AH10" s="396" t="s">
        <v>139</v>
      </c>
      <c r="AI10" s="378" t="s">
        <v>140</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23"/>
      <c r="B11" s="425"/>
      <c r="C11" s="396"/>
      <c r="D11" s="396"/>
      <c r="E11" s="425"/>
      <c r="F11" s="379"/>
      <c r="G11" s="396"/>
      <c r="H11" s="379"/>
      <c r="I11" s="433"/>
      <c r="J11" s="379"/>
      <c r="K11" s="379"/>
      <c r="L11" s="433"/>
      <c r="M11" s="433"/>
      <c r="N11" s="396"/>
      <c r="O11" s="427"/>
      <c r="P11" s="396"/>
      <c r="Q11" s="379"/>
      <c r="R11" s="7" t="s">
        <v>141</v>
      </c>
      <c r="S11" s="7" t="s">
        <v>142</v>
      </c>
      <c r="T11" s="7" t="s">
        <v>143</v>
      </c>
      <c r="U11" s="7" t="s">
        <v>144</v>
      </c>
      <c r="V11" s="7" t="s">
        <v>145</v>
      </c>
      <c r="W11" s="7" t="s">
        <v>146</v>
      </c>
      <c r="X11" s="431"/>
      <c r="Y11" s="431"/>
      <c r="Z11" s="431"/>
      <c r="AA11" s="431"/>
      <c r="AB11" s="431"/>
      <c r="AC11" s="431"/>
      <c r="AD11" s="427"/>
      <c r="AE11" s="396"/>
      <c r="AF11" s="396"/>
      <c r="AG11" s="396"/>
      <c r="AH11" s="396"/>
      <c r="AI11" s="379"/>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3.75" customHeight="1" x14ac:dyDescent="0.25">
      <c r="A12" s="348">
        <v>1</v>
      </c>
      <c r="B12" s="411" t="s">
        <v>147</v>
      </c>
      <c r="C12" s="411" t="s">
        <v>148</v>
      </c>
      <c r="D12" s="411" t="s">
        <v>149</v>
      </c>
      <c r="E12" s="414" t="s">
        <v>150</v>
      </c>
      <c r="F12" s="411" t="s">
        <v>151</v>
      </c>
      <c r="G12" s="417">
        <v>365</v>
      </c>
      <c r="H12" s="393" t="str">
        <f>IF(G12&lt;=0,"",IF(G12&lt;=2,"Muy Baja",IF(G12&lt;=24,"Baja",IF(G12&lt;=500,"Media",IF(G12&lt;=5000,"Alta","Muy Alta")))))</f>
        <v>Media</v>
      </c>
      <c r="I12" s="384">
        <f>IF(H12="","",IF(H12="Muy Baja",0.2,IF(H12="Baja",0.4,IF(H12="Media",0.6,IF(H12="Alta",0.8,IF(H12="Muy Alta",1,))))))</f>
        <v>0.6</v>
      </c>
      <c r="J12" s="390" t="s">
        <v>152</v>
      </c>
      <c r="K12" s="384" t="str">
        <f>IF(NOT(ISERROR(MATCH(J12,'Tabla Impacto'!$B$221:$B$223,0))),'Tabla Impacto'!$F$223&amp;"Por favor no seleccionar los criterios de impacto(Afectación Económica o presupuestal y Pérdida Reputacional)",J12)</f>
        <v xml:space="preserve">     Entre 100 y 500 SMLMV </v>
      </c>
      <c r="L12" s="393" t="str">
        <f>IF(OR(K12='Tabla Impacto'!$C$11,K12='Tabla Impacto'!$D$11),"Leve",IF(OR(K12='Tabla Impacto'!$C$12,K12='Tabla Impacto'!$D$12),"Menor",IF(OR(K12='Tabla Impacto'!$C$13,K12='Tabla Impacto'!$D$13),"Moderado",IF(OR(K12='Tabla Impacto'!$C$14,K12='Tabla Impacto'!$D$14),"Mayor",IF(OR(K12='Tabla Impacto'!$C$15,K12='Tabla Impacto'!$D$15),"Catastrófico","")))))</f>
        <v>Mayor</v>
      </c>
      <c r="M12" s="384">
        <f>IF(L12="","",IF(L12="Leve",0.2,IF(L12="Menor",0.4,IF(L12="Moderado",0.6,IF(L12="Mayor",0.8,IF(L12="Catastrófico",1,))))))</f>
        <v>0.8</v>
      </c>
      <c r="N12" s="38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48">
        <v>1</v>
      </c>
      <c r="P12" s="351" t="s">
        <v>153</v>
      </c>
      <c r="Q12" s="354" t="str">
        <f>IF(OR(R12="Preventivo",R12="Detectivo"),"Probabilidad",IF(R12="Correctivo","Impacto",""))</f>
        <v>Probabilidad</v>
      </c>
      <c r="R12" s="345" t="s">
        <v>154</v>
      </c>
      <c r="S12" s="345" t="s">
        <v>155</v>
      </c>
      <c r="T12" s="339" t="str">
        <f>IF(AND(R12="Preventivo",S12="Automático"),"50%",IF(AND(R12="Preventivo",S12="Manual"),"40%",IF(AND(R12="Detectivo",S12="Automático"),"40%",IF(AND(R12="Detectivo",S12="Manual"),"30%",IF(AND(R12="Correctivo",S12="Automático"),"35%",IF(AND(R12="Correctivo",S12="Manual"),"25%",""))))))</f>
        <v>40%</v>
      </c>
      <c r="U12" s="345" t="s">
        <v>156</v>
      </c>
      <c r="V12" s="345" t="s">
        <v>157</v>
      </c>
      <c r="W12" s="345" t="s">
        <v>158</v>
      </c>
      <c r="X12" s="146">
        <f>IFERROR(IF(Q12="Probabilidad",(I12-(+I12*T12)),IF(Q12="Impacto",I12,"")),"")</f>
        <v>0.36</v>
      </c>
      <c r="Y12" s="336" t="str">
        <f>IFERROR(IF(X12="","",IF(X12&lt;=0.2,"Muy Baja",IF(X12&lt;=0.4,"Baja",IF(X12&lt;=0.6,"Media",IF(X12&lt;=0.8,"Alta","Muy Alta"))))),"")</f>
        <v>Baja</v>
      </c>
      <c r="Z12" s="339">
        <f>+X12</f>
        <v>0.36</v>
      </c>
      <c r="AA12" s="336" t="str">
        <f>IFERROR(IF(AB12="","",IF(AB12&lt;=0.2,"Leve",IF(AB12&lt;=0.4,"Menor",IF(AB12&lt;=0.6,"Moderado",IF(AB12&lt;=0.8,"Mayor","Catastrófico"))))),"")</f>
        <v>Mayor</v>
      </c>
      <c r="AB12" s="339">
        <f>IFERROR(IF(Q12="Impacto",(M12-(+M12*T12)),IF(Q12="Probabilidad",M12,"")),"")</f>
        <v>0.8</v>
      </c>
      <c r="AC12" s="34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345" t="s">
        <v>159</v>
      </c>
      <c r="AE12" s="176" t="s">
        <v>160</v>
      </c>
      <c r="AF12" s="177" t="s">
        <v>161</v>
      </c>
      <c r="AG12" s="157" t="s">
        <v>162</v>
      </c>
      <c r="AH12" s="158">
        <v>45733</v>
      </c>
      <c r="AI12" s="158">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49.5" customHeight="1" x14ac:dyDescent="0.25">
      <c r="A13" s="349"/>
      <c r="B13" s="412"/>
      <c r="C13" s="412"/>
      <c r="D13" s="412"/>
      <c r="E13" s="415"/>
      <c r="F13" s="412"/>
      <c r="G13" s="418"/>
      <c r="H13" s="394"/>
      <c r="I13" s="385"/>
      <c r="J13" s="391"/>
      <c r="K13" s="385"/>
      <c r="L13" s="394"/>
      <c r="M13" s="385"/>
      <c r="N13" s="388"/>
      <c r="O13" s="350"/>
      <c r="P13" s="353"/>
      <c r="Q13" s="356"/>
      <c r="R13" s="347"/>
      <c r="S13" s="347"/>
      <c r="T13" s="341"/>
      <c r="U13" s="347"/>
      <c r="V13" s="347"/>
      <c r="W13" s="347"/>
      <c r="X13" s="146"/>
      <c r="Y13" s="338"/>
      <c r="Z13" s="341"/>
      <c r="AA13" s="338"/>
      <c r="AB13" s="341"/>
      <c r="AC13" s="344"/>
      <c r="AD13" s="347"/>
      <c r="AE13" s="176" t="s">
        <v>163</v>
      </c>
      <c r="AF13" s="177" t="s">
        <v>161</v>
      </c>
      <c r="AG13" s="157" t="s">
        <v>164</v>
      </c>
      <c r="AH13" s="158">
        <v>45748</v>
      </c>
      <c r="AI13" s="158">
        <v>46010</v>
      </c>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x14ac:dyDescent="0.3">
      <c r="A14" s="349"/>
      <c r="B14" s="412"/>
      <c r="C14" s="412"/>
      <c r="D14" s="412"/>
      <c r="E14" s="415"/>
      <c r="F14" s="412"/>
      <c r="G14" s="418"/>
      <c r="H14" s="394"/>
      <c r="I14" s="385"/>
      <c r="J14" s="391"/>
      <c r="K14" s="385">
        <f>IF(NOT(ISERROR(MATCH(J14,_xlfn.ANCHORARRAY(E25),0))),I29&amp;"Por favor no seleccionar los criterios de impacto",J14)</f>
        <v>0</v>
      </c>
      <c r="L14" s="394"/>
      <c r="M14" s="385"/>
      <c r="N14" s="388"/>
      <c r="O14" s="6">
        <v>2</v>
      </c>
      <c r="P14" s="159"/>
      <c r="Q14" s="147" t="str">
        <f>IF(OR(R14="Preventivo",R14="Detectivo"),"Probabilidad",IF(R14="Correctivo","Impacto",""))</f>
        <v/>
      </c>
      <c r="R14" s="150"/>
      <c r="S14" s="150"/>
      <c r="T14" s="151" t="str">
        <f t="shared" ref="T14:T18" si="0">IF(AND(R14="Preventivo",S14="Automático"),"50%",IF(AND(R14="Preventivo",S14="Manual"),"40%",IF(AND(R14="Detectivo",S14="Automático"),"40%",IF(AND(R14="Detectivo",S14="Manual"),"30%",IF(AND(R14="Correctivo",S14="Automático"),"35%",IF(AND(R14="Correctivo",S14="Manual"),"25%",""))))))</f>
        <v/>
      </c>
      <c r="U14" s="150"/>
      <c r="V14" s="150"/>
      <c r="W14" s="150"/>
      <c r="X14" s="146" t="str">
        <f>IFERROR(IF(AND(Q12="Probabilidad",Q14="Probabilidad"),(Z12-(+Z12*T14)),IF(Q14="Probabilidad",(I12-(+I12*T14)),IF(Q14="Impacto",Z12,""))),"")</f>
        <v/>
      </c>
      <c r="Y14" s="152" t="str">
        <f t="shared" ref="Y14:Y74" si="1">IFERROR(IF(X14="","",IF(X14&lt;=0.2,"Muy Baja",IF(X14&lt;=0.4,"Baja",IF(X14&lt;=0.6,"Media",IF(X14&lt;=0.8,"Alta","Muy Alta"))))),"")</f>
        <v/>
      </c>
      <c r="Z14" s="184" t="str">
        <f t="shared" ref="Z14:Z19" si="2">+X14</f>
        <v/>
      </c>
      <c r="AA14" s="152" t="str">
        <f t="shared" ref="AA14:AA74" si="3">IFERROR(IF(AB14="","",IF(AB14&lt;=0.2,"Leve",IF(AB14&lt;=0.4,"Menor",IF(AB14&lt;=0.6,"Moderado",IF(AB14&lt;=0.8,"Mayor","Catastrófico"))))),"")</f>
        <v/>
      </c>
      <c r="AB14" s="184" t="str">
        <f>IFERROR(IF(AND(Q12="Impacto",Q14="Impacto"),(AB12-(+AB12*T14)),IF(Q14="Impacto",(M12-(+M12*T14)),IF(Q14="Probabilidad",AB12,""))),"")</f>
        <v/>
      </c>
      <c r="AC14" s="154" t="str">
        <f t="shared" ref="AC14:AC18" si="4">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85"/>
      <c r="AE14" s="157"/>
      <c r="AF14" s="157"/>
      <c r="AH14" s="158"/>
      <c r="AI14" s="15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49"/>
      <c r="B15" s="412"/>
      <c r="C15" s="412"/>
      <c r="D15" s="412"/>
      <c r="E15" s="415"/>
      <c r="F15" s="412"/>
      <c r="G15" s="418"/>
      <c r="H15" s="394"/>
      <c r="I15" s="385"/>
      <c r="J15" s="391"/>
      <c r="K15" s="385">
        <f>IF(NOT(ISERROR(MATCH(J15,_xlfn.ANCHORARRAY(E28),0))),I30&amp;"Por favor no seleccionar los criterios de impacto",J15)</f>
        <v>0</v>
      </c>
      <c r="L15" s="394"/>
      <c r="M15" s="385"/>
      <c r="N15" s="388"/>
      <c r="O15" s="106">
        <v>3</v>
      </c>
      <c r="P15" s="160"/>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49"/>
      <c r="B16" s="412"/>
      <c r="C16" s="412"/>
      <c r="D16" s="412"/>
      <c r="E16" s="415"/>
      <c r="F16" s="412"/>
      <c r="G16" s="418"/>
      <c r="H16" s="394"/>
      <c r="I16" s="385"/>
      <c r="J16" s="391"/>
      <c r="K16" s="385">
        <f>IF(NOT(ISERROR(MATCH(J16,_xlfn.ANCHORARRAY(E29),0))),I31&amp;"Por favor no seleccionar los criterios de impacto",J16)</f>
        <v>0</v>
      </c>
      <c r="L16" s="394"/>
      <c r="M16" s="385"/>
      <c r="N16" s="388"/>
      <c r="O16" s="106">
        <v>4</v>
      </c>
      <c r="P16" s="159"/>
      <c r="Q16" s="107"/>
      <c r="R16" s="108"/>
      <c r="S16" s="108"/>
      <c r="T16" s="109"/>
      <c r="U16" s="108"/>
      <c r="V16" s="108"/>
      <c r="W16" s="108"/>
      <c r="X16" s="110"/>
      <c r="Y16" s="111"/>
      <c r="Z16" s="112"/>
      <c r="AA16" s="111"/>
      <c r="AB16" s="112"/>
      <c r="AC16" s="113"/>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49"/>
      <c r="B17" s="412"/>
      <c r="C17" s="412"/>
      <c r="D17" s="412"/>
      <c r="E17" s="415"/>
      <c r="F17" s="412"/>
      <c r="G17" s="418"/>
      <c r="H17" s="394"/>
      <c r="I17" s="385"/>
      <c r="J17" s="391"/>
      <c r="K17" s="385">
        <f>IF(NOT(ISERROR(MATCH(J17,_xlfn.ANCHORARRAY(E30),0))),I32&amp;"Por favor no seleccionar los criterios de impacto",J17)</f>
        <v>0</v>
      </c>
      <c r="L17" s="394"/>
      <c r="M17" s="385"/>
      <c r="N17" s="388"/>
      <c r="O17" s="106">
        <v>5</v>
      </c>
      <c r="P17" s="159"/>
      <c r="Q17" s="107" t="str">
        <f t="shared" ref="Q17:Q19" si="5">IF(OR(R17="Preventivo",R17="Detectivo"),"Probabilidad",IF(R17="Correctivo","Impacto",""))</f>
        <v/>
      </c>
      <c r="R17" s="108"/>
      <c r="S17" s="108"/>
      <c r="T17" s="109" t="str">
        <f t="shared" si="0"/>
        <v/>
      </c>
      <c r="U17" s="108"/>
      <c r="V17" s="108"/>
      <c r="W17" s="108"/>
      <c r="X17" s="110" t="str">
        <f t="shared" ref="X17:X18" si="6">IFERROR(IF(AND(Q16="Probabilidad",Q17="Probabilidad"),(Z16-(+Z16*T17)),IF(AND(Q16="Impacto",Q17="Probabilidad"),(Z15-(+Z15*T17)),IF(Q17="Impacto",Z16,""))),"")</f>
        <v/>
      </c>
      <c r="Y17" s="111" t="str">
        <f t="shared" si="1"/>
        <v/>
      </c>
      <c r="Z17" s="112" t="str">
        <f t="shared" si="2"/>
        <v/>
      </c>
      <c r="AA17" s="111" t="str">
        <f t="shared" si="3"/>
        <v/>
      </c>
      <c r="AB17" s="112" t="str">
        <f t="shared" ref="AB17:AB18" si="7">IFERROR(IF(AND(Q16="Impacto",Q17="Impacto"),(AB16-(+AB16*T17)),IF(AND(Q16="Probabilidad",Q17="Impacto"),(AB15-(+AB15*T17)),IF(Q17="Probabilidad",AB16,""))),"")</f>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8" customHeight="1" x14ac:dyDescent="0.3">
      <c r="A18" s="350"/>
      <c r="B18" s="413"/>
      <c r="C18" s="413"/>
      <c r="D18" s="413"/>
      <c r="E18" s="416"/>
      <c r="F18" s="413"/>
      <c r="G18" s="419"/>
      <c r="H18" s="395"/>
      <c r="I18" s="386"/>
      <c r="J18" s="392"/>
      <c r="K18" s="386">
        <f>IF(NOT(ISERROR(MATCH(J18,_xlfn.ANCHORARRAY(E31),0))),I33&amp;"Por favor no seleccionar los criterios de impacto",J18)</f>
        <v>0</v>
      </c>
      <c r="L18" s="395"/>
      <c r="M18" s="386"/>
      <c r="N18" s="389"/>
      <c r="O18" s="106">
        <v>6</v>
      </c>
      <c r="P18" s="159"/>
      <c r="Q18" s="107" t="str">
        <f t="shared" si="5"/>
        <v/>
      </c>
      <c r="R18" s="108"/>
      <c r="S18" s="108"/>
      <c r="T18" s="109" t="str">
        <f t="shared" si="0"/>
        <v/>
      </c>
      <c r="U18" s="108"/>
      <c r="V18" s="108"/>
      <c r="W18" s="108"/>
      <c r="X18" s="110" t="str">
        <f t="shared" si="6"/>
        <v/>
      </c>
      <c r="Y18" s="111" t="str">
        <f t="shared" si="1"/>
        <v/>
      </c>
      <c r="Z18" s="112" t="str">
        <f t="shared" si="2"/>
        <v/>
      </c>
      <c r="AA18" s="111" t="str">
        <f t="shared" si="3"/>
        <v/>
      </c>
      <c r="AB18" s="112" t="str">
        <f t="shared" si="7"/>
        <v/>
      </c>
      <c r="AC18" s="113" t="str">
        <f t="shared" si="4"/>
        <v/>
      </c>
      <c r="AD18" s="114"/>
      <c r="AE18" s="115"/>
      <c r="AF18" s="116"/>
      <c r="AG18" s="116"/>
      <c r="AH18" s="117"/>
      <c r="AI18" s="117"/>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s="3" customFormat="1" ht="64.5" customHeight="1" x14ac:dyDescent="0.25">
      <c r="A19" s="348">
        <v>2</v>
      </c>
      <c r="B19" s="411" t="s">
        <v>165</v>
      </c>
      <c r="C19" s="390" t="s">
        <v>166</v>
      </c>
      <c r="D19" s="390" t="s">
        <v>308</v>
      </c>
      <c r="E19" s="414" t="s">
        <v>167</v>
      </c>
      <c r="F19" s="411" t="s">
        <v>151</v>
      </c>
      <c r="G19" s="417">
        <v>2</v>
      </c>
      <c r="H19" s="393" t="str">
        <f>IF(G19&lt;=0,"",IF(G19&lt;=2,"Muy Baja",IF(G19&lt;=24,"Baja",IF(G19&lt;=500,"Media",IF(G19&lt;=5000,"Alta","Muy Alta")))))</f>
        <v>Muy Baja</v>
      </c>
      <c r="I19" s="384">
        <f>IF(H19="","",IF(H19="Muy Baja",0.2,IF(H19="Baja",0.4,IF(H19="Media",0.6,IF(H19="Alta",0.8,IF(H19="Muy Alta",1,))))))</f>
        <v>0.2</v>
      </c>
      <c r="J19" s="390" t="s">
        <v>168</v>
      </c>
      <c r="K19" s="384" t="str">
        <f>IF(NOT(ISERROR(MATCH(J19,'[1]Tabla Impacto'!$B$221:$B$223,0))),'[1]Tabla Impacto'!$F$223&amp;"Por favor no seleccionar los criterios de impacto(Afectación Económica o presupuestal y Pérdida Reputacional)",J19)</f>
        <v xml:space="preserve">     El riesgo afecta la imagen de la entidad con algunos usuarios de relevancia frente al logro de los objetivos</v>
      </c>
      <c r="L19" s="393" t="str">
        <f>IF(OR(K19='Tabla Impacto'!$C$11,K19='Tabla Impacto'!$D$11),"Leve",IF(OR(K19='Tabla Impacto'!$C$12,K19='Tabla Impacto'!$D$12),"Menor",IF(OR(K19='Tabla Impacto'!$C$13,K19='Tabla Impacto'!$D$13),"Moderado",IF(OR(K19='Tabla Impacto'!$C$14,K19='Tabla Impacto'!$D$14),"Mayor",IF(OR(K19='Tabla Impacto'!$C$15,K19='Tabla Impacto'!$D$15),"Catastrófico","")))))</f>
        <v>Moderado</v>
      </c>
      <c r="M19" s="384">
        <f>IF(L19="","",IF(L19="Leve",0.2,IF(L19="Menor",0.4,IF(L19="Moderado",0.6,IF(L19="Mayor",0.8,IF(L19="Catastrófico",1,))))))</f>
        <v>0.6</v>
      </c>
      <c r="N19" s="387"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Moderado</v>
      </c>
      <c r="O19" s="6">
        <v>1</v>
      </c>
      <c r="P19" s="159" t="s">
        <v>169</v>
      </c>
      <c r="Q19" s="147" t="str">
        <f t="shared" si="5"/>
        <v>Probabilidad</v>
      </c>
      <c r="R19" s="150" t="s">
        <v>154</v>
      </c>
      <c r="S19" s="150" t="s">
        <v>155</v>
      </c>
      <c r="T19" s="151" t="str">
        <f>IF(AND(R19="Preventivo",S19="Automático"),"50%",IF(AND(R19="Preventivo",S19="Manual"),"40%",IF(AND(R19="Detectivo",S19="Automático"),"40%",IF(AND(R19="Detectivo",S19="Manual"),"30%",IF(AND(R19="Correctivo",S19="Automático"),"35%",IF(AND(R19="Correctivo",S19="Manual"),"25%",""))))))</f>
        <v>40%</v>
      </c>
      <c r="U19" s="150" t="s">
        <v>156</v>
      </c>
      <c r="V19" s="150" t="s">
        <v>157</v>
      </c>
      <c r="W19" s="150" t="s">
        <v>158</v>
      </c>
      <c r="X19" s="146">
        <f>IFERROR(IF(Q19="Probabilidad",(I19-(+I19*T19)),IF(Q19="Impacto",I19,"")),"")</f>
        <v>0.12</v>
      </c>
      <c r="Y19" s="152" t="str">
        <f>IFERROR(IF(X19="","",IF(X19&lt;=0.2,"Muy Baja",IF(X19&lt;=0.4,"Baja",IF(X19&lt;=0.6,"Media",IF(X19&lt;=0.8,"Alta","Muy Alta"))))),"")</f>
        <v>Muy Baja</v>
      </c>
      <c r="Z19" s="184">
        <f t="shared" si="2"/>
        <v>0.12</v>
      </c>
      <c r="AA19" s="152" t="str">
        <f>IFERROR(IF(AB19="","",IF(AB19&lt;=0.2,"Leve",IF(AB19&lt;=0.4,"Menor",IF(AB19&lt;=0.6,"Moderado",IF(AB19&lt;=0.8,"Mayor","Catastrófico"))))),"")</f>
        <v>Moderado</v>
      </c>
      <c r="AB19" s="184">
        <f>IFERROR(IF(Q19="Impacto",(M19-(+M19*T19)),IF(Q19="Probabilidad",M19,"")),"")</f>
        <v>0.6</v>
      </c>
      <c r="AC19" s="154"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85" t="s">
        <v>159</v>
      </c>
      <c r="AE19" s="176" t="s">
        <v>170</v>
      </c>
      <c r="AF19" s="177" t="s">
        <v>161</v>
      </c>
      <c r="AG19" s="157" t="s">
        <v>171</v>
      </c>
      <c r="AH19" s="158">
        <v>45748</v>
      </c>
      <c r="AI19" s="158">
        <v>46010</v>
      </c>
    </row>
    <row r="20" spans="1:67" s="3" customFormat="1" ht="18" customHeight="1" x14ac:dyDescent="0.25">
      <c r="A20" s="349"/>
      <c r="B20" s="412"/>
      <c r="C20" s="391"/>
      <c r="D20" s="391"/>
      <c r="E20" s="415"/>
      <c r="F20" s="412"/>
      <c r="G20" s="418"/>
      <c r="H20" s="394"/>
      <c r="I20" s="385"/>
      <c r="J20" s="391"/>
      <c r="K20" s="385">
        <f>IF(NOT(ISERROR(MATCH(J20,_xlfn.ANCHORARRAY(E39),0))),I41&amp;"Por favor no seleccionar los criterios de impacto",J20)</f>
        <v>0</v>
      </c>
      <c r="L20" s="394"/>
      <c r="M20" s="385"/>
      <c r="N20" s="388"/>
      <c r="O20" s="6">
        <v>2</v>
      </c>
      <c r="P20" s="159"/>
      <c r="Q20" s="147"/>
      <c r="R20" s="178"/>
      <c r="S20" s="150"/>
      <c r="T20" s="151" t="str">
        <f t="shared" ref="T20:T24" si="8">IF(AND(R20="Preventivo",S20="Automático"),"50%",IF(AND(R20="Preventivo",S20="Manual"),"40%",IF(AND(R20="Detectivo",S20="Automático"),"40%",IF(AND(R20="Detectivo",S20="Manual"),"30%",IF(AND(R20="Correctivo",S20="Automático"),"35%",IF(AND(R20="Correctivo",S20="Manual"),"25%",""))))))</f>
        <v/>
      </c>
      <c r="U20" s="150"/>
      <c r="V20" s="150"/>
      <c r="W20" s="150"/>
      <c r="X20" s="179"/>
      <c r="Y20" s="152" t="str">
        <f t="shared" ref="Y20:Y24" si="9">IFERROR(IF(X20="","",IF(X20&lt;=0.2,"Muy Baja",IF(X20&lt;=0.4,"Baja",IF(X20&lt;=0.6,"Media",IF(X20&lt;=0.8,"Alta","Muy Alta"))))),"")</f>
        <v/>
      </c>
      <c r="Z20" s="184"/>
      <c r="AA20" s="152" t="str">
        <f t="shared" ref="AA20:AA24" si="10">IFERROR(IF(AB20="","",IF(AB20&lt;=0.2,"Leve",IF(AB20&lt;=0.4,"Menor",IF(AB20&lt;=0.6,"Moderado",IF(AB20&lt;=0.8,"Mayor","Catastrófico"))))),"")</f>
        <v/>
      </c>
      <c r="AB20" s="184" t="str">
        <f t="shared" ref="AB20:AB22" si="11">IFERROR(IF(Q20="Impacto",(M20-(+M20*T20)),IF(Q20="Probabilidad",M20,"")),"")</f>
        <v/>
      </c>
      <c r="AC20" s="154" t="str">
        <f t="shared" ref="AC20:AC24" si="12">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5"/>
      <c r="AE20" s="148"/>
      <c r="AF20" s="180"/>
      <c r="AG20" s="180"/>
      <c r="AH20" s="149"/>
      <c r="AI20" s="149"/>
    </row>
    <row r="21" spans="1:67" s="3" customFormat="1" ht="18" customHeight="1" x14ac:dyDescent="0.25">
      <c r="A21" s="349"/>
      <c r="B21" s="412"/>
      <c r="C21" s="391"/>
      <c r="D21" s="391"/>
      <c r="E21" s="415"/>
      <c r="F21" s="412"/>
      <c r="G21" s="418"/>
      <c r="H21" s="394"/>
      <c r="I21" s="385"/>
      <c r="J21" s="391"/>
      <c r="K21" s="385">
        <f>IF(NOT(ISERROR(MATCH(J21,_xlfn.ANCHORARRAY(E40),0))),I42&amp;"Por favor no seleccionar los criterios de impacto",J21)</f>
        <v>0</v>
      </c>
      <c r="L21" s="394"/>
      <c r="M21" s="385"/>
      <c r="N21" s="388"/>
      <c r="O21" s="6">
        <v>3</v>
      </c>
      <c r="P21" s="159"/>
      <c r="Q21" s="147"/>
      <c r="R21" s="178"/>
      <c r="S21" s="150"/>
      <c r="T21" s="151" t="str">
        <f t="shared" si="8"/>
        <v/>
      </c>
      <c r="U21" s="150"/>
      <c r="V21" s="150"/>
      <c r="W21" s="150"/>
      <c r="X21" s="179"/>
      <c r="Y21" s="152" t="str">
        <f t="shared" si="9"/>
        <v/>
      </c>
      <c r="Z21" s="181"/>
      <c r="AA21" s="152" t="str">
        <f t="shared" si="10"/>
        <v/>
      </c>
      <c r="AB21" s="184" t="str">
        <f t="shared" si="11"/>
        <v/>
      </c>
      <c r="AC21" s="154" t="str">
        <f t="shared" si="12"/>
        <v/>
      </c>
      <c r="AD21" s="185"/>
      <c r="AE21" s="148"/>
      <c r="AF21" s="180"/>
      <c r="AG21" s="180"/>
      <c r="AH21" s="149"/>
      <c r="AI21" s="149"/>
    </row>
    <row r="22" spans="1:67" s="3" customFormat="1" ht="18" customHeight="1" x14ac:dyDescent="0.25">
      <c r="A22" s="349"/>
      <c r="B22" s="412"/>
      <c r="C22" s="391"/>
      <c r="D22" s="391"/>
      <c r="E22" s="415"/>
      <c r="F22" s="412"/>
      <c r="G22" s="418"/>
      <c r="H22" s="394"/>
      <c r="I22" s="385"/>
      <c r="J22" s="391"/>
      <c r="K22" s="385">
        <f>IF(NOT(ISERROR(MATCH(J22,_xlfn.ANCHORARRAY(E41),0))),I43&amp;"Por favor no seleccionar los criterios de impacto",J22)</f>
        <v>0</v>
      </c>
      <c r="L22" s="394"/>
      <c r="M22" s="385"/>
      <c r="N22" s="388"/>
      <c r="O22" s="6">
        <v>4</v>
      </c>
      <c r="P22" s="159"/>
      <c r="Q22" s="147"/>
      <c r="R22" s="178"/>
      <c r="S22" s="150"/>
      <c r="T22" s="151" t="str">
        <f t="shared" si="8"/>
        <v/>
      </c>
      <c r="U22" s="150"/>
      <c r="V22" s="150"/>
      <c r="W22" s="150"/>
      <c r="X22" s="179"/>
      <c r="Y22" s="152" t="str">
        <f t="shared" si="9"/>
        <v/>
      </c>
      <c r="Z22" s="181"/>
      <c r="AA22" s="152" t="str">
        <f t="shared" si="10"/>
        <v/>
      </c>
      <c r="AB22" s="184" t="str">
        <f t="shared" si="11"/>
        <v/>
      </c>
      <c r="AC22" s="154" t="str">
        <f t="shared" si="12"/>
        <v/>
      </c>
      <c r="AD22" s="185"/>
      <c r="AE22" s="148"/>
      <c r="AF22" s="180"/>
      <c r="AG22" s="180"/>
      <c r="AH22" s="149"/>
      <c r="AI22" s="149"/>
    </row>
    <row r="23" spans="1:67" s="3" customFormat="1" ht="18" customHeight="1" x14ac:dyDescent="0.25">
      <c r="A23" s="349"/>
      <c r="B23" s="412"/>
      <c r="C23" s="391"/>
      <c r="D23" s="391"/>
      <c r="E23" s="415"/>
      <c r="F23" s="412"/>
      <c r="G23" s="418"/>
      <c r="H23" s="394"/>
      <c r="I23" s="385"/>
      <c r="J23" s="391"/>
      <c r="K23" s="385">
        <f>IF(NOT(ISERROR(MATCH(J23,_xlfn.ANCHORARRAY(E42),0))),I44&amp;"Por favor no seleccionar los criterios de impacto",J23)</f>
        <v>0</v>
      </c>
      <c r="L23" s="394"/>
      <c r="M23" s="385"/>
      <c r="N23" s="388"/>
      <c r="O23" s="6">
        <v>5</v>
      </c>
      <c r="P23" s="159"/>
      <c r="Q23" s="147"/>
      <c r="R23" s="178"/>
      <c r="S23" s="150"/>
      <c r="T23" s="151" t="str">
        <f t="shared" si="8"/>
        <v/>
      </c>
      <c r="U23" s="150"/>
      <c r="V23" s="150"/>
      <c r="W23" s="150"/>
      <c r="X23" s="179"/>
      <c r="Y23" s="152" t="str">
        <f t="shared" si="9"/>
        <v/>
      </c>
      <c r="Z23" s="181"/>
      <c r="AA23" s="152" t="str">
        <f t="shared" si="10"/>
        <v/>
      </c>
      <c r="AB23" s="181"/>
      <c r="AC23" s="154" t="str">
        <f t="shared" si="12"/>
        <v/>
      </c>
      <c r="AD23" s="185"/>
      <c r="AE23" s="148"/>
      <c r="AF23" s="180"/>
      <c r="AG23" s="180"/>
      <c r="AH23" s="149"/>
      <c r="AI23" s="149"/>
    </row>
    <row r="24" spans="1:67" s="3" customFormat="1" ht="18" customHeight="1" x14ac:dyDescent="0.25">
      <c r="A24" s="350"/>
      <c r="B24" s="413"/>
      <c r="C24" s="392"/>
      <c r="D24" s="392"/>
      <c r="E24" s="416"/>
      <c r="F24" s="413"/>
      <c r="G24" s="419"/>
      <c r="H24" s="395"/>
      <c r="I24" s="386"/>
      <c r="J24" s="392"/>
      <c r="K24" s="386">
        <f>IF(NOT(ISERROR(MATCH(J24,_xlfn.ANCHORARRAY(E43),0))),I45&amp;"Por favor no seleccionar los criterios de impacto",J24)</f>
        <v>0</v>
      </c>
      <c r="L24" s="395"/>
      <c r="M24" s="386"/>
      <c r="N24" s="389"/>
      <c r="O24" s="6">
        <v>6</v>
      </c>
      <c r="P24" s="159"/>
      <c r="Q24" s="147"/>
      <c r="R24" s="178"/>
      <c r="S24" s="150"/>
      <c r="T24" s="151" t="str">
        <f t="shared" si="8"/>
        <v/>
      </c>
      <c r="U24" s="150"/>
      <c r="V24" s="150"/>
      <c r="W24" s="150"/>
      <c r="X24" s="179"/>
      <c r="Y24" s="152" t="str">
        <f t="shared" si="9"/>
        <v/>
      </c>
      <c r="Z24" s="181"/>
      <c r="AA24" s="152" t="str">
        <f t="shared" si="10"/>
        <v/>
      </c>
      <c r="AB24" s="181"/>
      <c r="AC24" s="154" t="str">
        <f t="shared" si="12"/>
        <v/>
      </c>
      <c r="AD24" s="185"/>
      <c r="AE24" s="148"/>
      <c r="AF24" s="180"/>
      <c r="AG24" s="180"/>
      <c r="AH24" s="149"/>
      <c r="AI24" s="149"/>
    </row>
    <row r="25" spans="1:67" s="3" customFormat="1" ht="66.75" customHeight="1" x14ac:dyDescent="0.25">
      <c r="A25" s="348">
        <v>3</v>
      </c>
      <c r="B25" s="411" t="s">
        <v>165</v>
      </c>
      <c r="C25" s="411" t="s">
        <v>172</v>
      </c>
      <c r="D25" s="411" t="s">
        <v>173</v>
      </c>
      <c r="E25" s="414" t="s">
        <v>174</v>
      </c>
      <c r="F25" s="411" t="s">
        <v>151</v>
      </c>
      <c r="G25" s="417">
        <v>50</v>
      </c>
      <c r="H25" s="393" t="str">
        <f>IF(G25&lt;=0,"",IF(G25&lt;=2,"Muy Baja",IF(G25&lt;=24,"Baja",IF(G25&lt;=500,"Media",IF(G25&lt;=5000,"Alta","Muy Alta")))))</f>
        <v>Media</v>
      </c>
      <c r="I25" s="384">
        <f>IF(H25="","",IF(H25="Muy Baja",0.2,IF(H25="Baja",0.4,IF(H25="Media",0.6,IF(H25="Alta",0.8,IF(H25="Muy Alta",1,))))))</f>
        <v>0.6</v>
      </c>
      <c r="J25" s="390" t="s">
        <v>168</v>
      </c>
      <c r="K25" s="186" t="str">
        <f>IF(NOT(ISERROR(MATCH(J25,'[2]Tabla Impacto'!$B$221:$B$223,0))),'[2]Tabla Impacto'!$F$223&amp;"Por favor no seleccionar los criterios de impacto(Afectación Económica o presupuestal y Pérdida Reputacional)",J25)</f>
        <v xml:space="preserve">     El riesgo afecta la imagen de la entidad con algunos usuarios de relevancia frente al logro de los objetivos</v>
      </c>
      <c r="L25" s="393" t="str">
        <f>IF(OR(K25='[2]Tabla Impacto'!$C$11,K25='[2]Tabla Impacto'!$D$11),"Leve",IF(OR(K25='[2]Tabla Impacto'!$C$12,K25='[2]Tabla Impacto'!$D$12),"Menor",IF(OR(K25='[2]Tabla Impacto'!$C$13,K25='[2]Tabla Impacto'!$D$13),"Moderado",IF(OR(K25='[2]Tabla Impacto'!$C$14,K25='[2]Tabla Impacto'!$D$14),"Mayor",IF(OR(K25='[2]Tabla Impacto'!$C$15,K25='[2]Tabla Impacto'!$D$15),"Catastrófico","")))))</f>
        <v>Moderado</v>
      </c>
      <c r="M25" s="384">
        <f>IF(L25="","",IF(L25="Leve",0.2,IF(L25="Menor",0.4,IF(L25="Moderado",0.6,IF(L25="Mayor",0.8,IF(L25="Catastrófico",1,))))))</f>
        <v>0.6</v>
      </c>
      <c r="N25" s="387"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348">
        <v>1</v>
      </c>
      <c r="P25" s="351" t="s">
        <v>175</v>
      </c>
      <c r="Q25" s="354" t="str">
        <f>IF(OR(R25="Preventivo",R25="Detectivo"),"Probabilidad",IF(R25="Correctivo","Impacto",""))</f>
        <v>Probabilidad</v>
      </c>
      <c r="R25" s="345" t="s">
        <v>154</v>
      </c>
      <c r="S25" s="345" t="s">
        <v>155</v>
      </c>
      <c r="T25" s="339" t="str">
        <f>IF(AND(R25="Preventivo",S25="Automático"),"50%",IF(AND(R25="Preventivo",S25="Manual"),"40%",IF(AND(R25="Detectivo",S25="Automático"),"40%",IF(AND(R25="Detectivo",S25="Manual"),"30%",IF(AND(R25="Correctivo",S25="Automático"),"35%",IF(AND(R25="Correctivo",S25="Manual"),"25%",""))))))</f>
        <v>40%</v>
      </c>
      <c r="U25" s="345" t="s">
        <v>156</v>
      </c>
      <c r="V25" s="345" t="s">
        <v>157</v>
      </c>
      <c r="W25" s="345" t="s">
        <v>158</v>
      </c>
      <c r="X25" s="146">
        <f>IFERROR(IF(Q25="Probabilidad",(I25-(+I25*T25)),IF(Q25="Impacto",I25,"")),"")</f>
        <v>0.36</v>
      </c>
      <c r="Y25" s="336" t="str">
        <f>IFERROR(IF(X25="","",IF(X25&lt;=0.2,"Muy Baja",IF(X25&lt;=0.4,"Baja",IF(X25&lt;=0.6,"Media",IF(X25&lt;=0.8,"Alta","Muy Alta"))))),"")</f>
        <v>Baja</v>
      </c>
      <c r="Z25" s="339">
        <f>+X25</f>
        <v>0.36</v>
      </c>
      <c r="AA25" s="336" t="str">
        <f>IFERROR(IF(AB25="","",IF(AB25&lt;=0.2,"Leve",IF(AB25&lt;=0.4,"Menor",IF(AB25&lt;=0.6,"Moderado",IF(AB25&lt;=0.8,"Mayor","Catastrófico"))))),"")</f>
        <v>Moderado</v>
      </c>
      <c r="AB25" s="339">
        <f>IFERROR(IF(Q25="Impacto",(M25-(+M25*T25)),IF(Q25="Probabilidad",M25,"")),"")</f>
        <v>0.6</v>
      </c>
      <c r="AC25" s="342"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345" t="s">
        <v>159</v>
      </c>
      <c r="AE25" s="176" t="s">
        <v>176</v>
      </c>
      <c r="AF25" s="182" t="s">
        <v>177</v>
      </c>
      <c r="AG25" s="183" t="s">
        <v>178</v>
      </c>
      <c r="AH25" s="158">
        <v>45658</v>
      </c>
      <c r="AI25" s="158">
        <v>45899</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51.75" customHeight="1" x14ac:dyDescent="0.25">
      <c r="A26" s="349"/>
      <c r="B26" s="412"/>
      <c r="C26" s="412"/>
      <c r="D26" s="412"/>
      <c r="E26" s="415"/>
      <c r="F26" s="412"/>
      <c r="G26" s="418"/>
      <c r="H26" s="394"/>
      <c r="I26" s="385"/>
      <c r="J26" s="391"/>
      <c r="K26" s="187"/>
      <c r="L26" s="394"/>
      <c r="M26" s="385"/>
      <c r="N26" s="388"/>
      <c r="O26" s="349"/>
      <c r="P26" s="352"/>
      <c r="Q26" s="355"/>
      <c r="R26" s="346"/>
      <c r="S26" s="346"/>
      <c r="T26" s="340"/>
      <c r="U26" s="346"/>
      <c r="V26" s="346"/>
      <c r="W26" s="346"/>
      <c r="X26" s="146"/>
      <c r="Y26" s="337"/>
      <c r="Z26" s="340"/>
      <c r="AA26" s="337"/>
      <c r="AB26" s="340"/>
      <c r="AC26" s="343"/>
      <c r="AD26" s="346"/>
      <c r="AE26" s="176" t="s">
        <v>179</v>
      </c>
      <c r="AF26" s="182" t="s">
        <v>177</v>
      </c>
      <c r="AG26" s="183" t="s">
        <v>180</v>
      </c>
      <c r="AH26" s="158">
        <v>45658</v>
      </c>
      <c r="AI26" s="158">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ht="38.25" x14ac:dyDescent="0.25">
      <c r="A27" s="349"/>
      <c r="B27" s="412"/>
      <c r="C27" s="412"/>
      <c r="D27" s="412"/>
      <c r="E27" s="415"/>
      <c r="F27" s="412"/>
      <c r="G27" s="418"/>
      <c r="H27" s="394"/>
      <c r="I27" s="385"/>
      <c r="J27" s="391"/>
      <c r="K27" s="187"/>
      <c r="L27" s="394"/>
      <c r="M27" s="385"/>
      <c r="N27" s="388"/>
      <c r="O27" s="350"/>
      <c r="P27" s="353"/>
      <c r="Q27" s="356"/>
      <c r="R27" s="347"/>
      <c r="S27" s="347"/>
      <c r="T27" s="341"/>
      <c r="U27" s="347"/>
      <c r="V27" s="347"/>
      <c r="W27" s="347"/>
      <c r="X27" s="146"/>
      <c r="Y27" s="338"/>
      <c r="Z27" s="341"/>
      <c r="AA27" s="338"/>
      <c r="AB27" s="341"/>
      <c r="AC27" s="344"/>
      <c r="AD27" s="347"/>
      <c r="AE27" s="176" t="s">
        <v>181</v>
      </c>
      <c r="AF27" s="182" t="s">
        <v>177</v>
      </c>
      <c r="AG27" s="183" t="s">
        <v>182</v>
      </c>
      <c r="AH27" s="158">
        <v>45658</v>
      </c>
      <c r="AI27" s="158">
        <v>46010</v>
      </c>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x14ac:dyDescent="0.25">
      <c r="A28" s="349"/>
      <c r="B28" s="412"/>
      <c r="C28" s="412"/>
      <c r="D28" s="412"/>
      <c r="E28" s="415"/>
      <c r="F28" s="412"/>
      <c r="G28" s="418"/>
      <c r="H28" s="394"/>
      <c r="I28" s="385"/>
      <c r="J28" s="391"/>
      <c r="K28" s="187">
        <f>IF(NOT(ISERROR(MATCH(J28,_xlfn.ANCHORARRAY(E39),0))),I41&amp;"Por favor no seleccionar los criterios de impacto",J28)</f>
        <v>0</v>
      </c>
      <c r="L28" s="394"/>
      <c r="M28" s="385"/>
      <c r="N28" s="388"/>
      <c r="O28" s="6">
        <v>2</v>
      </c>
      <c r="P28" s="159"/>
      <c r="Q28" s="147" t="str">
        <f>IF(OR(R28="Preventivo",R28="Detectivo"),"Probabilidad",IF(R28="Correctivo","Impacto",""))</f>
        <v/>
      </c>
      <c r="R28" s="150"/>
      <c r="S28" s="150"/>
      <c r="T28" s="151" t="str">
        <f t="shared" ref="T28:T32" si="13">IF(AND(R28="Preventivo",S28="Automático"),"50%",IF(AND(R28="Preventivo",S28="Manual"),"40%",IF(AND(R28="Detectivo",S28="Automático"),"40%",IF(AND(R28="Detectivo",S28="Manual"),"30%",IF(AND(R28="Correctivo",S28="Automático"),"35%",IF(AND(R28="Correctivo",S28="Manual"),"25%",""))))))</f>
        <v/>
      </c>
      <c r="U28" s="150"/>
      <c r="V28" s="150"/>
      <c r="W28" s="150"/>
      <c r="X28" s="146" t="str">
        <f>IFERROR(IF(AND(Q25="Probabilidad",Q28="Probabilidad"),(Z25-(+Z25*T28)),IF(Q28="Probabilidad",(I25-(+I25*T28)),IF(Q28="Impacto",Z25,""))),"")</f>
        <v/>
      </c>
      <c r="Y28" s="152" t="str">
        <f t="shared" ref="Y28:Y32" si="14">IFERROR(IF(X28="","",IF(X28&lt;=0.2,"Muy Baja",IF(X28&lt;=0.4,"Baja",IF(X28&lt;=0.6,"Media",IF(X28&lt;=0.8,"Alta","Muy Alta"))))),"")</f>
        <v/>
      </c>
      <c r="Z28" s="184" t="str">
        <f t="shared" ref="Z28:Z32" si="15">+X28</f>
        <v/>
      </c>
      <c r="AA28" s="152" t="str">
        <f t="shared" ref="AA28:AA32" si="16">IFERROR(IF(AB28="","",IF(AB28&lt;=0.2,"Leve",IF(AB28&lt;=0.4,"Menor",IF(AB28&lt;=0.6,"Moderado",IF(AB28&lt;=0.8,"Mayor","Catastrófico"))))),"")</f>
        <v/>
      </c>
      <c r="AB28" s="184" t="str">
        <f>IFERROR(IF(AND(Q25="Impacto",Q28="Impacto"),(AB25-(+AB25*T28)),IF(Q28="Impacto",(M25-(+M25*T28)),IF(Q28="Probabilidad",AB25,""))),"")</f>
        <v/>
      </c>
      <c r="AC28" s="154"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85"/>
      <c r="AE28" s="157"/>
      <c r="AF28" s="157"/>
      <c r="AG28" s="157"/>
      <c r="AH28" s="149"/>
      <c r="AI28" s="149"/>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x14ac:dyDescent="0.25">
      <c r="A29" s="349"/>
      <c r="B29" s="412"/>
      <c r="C29" s="412"/>
      <c r="D29" s="412"/>
      <c r="E29" s="415"/>
      <c r="F29" s="412"/>
      <c r="G29" s="418"/>
      <c r="H29" s="394"/>
      <c r="I29" s="385"/>
      <c r="J29" s="391"/>
      <c r="K29" s="187">
        <f>IF(NOT(ISERROR(MATCH(J29,_xlfn.ANCHORARRAY(E40),0))),I42&amp;"Por favor no seleccionar los criterios de impacto",J29)</f>
        <v>0</v>
      </c>
      <c r="L29" s="394"/>
      <c r="M29" s="385"/>
      <c r="N29" s="388"/>
      <c r="O29" s="6">
        <v>3</v>
      </c>
      <c r="P29" s="160"/>
      <c r="Q29" s="147" t="str">
        <f>IF(OR(R29="Preventivo",R29="Detectivo"),"Probabilidad",IF(R29="Correctivo","Impacto",""))</f>
        <v/>
      </c>
      <c r="R29" s="150"/>
      <c r="S29" s="150"/>
      <c r="T29" s="151" t="str">
        <f t="shared" si="13"/>
        <v/>
      </c>
      <c r="U29" s="150"/>
      <c r="V29" s="150"/>
      <c r="W29" s="150"/>
      <c r="X29" s="146" t="str">
        <f>IFERROR(IF(AND(Q28="Probabilidad",Q29="Probabilidad"),(Z28-(+Z28*T29)),IF(AND(Q28="Impacto",Q29="Probabilidad"),(Z25-(+Z25*T29)),IF(Q29="Impacto",Z28,""))),"")</f>
        <v/>
      </c>
      <c r="Y29" s="152" t="str">
        <f t="shared" si="14"/>
        <v/>
      </c>
      <c r="Z29" s="184" t="str">
        <f t="shared" si="15"/>
        <v/>
      </c>
      <c r="AA29" s="152" t="str">
        <f t="shared" si="16"/>
        <v/>
      </c>
      <c r="AB29" s="184" t="str">
        <f>IFERROR(IF(AND(Q28="Impacto",Q29="Impacto"),(AB28-(+AB28*T29)),IF(AND(Q28="Probabilidad",Q29="Impacto"),(AB25-(+AB25*T29)),IF(Q29="Probabilidad",AB28,""))),"")</f>
        <v/>
      </c>
      <c r="AC29" s="154" t="str">
        <f t="shared" si="17"/>
        <v/>
      </c>
      <c r="AD29" s="185"/>
      <c r="AE29" s="148"/>
      <c r="AF29" s="180"/>
      <c r="AG29" s="180"/>
      <c r="AH29" s="149"/>
      <c r="AI29" s="149"/>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49"/>
      <c r="B30" s="412"/>
      <c r="C30" s="412"/>
      <c r="D30" s="412"/>
      <c r="E30" s="415"/>
      <c r="F30" s="412"/>
      <c r="G30" s="418"/>
      <c r="H30" s="394"/>
      <c r="I30" s="385"/>
      <c r="J30" s="391"/>
      <c r="K30" s="187">
        <f>IF(NOT(ISERROR(MATCH(J30,_xlfn.ANCHORARRAY(E41),0))),I43&amp;"Por favor no seleccionar los criterios de impacto",J30)</f>
        <v>0</v>
      </c>
      <c r="L30" s="394"/>
      <c r="M30" s="385"/>
      <c r="N30" s="388"/>
      <c r="O30" s="6">
        <v>4</v>
      </c>
      <c r="P30" s="159"/>
      <c r="Q30" s="147" t="str">
        <f t="shared" ref="Q30:Q33" si="18">IF(OR(R30="Preventivo",R30="Detectivo"),"Probabilidad",IF(R30="Correctivo","Impacto",""))</f>
        <v/>
      </c>
      <c r="R30" s="150"/>
      <c r="S30" s="150"/>
      <c r="T30" s="151" t="str">
        <f t="shared" si="13"/>
        <v/>
      </c>
      <c r="U30" s="150"/>
      <c r="V30" s="150"/>
      <c r="W30" s="150"/>
      <c r="X30" s="146" t="str">
        <f t="shared" ref="X30:X32" si="19">IFERROR(IF(AND(Q29="Probabilidad",Q30="Probabilidad"),(Z29-(+Z29*T30)),IF(AND(Q29="Impacto",Q30="Probabilidad"),(Z28-(+Z28*T30)),IF(Q30="Impacto",Z29,""))),"")</f>
        <v/>
      </c>
      <c r="Y30" s="152" t="str">
        <f t="shared" si="14"/>
        <v/>
      </c>
      <c r="Z30" s="184" t="str">
        <f t="shared" si="15"/>
        <v/>
      </c>
      <c r="AA30" s="152" t="str">
        <f t="shared" si="16"/>
        <v/>
      </c>
      <c r="AB30" s="184" t="str">
        <f t="shared" ref="AB30:AB32" si="20">IFERROR(IF(AND(Q29="Impacto",Q30="Impacto"),(AB29-(+AB29*T30)),IF(AND(Q29="Probabilidad",Q30="Impacto"),(AB28-(+AB28*T30)),IF(Q30="Probabilidad",AB29,""))),"")</f>
        <v/>
      </c>
      <c r="AC30" s="154"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5"/>
      <c r="AE30" s="148"/>
      <c r="AF30" s="180"/>
      <c r="AG30" s="180"/>
      <c r="AH30" s="149"/>
      <c r="AI30" s="149"/>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49"/>
      <c r="B31" s="412"/>
      <c r="C31" s="412"/>
      <c r="D31" s="412"/>
      <c r="E31" s="415"/>
      <c r="F31" s="412"/>
      <c r="G31" s="418"/>
      <c r="H31" s="394"/>
      <c r="I31" s="385"/>
      <c r="J31" s="391"/>
      <c r="K31" s="187">
        <f>IF(NOT(ISERROR(MATCH(J31,_xlfn.ANCHORARRAY(E42),0))),I44&amp;"Por favor no seleccionar los criterios de impacto",J31)</f>
        <v>0</v>
      </c>
      <c r="L31" s="394"/>
      <c r="M31" s="385"/>
      <c r="N31" s="388"/>
      <c r="O31" s="6">
        <v>5</v>
      </c>
      <c r="P31" s="159"/>
      <c r="Q31" s="147" t="str">
        <f t="shared" si="18"/>
        <v/>
      </c>
      <c r="R31" s="150"/>
      <c r="S31" s="150"/>
      <c r="T31" s="151" t="str">
        <f t="shared" si="13"/>
        <v/>
      </c>
      <c r="U31" s="150"/>
      <c r="V31" s="150"/>
      <c r="W31" s="150"/>
      <c r="X31" s="146" t="str">
        <f t="shared" si="19"/>
        <v/>
      </c>
      <c r="Y31" s="152" t="str">
        <f t="shared" si="14"/>
        <v/>
      </c>
      <c r="Z31" s="184" t="str">
        <f t="shared" si="15"/>
        <v/>
      </c>
      <c r="AA31" s="152" t="str">
        <f t="shared" si="16"/>
        <v/>
      </c>
      <c r="AB31" s="184" t="str">
        <f t="shared" si="20"/>
        <v/>
      </c>
      <c r="AC31" s="154"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85"/>
      <c r="AE31" s="148"/>
      <c r="AF31" s="180"/>
      <c r="AG31" s="180"/>
      <c r="AH31" s="149"/>
      <c r="AI31" s="149"/>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18" customHeight="1" x14ac:dyDescent="0.25">
      <c r="A32" s="350"/>
      <c r="B32" s="413"/>
      <c r="C32" s="413"/>
      <c r="D32" s="413"/>
      <c r="E32" s="416"/>
      <c r="F32" s="413"/>
      <c r="G32" s="419"/>
      <c r="H32" s="395"/>
      <c r="I32" s="386"/>
      <c r="J32" s="392"/>
      <c r="K32" s="188">
        <f>IF(NOT(ISERROR(MATCH(J32,_xlfn.ANCHORARRAY(E43),0))),I45&amp;"Por favor no seleccionar los criterios de impacto",J32)</f>
        <v>0</v>
      </c>
      <c r="L32" s="395"/>
      <c r="M32" s="386"/>
      <c r="N32" s="389"/>
      <c r="O32" s="6">
        <v>6</v>
      </c>
      <c r="P32" s="159"/>
      <c r="Q32" s="147" t="str">
        <f t="shared" si="18"/>
        <v/>
      </c>
      <c r="R32" s="150"/>
      <c r="S32" s="150"/>
      <c r="T32" s="151" t="str">
        <f t="shared" si="13"/>
        <v/>
      </c>
      <c r="U32" s="150"/>
      <c r="V32" s="150"/>
      <c r="W32" s="150"/>
      <c r="X32" s="146" t="str">
        <f t="shared" si="19"/>
        <v/>
      </c>
      <c r="Y32" s="152" t="str">
        <f t="shared" si="14"/>
        <v/>
      </c>
      <c r="Z32" s="184" t="str">
        <f t="shared" si="15"/>
        <v/>
      </c>
      <c r="AA32" s="152" t="str">
        <f t="shared" si="16"/>
        <v/>
      </c>
      <c r="AB32" s="184" t="str">
        <f t="shared" si="20"/>
        <v/>
      </c>
      <c r="AC32" s="154" t="str">
        <f t="shared" si="21"/>
        <v/>
      </c>
      <c r="AD32" s="185"/>
      <c r="AE32" s="148"/>
      <c r="AF32" s="180"/>
      <c r="AG32" s="180"/>
      <c r="AH32" s="149"/>
      <c r="AI32" s="149"/>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ht="64.5" customHeight="1" x14ac:dyDescent="0.3">
      <c r="A33" s="348">
        <v>4</v>
      </c>
      <c r="B33" s="411" t="s">
        <v>165</v>
      </c>
      <c r="C33" s="411" t="s">
        <v>183</v>
      </c>
      <c r="D33" s="411" t="s">
        <v>184</v>
      </c>
      <c r="E33" s="414" t="s">
        <v>185</v>
      </c>
      <c r="F33" s="411" t="s">
        <v>151</v>
      </c>
      <c r="G33" s="417">
        <v>360</v>
      </c>
      <c r="H33" s="393" t="str">
        <f>IF(G33&lt;=0,"",IF(G33&lt;=2,"Muy Baja",IF(G33&lt;=24,"Baja",IF(G33&lt;=500,"Media",IF(G33&lt;=5000,"Alta","Muy Alta")))))</f>
        <v>Media</v>
      </c>
      <c r="I33" s="384">
        <f>IF(H33="","",IF(H33="Muy Baja",0.2,IF(H33="Baja",0.4,IF(H33="Media",0.6,IF(H33="Alta",0.8,IF(H33="Muy Alta",1,))))))</f>
        <v>0.6</v>
      </c>
      <c r="J33" s="390" t="s">
        <v>168</v>
      </c>
      <c r="K33" s="384" t="str">
        <f>IF(NOT(ISERROR(MATCH(J33,'[1]Tabla Impacto'!$B$221:$B$223,0))),'[1]Tabla Impacto'!$F$223&amp;"Por favor no seleccionar los criterios de impacto(Afectación Económica o presupuestal y Pérdida Reputacional)",J33)</f>
        <v xml:space="preserve">     El riesgo afecta la imagen de la entidad con algunos usuarios de relevancia frente al logro de los objetivos</v>
      </c>
      <c r="L33" s="393" t="str">
        <f>IF(OR(K33='[1]Tabla Impacto'!$C$11,K33='[1]Tabla Impacto'!$D$11),"Leve",IF(OR(K33='[1]Tabla Impacto'!$C$12,K33='[1]Tabla Impacto'!$D$12),"Menor",IF(OR(K33='[1]Tabla Impacto'!$C$13,K33='[1]Tabla Impacto'!$D$13),"Moderado",IF(OR(K33='[1]Tabla Impacto'!$C$14,K33='[1]Tabla Impacto'!$D$14),"Mayor",IF(OR(K33='[1]Tabla Impacto'!$C$15,K33='[1]Tabla Impacto'!$D$15),"Catastrófico","")))))</f>
        <v>Moderado</v>
      </c>
      <c r="M33" s="384">
        <f>IF(L33="","",IF(L33="Leve",0.2,IF(L33="Menor",0.4,IF(L33="Moderado",0.6,IF(L33="Mayor",0.8,IF(L33="Catastrófico",1,))))))</f>
        <v>0.6</v>
      </c>
      <c r="N33" s="387"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106">
        <v>1</v>
      </c>
      <c r="P33" s="159" t="s">
        <v>186</v>
      </c>
      <c r="Q33" s="147" t="str">
        <f t="shared" si="18"/>
        <v>Probabilidad</v>
      </c>
      <c r="R33" s="150" t="s">
        <v>154</v>
      </c>
      <c r="S33" s="150" t="s">
        <v>155</v>
      </c>
      <c r="T33" s="151" t="str">
        <f>IF(AND(R33="Preventivo",S33="Automático"),"50%",IF(AND(R33="Preventivo",S33="Manual"),"40%",IF(AND(R33="Detectivo",S33="Automático"),"40%",IF(AND(R33="Detectivo",S33="Manual"),"30%",IF(AND(R33="Correctivo",S33="Automático"),"35%",IF(AND(R33="Correctivo",S33="Manual"),"25%",""))))))</f>
        <v>40%</v>
      </c>
      <c r="U33" s="150" t="s">
        <v>156</v>
      </c>
      <c r="V33" s="150" t="s">
        <v>157</v>
      </c>
      <c r="W33" s="150" t="s">
        <v>158</v>
      </c>
      <c r="X33" s="146">
        <f>IFERROR(IF(Q33="Probabilidad",(I33-(+I33*T33)),IF(Q33="Impacto",I33,"")),"")</f>
        <v>0.36</v>
      </c>
      <c r="Y33" s="152" t="str">
        <f>IFERROR(IF(X33="","",IF(X33&lt;=0.2,"Muy Baja",IF(X33&lt;=0.4,"Baja",IF(X33&lt;=0.6,"Media",IF(X33&lt;=0.8,"Alta","Muy Alta"))))),"")</f>
        <v>Baja</v>
      </c>
      <c r="Z33" s="184">
        <f>+X33</f>
        <v>0.36</v>
      </c>
      <c r="AA33" s="152" t="str">
        <f>IFERROR(IF(AB33="","",IF(AB33&lt;=0.2,"Leve",IF(AB33&lt;=0.4,"Menor",IF(AB33&lt;=0.6,"Moderado",IF(AB33&lt;=0.8,"Mayor","Catastrófico"))))),"")</f>
        <v>Moderado</v>
      </c>
      <c r="AB33" s="184">
        <f>IFERROR(IF(Q33="Impacto",(M33-(+M33*T33)),IF(Q33="Probabilidad",M33,"")),"")</f>
        <v>0.6</v>
      </c>
      <c r="AC33" s="154"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185" t="s">
        <v>159</v>
      </c>
      <c r="AE33" s="176" t="s">
        <v>187</v>
      </c>
      <c r="AF33" s="176" t="s">
        <v>188</v>
      </c>
      <c r="AG33" s="183" t="s">
        <v>189</v>
      </c>
      <c r="AH33" s="158">
        <v>45658</v>
      </c>
      <c r="AI33" s="158">
        <v>46021</v>
      </c>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49"/>
      <c r="B34" s="412"/>
      <c r="C34" s="412"/>
      <c r="D34" s="412"/>
      <c r="E34" s="415"/>
      <c r="F34" s="412"/>
      <c r="G34" s="418"/>
      <c r="H34" s="394"/>
      <c r="I34" s="385"/>
      <c r="J34" s="391"/>
      <c r="K34" s="385">
        <f>IF(NOT(ISERROR(MATCH(J34,_xlfn.ANCHORARRAY(E51),0))),I53&amp;"Por favor no seleccionar los criterios de impacto",J34)</f>
        <v>0</v>
      </c>
      <c r="L34" s="394"/>
      <c r="M34" s="385"/>
      <c r="N34" s="388"/>
      <c r="O34" s="106">
        <v>2</v>
      </c>
      <c r="P34" s="159"/>
      <c r="Q34" s="107" t="str">
        <f>IF(OR(R34="Preventivo",R34="Detectivo"),"Probabilidad",IF(R34="Correctivo","Impacto",""))</f>
        <v/>
      </c>
      <c r="R34" s="108"/>
      <c r="S34" s="108"/>
      <c r="T34" s="151" t="str">
        <f t="shared" ref="T34:T38" si="22">IF(AND(R34="Preventivo",S34="Automático"),"50%",IF(AND(R34="Preventivo",S34="Manual"),"40%",IF(AND(R34="Detectivo",S34="Automático"),"40%",IF(AND(R34="Detectivo",S34="Manual"),"30%",IF(AND(R34="Correctivo",S34="Automático"),"35%",IF(AND(R34="Correctivo",S34="Manual"),"25%",""))))))</f>
        <v/>
      </c>
      <c r="U34" s="108"/>
      <c r="V34" s="108"/>
      <c r="W34" s="108"/>
      <c r="X34" s="110" t="str">
        <f>IFERROR(IF(AND(Q33="Probabilidad",Q34="Probabilidad"),(Z33-(+Z33*T34)),IF(Q34="Probabilidad",(I33-(+I33*T34)),IF(Q34="Impacto",Z33,""))),"")</f>
        <v/>
      </c>
      <c r="Y34" s="152" t="str">
        <f t="shared" ref="Y34:Y38" si="23">IFERROR(IF(X34="","",IF(X34&lt;=0.2,"Muy Baja",IF(X34&lt;=0.4,"Baja",IF(X34&lt;=0.6,"Media",IF(X34&lt;=0.8,"Alta","Muy Alta"))))),"")</f>
        <v/>
      </c>
      <c r="Z34" s="184" t="str">
        <f t="shared" ref="Z34:Z38" si="24">+X34</f>
        <v/>
      </c>
      <c r="AA34" s="152" t="str">
        <f t="shared" ref="AA34:AA38" si="25">IFERROR(IF(AB34="","",IF(AB34&lt;=0.2,"Leve",IF(AB34&lt;=0.4,"Menor",IF(AB34&lt;=0.6,"Moderado",IF(AB34&lt;=0.8,"Mayor","Catastrófico"))))),"")</f>
        <v/>
      </c>
      <c r="AB34" s="184" t="str">
        <f t="shared" ref="AB34:AB38" si="26">IFERROR(IF(Q34="Impacto",(M34-(+M34*T34)),IF(Q34="Probabilidad",M34,"")),"")</f>
        <v/>
      </c>
      <c r="AC34" s="154" t="str">
        <f t="shared" ref="AC34:AC38" si="27">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85"/>
      <c r="AE34" s="115"/>
      <c r="AF34" s="116"/>
      <c r="AG34" s="116"/>
      <c r="AH34" s="117"/>
      <c r="AI34" s="117"/>
    </row>
    <row r="35" spans="1:67" ht="18" customHeight="1" x14ac:dyDescent="0.3">
      <c r="A35" s="349"/>
      <c r="B35" s="412"/>
      <c r="C35" s="412"/>
      <c r="D35" s="412"/>
      <c r="E35" s="415"/>
      <c r="F35" s="412"/>
      <c r="G35" s="418"/>
      <c r="H35" s="394"/>
      <c r="I35" s="385"/>
      <c r="J35" s="391"/>
      <c r="K35" s="385">
        <f>IF(NOT(ISERROR(MATCH(J35,_xlfn.ANCHORARRAY(E52),0))),I54&amp;"Por favor no seleccionar los criterios de impacto",J35)</f>
        <v>0</v>
      </c>
      <c r="L35" s="394"/>
      <c r="M35" s="385"/>
      <c r="N35" s="388"/>
      <c r="O35" s="106">
        <v>3</v>
      </c>
      <c r="P35" s="160"/>
      <c r="Q35" s="107" t="str">
        <f>IF(OR(R35="Preventivo",R35="Detectivo"),"Probabilidad",IF(R35="Correctivo","Impacto",""))</f>
        <v/>
      </c>
      <c r="R35" s="108"/>
      <c r="S35" s="108"/>
      <c r="T35" s="151" t="str">
        <f t="shared" si="22"/>
        <v/>
      </c>
      <c r="U35" s="108"/>
      <c r="V35" s="108"/>
      <c r="W35" s="108"/>
      <c r="X35" s="110" t="str">
        <f>IFERROR(IF(AND(Q34="Probabilidad",Q35="Probabilidad"),(Z34-(+Z34*T35)),IF(AND(Q34="Impacto",Q35="Probabilidad"),(Z33-(+Z33*T35)),IF(Q35="Impacto",Z34,""))),"")</f>
        <v/>
      </c>
      <c r="Y35" s="152" t="str">
        <f t="shared" si="23"/>
        <v/>
      </c>
      <c r="Z35" s="184" t="str">
        <f t="shared" si="24"/>
        <v/>
      </c>
      <c r="AA35" s="152" t="str">
        <f t="shared" si="25"/>
        <v/>
      </c>
      <c r="AB35" s="184" t="str">
        <f t="shared" si="26"/>
        <v/>
      </c>
      <c r="AC35" s="154" t="str">
        <f t="shared" si="27"/>
        <v/>
      </c>
      <c r="AD35" s="185"/>
      <c r="AE35" s="115"/>
      <c r="AF35" s="116"/>
      <c r="AG35" s="116"/>
      <c r="AH35" s="117"/>
      <c r="AI35" s="117"/>
    </row>
    <row r="36" spans="1:67" ht="18" customHeight="1" x14ac:dyDescent="0.3">
      <c r="A36" s="349"/>
      <c r="B36" s="412"/>
      <c r="C36" s="412"/>
      <c r="D36" s="412"/>
      <c r="E36" s="415"/>
      <c r="F36" s="412"/>
      <c r="G36" s="418"/>
      <c r="H36" s="394"/>
      <c r="I36" s="385"/>
      <c r="J36" s="391"/>
      <c r="K36" s="385">
        <f>IF(NOT(ISERROR(MATCH(J36,_xlfn.ANCHORARRAY(E53),0))),I55&amp;"Por favor no seleccionar los criterios de impacto",J36)</f>
        <v>0</v>
      </c>
      <c r="L36" s="394"/>
      <c r="M36" s="385"/>
      <c r="N36" s="388"/>
      <c r="O36" s="106">
        <v>4</v>
      </c>
      <c r="P36" s="159"/>
      <c r="Q36" s="107" t="str">
        <f t="shared" ref="Q36:Q38" si="28">IF(OR(R36="Preventivo",R36="Detectivo"),"Probabilidad",IF(R36="Correctivo","Impacto",""))</f>
        <v/>
      </c>
      <c r="R36" s="108"/>
      <c r="S36" s="108"/>
      <c r="T36" s="151" t="str">
        <f t="shared" si="22"/>
        <v/>
      </c>
      <c r="U36" s="108"/>
      <c r="V36" s="108"/>
      <c r="W36" s="108"/>
      <c r="X36" s="110" t="str">
        <f t="shared" ref="X36:X37" si="29">IFERROR(IF(AND(Q35="Probabilidad",Q36="Probabilidad"),(Z35-(+Z35*T36)),IF(AND(Q35="Impacto",Q36="Probabilidad"),(Z34-(+Z34*T36)),IF(Q36="Impacto",Z35,""))),"")</f>
        <v/>
      </c>
      <c r="Y36" s="152" t="str">
        <f t="shared" si="23"/>
        <v/>
      </c>
      <c r="Z36" s="184" t="str">
        <f t="shared" si="24"/>
        <v/>
      </c>
      <c r="AA36" s="152" t="str">
        <f t="shared" si="25"/>
        <v/>
      </c>
      <c r="AB36" s="184" t="str">
        <f t="shared" si="26"/>
        <v/>
      </c>
      <c r="AC36" s="154" t="str">
        <f t="shared" si="27"/>
        <v/>
      </c>
      <c r="AD36" s="185"/>
      <c r="AE36" s="115"/>
      <c r="AF36" s="116"/>
      <c r="AG36" s="116"/>
      <c r="AH36" s="117"/>
      <c r="AI36" s="117"/>
    </row>
    <row r="37" spans="1:67" ht="18" customHeight="1" x14ac:dyDescent="0.3">
      <c r="A37" s="349"/>
      <c r="B37" s="412"/>
      <c r="C37" s="412"/>
      <c r="D37" s="412"/>
      <c r="E37" s="415"/>
      <c r="F37" s="412"/>
      <c r="G37" s="418"/>
      <c r="H37" s="394"/>
      <c r="I37" s="385"/>
      <c r="J37" s="391"/>
      <c r="K37" s="385">
        <f>IF(NOT(ISERROR(MATCH(J37,_xlfn.ANCHORARRAY(E54),0))),I56&amp;"Por favor no seleccionar los criterios de impacto",J37)</f>
        <v>0</v>
      </c>
      <c r="L37" s="394"/>
      <c r="M37" s="385"/>
      <c r="N37" s="388"/>
      <c r="O37" s="106">
        <v>5</v>
      </c>
      <c r="P37" s="159"/>
      <c r="Q37" s="107" t="str">
        <f t="shared" si="28"/>
        <v/>
      </c>
      <c r="R37" s="108"/>
      <c r="S37" s="108"/>
      <c r="T37" s="151" t="str">
        <f t="shared" si="22"/>
        <v/>
      </c>
      <c r="U37" s="108"/>
      <c r="V37" s="108"/>
      <c r="W37" s="108"/>
      <c r="X37" s="110" t="str">
        <f t="shared" si="29"/>
        <v/>
      </c>
      <c r="Y37" s="152" t="str">
        <f t="shared" si="23"/>
        <v/>
      </c>
      <c r="Z37" s="184" t="str">
        <f t="shared" si="24"/>
        <v/>
      </c>
      <c r="AA37" s="152" t="str">
        <f t="shared" si="25"/>
        <v/>
      </c>
      <c r="AB37" s="184" t="str">
        <f t="shared" si="26"/>
        <v/>
      </c>
      <c r="AC37" s="154" t="str">
        <f t="shared" si="27"/>
        <v/>
      </c>
      <c r="AD37" s="185"/>
      <c r="AE37" s="115"/>
      <c r="AF37" s="116"/>
      <c r="AG37" s="116"/>
      <c r="AH37" s="117"/>
      <c r="AI37" s="117"/>
    </row>
    <row r="38" spans="1:67" ht="18" customHeight="1" x14ac:dyDescent="0.3">
      <c r="A38" s="350"/>
      <c r="B38" s="413"/>
      <c r="C38" s="413"/>
      <c r="D38" s="413"/>
      <c r="E38" s="416"/>
      <c r="F38" s="413"/>
      <c r="G38" s="419"/>
      <c r="H38" s="395"/>
      <c r="I38" s="386"/>
      <c r="J38" s="392"/>
      <c r="K38" s="386">
        <f>IF(NOT(ISERROR(MATCH(J38,_xlfn.ANCHORARRAY(E55),0))),I57&amp;"Por favor no seleccionar los criterios de impacto",J38)</f>
        <v>0</v>
      </c>
      <c r="L38" s="395"/>
      <c r="M38" s="386"/>
      <c r="N38" s="389"/>
      <c r="O38" s="106">
        <v>6</v>
      </c>
      <c r="P38" s="159"/>
      <c r="Q38" s="107" t="str">
        <f t="shared" si="28"/>
        <v/>
      </c>
      <c r="R38" s="108"/>
      <c r="S38" s="108"/>
      <c r="T38" s="151" t="str">
        <f t="shared" si="22"/>
        <v/>
      </c>
      <c r="U38" s="108"/>
      <c r="V38" s="108"/>
      <c r="W38" s="108"/>
      <c r="X38" s="110" t="str">
        <f>IFERROR(IF(AND(Q37="Probabilidad",Q38="Probabilidad"),(Z37-(+Z37*T38)),IF(AND(Q37="Impacto",Q38="Probabilidad"),(Z36-(+Z36*T38)),IF(Q38="Impacto",Z37,""))),"")</f>
        <v/>
      </c>
      <c r="Y38" s="152" t="str">
        <f t="shared" si="23"/>
        <v/>
      </c>
      <c r="Z38" s="153" t="str">
        <f t="shared" si="24"/>
        <v/>
      </c>
      <c r="AA38" s="152" t="str">
        <f t="shared" si="25"/>
        <v/>
      </c>
      <c r="AB38" s="153" t="str">
        <f t="shared" si="26"/>
        <v/>
      </c>
      <c r="AC38" s="154" t="str">
        <f t="shared" si="27"/>
        <v/>
      </c>
      <c r="AD38" s="155"/>
      <c r="AE38" s="115"/>
      <c r="AF38" s="116"/>
      <c r="AG38" s="116"/>
      <c r="AH38" s="117"/>
      <c r="AI38" s="117"/>
    </row>
    <row r="39" spans="1:67" ht="18" hidden="1" customHeight="1" x14ac:dyDescent="0.3">
      <c r="A39" s="348">
        <v>5</v>
      </c>
      <c r="B39" s="369"/>
      <c r="C39" s="369"/>
      <c r="D39" s="369"/>
      <c r="E39" s="372"/>
      <c r="F39" s="369"/>
      <c r="G39" s="366"/>
      <c r="H39" s="357"/>
      <c r="I39" s="363" t="str">
        <f>IF(H39="","",IF(H39="Muy Baja",0.2,IF(H39="Baja",0.4,IF(H39="Media",0.6,IF(H39="Alta",0.8,IF(H39="Muy Alta",1,))))))</f>
        <v/>
      </c>
      <c r="J39" s="360"/>
      <c r="K39" s="363">
        <f>IF(NOT(ISERROR(MATCH(J39,'Tabla Impacto'!$B$221:$B$223,0))),'Tabla Impacto'!$F$223&amp;"Por favor no seleccionar los criterios de impacto(Afectación Económica o presupuestal y Pérdida Reputacional)",J39)</f>
        <v>0</v>
      </c>
      <c r="L39" s="357" t="str">
        <f>IF(OR(K39='Tabla Impacto'!$C$11,K39='Tabla Impacto'!$D$11),"Leve",IF(OR(K39='Tabla Impacto'!$C$12,K39='Tabla Impacto'!$D$12),"Menor",IF(OR(K39='Tabla Impacto'!$C$13,K39='Tabla Impacto'!$D$13),"Moderado",IF(OR(K39='Tabla Impacto'!$C$14,K39='Tabla Impacto'!$D$14),"Mayor",IF(OR(K39='Tabla Impacto'!$C$15,K39='Tabla Impacto'!$D$15),"Catastrófico","")))))</f>
        <v/>
      </c>
      <c r="M39" s="363" t="str">
        <f>IF(L39="","",IF(L39="Leve",0.2,IF(L39="Menor",0.4,IF(L39="Moderado",0.6,IF(L39="Mayor",0.8,IF(L39="Catastrófico",1,))))))</f>
        <v/>
      </c>
      <c r="N39" s="375"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v>1</v>
      </c>
      <c r="P39" s="159"/>
      <c r="Q39" s="147"/>
      <c r="R39" s="150"/>
      <c r="S39" s="150"/>
      <c r="T39" s="151"/>
      <c r="U39" s="150"/>
      <c r="V39" s="150"/>
      <c r="W39" s="150"/>
      <c r="X39" s="146" t="str">
        <f>IFERROR(IF(Q39="Probabilidad",(I39-(+I39*T39)),IF(Q39="Impacto",I39,"")),"")</f>
        <v/>
      </c>
      <c r="Y39" s="152" t="str">
        <f>IFERROR(IF(X39="","",IF(X39&lt;=0.2,"Muy Baja",IF(X39&lt;=0.4,"Baja",IF(X39&lt;=0.6,"Media",IF(X39&lt;=0.8,"Alta","Muy Alta"))))),"")</f>
        <v/>
      </c>
      <c r="Z39" s="153" t="str">
        <f>+X39</f>
        <v/>
      </c>
      <c r="AA39" s="152" t="str">
        <f>IFERROR(IF(AB39="","",IF(AB39&lt;=0.2,"Leve",IF(AB39&lt;=0.4,"Menor",IF(AB39&lt;=0.6,"Moderado",IF(AB39&lt;=0.8,"Mayor","Catastrófico"))))),"")</f>
        <v/>
      </c>
      <c r="AB39" s="153" t="str">
        <f>IFERROR(IF(Q39="Impacto",(M39-(+M39*T39)),IF(Q39="Probabilidad",M39,"")),"")</f>
        <v/>
      </c>
      <c r="AC39" s="154"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55"/>
      <c r="AE39" s="156"/>
      <c r="AF39" s="157"/>
      <c r="AG39" s="157"/>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49"/>
      <c r="B40" s="370"/>
      <c r="C40" s="370"/>
      <c r="D40" s="370"/>
      <c r="E40" s="373"/>
      <c r="F40" s="370"/>
      <c r="G40" s="367"/>
      <c r="H40" s="358"/>
      <c r="I40" s="364"/>
      <c r="J40" s="361"/>
      <c r="K40" s="364">
        <f>IF(NOT(ISERROR(MATCH(J40,_xlfn.ANCHORARRAY(E51),0))),I53&amp;"Por favor no seleccionar los criterios de impacto",J40)</f>
        <v>0</v>
      </c>
      <c r="L40" s="358"/>
      <c r="M40" s="364"/>
      <c r="N40" s="376"/>
      <c r="O40" s="106">
        <v>2</v>
      </c>
      <c r="P40" s="159"/>
      <c r="Q40" s="107" t="str">
        <f>IF(OR(R40="Preventivo",R40="Detectivo"),"Probabilidad",IF(R40="Correctivo","Impacto",""))</f>
        <v/>
      </c>
      <c r="R40" s="108"/>
      <c r="S40" s="108"/>
      <c r="T40" s="109" t="str">
        <f t="shared" ref="T40:T44" si="30">IF(AND(R40="Preventivo",S40="Automático"),"50%",IF(AND(R40="Preventivo",S40="Manual"),"40%",IF(AND(R40="Detectivo",S40="Automático"),"40%",IF(AND(R40="Detectivo",S40="Manual"),"30%",IF(AND(R40="Correctivo",S40="Automático"),"35%",IF(AND(R40="Correctivo",S40="Manual"),"25%",""))))))</f>
        <v/>
      </c>
      <c r="U40" s="108"/>
      <c r="V40" s="108"/>
      <c r="W40" s="108"/>
      <c r="X40" s="110" t="str">
        <f>IFERROR(IF(AND(Q39="Probabilidad",Q40="Probabilidad"),(Z39-(+Z39*T40)),IF(Q40="Probabilidad",(I39-(+I39*T40)),IF(Q40="Impacto",Z39,""))),"")</f>
        <v/>
      </c>
      <c r="Y40" s="111" t="str">
        <f t="shared" si="1"/>
        <v/>
      </c>
      <c r="Z40" s="112" t="str">
        <f t="shared" ref="Z40:Z44" si="31">+X40</f>
        <v/>
      </c>
      <c r="AA40" s="111" t="str">
        <f t="shared" si="3"/>
        <v/>
      </c>
      <c r="AB40" s="112" t="str">
        <f>IFERROR(IF(AND(Q39="Impacto",Q40="Impacto"),(AB39-(+AB39*T40)),IF(Q40="Impacto",(M39-(+M39*T40)),IF(Q40="Probabilidad",AB39,""))),"")</f>
        <v/>
      </c>
      <c r="AC40" s="113" t="str">
        <f t="shared" ref="AC40:AC41" si="3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49"/>
      <c r="B41" s="370"/>
      <c r="C41" s="370"/>
      <c r="D41" s="370"/>
      <c r="E41" s="373"/>
      <c r="F41" s="370"/>
      <c r="G41" s="367"/>
      <c r="H41" s="358"/>
      <c r="I41" s="364"/>
      <c r="J41" s="361"/>
      <c r="K41" s="364">
        <f>IF(NOT(ISERROR(MATCH(J41,_xlfn.ANCHORARRAY(E52),0))),I54&amp;"Por favor no seleccionar los criterios de impacto",J41)</f>
        <v>0</v>
      </c>
      <c r="L41" s="358"/>
      <c r="M41" s="364"/>
      <c r="N41" s="376"/>
      <c r="O41" s="106">
        <v>3</v>
      </c>
      <c r="P41" s="160"/>
      <c r="Q41" s="107" t="str">
        <f>IF(OR(R41="Preventivo",R41="Detectivo"),"Probabilidad",IF(R41="Correctivo","Impacto",""))</f>
        <v/>
      </c>
      <c r="R41" s="108"/>
      <c r="S41" s="108"/>
      <c r="T41" s="109" t="str">
        <f t="shared" si="30"/>
        <v/>
      </c>
      <c r="U41" s="108"/>
      <c r="V41" s="108"/>
      <c r="W41" s="108"/>
      <c r="X41" s="110" t="str">
        <f>IFERROR(IF(AND(Q40="Probabilidad",Q41="Probabilidad"),(Z40-(+Z40*T41)),IF(AND(Q40="Impacto",Q41="Probabilidad"),(Z39-(+Z39*T41)),IF(Q41="Impacto",Z40,""))),"")</f>
        <v/>
      </c>
      <c r="Y41" s="111" t="str">
        <f t="shared" si="1"/>
        <v/>
      </c>
      <c r="Z41" s="112" t="str">
        <f t="shared" si="31"/>
        <v/>
      </c>
      <c r="AA41" s="111" t="str">
        <f t="shared" si="3"/>
        <v/>
      </c>
      <c r="AB41" s="112" t="str">
        <f>IFERROR(IF(AND(Q40="Impacto",Q41="Impacto"),(AB40-(+AB40*T41)),IF(AND(Q40="Probabilidad",Q41="Impacto"),(AB39-(+AB39*T41)),IF(Q41="Probabilidad",AB40,""))),"")</f>
        <v/>
      </c>
      <c r="AC41" s="113" t="str">
        <f t="shared" si="32"/>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49"/>
      <c r="B42" s="370"/>
      <c r="C42" s="370"/>
      <c r="D42" s="370"/>
      <c r="E42" s="373"/>
      <c r="F42" s="370"/>
      <c r="G42" s="367"/>
      <c r="H42" s="358"/>
      <c r="I42" s="364"/>
      <c r="J42" s="361"/>
      <c r="K42" s="364">
        <f>IF(NOT(ISERROR(MATCH(J42,_xlfn.ANCHORARRAY(E53),0))),I55&amp;"Por favor no seleccionar los criterios de impacto",J42)</f>
        <v>0</v>
      </c>
      <c r="L42" s="358"/>
      <c r="M42" s="364"/>
      <c r="N42" s="376"/>
      <c r="O42" s="106">
        <v>4</v>
      </c>
      <c r="P42" s="159"/>
      <c r="Q42" s="107" t="str">
        <f t="shared" ref="Q42:Q44" si="33">IF(OR(R42="Preventivo",R42="Detectivo"),"Probabilidad",IF(R42="Correctivo","Impacto",""))</f>
        <v/>
      </c>
      <c r="R42" s="108"/>
      <c r="S42" s="108"/>
      <c r="T42" s="109" t="str">
        <f t="shared" si="30"/>
        <v/>
      </c>
      <c r="U42" s="108"/>
      <c r="V42" s="108"/>
      <c r="W42" s="108"/>
      <c r="X42" s="110" t="str">
        <f t="shared" ref="X42:X44" si="34">IFERROR(IF(AND(Q41="Probabilidad",Q42="Probabilidad"),(Z41-(+Z41*T42)),IF(AND(Q41="Impacto",Q42="Probabilidad"),(Z40-(+Z40*T42)),IF(Q42="Impacto",Z41,""))),"")</f>
        <v/>
      </c>
      <c r="Y42" s="111" t="str">
        <f t="shared" si="1"/>
        <v/>
      </c>
      <c r="Z42" s="112" t="str">
        <f t="shared" si="31"/>
        <v/>
      </c>
      <c r="AA42" s="111" t="str">
        <f t="shared" si="3"/>
        <v/>
      </c>
      <c r="AB42" s="112" t="str">
        <f t="shared" ref="AB42:AB44" si="35">IFERROR(IF(AND(Q41="Impacto",Q42="Impacto"),(AB41-(+AB41*T42)),IF(AND(Q41="Probabilidad",Q42="Impacto"),(AB40-(+AB40*T42)),IF(Q42="Probabilidad",AB41,""))),"")</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49"/>
      <c r="B43" s="370"/>
      <c r="C43" s="370"/>
      <c r="D43" s="370"/>
      <c r="E43" s="373"/>
      <c r="F43" s="370"/>
      <c r="G43" s="367"/>
      <c r="H43" s="358"/>
      <c r="I43" s="364"/>
      <c r="J43" s="361"/>
      <c r="K43" s="364">
        <f>IF(NOT(ISERROR(MATCH(J43,_xlfn.ANCHORARRAY(E54),0))),I56&amp;"Por favor no seleccionar los criterios de impacto",J43)</f>
        <v>0</v>
      </c>
      <c r="L43" s="358"/>
      <c r="M43" s="364"/>
      <c r="N43" s="376"/>
      <c r="O43" s="106">
        <v>5</v>
      </c>
      <c r="P43" s="159"/>
      <c r="Q43" s="107" t="str">
        <f t="shared" si="33"/>
        <v/>
      </c>
      <c r="R43" s="108"/>
      <c r="S43" s="108"/>
      <c r="T43" s="109" t="str">
        <f t="shared" si="30"/>
        <v/>
      </c>
      <c r="U43" s="108"/>
      <c r="V43" s="108"/>
      <c r="W43" s="108"/>
      <c r="X43" s="110" t="str">
        <f t="shared" si="34"/>
        <v/>
      </c>
      <c r="Y43" s="111" t="str">
        <f t="shared" si="1"/>
        <v/>
      </c>
      <c r="Z43" s="112" t="str">
        <f t="shared" si="31"/>
        <v/>
      </c>
      <c r="AA43" s="111" t="str">
        <f t="shared" si="3"/>
        <v/>
      </c>
      <c r="AB43" s="112" t="str">
        <f t="shared" si="35"/>
        <v/>
      </c>
      <c r="AC43" s="113" t="str">
        <f t="shared" ref="AC43:AC44" si="3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50"/>
      <c r="B44" s="371"/>
      <c r="C44" s="371"/>
      <c r="D44" s="371"/>
      <c r="E44" s="374"/>
      <c r="F44" s="371"/>
      <c r="G44" s="368"/>
      <c r="H44" s="359"/>
      <c r="I44" s="365"/>
      <c r="J44" s="362"/>
      <c r="K44" s="365">
        <f>IF(NOT(ISERROR(MATCH(J44,_xlfn.ANCHORARRAY(E55),0))),I57&amp;"Por favor no seleccionar los criterios de impacto",J44)</f>
        <v>0</v>
      </c>
      <c r="L44" s="359"/>
      <c r="M44" s="365"/>
      <c r="N44" s="377"/>
      <c r="O44" s="106">
        <v>6</v>
      </c>
      <c r="P44" s="159"/>
      <c r="Q44" s="107" t="str">
        <f t="shared" si="33"/>
        <v/>
      </c>
      <c r="R44" s="108"/>
      <c r="S44" s="108"/>
      <c r="T44" s="109" t="str">
        <f t="shared" si="30"/>
        <v/>
      </c>
      <c r="U44" s="108"/>
      <c r="V44" s="108"/>
      <c r="W44" s="108"/>
      <c r="X44" s="110" t="str">
        <f t="shared" si="34"/>
        <v/>
      </c>
      <c r="Y44" s="111" t="str">
        <f t="shared" si="1"/>
        <v/>
      </c>
      <c r="Z44" s="112" t="str">
        <f t="shared" si="31"/>
        <v/>
      </c>
      <c r="AA44" s="111" t="str">
        <f t="shared" si="3"/>
        <v/>
      </c>
      <c r="AB44" s="112" t="str">
        <f t="shared" si="35"/>
        <v/>
      </c>
      <c r="AC44" s="113" t="str">
        <f t="shared" si="36"/>
        <v/>
      </c>
      <c r="AD44" s="114"/>
      <c r="AE44" s="115"/>
      <c r="AF44" s="116"/>
      <c r="AG44" s="116"/>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48">
        <v>6</v>
      </c>
      <c r="B45" s="369"/>
      <c r="C45" s="369"/>
      <c r="D45" s="369"/>
      <c r="E45" s="372"/>
      <c r="F45" s="369"/>
      <c r="G45" s="366"/>
      <c r="H45" s="357" t="str">
        <f>IF(G45&lt;=0,"",IF(G45&lt;=2,"Muy Baja",IF(G45&lt;=24,"Baja",IF(G45&lt;=500,"Media",IF(G45&lt;=5000,"Alta","Muy Alta")))))</f>
        <v/>
      </c>
      <c r="I45" s="363" t="str">
        <f>IF(H45="","",IF(H45="Muy Baja",0.2,IF(H45="Baja",0.4,IF(H45="Media",0.6,IF(H45="Alta",0.8,IF(H45="Muy Alta",1,))))))</f>
        <v/>
      </c>
      <c r="J45" s="360"/>
      <c r="K45" s="363">
        <f>IF(NOT(ISERROR(MATCH(J45,'Tabla Impacto'!$B$221:$B$223,0))),'Tabla Impacto'!$F$223&amp;"Por favor no seleccionar los criterios de impacto(Afectación Económica o presupuestal y Pérdida Reputacional)",J45)</f>
        <v>0</v>
      </c>
      <c r="L45" s="357" t="str">
        <f>IF(OR(K45='Tabla Impacto'!$C$11,K45='Tabla Impacto'!$D$11),"Leve",IF(OR(K45='Tabla Impacto'!$C$12,K45='Tabla Impacto'!$D$12),"Menor",IF(OR(K45='Tabla Impacto'!$C$13,K45='Tabla Impacto'!$D$13),"Moderado",IF(OR(K45='Tabla Impacto'!$C$14,K45='Tabla Impacto'!$D$14),"Mayor",IF(OR(K45='Tabla Impacto'!$C$15,K45='Tabla Impacto'!$D$15),"Catastrófico","")))))</f>
        <v/>
      </c>
      <c r="M45" s="363" t="str">
        <f>IF(L45="","",IF(L45="Leve",0.2,IF(L45="Menor",0.4,IF(L45="Moderado",0.6,IF(L45="Mayor",0.8,IF(L45="Catastrófico",1,))))))</f>
        <v/>
      </c>
      <c r="N45" s="375"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v>1</v>
      </c>
      <c r="P45" s="159"/>
      <c r="Q45" s="107"/>
      <c r="R45" s="108"/>
      <c r="S45" s="108"/>
      <c r="T45" s="109"/>
      <c r="U45" s="108"/>
      <c r="V45" s="108"/>
      <c r="W45" s="108"/>
      <c r="X45" s="110" t="str">
        <f>IFERROR(IF(Q45="Probabilidad",(I45-(+I45*T45)),IF(Q45="Impacto",I45,"")),"")</f>
        <v/>
      </c>
      <c r="Y45" s="111" t="str">
        <f>IFERROR(IF(X45="","",IF(X45&lt;=0.2,"Muy Baja",IF(X45&lt;=0.4,"Baja",IF(X45&lt;=0.6,"Media",IF(X45&lt;=0.8,"Alta","Muy Alta"))))),"")</f>
        <v/>
      </c>
      <c r="Z45" s="112" t="str">
        <f>+X45</f>
        <v/>
      </c>
      <c r="AA45" s="111" t="str">
        <f>IFERROR(IF(AB45="","",IF(AB45&lt;=0.2,"Leve",IF(AB45&lt;=0.4,"Menor",IF(AB45&lt;=0.6,"Moderado",IF(AB45&lt;=0.8,"Mayor","Catastrófico"))))),"")</f>
        <v/>
      </c>
      <c r="AB45" s="112" t="str">
        <f>IFERROR(IF(Q45="Impacto",(M45-(+M45*T45)),IF(Q45="Probabilidad",M45,"")),"")</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56"/>
      <c r="AF45" s="115"/>
      <c r="AG45" s="115"/>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49"/>
      <c r="B46" s="370"/>
      <c r="C46" s="370"/>
      <c r="D46" s="370"/>
      <c r="E46" s="373"/>
      <c r="F46" s="370"/>
      <c r="G46" s="367"/>
      <c r="H46" s="358"/>
      <c r="I46" s="364"/>
      <c r="J46" s="361"/>
      <c r="K46" s="364">
        <f>IF(NOT(ISERROR(MATCH(J46,_xlfn.ANCHORARRAY(E57),0))),I59&amp;"Por favor no seleccionar los criterios de impacto",J46)</f>
        <v>0</v>
      </c>
      <c r="L46" s="358"/>
      <c r="M46" s="364"/>
      <c r="N46" s="376"/>
      <c r="O46" s="106">
        <v>2</v>
      </c>
      <c r="P46" s="159"/>
      <c r="Q46" s="107" t="str">
        <f>IF(OR(R46="Preventivo",R46="Detectivo"),"Probabilidad",IF(R46="Correctivo","Impacto",""))</f>
        <v/>
      </c>
      <c r="R46" s="108"/>
      <c r="S46" s="108"/>
      <c r="T46" s="109" t="str">
        <f t="shared" ref="T46:T50" si="37">IF(AND(R46="Preventivo",S46="Automático"),"50%",IF(AND(R46="Preventivo",S46="Manual"),"40%",IF(AND(R46="Detectivo",S46="Automático"),"40%",IF(AND(R46="Detectivo",S46="Manual"),"30%",IF(AND(R46="Correctivo",S46="Automático"),"35%",IF(AND(R46="Correctivo",S46="Manual"),"25%",""))))))</f>
        <v/>
      </c>
      <c r="U46" s="108"/>
      <c r="V46" s="108"/>
      <c r="W46" s="108"/>
      <c r="X46" s="110" t="str">
        <f>IFERROR(IF(AND(Q45="Probabilidad",Q46="Probabilidad"),(Z45-(+Z45*T46)),IF(Q46="Probabilidad",(I45-(+I45*T46)),IF(Q46="Impacto",Z45,""))),"")</f>
        <v/>
      </c>
      <c r="Y46" s="111" t="str">
        <f t="shared" si="1"/>
        <v/>
      </c>
      <c r="Z46" s="112" t="str">
        <f t="shared" ref="Z46:Z50" si="38">+X46</f>
        <v/>
      </c>
      <c r="AA46" s="111" t="str">
        <f t="shared" si="3"/>
        <v/>
      </c>
      <c r="AB46" s="112" t="str">
        <f>IFERROR(IF(AND(Q45="Impacto",Q46="Impacto"),(AB45-(+AB45*T46)),IF(Q46="Impacto",(M45-(+M45*T46)),IF(Q46="Probabilidad",AB45,""))),"")</f>
        <v/>
      </c>
      <c r="AC46" s="113" t="str">
        <f t="shared" ref="AC46:AC47" si="39">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49"/>
      <c r="B47" s="370"/>
      <c r="C47" s="370"/>
      <c r="D47" s="370"/>
      <c r="E47" s="373"/>
      <c r="F47" s="370"/>
      <c r="G47" s="367"/>
      <c r="H47" s="358"/>
      <c r="I47" s="364"/>
      <c r="J47" s="361"/>
      <c r="K47" s="364">
        <f>IF(NOT(ISERROR(MATCH(J47,_xlfn.ANCHORARRAY(E58),0))),I60&amp;"Por favor no seleccionar los criterios de impacto",J47)</f>
        <v>0</v>
      </c>
      <c r="L47" s="358"/>
      <c r="M47" s="364"/>
      <c r="N47" s="376"/>
      <c r="O47" s="106">
        <v>3</v>
      </c>
      <c r="P47" s="160"/>
      <c r="Q47" s="107" t="str">
        <f>IF(OR(R47="Preventivo",R47="Detectivo"),"Probabilidad",IF(R47="Correctivo","Impacto",""))</f>
        <v/>
      </c>
      <c r="R47" s="108"/>
      <c r="S47" s="108"/>
      <c r="T47" s="109" t="str">
        <f t="shared" si="37"/>
        <v/>
      </c>
      <c r="U47" s="108"/>
      <c r="V47" s="108"/>
      <c r="W47" s="108"/>
      <c r="X47" s="110" t="str">
        <f>IFERROR(IF(AND(Q46="Probabilidad",Q47="Probabilidad"),(Z46-(+Z46*T47)),IF(AND(Q46="Impacto",Q47="Probabilidad"),(Z45-(+Z45*T47)),IF(Q47="Impacto",Z46,""))),"")</f>
        <v/>
      </c>
      <c r="Y47" s="111" t="str">
        <f t="shared" si="1"/>
        <v/>
      </c>
      <c r="Z47" s="112" t="str">
        <f t="shared" si="38"/>
        <v/>
      </c>
      <c r="AA47" s="111" t="str">
        <f t="shared" si="3"/>
        <v/>
      </c>
      <c r="AB47" s="112" t="str">
        <f>IFERROR(IF(AND(Q46="Impacto",Q47="Impacto"),(AB46-(+AB46*T47)),IF(AND(Q46="Probabilidad",Q47="Impacto"),(AB45-(+AB45*T47)),IF(Q47="Probabilidad",AB46,""))),"")</f>
        <v/>
      </c>
      <c r="AC47" s="113" t="str">
        <f t="shared" si="39"/>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49"/>
      <c r="B48" s="370"/>
      <c r="C48" s="370"/>
      <c r="D48" s="370"/>
      <c r="E48" s="373"/>
      <c r="F48" s="370"/>
      <c r="G48" s="367"/>
      <c r="H48" s="358"/>
      <c r="I48" s="364"/>
      <c r="J48" s="361"/>
      <c r="K48" s="364">
        <f>IF(NOT(ISERROR(MATCH(J48,_xlfn.ANCHORARRAY(E59),0))),I61&amp;"Por favor no seleccionar los criterios de impacto",J48)</f>
        <v>0</v>
      </c>
      <c r="L48" s="358"/>
      <c r="M48" s="364"/>
      <c r="N48" s="376"/>
      <c r="O48" s="106">
        <v>4</v>
      </c>
      <c r="P48" s="159"/>
      <c r="Q48" s="107" t="str">
        <f t="shared" ref="Q48:Q50" si="40">IF(OR(R48="Preventivo",R48="Detectivo"),"Probabilidad",IF(R48="Correctivo","Impacto",""))</f>
        <v/>
      </c>
      <c r="R48" s="108"/>
      <c r="S48" s="108"/>
      <c r="T48" s="109" t="str">
        <f t="shared" si="37"/>
        <v/>
      </c>
      <c r="U48" s="108"/>
      <c r="V48" s="108"/>
      <c r="W48" s="108"/>
      <c r="X48" s="110" t="str">
        <f t="shared" ref="X48:X50" si="41">IFERROR(IF(AND(Q47="Probabilidad",Q48="Probabilidad"),(Z47-(+Z47*T48)),IF(AND(Q47="Impacto",Q48="Probabilidad"),(Z46-(+Z46*T48)),IF(Q48="Impacto",Z47,""))),"")</f>
        <v/>
      </c>
      <c r="Y48" s="111" t="str">
        <f t="shared" si="1"/>
        <v/>
      </c>
      <c r="Z48" s="112" t="str">
        <f t="shared" si="38"/>
        <v/>
      </c>
      <c r="AA48" s="111" t="str">
        <f t="shared" si="3"/>
        <v/>
      </c>
      <c r="AB48" s="112" t="str">
        <f t="shared" ref="AB48:AB50" si="42">IFERROR(IF(AND(Q47="Impacto",Q48="Impacto"),(AB47-(+AB47*T48)),IF(AND(Q47="Probabilidad",Q48="Impacto"),(AB46-(+AB46*T48)),IF(Q48="Probabilidad",AB47,""))),"")</f>
        <v/>
      </c>
      <c r="AC48" s="11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49"/>
      <c r="B49" s="370"/>
      <c r="C49" s="370"/>
      <c r="D49" s="370"/>
      <c r="E49" s="373"/>
      <c r="F49" s="370"/>
      <c r="G49" s="367"/>
      <c r="H49" s="358"/>
      <c r="I49" s="364"/>
      <c r="J49" s="361"/>
      <c r="K49" s="364">
        <f>IF(NOT(ISERROR(MATCH(J49,_xlfn.ANCHORARRAY(E60),0))),I62&amp;"Por favor no seleccionar los criterios de impacto",J49)</f>
        <v>0</v>
      </c>
      <c r="L49" s="358"/>
      <c r="M49" s="364"/>
      <c r="N49" s="376"/>
      <c r="O49" s="106">
        <v>5</v>
      </c>
      <c r="P49" s="159"/>
      <c r="Q49" s="107" t="str">
        <f t="shared" si="40"/>
        <v/>
      </c>
      <c r="R49" s="108"/>
      <c r="S49" s="108"/>
      <c r="T49" s="109" t="str">
        <f t="shared" si="37"/>
        <v/>
      </c>
      <c r="U49" s="108"/>
      <c r="V49" s="108"/>
      <c r="W49" s="108"/>
      <c r="X49" s="110" t="str">
        <f t="shared" si="41"/>
        <v/>
      </c>
      <c r="Y49" s="111" t="str">
        <f t="shared" si="1"/>
        <v/>
      </c>
      <c r="Z49" s="112" t="str">
        <f t="shared" si="38"/>
        <v/>
      </c>
      <c r="AA49" s="111" t="str">
        <f t="shared" si="3"/>
        <v/>
      </c>
      <c r="AB49" s="112" t="str">
        <f t="shared" si="42"/>
        <v/>
      </c>
      <c r="AC49" s="113" t="str">
        <f t="shared" ref="AC49" si="43">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50"/>
      <c r="B50" s="371"/>
      <c r="C50" s="371"/>
      <c r="D50" s="371"/>
      <c r="E50" s="374"/>
      <c r="F50" s="371"/>
      <c r="G50" s="368"/>
      <c r="H50" s="359"/>
      <c r="I50" s="365"/>
      <c r="J50" s="362"/>
      <c r="K50" s="365">
        <f>IF(NOT(ISERROR(MATCH(J50,_xlfn.ANCHORARRAY(E61),0))),I63&amp;"Por favor no seleccionar los criterios de impacto",J50)</f>
        <v>0</v>
      </c>
      <c r="L50" s="359"/>
      <c r="M50" s="365"/>
      <c r="N50" s="377"/>
      <c r="O50" s="106">
        <v>6</v>
      </c>
      <c r="P50" s="159"/>
      <c r="Q50" s="107" t="str">
        <f t="shared" si="40"/>
        <v/>
      </c>
      <c r="R50" s="108"/>
      <c r="S50" s="108"/>
      <c r="T50" s="109" t="str">
        <f t="shared" si="37"/>
        <v/>
      </c>
      <c r="U50" s="108"/>
      <c r="V50" s="108"/>
      <c r="W50" s="108"/>
      <c r="X50" s="110" t="str">
        <f t="shared" si="41"/>
        <v/>
      </c>
      <c r="Y50" s="111" t="str">
        <f t="shared" si="1"/>
        <v/>
      </c>
      <c r="Z50" s="112" t="str">
        <f t="shared" si="38"/>
        <v/>
      </c>
      <c r="AA50" s="111" t="str">
        <f>IFERROR(IF(AB50="","",IF(AB50&lt;=0.2,"Leve",IF(AB50&lt;=0.4,"Menor",IF(AB50&lt;=0.6,"Moderado",IF(AB50&lt;=0.8,"Mayor","Catastrófico"))))),"")</f>
        <v/>
      </c>
      <c r="AB50" s="112" t="str">
        <f t="shared" si="42"/>
        <v/>
      </c>
      <c r="AC50" s="113"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6"/>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48">
        <v>7</v>
      </c>
      <c r="B51" s="369"/>
      <c r="C51" s="369"/>
      <c r="D51" s="369"/>
      <c r="E51" s="372"/>
      <c r="F51" s="369"/>
      <c r="G51" s="366"/>
      <c r="H51" s="357" t="str">
        <f>IF(G51&lt;=0,"",IF(G51&lt;=2,"Muy Baja",IF(G51&lt;=24,"Baja",IF(G51&lt;=500,"Media",IF(G51&lt;=5000,"Alta","Muy Alta")))))</f>
        <v/>
      </c>
      <c r="I51" s="363" t="str">
        <f>IF(H51="","",IF(H51="Muy Baja",0.2,IF(H51="Baja",0.4,IF(H51="Media",0.6,IF(H51="Alta",0.8,IF(H51="Muy Alta",1,))))))</f>
        <v/>
      </c>
      <c r="J51" s="360"/>
      <c r="K51" s="363">
        <f>IF(NOT(ISERROR(MATCH(J51,'Tabla Impacto'!$B$221:$B$223,0))),'Tabla Impacto'!$F$223&amp;"Por favor no seleccionar los criterios de impacto(Afectación Económica o presupuestal y Pérdida Reputacional)",J51)</f>
        <v>0</v>
      </c>
      <c r="L51" s="357" t="str">
        <f>IF(OR(K51='Tabla Impacto'!$C$11,K51='Tabla Impacto'!$D$11),"Leve",IF(OR(K51='Tabla Impacto'!$C$12,K51='Tabla Impacto'!$D$12),"Menor",IF(OR(K51='Tabla Impacto'!$C$13,K51='Tabla Impacto'!$D$13),"Moderado",IF(OR(K51='Tabla Impacto'!$C$14,K51='Tabla Impacto'!$D$14),"Mayor",IF(OR(K51='Tabla Impacto'!$C$15,K51='Tabla Impacto'!$D$15),"Catastrófico","")))))</f>
        <v/>
      </c>
      <c r="M51" s="363" t="str">
        <f>IF(L51="","",IF(L51="Leve",0.2,IF(L51="Menor",0.4,IF(L51="Moderado",0.6,IF(L51="Mayor",0.8,IF(L51="Catastrófico",1,))))))</f>
        <v/>
      </c>
      <c r="N51" s="375"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06">
        <v>1</v>
      </c>
      <c r="P51" s="159"/>
      <c r="Q51" s="147" t="str">
        <f>IF(OR(R51="Preventivo",R51="Detectivo"),"Probabilidad",IF(R51="Correctivo","Impacto",""))</f>
        <v/>
      </c>
      <c r="R51" s="150"/>
      <c r="S51" s="150"/>
      <c r="T51" s="151" t="str">
        <f>IF(AND(R51="Preventivo",S51="Automático"),"50%",IF(AND(R51="Preventivo",S51="Manual"),"40%",IF(AND(R51="Detectivo",S51="Automático"),"40%",IF(AND(R51="Detectivo",S51="Manual"),"30%",IF(AND(R51="Correctivo",S51="Automático"),"35%",IF(AND(R51="Correctivo",S51="Manual"),"25%",""))))))</f>
        <v/>
      </c>
      <c r="U51" s="150"/>
      <c r="V51" s="150"/>
      <c r="W51" s="150"/>
      <c r="X51" s="146" t="str">
        <f>IFERROR(IF(Q51="Probabilidad",(I51-(+I51*T51)),IF(Q51="Impacto",I51,"")),"")</f>
        <v/>
      </c>
      <c r="Y51" s="152" t="str">
        <f>IFERROR(IF(X51="","",IF(X51&lt;=0.2,"Muy Baja",IF(X51&lt;=0.4,"Baja",IF(X51&lt;=0.6,"Media",IF(X51&lt;=0.8,"Alta","Muy Alta"))))),"")</f>
        <v/>
      </c>
      <c r="Z51" s="153" t="str">
        <f>+X51</f>
        <v/>
      </c>
      <c r="AA51" s="152" t="str">
        <f>IFERROR(IF(AB51="","",IF(AB51&lt;=0.2,"Leve",IF(AB51&lt;=0.4,"Menor",IF(AB51&lt;=0.6,"Moderado",IF(AB51&lt;=0.8,"Mayor","Catastrófico"))))),"")</f>
        <v/>
      </c>
      <c r="AB51" s="153" t="str">
        <f>IFERROR(IF(Q51="Impacto",(M51-(+M51*T51)),IF(Q51="Probabilidad",M51,"")),"")</f>
        <v/>
      </c>
      <c r="AC51" s="154"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5"/>
      <c r="AE51" s="115"/>
      <c r="AF51" s="115"/>
      <c r="AG51" s="115"/>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49"/>
      <c r="B52" s="370"/>
      <c r="C52" s="370"/>
      <c r="D52" s="370"/>
      <c r="E52" s="373"/>
      <c r="F52" s="370"/>
      <c r="G52" s="367"/>
      <c r="H52" s="358"/>
      <c r="I52" s="364"/>
      <c r="J52" s="361"/>
      <c r="K52" s="364">
        <f>IF(NOT(ISERROR(MATCH(J52,_xlfn.ANCHORARRAY(E63),0))),I65&amp;"Por favor no seleccionar los criterios de impacto",J52)</f>
        <v>0</v>
      </c>
      <c r="L52" s="358"/>
      <c r="M52" s="364"/>
      <c r="N52" s="376"/>
      <c r="O52" s="106">
        <v>2</v>
      </c>
      <c r="P52" s="159"/>
      <c r="Q52" s="147" t="str">
        <f>IF(OR(R52="Preventivo",R52="Detectivo"),"Probabilidad",IF(R52="Correctivo","Impacto",""))</f>
        <v/>
      </c>
      <c r="R52" s="150"/>
      <c r="S52" s="150"/>
      <c r="T52" s="151" t="str">
        <f t="shared" ref="T52:T56" si="44">IF(AND(R52="Preventivo",S52="Automático"),"50%",IF(AND(R52="Preventivo",S52="Manual"),"40%",IF(AND(R52="Detectivo",S52="Automático"),"40%",IF(AND(R52="Detectivo",S52="Manual"),"30%",IF(AND(R52="Correctivo",S52="Automático"),"35%",IF(AND(R52="Correctivo",S52="Manual"),"25%",""))))))</f>
        <v/>
      </c>
      <c r="U52" s="150"/>
      <c r="V52" s="150"/>
      <c r="W52" s="150"/>
      <c r="X52" s="146" t="str">
        <f>IFERROR(IF(AND(Q51="Probabilidad",Q52="Probabilidad"),(Z51-(+Z51*T52)),IF(Q52="Probabilidad",(I51-(+I51*T52)),IF(Q52="Impacto",Z51,""))),"")</f>
        <v/>
      </c>
      <c r="Y52" s="152" t="str">
        <f t="shared" si="1"/>
        <v/>
      </c>
      <c r="Z52" s="153" t="str">
        <f t="shared" ref="Z52:Z56" si="45">+X52</f>
        <v/>
      </c>
      <c r="AA52" s="152" t="str">
        <f t="shared" si="3"/>
        <v/>
      </c>
      <c r="AB52" s="153" t="str">
        <f>IFERROR(IF(AND(Q51="Impacto",Q52="Impacto"),(AB51-(+AB51*T52)),IF(Q52="Impacto",(M51-(+M51*T52)),IF(Q52="Probabilidad",AB51,""))),"")</f>
        <v/>
      </c>
      <c r="AC52" s="154" t="str">
        <f t="shared" ref="AC52:AC53" si="46">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55"/>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49"/>
      <c r="B53" s="370"/>
      <c r="C53" s="370"/>
      <c r="D53" s="370"/>
      <c r="E53" s="373"/>
      <c r="F53" s="370"/>
      <c r="G53" s="367"/>
      <c r="H53" s="358"/>
      <c r="I53" s="364"/>
      <c r="J53" s="361"/>
      <c r="K53" s="364">
        <f>IF(NOT(ISERROR(MATCH(J53,_xlfn.ANCHORARRAY(E64),0))),I66&amp;"Por favor no seleccionar los criterios de impacto",J53)</f>
        <v>0</v>
      </c>
      <c r="L53" s="358"/>
      <c r="M53" s="364"/>
      <c r="N53" s="376"/>
      <c r="O53" s="106">
        <v>3</v>
      </c>
      <c r="P53" s="160"/>
      <c r="Q53" s="107" t="str">
        <f>IF(OR(R53="Preventivo",R53="Detectivo"),"Probabilidad",IF(R53="Correctivo","Impacto",""))</f>
        <v/>
      </c>
      <c r="R53" s="108"/>
      <c r="S53" s="108"/>
      <c r="T53" s="109" t="str">
        <f t="shared" si="44"/>
        <v/>
      </c>
      <c r="U53" s="108"/>
      <c r="V53" s="108"/>
      <c r="W53" s="108"/>
      <c r="X53" s="110" t="str">
        <f>IFERROR(IF(AND(Q52="Probabilidad",Q53="Probabilidad"),(Z52-(+Z52*T53)),IF(AND(Q52="Impacto",Q53="Probabilidad"),(Z51-(+Z51*T53)),IF(Q53="Impacto",Z52,""))),"")</f>
        <v/>
      </c>
      <c r="Y53" s="111" t="str">
        <f t="shared" si="1"/>
        <v/>
      </c>
      <c r="Z53" s="112" t="str">
        <f t="shared" si="45"/>
        <v/>
      </c>
      <c r="AA53" s="111" t="str">
        <f t="shared" si="3"/>
        <v/>
      </c>
      <c r="AB53" s="112" t="str">
        <f>IFERROR(IF(AND(Q52="Impacto",Q53="Impacto"),(AB52-(+AB52*T53)),IF(AND(Q52="Probabilidad",Q53="Impacto"),(AB51-(+AB51*T53)),IF(Q53="Probabilidad",AB52,""))),"")</f>
        <v/>
      </c>
      <c r="AC53" s="113" t="str">
        <f t="shared" si="46"/>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49"/>
      <c r="B54" s="370"/>
      <c r="C54" s="370"/>
      <c r="D54" s="370"/>
      <c r="E54" s="373"/>
      <c r="F54" s="370"/>
      <c r="G54" s="367"/>
      <c r="H54" s="358"/>
      <c r="I54" s="364"/>
      <c r="J54" s="361"/>
      <c r="K54" s="364">
        <f>IF(NOT(ISERROR(MATCH(J54,_xlfn.ANCHORARRAY(E65),0))),I67&amp;"Por favor no seleccionar los criterios de impacto",J54)</f>
        <v>0</v>
      </c>
      <c r="L54" s="358"/>
      <c r="M54" s="364"/>
      <c r="N54" s="376"/>
      <c r="O54" s="106">
        <v>4</v>
      </c>
      <c r="P54" s="159"/>
      <c r="Q54" s="107" t="str">
        <f t="shared" ref="Q54:Q56" si="47">IF(OR(R54="Preventivo",R54="Detectivo"),"Probabilidad",IF(R54="Correctivo","Impacto",""))</f>
        <v/>
      </c>
      <c r="R54" s="108"/>
      <c r="S54" s="108"/>
      <c r="T54" s="109" t="str">
        <f t="shared" si="44"/>
        <v/>
      </c>
      <c r="U54" s="108"/>
      <c r="V54" s="108"/>
      <c r="W54" s="108"/>
      <c r="X54" s="110" t="str">
        <f t="shared" ref="X54:X56" si="48">IFERROR(IF(AND(Q53="Probabilidad",Q54="Probabilidad"),(Z53-(+Z53*T54)),IF(AND(Q53="Impacto",Q54="Probabilidad"),(Z52-(+Z52*T54)),IF(Q54="Impacto",Z53,""))),"")</f>
        <v/>
      </c>
      <c r="Y54" s="111" t="str">
        <f t="shared" si="1"/>
        <v/>
      </c>
      <c r="Z54" s="112" t="str">
        <f t="shared" si="45"/>
        <v/>
      </c>
      <c r="AA54" s="111" t="str">
        <f t="shared" si="3"/>
        <v/>
      </c>
      <c r="AB54" s="112" t="str">
        <f t="shared" ref="AB54:AB56" si="49">IFERROR(IF(AND(Q53="Impacto",Q54="Impacto"),(AB53-(+AB53*T54)),IF(AND(Q53="Probabilidad",Q54="Impacto"),(AB52-(+AB52*T54)),IF(Q54="Probabilidad",AB53,""))),"")</f>
        <v/>
      </c>
      <c r="AC54" s="11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49"/>
      <c r="B55" s="370"/>
      <c r="C55" s="370"/>
      <c r="D55" s="370"/>
      <c r="E55" s="373"/>
      <c r="F55" s="370"/>
      <c r="G55" s="367"/>
      <c r="H55" s="358"/>
      <c r="I55" s="364"/>
      <c r="J55" s="361"/>
      <c r="K55" s="364">
        <f>IF(NOT(ISERROR(MATCH(J55,_xlfn.ANCHORARRAY(E66),0))),I68&amp;"Por favor no seleccionar los criterios de impacto",J55)</f>
        <v>0</v>
      </c>
      <c r="L55" s="358"/>
      <c r="M55" s="364"/>
      <c r="N55" s="376"/>
      <c r="O55" s="106">
        <v>5</v>
      </c>
      <c r="P55" s="159"/>
      <c r="Q55" s="107" t="str">
        <f t="shared" si="47"/>
        <v/>
      </c>
      <c r="R55" s="108"/>
      <c r="S55" s="108"/>
      <c r="T55" s="109" t="str">
        <f t="shared" si="44"/>
        <v/>
      </c>
      <c r="U55" s="108"/>
      <c r="V55" s="108"/>
      <c r="W55" s="108"/>
      <c r="X55" s="110" t="str">
        <f t="shared" si="48"/>
        <v/>
      </c>
      <c r="Y55" s="111" t="str">
        <f t="shared" si="1"/>
        <v/>
      </c>
      <c r="Z55" s="112" t="str">
        <f t="shared" si="45"/>
        <v/>
      </c>
      <c r="AA55" s="111" t="str">
        <f t="shared" si="3"/>
        <v/>
      </c>
      <c r="AB55" s="112" t="str">
        <f t="shared" si="49"/>
        <v/>
      </c>
      <c r="AC55" s="113" t="str">
        <f t="shared" ref="AC55:AC56" si="5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50"/>
      <c r="B56" s="371"/>
      <c r="C56" s="371"/>
      <c r="D56" s="371"/>
      <c r="E56" s="374"/>
      <c r="F56" s="371"/>
      <c r="G56" s="368"/>
      <c r="H56" s="359"/>
      <c r="I56" s="365"/>
      <c r="J56" s="362"/>
      <c r="K56" s="365">
        <f>IF(NOT(ISERROR(MATCH(J56,_xlfn.ANCHORARRAY(E67),0))),I69&amp;"Por favor no seleccionar los criterios de impacto",J56)</f>
        <v>0</v>
      </c>
      <c r="L56" s="359"/>
      <c r="M56" s="365"/>
      <c r="N56" s="377"/>
      <c r="O56" s="106">
        <v>6</v>
      </c>
      <c r="P56" s="159"/>
      <c r="Q56" s="107" t="str">
        <f t="shared" si="47"/>
        <v/>
      </c>
      <c r="R56" s="108"/>
      <c r="S56" s="108"/>
      <c r="T56" s="109" t="str">
        <f t="shared" si="44"/>
        <v/>
      </c>
      <c r="U56" s="108"/>
      <c r="V56" s="108"/>
      <c r="W56" s="108"/>
      <c r="X56" s="110" t="str">
        <f t="shared" si="48"/>
        <v/>
      </c>
      <c r="Y56" s="111" t="str">
        <f t="shared" si="1"/>
        <v/>
      </c>
      <c r="Z56" s="112" t="str">
        <f t="shared" si="45"/>
        <v/>
      </c>
      <c r="AA56" s="111" t="str">
        <f t="shared" si="3"/>
        <v/>
      </c>
      <c r="AB56" s="112" t="str">
        <f t="shared" si="49"/>
        <v/>
      </c>
      <c r="AC56" s="113" t="str">
        <f t="shared" si="50"/>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48">
        <v>8</v>
      </c>
      <c r="B57" s="369"/>
      <c r="C57" s="369"/>
      <c r="D57" s="369"/>
      <c r="E57" s="372"/>
      <c r="F57" s="369"/>
      <c r="G57" s="366"/>
      <c r="H57" s="357" t="str">
        <f>IF(G57&lt;=0,"",IF(G57&lt;=2,"Muy Baja",IF(G57&lt;=24,"Baja",IF(G57&lt;=500,"Media",IF(G57&lt;=5000,"Alta","Muy Alta")))))</f>
        <v/>
      </c>
      <c r="I57" s="363" t="str">
        <f>IF(H57="","",IF(H57="Muy Baja",0.2,IF(H57="Baja",0.4,IF(H57="Media",0.6,IF(H57="Alta",0.8,IF(H57="Muy Alta",1,))))))</f>
        <v/>
      </c>
      <c r="J57" s="360"/>
      <c r="K57" s="363">
        <f>IF(NOT(ISERROR(MATCH(J57,'Tabla Impacto'!$B$221:$B$223,0))),'Tabla Impacto'!$F$223&amp;"Por favor no seleccionar los criterios de impacto(Afectación Económica o presupuestal y Pérdida Reputacional)",J57)</f>
        <v>0</v>
      </c>
      <c r="L57" s="357" t="str">
        <f>IF(OR(K57='Tabla Impacto'!$C$11,K57='Tabla Impacto'!$D$11),"Leve",IF(OR(K57='Tabla Impacto'!$C$12,K57='Tabla Impacto'!$D$12),"Menor",IF(OR(K57='Tabla Impacto'!$C$13,K57='Tabla Impacto'!$D$13),"Moderado",IF(OR(K57='Tabla Impacto'!$C$14,K57='Tabla Impacto'!$D$14),"Mayor",IF(OR(K57='Tabla Impacto'!$C$15,K57='Tabla Impacto'!$D$15),"Catastrófico","")))))</f>
        <v/>
      </c>
      <c r="M57" s="363" t="str">
        <f>IF(L57="","",IF(L57="Leve",0.2,IF(L57="Menor",0.4,IF(L57="Moderado",0.6,IF(L57="Mayor",0.8,IF(L57="Catastrófico",1,))))))</f>
        <v/>
      </c>
      <c r="N57" s="375"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106">
        <v>1</v>
      </c>
      <c r="P57" s="159"/>
      <c r="Q57" s="147"/>
      <c r="R57" s="150"/>
      <c r="S57" s="150"/>
      <c r="T57" s="151" t="str">
        <f>IF(AND(R57="Preventivo",S57="Automático"),"50%",IF(AND(R57="Preventivo",S57="Manual"),"40%",IF(AND(R57="Detectivo",S57="Automático"),"40%",IF(AND(R57="Detectivo",S57="Manual"),"30%",IF(AND(R57="Correctivo",S57="Automático"),"35%",IF(AND(R57="Correctivo",S57="Manual"),"25%",""))))))</f>
        <v/>
      </c>
      <c r="U57" s="150"/>
      <c r="V57" s="150"/>
      <c r="W57" s="150"/>
      <c r="X57" s="146" t="str">
        <f>IFERROR(IF(Q57="Probabilidad",(I57-(+I57*T57)),IF(Q57="Impacto",I57,"")),"")</f>
        <v/>
      </c>
      <c r="Y57" s="152" t="str">
        <f>IFERROR(IF(X57="","",IF(X57&lt;=0.2,"Muy Baja",IF(X57&lt;=0.4,"Baja",IF(X57&lt;=0.6,"Media",IF(X57&lt;=0.8,"Alta","Muy Alta"))))),"")</f>
        <v/>
      </c>
      <c r="Z57" s="153" t="str">
        <f>+X57</f>
        <v/>
      </c>
      <c r="AA57" s="152" t="str">
        <f>IFERROR(IF(AB57="","",IF(AB57&lt;=0.2,"Leve",IF(AB57&lt;=0.4,"Menor",IF(AB57&lt;=0.6,"Moderado",IF(AB57&lt;=0.8,"Mayor","Catastrófico"))))),"")</f>
        <v/>
      </c>
      <c r="AB57" s="153" t="str">
        <f>IFERROR(IF(Q57="Impacto",(M57-(+M57*T57)),IF(Q57="Probabilidad",M57,"")),"")</f>
        <v/>
      </c>
      <c r="AC57" s="154"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55"/>
      <c r="AE57" s="115"/>
      <c r="AF57" s="115"/>
      <c r="AG57" s="115"/>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49"/>
      <c r="B58" s="370"/>
      <c r="C58" s="370"/>
      <c r="D58" s="370"/>
      <c r="E58" s="373"/>
      <c r="F58" s="370"/>
      <c r="G58" s="367"/>
      <c r="H58" s="358"/>
      <c r="I58" s="364"/>
      <c r="J58" s="361"/>
      <c r="K58" s="364">
        <f>IF(NOT(ISERROR(MATCH(J58,_xlfn.ANCHORARRAY(E69),0))),I71&amp;"Por favor no seleccionar los criterios de impacto",J58)</f>
        <v>0</v>
      </c>
      <c r="L58" s="358"/>
      <c r="M58" s="364"/>
      <c r="N58" s="376"/>
      <c r="O58" s="106">
        <v>2</v>
      </c>
      <c r="P58" s="159"/>
      <c r="Q58" s="107" t="str">
        <f>IF(OR(R58="Preventivo",R58="Detectivo"),"Probabilidad",IF(R58="Correctivo","Impacto",""))</f>
        <v/>
      </c>
      <c r="R58" s="108"/>
      <c r="S58" s="108"/>
      <c r="T58" s="109" t="str">
        <f t="shared" ref="T58:T62" si="51">IF(AND(R58="Preventivo",S58="Automático"),"50%",IF(AND(R58="Preventivo",S58="Manual"),"40%",IF(AND(R58="Detectivo",S58="Automático"),"40%",IF(AND(R58="Detectivo",S58="Manual"),"30%",IF(AND(R58="Correctivo",S58="Automático"),"35%",IF(AND(R58="Correctivo",S58="Manual"),"25%",""))))))</f>
        <v/>
      </c>
      <c r="U58" s="108"/>
      <c r="V58" s="108"/>
      <c r="W58" s="108"/>
      <c r="X58" s="110" t="str">
        <f>IFERROR(IF(AND(Q57="Probabilidad",Q58="Probabilidad"),(Z57-(+Z57*T58)),IF(Q58="Probabilidad",(I57-(+I57*T58)),IF(Q58="Impacto",Z57,""))),"")</f>
        <v/>
      </c>
      <c r="Y58" s="111" t="str">
        <f t="shared" si="1"/>
        <v/>
      </c>
      <c r="Z58" s="112" t="str">
        <f t="shared" ref="Z58:Z62" si="52">+X58</f>
        <v/>
      </c>
      <c r="AA58" s="111" t="str">
        <f t="shared" si="3"/>
        <v/>
      </c>
      <c r="AB58" s="112" t="str">
        <f>IFERROR(IF(AND(Q57="Impacto",Q58="Impacto"),(AB57-(+AB57*T58)),IF(Q58="Impacto",(M57-(+M57*T58)),IF(Q58="Probabilidad",AB57,""))),"")</f>
        <v/>
      </c>
      <c r="AC58" s="113" t="str">
        <f t="shared" ref="AC58:AC59" si="53">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49"/>
      <c r="B59" s="370"/>
      <c r="C59" s="370"/>
      <c r="D59" s="370"/>
      <c r="E59" s="373"/>
      <c r="F59" s="370"/>
      <c r="G59" s="367"/>
      <c r="H59" s="358"/>
      <c r="I59" s="364"/>
      <c r="J59" s="361"/>
      <c r="K59" s="364">
        <f>IF(NOT(ISERROR(MATCH(J59,_xlfn.ANCHORARRAY(E70),0))),I72&amp;"Por favor no seleccionar los criterios de impacto",J59)</f>
        <v>0</v>
      </c>
      <c r="L59" s="358"/>
      <c r="M59" s="364"/>
      <c r="N59" s="376"/>
      <c r="O59" s="106">
        <v>3</v>
      </c>
      <c r="P59" s="160"/>
      <c r="Q59" s="107" t="str">
        <f>IF(OR(R59="Preventivo",R59="Detectivo"),"Probabilidad",IF(R59="Correctivo","Impacto",""))</f>
        <v/>
      </c>
      <c r="R59" s="108"/>
      <c r="S59" s="108"/>
      <c r="T59" s="109" t="str">
        <f t="shared" si="51"/>
        <v/>
      </c>
      <c r="U59" s="108"/>
      <c r="V59" s="108"/>
      <c r="W59" s="108"/>
      <c r="X59" s="110" t="str">
        <f>IFERROR(IF(AND(Q58="Probabilidad",Q59="Probabilidad"),(Z58-(+Z58*T59)),IF(AND(Q58="Impacto",Q59="Probabilidad"),(Z57-(+Z57*T59)),IF(Q59="Impacto",Z58,""))),"")</f>
        <v/>
      </c>
      <c r="Y59" s="111" t="str">
        <f t="shared" si="1"/>
        <v/>
      </c>
      <c r="Z59" s="112" t="str">
        <f t="shared" si="52"/>
        <v/>
      </c>
      <c r="AA59" s="111" t="str">
        <f t="shared" si="3"/>
        <v/>
      </c>
      <c r="AB59" s="112" t="str">
        <f>IFERROR(IF(AND(Q58="Impacto",Q59="Impacto"),(AB58-(+AB58*T59)),IF(AND(Q58="Probabilidad",Q59="Impacto"),(AB57-(+AB57*T59)),IF(Q59="Probabilidad",AB58,""))),"")</f>
        <v/>
      </c>
      <c r="AC59" s="113" t="str">
        <f t="shared" si="53"/>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49"/>
      <c r="B60" s="370"/>
      <c r="C60" s="370"/>
      <c r="D60" s="370"/>
      <c r="E60" s="373"/>
      <c r="F60" s="370"/>
      <c r="G60" s="367"/>
      <c r="H60" s="358"/>
      <c r="I60" s="364"/>
      <c r="J60" s="361"/>
      <c r="K60" s="364">
        <f>IF(NOT(ISERROR(MATCH(J60,_xlfn.ANCHORARRAY(E71),0))),I73&amp;"Por favor no seleccionar los criterios de impacto",J60)</f>
        <v>0</v>
      </c>
      <c r="L60" s="358"/>
      <c r="M60" s="364"/>
      <c r="N60" s="376"/>
      <c r="O60" s="106">
        <v>4</v>
      </c>
      <c r="P60" s="159"/>
      <c r="Q60" s="107" t="str">
        <f t="shared" ref="Q60:Q62" si="54">IF(OR(R60="Preventivo",R60="Detectivo"),"Probabilidad",IF(R60="Correctivo","Impacto",""))</f>
        <v/>
      </c>
      <c r="R60" s="108"/>
      <c r="S60" s="108"/>
      <c r="T60" s="109" t="str">
        <f t="shared" si="51"/>
        <v/>
      </c>
      <c r="U60" s="108"/>
      <c r="V60" s="108"/>
      <c r="W60" s="108"/>
      <c r="X60" s="110" t="str">
        <f t="shared" ref="X60:X62" si="55">IFERROR(IF(AND(Q59="Probabilidad",Q60="Probabilidad"),(Z59-(+Z59*T60)),IF(AND(Q59="Impacto",Q60="Probabilidad"),(Z58-(+Z58*T60)),IF(Q60="Impacto",Z59,""))),"")</f>
        <v/>
      </c>
      <c r="Y60" s="111" t="str">
        <f t="shared" si="1"/>
        <v/>
      </c>
      <c r="Z60" s="112" t="str">
        <f t="shared" si="52"/>
        <v/>
      </c>
      <c r="AA60" s="111" t="str">
        <f t="shared" si="3"/>
        <v/>
      </c>
      <c r="AB60" s="112" t="str">
        <f t="shared" ref="AB60:AB62" si="56">IFERROR(IF(AND(Q59="Impacto",Q60="Impacto"),(AB59-(+AB59*T60)),IF(AND(Q59="Probabilidad",Q60="Impacto"),(AB58-(+AB58*T60)),IF(Q60="Probabilidad",AB59,""))),"")</f>
        <v/>
      </c>
      <c r="AC60" s="11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49"/>
      <c r="B61" s="370"/>
      <c r="C61" s="370"/>
      <c r="D61" s="370"/>
      <c r="E61" s="373"/>
      <c r="F61" s="370"/>
      <c r="G61" s="367"/>
      <c r="H61" s="358"/>
      <c r="I61" s="364"/>
      <c r="J61" s="361"/>
      <c r="K61" s="364">
        <f>IF(NOT(ISERROR(MATCH(J61,_xlfn.ANCHORARRAY(E72),0))),I74&amp;"Por favor no seleccionar los criterios de impacto",J61)</f>
        <v>0</v>
      </c>
      <c r="L61" s="358"/>
      <c r="M61" s="364"/>
      <c r="N61" s="376"/>
      <c r="O61" s="106">
        <v>5</v>
      </c>
      <c r="P61" s="159"/>
      <c r="Q61" s="107" t="str">
        <f t="shared" si="54"/>
        <v/>
      </c>
      <c r="R61" s="108"/>
      <c r="S61" s="108"/>
      <c r="T61" s="109" t="str">
        <f t="shared" si="51"/>
        <v/>
      </c>
      <c r="U61" s="108"/>
      <c r="V61" s="108"/>
      <c r="W61" s="108"/>
      <c r="X61" s="110" t="str">
        <f t="shared" si="55"/>
        <v/>
      </c>
      <c r="Y61" s="111" t="str">
        <f t="shared" si="1"/>
        <v/>
      </c>
      <c r="Z61" s="112" t="str">
        <f t="shared" si="52"/>
        <v/>
      </c>
      <c r="AA61" s="111" t="str">
        <f t="shared" si="3"/>
        <v/>
      </c>
      <c r="AB61" s="112" t="str">
        <f t="shared" si="56"/>
        <v/>
      </c>
      <c r="AC61" s="113" t="str">
        <f t="shared" ref="AC61:AC62" si="5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50"/>
      <c r="B62" s="371"/>
      <c r="C62" s="371"/>
      <c r="D62" s="371"/>
      <c r="E62" s="374"/>
      <c r="F62" s="371"/>
      <c r="G62" s="368"/>
      <c r="H62" s="359"/>
      <c r="I62" s="365"/>
      <c r="J62" s="362"/>
      <c r="K62" s="365">
        <f>IF(NOT(ISERROR(MATCH(J62,_xlfn.ANCHORARRAY(E73),0))),I75&amp;"Por favor no seleccionar los criterios de impacto",J62)</f>
        <v>0</v>
      </c>
      <c r="L62" s="359"/>
      <c r="M62" s="365"/>
      <c r="N62" s="377"/>
      <c r="O62" s="106">
        <v>6</v>
      </c>
      <c r="P62" s="159"/>
      <c r="Q62" s="107" t="str">
        <f t="shared" si="54"/>
        <v/>
      </c>
      <c r="R62" s="108"/>
      <c r="S62" s="108"/>
      <c r="T62" s="109" t="str">
        <f t="shared" si="51"/>
        <v/>
      </c>
      <c r="U62" s="108"/>
      <c r="V62" s="108"/>
      <c r="W62" s="108"/>
      <c r="X62" s="110" t="str">
        <f t="shared" si="55"/>
        <v/>
      </c>
      <c r="Y62" s="111" t="str">
        <f t="shared" si="1"/>
        <v/>
      </c>
      <c r="Z62" s="112" t="str">
        <f t="shared" si="52"/>
        <v/>
      </c>
      <c r="AA62" s="111" t="str">
        <f t="shared" si="3"/>
        <v/>
      </c>
      <c r="AB62" s="112" t="str">
        <f t="shared" si="56"/>
        <v/>
      </c>
      <c r="AC62" s="113" t="str">
        <f t="shared" si="57"/>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48">
        <v>9</v>
      </c>
      <c r="B63" s="369"/>
      <c r="C63" s="369"/>
      <c r="D63" s="369"/>
      <c r="E63" s="372"/>
      <c r="F63" s="369"/>
      <c r="G63" s="366"/>
      <c r="H63" s="357" t="str">
        <f>IF(G63&lt;=0,"",IF(G63&lt;=2,"Muy Baja",IF(G63&lt;=24,"Baja",IF(G63&lt;=500,"Media",IF(G63&lt;=5000,"Alta","Muy Alta")))))</f>
        <v/>
      </c>
      <c r="I63" s="363" t="str">
        <f>IF(H63="","",IF(H63="Muy Baja",0.2,IF(H63="Baja",0.4,IF(H63="Media",0.6,IF(H63="Alta",0.8,IF(H63="Muy Alta",1,))))))</f>
        <v/>
      </c>
      <c r="J63" s="360"/>
      <c r="K63" s="363">
        <f>IF(NOT(ISERROR(MATCH(J63,'Tabla Impacto'!$B$221:$B$223,0))),'Tabla Impacto'!$F$223&amp;"Por favor no seleccionar los criterios de impacto(Afectación Económica o presupuestal y Pérdida Reputacional)",J63)</f>
        <v>0</v>
      </c>
      <c r="L63" s="357" t="str">
        <f>IF(OR(K63='Tabla Impacto'!$C$11,K63='Tabla Impacto'!$D$11),"Leve",IF(OR(K63='Tabla Impacto'!$C$12,K63='Tabla Impacto'!$D$12),"Menor",IF(OR(K63='Tabla Impacto'!$C$13,K63='Tabla Impacto'!$D$13),"Moderado",IF(OR(K63='Tabla Impacto'!$C$14,K63='Tabla Impacto'!$D$14),"Mayor",IF(OR(K63='Tabla Impacto'!$C$15,K63='Tabla Impacto'!$D$15),"Catastrófico","")))))</f>
        <v/>
      </c>
      <c r="M63" s="363" t="str">
        <f>IF(L63="","",IF(L63="Leve",0.2,IF(L63="Menor",0.4,IF(L63="Moderado",0.6,IF(L63="Mayor",0.8,IF(L63="Catastrófico",1,))))))</f>
        <v/>
      </c>
      <c r="N63" s="375"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106">
        <v>1</v>
      </c>
      <c r="P63" s="159"/>
      <c r="Q63" s="147"/>
      <c r="R63" s="150"/>
      <c r="S63" s="150"/>
      <c r="T63" s="151" t="str">
        <f>IF(AND(R63="Preventivo",S63="Automático"),"50%",IF(AND(R63="Preventivo",S63="Manual"),"40%",IF(AND(R63="Detectivo",S63="Automático"),"40%",IF(AND(R63="Detectivo",S63="Manual"),"30%",IF(AND(R63="Correctivo",S63="Automático"),"35%",IF(AND(R63="Correctivo",S63="Manual"),"25%",""))))))</f>
        <v/>
      </c>
      <c r="U63" s="150"/>
      <c r="V63" s="150"/>
      <c r="W63" s="150"/>
      <c r="X63" s="146" t="str">
        <f>IFERROR(IF(Q63="Probabilidad",(I63-(+I63*T63)),IF(Q63="Impacto",I63,"")),"")</f>
        <v/>
      </c>
      <c r="Y63" s="152" t="str">
        <f>IFERROR(IF(X63="","",IF(X63&lt;=0.2,"Muy Baja",IF(X63&lt;=0.4,"Baja",IF(X63&lt;=0.6,"Media",IF(X63&lt;=0.8,"Alta","Muy Alta"))))),"")</f>
        <v/>
      </c>
      <c r="Z63" s="153" t="str">
        <f>+X63</f>
        <v/>
      </c>
      <c r="AA63" s="152" t="str">
        <f>IFERROR(IF(AB63="","",IF(AB63&lt;=0.2,"Leve",IF(AB63&lt;=0.4,"Menor",IF(AB63&lt;=0.6,"Moderado",IF(AB63&lt;=0.8,"Mayor","Catastrófico"))))),"")</f>
        <v/>
      </c>
      <c r="AB63" s="153" t="str">
        <f>IFERROR(IF(Q63="Impacto",(M63-(+M63*T63)),IF(Q63="Probabilidad",M63,"")),"")</f>
        <v/>
      </c>
      <c r="AC63" s="154"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55"/>
      <c r="AE63" s="115"/>
      <c r="AF63" s="115"/>
      <c r="AG63" s="115"/>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49"/>
      <c r="B64" s="370"/>
      <c r="C64" s="370"/>
      <c r="D64" s="370"/>
      <c r="E64" s="373"/>
      <c r="F64" s="370"/>
      <c r="G64" s="367"/>
      <c r="H64" s="358"/>
      <c r="I64" s="364"/>
      <c r="J64" s="361"/>
      <c r="K64" s="364">
        <f>IF(NOT(ISERROR(MATCH(J64,_xlfn.ANCHORARRAY(E75),0))),I77&amp;"Por favor no seleccionar los criterios de impacto",J64)</f>
        <v>0</v>
      </c>
      <c r="L64" s="358"/>
      <c r="M64" s="364"/>
      <c r="N64" s="376"/>
      <c r="O64" s="106">
        <v>2</v>
      </c>
      <c r="P64" s="159"/>
      <c r="Q64" s="107" t="str">
        <f>IF(OR(R64="Preventivo",R64="Detectivo"),"Probabilidad",IF(R64="Correctivo","Impacto",""))</f>
        <v/>
      </c>
      <c r="R64" s="108"/>
      <c r="S64" s="108"/>
      <c r="T64" s="109" t="str">
        <f t="shared" ref="T64:T68" si="58">IF(AND(R64="Preventivo",S64="Automático"),"50%",IF(AND(R64="Preventivo",S64="Manual"),"40%",IF(AND(R64="Detectivo",S64="Automático"),"40%",IF(AND(R64="Detectivo",S64="Manual"),"30%",IF(AND(R64="Correctivo",S64="Automático"),"35%",IF(AND(R64="Correctivo",S64="Manual"),"25%",""))))))</f>
        <v/>
      </c>
      <c r="U64" s="108"/>
      <c r="V64" s="108"/>
      <c r="W64" s="108"/>
      <c r="X64" s="110" t="str">
        <f>IFERROR(IF(AND(Q63="Probabilidad",Q64="Probabilidad"),(Z63-(+Z63*T64)),IF(Q64="Probabilidad",(I63-(+I63*T64)),IF(Q64="Impacto",Z63,""))),"")</f>
        <v/>
      </c>
      <c r="Y64" s="111" t="str">
        <f t="shared" si="1"/>
        <v/>
      </c>
      <c r="Z64" s="112" t="str">
        <f t="shared" ref="Z64:Z68" si="59">+X64</f>
        <v/>
      </c>
      <c r="AA64" s="111" t="str">
        <f t="shared" si="3"/>
        <v/>
      </c>
      <c r="AB64" s="112" t="str">
        <f>IFERROR(IF(AND(Q63="Impacto",Q64="Impacto"),(AB63-(+AB63*T64)),IF(Q64="Impacto",(M63-(+M63*T64)),IF(Q64="Probabilidad",AB63,""))),"")</f>
        <v/>
      </c>
      <c r="AC64" s="113" t="str">
        <f t="shared" ref="AC64:AC65" si="60">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49"/>
      <c r="B65" s="370"/>
      <c r="C65" s="370"/>
      <c r="D65" s="370"/>
      <c r="E65" s="373"/>
      <c r="F65" s="370"/>
      <c r="G65" s="367"/>
      <c r="H65" s="358"/>
      <c r="I65" s="364"/>
      <c r="J65" s="361"/>
      <c r="K65" s="364">
        <f>IF(NOT(ISERROR(MATCH(J65,_xlfn.ANCHORARRAY(E76),0))),I78&amp;"Por favor no seleccionar los criterios de impacto",J65)</f>
        <v>0</v>
      </c>
      <c r="L65" s="358"/>
      <c r="M65" s="364"/>
      <c r="N65" s="376"/>
      <c r="O65" s="106">
        <v>3</v>
      </c>
      <c r="P65" s="160"/>
      <c r="Q65" s="107" t="str">
        <f>IF(OR(R65="Preventivo",R65="Detectivo"),"Probabilidad",IF(R65="Correctivo","Impacto",""))</f>
        <v/>
      </c>
      <c r="R65" s="108"/>
      <c r="S65" s="108"/>
      <c r="T65" s="109" t="str">
        <f t="shared" si="58"/>
        <v/>
      </c>
      <c r="U65" s="108"/>
      <c r="V65" s="108"/>
      <c r="W65" s="108"/>
      <c r="X65" s="110" t="str">
        <f>IFERROR(IF(AND(Q64="Probabilidad",Q65="Probabilidad"),(Z64-(+Z64*T65)),IF(AND(Q64="Impacto",Q65="Probabilidad"),(Z63-(+Z63*T65)),IF(Q65="Impacto",Z64,""))),"")</f>
        <v/>
      </c>
      <c r="Y65" s="111" t="str">
        <f t="shared" si="1"/>
        <v/>
      </c>
      <c r="Z65" s="112" t="str">
        <f t="shared" si="59"/>
        <v/>
      </c>
      <c r="AA65" s="111" t="str">
        <f t="shared" si="3"/>
        <v/>
      </c>
      <c r="AB65" s="112" t="str">
        <f>IFERROR(IF(AND(Q64="Impacto",Q65="Impacto"),(AB64-(+AB64*T65)),IF(AND(Q64="Probabilidad",Q65="Impacto"),(AB63-(+AB63*T65)),IF(Q65="Probabilidad",AB64,""))),"")</f>
        <v/>
      </c>
      <c r="AC65" s="113" t="str">
        <f t="shared" si="60"/>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49"/>
      <c r="B66" s="370"/>
      <c r="C66" s="370"/>
      <c r="D66" s="370"/>
      <c r="E66" s="373"/>
      <c r="F66" s="370"/>
      <c r="G66" s="367"/>
      <c r="H66" s="358"/>
      <c r="I66" s="364"/>
      <c r="J66" s="361"/>
      <c r="K66" s="364">
        <f>IF(NOT(ISERROR(MATCH(J66,_xlfn.ANCHORARRAY(E77),0))),I79&amp;"Por favor no seleccionar los criterios de impacto",J66)</f>
        <v>0</v>
      </c>
      <c r="L66" s="358"/>
      <c r="M66" s="364"/>
      <c r="N66" s="376"/>
      <c r="O66" s="106">
        <v>4</v>
      </c>
      <c r="P66" s="159"/>
      <c r="Q66" s="107" t="str">
        <f t="shared" ref="Q66:Q68" si="61">IF(OR(R66="Preventivo",R66="Detectivo"),"Probabilidad",IF(R66="Correctivo","Impacto",""))</f>
        <v/>
      </c>
      <c r="R66" s="108"/>
      <c r="S66" s="108"/>
      <c r="T66" s="109" t="str">
        <f t="shared" si="58"/>
        <v/>
      </c>
      <c r="U66" s="108"/>
      <c r="V66" s="108"/>
      <c r="W66" s="108"/>
      <c r="X66" s="110" t="str">
        <f t="shared" ref="X66:X67" si="62">IFERROR(IF(AND(Q65="Probabilidad",Q66="Probabilidad"),(Z65-(+Z65*T66)),IF(AND(Q65="Impacto",Q66="Probabilidad"),(Z64-(+Z64*T66)),IF(Q66="Impacto",Z65,""))),"")</f>
        <v/>
      </c>
      <c r="Y66" s="111" t="str">
        <f t="shared" si="1"/>
        <v/>
      </c>
      <c r="Z66" s="112" t="str">
        <f t="shared" si="59"/>
        <v/>
      </c>
      <c r="AA66" s="111" t="str">
        <f t="shared" si="3"/>
        <v/>
      </c>
      <c r="AB66" s="112" t="str">
        <f t="shared" ref="AB66:AB67" si="63">IFERROR(IF(AND(Q65="Impacto",Q66="Impacto"),(AB65-(+AB65*T66)),IF(AND(Q65="Probabilidad",Q66="Impacto"),(AB64-(+AB64*T66)),IF(Q66="Probabilidad",AB65,""))),"")</f>
        <v/>
      </c>
      <c r="AC66" s="11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49"/>
      <c r="B67" s="370"/>
      <c r="C67" s="370"/>
      <c r="D67" s="370"/>
      <c r="E67" s="373"/>
      <c r="F67" s="370"/>
      <c r="G67" s="367"/>
      <c r="H67" s="358"/>
      <c r="I67" s="364"/>
      <c r="J67" s="361"/>
      <c r="K67" s="364">
        <f>IF(NOT(ISERROR(MATCH(J67,_xlfn.ANCHORARRAY(E78),0))),I80&amp;"Por favor no seleccionar los criterios de impacto",J67)</f>
        <v>0</v>
      </c>
      <c r="L67" s="358"/>
      <c r="M67" s="364"/>
      <c r="N67" s="376"/>
      <c r="O67" s="106">
        <v>5</v>
      </c>
      <c r="P67" s="159"/>
      <c r="Q67" s="107" t="str">
        <f t="shared" si="61"/>
        <v/>
      </c>
      <c r="R67" s="108"/>
      <c r="S67" s="108"/>
      <c r="T67" s="109" t="str">
        <f t="shared" si="58"/>
        <v/>
      </c>
      <c r="U67" s="108"/>
      <c r="V67" s="108"/>
      <c r="W67" s="108"/>
      <c r="X67" s="110" t="str">
        <f t="shared" si="62"/>
        <v/>
      </c>
      <c r="Y67" s="111" t="str">
        <f t="shared" si="1"/>
        <v/>
      </c>
      <c r="Z67" s="112" t="str">
        <f t="shared" si="59"/>
        <v/>
      </c>
      <c r="AA67" s="111" t="str">
        <f t="shared" si="3"/>
        <v/>
      </c>
      <c r="AB67" s="112" t="str">
        <f t="shared" si="63"/>
        <v/>
      </c>
      <c r="AC67" s="113" t="str">
        <f t="shared" ref="AC67:AC68" si="6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50"/>
      <c r="B68" s="371"/>
      <c r="C68" s="371"/>
      <c r="D68" s="371"/>
      <c r="E68" s="374"/>
      <c r="F68" s="371"/>
      <c r="G68" s="368"/>
      <c r="H68" s="359"/>
      <c r="I68" s="365"/>
      <c r="J68" s="362"/>
      <c r="K68" s="365">
        <f>IF(NOT(ISERROR(MATCH(J68,_xlfn.ANCHORARRAY(E79),0))),I81&amp;"Por favor no seleccionar los criterios de impacto",J68)</f>
        <v>0</v>
      </c>
      <c r="L68" s="359"/>
      <c r="M68" s="365"/>
      <c r="N68" s="377"/>
      <c r="O68" s="106">
        <v>6</v>
      </c>
      <c r="P68" s="159"/>
      <c r="Q68" s="107" t="str">
        <f t="shared" si="61"/>
        <v/>
      </c>
      <c r="R68" s="108"/>
      <c r="S68" s="108"/>
      <c r="T68" s="109" t="str">
        <f t="shared" si="58"/>
        <v/>
      </c>
      <c r="U68" s="108"/>
      <c r="V68" s="108"/>
      <c r="W68" s="108"/>
      <c r="X68" s="110" t="str">
        <f>IFERROR(IF(AND(Q67="Probabilidad",Q68="Probabilidad"),(Z67-(+Z67*T68)),IF(AND(Q67="Impacto",Q68="Probabilidad"),(Z66-(+Z66*T68)),IF(Q68="Impacto",Z67,""))),"")</f>
        <v/>
      </c>
      <c r="Y68" s="111" t="str">
        <f t="shared" si="1"/>
        <v/>
      </c>
      <c r="Z68" s="112" t="str">
        <f t="shared" si="59"/>
        <v/>
      </c>
      <c r="AA68" s="111" t="str">
        <f t="shared" si="3"/>
        <v/>
      </c>
      <c r="AB68" s="112" t="str">
        <f>IFERROR(IF(AND(Q67="Impacto",Q68="Impacto"),(AB67-(+AB67*T68)),IF(AND(Q67="Probabilidad",Q68="Impacto"),(AB66-(+AB66*T68)),IF(Q68="Probabilidad",AB67,""))),"")</f>
        <v/>
      </c>
      <c r="AC68" s="113" t="str">
        <f t="shared" si="64"/>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48">
        <v>10</v>
      </c>
      <c r="B69" s="369"/>
      <c r="C69" s="369"/>
      <c r="D69" s="369"/>
      <c r="E69" s="372"/>
      <c r="F69" s="369"/>
      <c r="G69" s="366"/>
      <c r="H69" s="357" t="str">
        <f>IF(G69&lt;=0,"",IF(G69&lt;=2,"Muy Baja",IF(G69&lt;=24,"Baja",IF(G69&lt;=500,"Media",IF(G69&lt;=5000,"Alta","Muy Alta")))))</f>
        <v/>
      </c>
      <c r="I69" s="363" t="str">
        <f>IF(H69="","",IF(H69="Muy Baja",0.2,IF(H69="Baja",0.4,IF(H69="Media",0.6,IF(H69="Alta",0.8,IF(H69="Muy Alta",1,))))))</f>
        <v/>
      </c>
      <c r="J69" s="360"/>
      <c r="K69" s="363">
        <f>IF(NOT(ISERROR(MATCH(J69,'Tabla Impacto'!$B$221:$B$223,0))),'Tabla Impacto'!$F$223&amp;"Por favor no seleccionar los criterios de impacto(Afectación Económica o presupuestal y Pérdida Reputacional)",J69)</f>
        <v>0</v>
      </c>
      <c r="L69" s="357" t="str">
        <f>IF(OR(K69='Tabla Impacto'!$C$11,K69='Tabla Impacto'!$D$11),"Leve",IF(OR(K69='Tabla Impacto'!$C$12,K69='Tabla Impacto'!$D$12),"Menor",IF(OR(K69='Tabla Impacto'!$C$13,K69='Tabla Impacto'!$D$13),"Moderado",IF(OR(K69='Tabla Impacto'!$C$14,K69='Tabla Impacto'!$D$14),"Mayor",IF(OR(K69='Tabla Impacto'!$C$15,K69='Tabla Impacto'!$D$15),"Catastrófico","")))))</f>
        <v/>
      </c>
      <c r="M69" s="363" t="str">
        <f>IF(L69="","",IF(L69="Leve",0.2,IF(L69="Menor",0.4,IF(L69="Moderado",0.6,IF(L69="Mayor",0.8,IF(L69="Catastrófico",1,))))))</f>
        <v/>
      </c>
      <c r="N69" s="375"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106">
        <v>1</v>
      </c>
      <c r="P69" s="159"/>
      <c r="Q69" s="147"/>
      <c r="R69" s="150"/>
      <c r="S69" s="150"/>
      <c r="T69" s="151" t="str">
        <f>IF(AND(R69="Preventivo",S69="Automático"),"50%",IF(AND(R69="Preventivo",S69="Manual"),"40%",IF(AND(R69="Detectivo",S69="Automático"),"40%",IF(AND(R69="Detectivo",S69="Manual"),"30%",IF(AND(R69="Correctivo",S69="Automático"),"35%",IF(AND(R69="Correctivo",S69="Manual"),"25%",""))))))</f>
        <v/>
      </c>
      <c r="U69" s="150"/>
      <c r="V69" s="150"/>
      <c r="W69" s="150"/>
      <c r="X69" s="146" t="str">
        <f>IFERROR(IF(Q69="Probabilidad",(I69-(+I69*T69)),IF(Q69="Impacto",I69,"")),"")</f>
        <v/>
      </c>
      <c r="Y69" s="152" t="str">
        <f>IFERROR(IF(X69="","",IF(X69&lt;=0.2,"Muy Baja",IF(X69&lt;=0.4,"Baja",IF(X69&lt;=0.6,"Media",IF(X69&lt;=0.8,"Alta","Muy Alta"))))),"")</f>
        <v/>
      </c>
      <c r="Z69" s="153" t="str">
        <f>+X69</f>
        <v/>
      </c>
      <c r="AA69" s="152" t="str">
        <f>IFERROR(IF(AB69="","",IF(AB69&lt;=0.2,"Leve",IF(AB69&lt;=0.4,"Menor",IF(AB69&lt;=0.6,"Moderado",IF(AB69&lt;=0.8,"Mayor","Catastrófico"))))),"")</f>
        <v/>
      </c>
      <c r="AB69" s="153" t="str">
        <f>IFERROR(IF(Q69="Impacto",(M69-(+M69*T69)),IF(Q69="Probabilidad",M69,"")),"")</f>
        <v/>
      </c>
      <c r="AC69" s="154"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55"/>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hidden="1" customHeight="1" x14ac:dyDescent="0.3">
      <c r="A70" s="349"/>
      <c r="B70" s="370"/>
      <c r="C70" s="370"/>
      <c r="D70" s="370"/>
      <c r="E70" s="373"/>
      <c r="F70" s="370"/>
      <c r="G70" s="367"/>
      <c r="H70" s="358"/>
      <c r="I70" s="364"/>
      <c r="J70" s="361"/>
      <c r="K70" s="364">
        <f>IF(NOT(ISERROR(MATCH(J70,_xlfn.ANCHORARRAY(E81),0))),I83&amp;"Por favor no seleccionar los criterios de impacto",J70)</f>
        <v>0</v>
      </c>
      <c r="L70" s="358"/>
      <c r="M70" s="364"/>
      <c r="N70" s="376"/>
      <c r="O70" s="106">
        <v>2</v>
      </c>
      <c r="P70" s="159"/>
      <c r="Q70" s="107" t="str">
        <f>IF(OR(R70="Preventivo",R70="Detectivo"),"Probabilidad",IF(R70="Correctivo","Impacto",""))</f>
        <v/>
      </c>
      <c r="R70" s="108"/>
      <c r="S70" s="108"/>
      <c r="T70" s="109" t="str">
        <f t="shared" ref="T70:T74" si="65">IF(AND(R70="Preventivo",S70="Automático"),"50%",IF(AND(R70="Preventivo",S70="Manual"),"40%",IF(AND(R70="Detectivo",S70="Automático"),"40%",IF(AND(R70="Detectivo",S70="Manual"),"30%",IF(AND(R70="Correctivo",S70="Automático"),"35%",IF(AND(R70="Correctivo",S70="Manual"),"25%",""))))))</f>
        <v/>
      </c>
      <c r="U70" s="108"/>
      <c r="V70" s="108"/>
      <c r="W70" s="108"/>
      <c r="X70" s="110" t="str">
        <f>IFERROR(IF(AND(Q69="Probabilidad",Q70="Probabilidad"),(Z69-(+Z69*T70)),IF(Q70="Probabilidad",(I69-(+I69*T70)),IF(Q70="Impacto",Z69,""))),"")</f>
        <v/>
      </c>
      <c r="Y70" s="111" t="str">
        <f t="shared" si="1"/>
        <v/>
      </c>
      <c r="Z70" s="112" t="str">
        <f t="shared" ref="Z70:Z74" si="66">+X70</f>
        <v/>
      </c>
      <c r="AA70" s="111" t="str">
        <f t="shared" si="3"/>
        <v/>
      </c>
      <c r="AB70" s="112" t="str">
        <f>IFERROR(IF(AND(Q69="Impacto",Q70="Impacto"),(AB69-(+AB69*T70)),IF(Q70="Impacto",(M69-(+M69*T70)),IF(Q70="Probabilidad",AB69,""))),"")</f>
        <v/>
      </c>
      <c r="AC70" s="113" t="str">
        <f t="shared" ref="AC70:AC71" si="67">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6"/>
      <c r="AH70" s="117"/>
      <c r="AI70" s="117"/>
    </row>
    <row r="71" spans="1:67" ht="18" hidden="1" customHeight="1" x14ac:dyDescent="0.3">
      <c r="A71" s="349"/>
      <c r="B71" s="370"/>
      <c r="C71" s="370"/>
      <c r="D71" s="370"/>
      <c r="E71" s="373"/>
      <c r="F71" s="370"/>
      <c r="G71" s="367"/>
      <c r="H71" s="358"/>
      <c r="I71" s="364"/>
      <c r="J71" s="361"/>
      <c r="K71" s="364">
        <f>IF(NOT(ISERROR(MATCH(J71,_xlfn.ANCHORARRAY(E82),0))),I84&amp;"Por favor no seleccionar los criterios de impacto",J71)</f>
        <v>0</v>
      </c>
      <c r="L71" s="358"/>
      <c r="M71" s="364"/>
      <c r="N71" s="376"/>
      <c r="O71" s="106">
        <v>3</v>
      </c>
      <c r="P71" s="160"/>
      <c r="Q71" s="107" t="str">
        <f>IF(OR(R71="Preventivo",R71="Detectivo"),"Probabilidad",IF(R71="Correctivo","Impacto",""))</f>
        <v/>
      </c>
      <c r="R71" s="108"/>
      <c r="S71" s="108"/>
      <c r="T71" s="109" t="str">
        <f t="shared" si="65"/>
        <v/>
      </c>
      <c r="U71" s="108"/>
      <c r="V71" s="108"/>
      <c r="W71" s="108"/>
      <c r="X71" s="110" t="str">
        <f>IFERROR(IF(AND(Q70="Probabilidad",Q71="Probabilidad"),(Z70-(+Z70*T71)),IF(AND(Q70="Impacto",Q71="Probabilidad"),(Z69-(+Z69*T71)),IF(Q71="Impacto",Z70,""))),"")</f>
        <v/>
      </c>
      <c r="Y71" s="111" t="str">
        <f t="shared" si="1"/>
        <v/>
      </c>
      <c r="Z71" s="112" t="str">
        <f t="shared" si="66"/>
        <v/>
      </c>
      <c r="AA71" s="111" t="str">
        <f t="shared" si="3"/>
        <v/>
      </c>
      <c r="AB71" s="112" t="str">
        <f>IFERROR(IF(AND(Q70="Impacto",Q71="Impacto"),(AB70-(+AB70*T71)),IF(AND(Q70="Probabilidad",Q71="Impacto"),(AB69-(+AB69*T71)),IF(Q71="Probabilidad",AB70,""))),"")</f>
        <v/>
      </c>
      <c r="AC71" s="113" t="str">
        <f t="shared" si="67"/>
        <v/>
      </c>
      <c r="AD71" s="114"/>
      <c r="AE71" s="115"/>
      <c r="AF71" s="116"/>
      <c r="AG71" s="116"/>
      <c r="AH71" s="117"/>
      <c r="AI71" s="117"/>
    </row>
    <row r="72" spans="1:67" ht="18" hidden="1" customHeight="1" x14ac:dyDescent="0.3">
      <c r="A72" s="349"/>
      <c r="B72" s="370"/>
      <c r="C72" s="370"/>
      <c r="D72" s="370"/>
      <c r="E72" s="373"/>
      <c r="F72" s="370"/>
      <c r="G72" s="367"/>
      <c r="H72" s="358"/>
      <c r="I72" s="364"/>
      <c r="J72" s="361"/>
      <c r="K72" s="364">
        <f>IF(NOT(ISERROR(MATCH(J72,_xlfn.ANCHORARRAY(E83),0))),I85&amp;"Por favor no seleccionar los criterios de impacto",J72)</f>
        <v>0</v>
      </c>
      <c r="L72" s="358"/>
      <c r="M72" s="364"/>
      <c r="N72" s="376"/>
      <c r="O72" s="106">
        <v>4</v>
      </c>
      <c r="P72" s="159"/>
      <c r="Q72" s="107" t="str">
        <f t="shared" ref="Q72:Q74" si="68">IF(OR(R72="Preventivo",R72="Detectivo"),"Probabilidad",IF(R72="Correctivo","Impacto",""))</f>
        <v/>
      </c>
      <c r="R72" s="108"/>
      <c r="S72" s="108"/>
      <c r="T72" s="109" t="str">
        <f t="shared" si="65"/>
        <v/>
      </c>
      <c r="U72" s="108"/>
      <c r="V72" s="108"/>
      <c r="W72" s="108"/>
      <c r="X72" s="110" t="str">
        <f t="shared" ref="X72:X73" si="69">IFERROR(IF(AND(Q71="Probabilidad",Q72="Probabilidad"),(Z71-(+Z71*T72)),IF(AND(Q71="Impacto",Q72="Probabilidad"),(Z70-(+Z70*T72)),IF(Q72="Impacto",Z71,""))),"")</f>
        <v/>
      </c>
      <c r="Y72" s="111" t="str">
        <f t="shared" si="1"/>
        <v/>
      </c>
      <c r="Z72" s="112" t="str">
        <f t="shared" si="66"/>
        <v/>
      </c>
      <c r="AA72" s="111" t="str">
        <f t="shared" si="3"/>
        <v/>
      </c>
      <c r="AB72" s="112" t="str">
        <f t="shared" ref="AB72:AB73" si="70">IFERROR(IF(AND(Q71="Impacto",Q72="Impacto"),(AB71-(+AB71*T72)),IF(AND(Q71="Probabilidad",Q72="Impacto"),(AB70-(+AB70*T72)),IF(Q72="Probabilidad",AB71,""))),"")</f>
        <v/>
      </c>
      <c r="AC72" s="113"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49"/>
      <c r="B73" s="370"/>
      <c r="C73" s="370"/>
      <c r="D73" s="370"/>
      <c r="E73" s="373"/>
      <c r="F73" s="370"/>
      <c r="G73" s="367"/>
      <c r="H73" s="358"/>
      <c r="I73" s="364"/>
      <c r="J73" s="361"/>
      <c r="K73" s="364">
        <f>IF(NOT(ISERROR(MATCH(J73,_xlfn.ANCHORARRAY(E84),0))),I86&amp;"Por favor no seleccionar los criterios de impacto",J73)</f>
        <v>0</v>
      </c>
      <c r="L73" s="358"/>
      <c r="M73" s="364"/>
      <c r="N73" s="376"/>
      <c r="O73" s="106">
        <v>5</v>
      </c>
      <c r="P73" s="159"/>
      <c r="Q73" s="107" t="str">
        <f t="shared" si="68"/>
        <v/>
      </c>
      <c r="R73" s="108"/>
      <c r="S73" s="108"/>
      <c r="T73" s="109" t="str">
        <f t="shared" si="65"/>
        <v/>
      </c>
      <c r="U73" s="108"/>
      <c r="V73" s="108"/>
      <c r="W73" s="108"/>
      <c r="X73" s="110" t="str">
        <f t="shared" si="69"/>
        <v/>
      </c>
      <c r="Y73" s="111" t="str">
        <f t="shared" si="1"/>
        <v/>
      </c>
      <c r="Z73" s="112" t="str">
        <f t="shared" si="66"/>
        <v/>
      </c>
      <c r="AA73" s="111" t="str">
        <f t="shared" si="3"/>
        <v/>
      </c>
      <c r="AB73" s="112" t="str">
        <f t="shared" si="70"/>
        <v/>
      </c>
      <c r="AC73" s="113" t="str">
        <f t="shared" ref="AC73:AC74" si="71">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hidden="1" customHeight="1" x14ac:dyDescent="0.3">
      <c r="A74" s="350"/>
      <c r="B74" s="371"/>
      <c r="C74" s="371"/>
      <c r="D74" s="371"/>
      <c r="E74" s="374"/>
      <c r="F74" s="371"/>
      <c r="G74" s="368"/>
      <c r="H74" s="359"/>
      <c r="I74" s="365"/>
      <c r="J74" s="362"/>
      <c r="K74" s="365">
        <f>IF(NOT(ISERROR(MATCH(J74,_xlfn.ANCHORARRAY(E85),0))),I87&amp;"Por favor no seleccionar los criterios de impacto",J74)</f>
        <v>0</v>
      </c>
      <c r="L74" s="359"/>
      <c r="M74" s="365"/>
      <c r="N74" s="377"/>
      <c r="O74" s="106">
        <v>6</v>
      </c>
      <c r="P74" s="159"/>
      <c r="Q74" s="107" t="str">
        <f t="shared" si="68"/>
        <v/>
      </c>
      <c r="R74" s="108"/>
      <c r="S74" s="108"/>
      <c r="T74" s="109" t="str">
        <f t="shared" si="65"/>
        <v/>
      </c>
      <c r="U74" s="108"/>
      <c r="V74" s="108"/>
      <c r="W74" s="108"/>
      <c r="X74" s="110" t="str">
        <f>IFERROR(IF(AND(Q73="Probabilidad",Q74="Probabilidad"),(Z73-(+Z73*T74)),IF(AND(Q73="Impacto",Q74="Probabilidad"),(Z72-(+Z72*T74)),IF(Q74="Impacto",Z73,""))),"")</f>
        <v/>
      </c>
      <c r="Y74" s="111" t="str">
        <f t="shared" si="1"/>
        <v/>
      </c>
      <c r="Z74" s="112" t="str">
        <f t="shared" si="66"/>
        <v/>
      </c>
      <c r="AA74" s="111" t="str">
        <f t="shared" si="3"/>
        <v/>
      </c>
      <c r="AB74" s="112" t="str">
        <f>IFERROR(IF(AND(Q73="Impacto",Q74="Impacto"),(AB73-(+AB73*T74)),IF(AND(Q73="Probabilidad",Q74="Impacto"),(AB72-(+AB72*T74)),IF(Q74="Probabilidad",AB73,""))),"")</f>
        <v/>
      </c>
      <c r="AC74" s="113" t="str">
        <f t="shared" si="71"/>
        <v/>
      </c>
      <c r="AD74" s="114"/>
      <c r="AE74" s="115"/>
      <c r="AF74" s="116"/>
      <c r="AG74" s="116"/>
      <c r="AH74" s="117"/>
      <c r="AI74" s="117"/>
    </row>
    <row r="75" spans="1:67" ht="34.5" customHeight="1" x14ac:dyDescent="0.3">
      <c r="A75" s="6"/>
      <c r="B75" s="409" t="s">
        <v>190</v>
      </c>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row>
    <row r="77" spans="1:67" x14ac:dyDescent="0.3">
      <c r="A77" s="1"/>
      <c r="B77" s="24" t="s">
        <v>191</v>
      </c>
      <c r="C77" s="1"/>
      <c r="D77" s="1"/>
      <c r="F77" s="1"/>
    </row>
  </sheetData>
  <dataConsolidate/>
  <mergeCells count="218">
    <mergeCell ref="AH1:AI1"/>
    <mergeCell ref="AH4:AI4"/>
    <mergeCell ref="AH3:AI3"/>
    <mergeCell ref="AH2:AI2"/>
    <mergeCell ref="F12:F18"/>
    <mergeCell ref="G12:G18"/>
    <mergeCell ref="H12:H18"/>
    <mergeCell ref="A12:A18"/>
    <mergeCell ref="B12:B18"/>
    <mergeCell ref="C12:C18"/>
    <mergeCell ref="D12:D18"/>
    <mergeCell ref="E12:E18"/>
    <mergeCell ref="N12:N18"/>
    <mergeCell ref="I12:I18"/>
    <mergeCell ref="J12:J18"/>
    <mergeCell ref="K12:K18"/>
    <mergeCell ref="L12:L18"/>
    <mergeCell ref="M12:M18"/>
    <mergeCell ref="Y10:Y11"/>
    <mergeCell ref="Z10:Z11"/>
    <mergeCell ref="G10:G11"/>
    <mergeCell ref="H10:H11"/>
    <mergeCell ref="I10:I11"/>
    <mergeCell ref="J10:J11"/>
    <mergeCell ref="Q10:Q11"/>
    <mergeCell ref="R10:W10"/>
    <mergeCell ref="B19:B24"/>
    <mergeCell ref="C19:C24"/>
    <mergeCell ref="D19:D24"/>
    <mergeCell ref="E19:E24"/>
    <mergeCell ref="E1:AG4"/>
    <mergeCell ref="AE10:AE11"/>
    <mergeCell ref="AD12:AD13"/>
    <mergeCell ref="AC12:AC13"/>
    <mergeCell ref="AB12:AB13"/>
    <mergeCell ref="AA12:AA13"/>
    <mergeCell ref="Z12:Z13"/>
    <mergeCell ref="Y12:Y13"/>
    <mergeCell ref="W12:W13"/>
    <mergeCell ref="V12:V13"/>
    <mergeCell ref="U12:U13"/>
    <mergeCell ref="T12:T13"/>
    <mergeCell ref="S12:S13"/>
    <mergeCell ref="R12:R13"/>
    <mergeCell ref="Q12:Q13"/>
    <mergeCell ref="O12:O13"/>
    <mergeCell ref="P12:P13"/>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G33:G38"/>
    <mergeCell ref="H33:H38"/>
    <mergeCell ref="I33:I38"/>
    <mergeCell ref="L19:L24"/>
    <mergeCell ref="M19:M24"/>
    <mergeCell ref="N19:N24"/>
    <mergeCell ref="A25:A32"/>
    <mergeCell ref="B25:B32"/>
    <mergeCell ref="C25:C32"/>
    <mergeCell ref="D25:D32"/>
    <mergeCell ref="E25:E32"/>
    <mergeCell ref="F25:F32"/>
    <mergeCell ref="G25:G32"/>
    <mergeCell ref="H25:H32"/>
    <mergeCell ref="I25:I32"/>
    <mergeCell ref="J25:J32"/>
    <mergeCell ref="L25:L32"/>
    <mergeCell ref="F19:F24"/>
    <mergeCell ref="G19:G24"/>
    <mergeCell ref="H19:H24"/>
    <mergeCell ref="I19:I24"/>
    <mergeCell ref="J19:J24"/>
    <mergeCell ref="A19:A24"/>
    <mergeCell ref="D57:D62"/>
    <mergeCell ref="C45:C50"/>
    <mergeCell ref="D45:D50"/>
    <mergeCell ref="E45:E50"/>
    <mergeCell ref="F45:F50"/>
    <mergeCell ref="D39:D44"/>
    <mergeCell ref="E39:E44"/>
    <mergeCell ref="F39:F44"/>
    <mergeCell ref="A33:A38"/>
    <mergeCell ref="B33:B38"/>
    <mergeCell ref="C33:C38"/>
    <mergeCell ref="D33:D38"/>
    <mergeCell ref="E33:E38"/>
    <mergeCell ref="F33:F38"/>
    <mergeCell ref="C51:C56"/>
    <mergeCell ref="B45:B50"/>
    <mergeCell ref="E51:E56"/>
    <mergeCell ref="D51:D56"/>
    <mergeCell ref="B75:AI75"/>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J69:J74"/>
    <mergeCell ref="N45:N50"/>
    <mergeCell ref="A1:D4"/>
    <mergeCell ref="A69:A74"/>
    <mergeCell ref="B69:B74"/>
    <mergeCell ref="C69:C74"/>
    <mergeCell ref="D69:D74"/>
    <mergeCell ref="E69:E74"/>
    <mergeCell ref="F69:F74"/>
    <mergeCell ref="G69:G74"/>
    <mergeCell ref="H69:H74"/>
    <mergeCell ref="C6:N6"/>
    <mergeCell ref="A9:G9"/>
    <mergeCell ref="H9:N9"/>
    <mergeCell ref="I39:I44"/>
    <mergeCell ref="J39:J44"/>
    <mergeCell ref="G45:G50"/>
    <mergeCell ref="H45:H50"/>
    <mergeCell ref="I45:I50"/>
    <mergeCell ref="K39:K44"/>
    <mergeCell ref="L39:L44"/>
    <mergeCell ref="A57:A62"/>
    <mergeCell ref="E57:E62"/>
    <mergeCell ref="A51:A56"/>
    <mergeCell ref="B51:B56"/>
    <mergeCell ref="K69:K74"/>
    <mergeCell ref="L69:L74"/>
    <mergeCell ref="M69:M74"/>
    <mergeCell ref="N69:N74"/>
    <mergeCell ref="I69:I74"/>
    <mergeCell ref="AI10:AI11"/>
    <mergeCell ref="O6:Q6"/>
    <mergeCell ref="O9:W9"/>
    <mergeCell ref="X9:AD9"/>
    <mergeCell ref="M25:M32"/>
    <mergeCell ref="N25:N32"/>
    <mergeCell ref="J33:J38"/>
    <mergeCell ref="K33:K38"/>
    <mergeCell ref="L33:L38"/>
    <mergeCell ref="M33:M38"/>
    <mergeCell ref="N33:N38"/>
    <mergeCell ref="K19:K24"/>
    <mergeCell ref="M39:M44"/>
    <mergeCell ref="N39:N44"/>
    <mergeCell ref="M45:M50"/>
    <mergeCell ref="AG10:AG11"/>
    <mergeCell ref="AE9:AI9"/>
    <mergeCell ref="J51:J56"/>
    <mergeCell ref="K51:K56"/>
    <mergeCell ref="A63:A68"/>
    <mergeCell ref="B63:B68"/>
    <mergeCell ref="C63:C68"/>
    <mergeCell ref="D63:D68"/>
    <mergeCell ref="E63:E68"/>
    <mergeCell ref="F63:F68"/>
    <mergeCell ref="G63:G68"/>
    <mergeCell ref="H63:H68"/>
    <mergeCell ref="I63:I68"/>
    <mergeCell ref="L51:L56"/>
    <mergeCell ref="J45:J50"/>
    <mergeCell ref="K45:K50"/>
    <mergeCell ref="L45:L50"/>
    <mergeCell ref="G39:G44"/>
    <mergeCell ref="H39:H44"/>
    <mergeCell ref="A39:A44"/>
    <mergeCell ref="B39:B44"/>
    <mergeCell ref="C39:C44"/>
    <mergeCell ref="A45:A50"/>
    <mergeCell ref="Y25:Y27"/>
    <mergeCell ref="Z25:Z27"/>
    <mergeCell ref="AA25:AA27"/>
    <mergeCell ref="AB25:AB27"/>
    <mergeCell ref="AC25:AC27"/>
    <mergeCell ref="AD25:AD27"/>
    <mergeCell ref="O25:O27"/>
    <mergeCell ref="P25:P27"/>
    <mergeCell ref="Q25:Q27"/>
    <mergeCell ref="R25:R27"/>
    <mergeCell ref="S25:S27"/>
    <mergeCell ref="T25:T27"/>
    <mergeCell ref="U25:U27"/>
    <mergeCell ref="V25:V27"/>
    <mergeCell ref="W25:W27"/>
  </mergeCells>
  <conditionalFormatting sqref="H12:H13">
    <cfRule type="cellIs" dxfId="156" priority="623" operator="equal">
      <formula>"Muy Baja"</formula>
    </cfRule>
    <cfRule type="cellIs" dxfId="155" priority="622" operator="equal">
      <formula>"Baja"</formula>
    </cfRule>
    <cfRule type="cellIs" dxfId="154" priority="621" operator="equal">
      <formula>"Media"</formula>
    </cfRule>
    <cfRule type="cellIs" dxfId="153" priority="620" operator="equal">
      <formula>"Alta"</formula>
    </cfRule>
    <cfRule type="cellIs" dxfId="152" priority="619" operator="equal">
      <formula>"Muy Alta"</formula>
    </cfRule>
  </conditionalFormatting>
  <conditionalFormatting sqref="H19">
    <cfRule type="cellIs" dxfId="151" priority="126" operator="equal">
      <formula>"Muy Baja"</formula>
    </cfRule>
    <cfRule type="cellIs" dxfId="150" priority="124" operator="equal">
      <formula>"Media"</formula>
    </cfRule>
    <cfRule type="cellIs" dxfId="149" priority="125" operator="equal">
      <formula>"Baja"</formula>
    </cfRule>
    <cfRule type="cellIs" dxfId="148" priority="123" operator="equal">
      <formula>"Alta"</formula>
    </cfRule>
    <cfRule type="cellIs" dxfId="147" priority="122" operator="equal">
      <formula>"Muy Alta"</formula>
    </cfRule>
  </conditionalFormatting>
  <conditionalFormatting sqref="H25:H27">
    <cfRule type="cellIs" dxfId="146" priority="52" operator="equal">
      <formula>"Baja"</formula>
    </cfRule>
    <cfRule type="cellIs" dxfId="145" priority="53" operator="equal">
      <formula>"Muy Baja"</formula>
    </cfRule>
    <cfRule type="cellIs" dxfId="144" priority="49" operator="equal">
      <formula>"Muy Alta"</formula>
    </cfRule>
    <cfRule type="cellIs" dxfId="143" priority="50" operator="equal">
      <formula>"Alta"</formula>
    </cfRule>
    <cfRule type="cellIs" dxfId="142" priority="51" operator="equal">
      <formula>"Media"</formula>
    </cfRule>
  </conditionalFormatting>
  <conditionalFormatting sqref="H33">
    <cfRule type="cellIs" dxfId="141" priority="22" operator="equal">
      <formula>"Media"</formula>
    </cfRule>
    <cfRule type="cellIs" dxfId="140" priority="23" operator="equal">
      <formula>"Baja"</formula>
    </cfRule>
    <cfRule type="cellIs" dxfId="139" priority="24" operator="equal">
      <formula>"Muy Baja"</formula>
    </cfRule>
    <cfRule type="cellIs" dxfId="138" priority="20" operator="equal">
      <formula>"Muy Alta"</formula>
    </cfRule>
    <cfRule type="cellIs" dxfId="137" priority="21" operator="equal">
      <formula>"Alta"</formula>
    </cfRule>
  </conditionalFormatting>
  <conditionalFormatting sqref="H39">
    <cfRule type="cellIs" dxfId="136" priority="468" operator="equal">
      <formula>"Baja"</formula>
    </cfRule>
    <cfRule type="cellIs" dxfId="135" priority="467" operator="equal">
      <formula>"Media"</formula>
    </cfRule>
    <cfRule type="cellIs" dxfId="134" priority="466" operator="equal">
      <formula>"Alta"</formula>
    </cfRule>
    <cfRule type="cellIs" dxfId="133" priority="465" operator="equal">
      <formula>"Muy Alta"</formula>
    </cfRule>
    <cfRule type="cellIs" dxfId="132" priority="469" operator="equal">
      <formula>"Muy Baja"</formula>
    </cfRule>
  </conditionalFormatting>
  <conditionalFormatting sqref="H45">
    <cfRule type="cellIs" dxfId="131" priority="437" operator="equal">
      <formula>"Muy Alta"</formula>
    </cfRule>
    <cfRule type="cellIs" dxfId="130" priority="441" operator="equal">
      <formula>"Muy Baja"</formula>
    </cfRule>
    <cfRule type="cellIs" dxfId="129" priority="440" operator="equal">
      <formula>"Baja"</formula>
    </cfRule>
    <cfRule type="cellIs" dxfId="128" priority="439" operator="equal">
      <formula>"Media"</formula>
    </cfRule>
    <cfRule type="cellIs" dxfId="127" priority="438" operator="equal">
      <formula>"Alta"</formula>
    </cfRule>
  </conditionalFormatting>
  <conditionalFormatting sqref="H51">
    <cfRule type="cellIs" dxfId="126" priority="413" operator="equal">
      <formula>"Muy Baja"</formula>
    </cfRule>
    <cfRule type="cellIs" dxfId="125" priority="412" operator="equal">
      <formula>"Baja"</formula>
    </cfRule>
    <cfRule type="cellIs" dxfId="124" priority="411" operator="equal">
      <formula>"Media"</formula>
    </cfRule>
    <cfRule type="cellIs" dxfId="123" priority="410" operator="equal">
      <formula>"Alta"</formula>
    </cfRule>
    <cfRule type="cellIs" dxfId="122" priority="409" operator="equal">
      <formula>"Muy Alta"</formula>
    </cfRule>
  </conditionalFormatting>
  <conditionalFormatting sqref="H57">
    <cfRule type="cellIs" dxfId="121" priority="385" operator="equal">
      <formula>"Muy Baja"</formula>
    </cfRule>
    <cfRule type="cellIs" dxfId="120" priority="384" operator="equal">
      <formula>"Baja"</formula>
    </cfRule>
    <cfRule type="cellIs" dxfId="119" priority="383" operator="equal">
      <formula>"Media"</formula>
    </cfRule>
    <cfRule type="cellIs" dxfId="118" priority="382" operator="equal">
      <formula>"Alta"</formula>
    </cfRule>
    <cfRule type="cellIs" dxfId="117" priority="381" operator="equal">
      <formula>"Muy Alta"</formula>
    </cfRule>
  </conditionalFormatting>
  <conditionalFormatting sqref="H63">
    <cfRule type="cellIs" dxfId="116" priority="353" operator="equal">
      <formula>"Muy Alta"</formula>
    </cfRule>
    <cfRule type="cellIs" dxfId="115" priority="357" operator="equal">
      <formula>"Muy Baja"</formula>
    </cfRule>
    <cfRule type="cellIs" dxfId="114" priority="356" operator="equal">
      <formula>"Baja"</formula>
    </cfRule>
    <cfRule type="cellIs" dxfId="113" priority="355" operator="equal">
      <formula>"Media"</formula>
    </cfRule>
    <cfRule type="cellIs" dxfId="112" priority="354" operator="equal">
      <formula>"Alta"</formula>
    </cfRule>
  </conditionalFormatting>
  <conditionalFormatting sqref="H69">
    <cfRule type="cellIs" dxfId="111" priority="328" operator="equal">
      <formula>"Baja"</formula>
    </cfRule>
    <cfRule type="cellIs" dxfId="110" priority="329" operator="equal">
      <formula>"Muy Baja"</formula>
    </cfRule>
    <cfRule type="cellIs" dxfId="109" priority="327" operator="equal">
      <formula>"Media"</formula>
    </cfRule>
    <cfRule type="cellIs" dxfId="108" priority="326" operator="equal">
      <formula>"Alta"</formula>
    </cfRule>
    <cfRule type="cellIs" dxfId="107" priority="325" operator="equal">
      <formula>"Muy Alta"</formula>
    </cfRule>
  </conditionalFormatting>
  <conditionalFormatting sqref="K12:K74">
    <cfRule type="containsText" dxfId="106" priority="15" operator="containsText" text="❌">
      <formula>NOT(ISERROR(SEARCH("❌",K12)))</formula>
    </cfRule>
  </conditionalFormatting>
  <conditionalFormatting sqref="L12:L13 L39 L45 L51 L57 L63 L69">
    <cfRule type="cellIs" dxfId="105" priority="618" operator="equal">
      <formula>"Leve"</formula>
    </cfRule>
    <cfRule type="cellIs" dxfId="104" priority="616" operator="equal">
      <formula>"Moderado"</formula>
    </cfRule>
    <cfRule type="cellIs" dxfId="103" priority="617" operator="equal">
      <formula>"Menor"</formula>
    </cfRule>
    <cfRule type="cellIs" dxfId="102" priority="615" operator="equal">
      <formula>"Mayor"</formula>
    </cfRule>
    <cfRule type="cellIs" dxfId="101" priority="614" operator="equal">
      <formula>"Catastrófico"</formula>
    </cfRule>
  </conditionalFormatting>
  <conditionalFormatting sqref="L19">
    <cfRule type="cellIs" dxfId="100" priority="96" operator="equal">
      <formula>"Menor"</formula>
    </cfRule>
    <cfRule type="cellIs" dxfId="99" priority="94" operator="equal">
      <formula>"Mayor"</formula>
    </cfRule>
    <cfRule type="cellIs" dxfId="98" priority="97" operator="equal">
      <formula>"Leve"</formula>
    </cfRule>
    <cfRule type="cellIs" dxfId="97" priority="93" operator="equal">
      <formula>"Catastrófico"</formula>
    </cfRule>
    <cfRule type="cellIs" dxfId="96" priority="95" operator="equal">
      <formula>"Moderado"</formula>
    </cfRule>
  </conditionalFormatting>
  <conditionalFormatting sqref="L25:L27">
    <cfRule type="cellIs" dxfId="95" priority="58" operator="equal">
      <formula>"Leve"</formula>
    </cfRule>
    <cfRule type="cellIs" dxfId="94" priority="57" operator="equal">
      <formula>"Menor"</formula>
    </cfRule>
    <cfRule type="cellIs" dxfId="93" priority="56" operator="equal">
      <formula>"Moderado"</formula>
    </cfRule>
    <cfRule type="cellIs" dxfId="92" priority="55" operator="equal">
      <formula>"Mayor"</formula>
    </cfRule>
    <cfRule type="cellIs" dxfId="91" priority="54" operator="equal">
      <formula>"Catastrófico"</formula>
    </cfRule>
  </conditionalFormatting>
  <conditionalFormatting sqref="L33">
    <cfRule type="cellIs" dxfId="90" priority="25" operator="equal">
      <formula>"Catastrófico"</formula>
    </cfRule>
    <cfRule type="cellIs" dxfId="89" priority="26" operator="equal">
      <formula>"Mayor"</formula>
    </cfRule>
    <cfRule type="cellIs" dxfId="88" priority="27" operator="equal">
      <formula>"Moderado"</formula>
    </cfRule>
    <cfRule type="cellIs" dxfId="87" priority="29" operator="equal">
      <formula>"Leve"</formula>
    </cfRule>
    <cfRule type="cellIs" dxfId="86" priority="28" operator="equal">
      <formula>"Menor"</formula>
    </cfRule>
  </conditionalFormatting>
  <conditionalFormatting sqref="N12:N13">
    <cfRule type="cellIs" dxfId="85" priority="610" operator="equal">
      <formula>"Extremo"</formula>
    </cfRule>
    <cfRule type="cellIs" dxfId="84" priority="611" operator="equal">
      <formula>"Alto"</formula>
    </cfRule>
    <cfRule type="cellIs" dxfId="83" priority="612" operator="equal">
      <formula>"Moderado"</formula>
    </cfRule>
    <cfRule type="cellIs" dxfId="82" priority="613" operator="equal">
      <formula>"Bajo"</formula>
    </cfRule>
  </conditionalFormatting>
  <conditionalFormatting sqref="N19">
    <cfRule type="cellIs" dxfId="81" priority="119" operator="equal">
      <formula>"Alto"</formula>
    </cfRule>
    <cfRule type="cellIs" dxfId="80" priority="120" operator="equal">
      <formula>"Moderado"</formula>
    </cfRule>
    <cfRule type="cellIs" dxfId="79" priority="121" operator="equal">
      <formula>"Bajo"</formula>
    </cfRule>
    <cfRule type="cellIs" dxfId="78" priority="118" operator="equal">
      <formula>"Extremo"</formula>
    </cfRule>
  </conditionalFormatting>
  <conditionalFormatting sqref="N25:N27">
    <cfRule type="cellIs" dxfId="77" priority="48" operator="equal">
      <formula>"Bajo"</formula>
    </cfRule>
    <cfRule type="cellIs" dxfId="76" priority="46" operator="equal">
      <formula>"Alto"</formula>
    </cfRule>
    <cfRule type="cellIs" dxfId="75" priority="45" operator="equal">
      <formula>"Extremo"</formula>
    </cfRule>
    <cfRule type="cellIs" dxfId="74" priority="47" operator="equal">
      <formula>"Moderado"</formula>
    </cfRule>
  </conditionalFormatting>
  <conditionalFormatting sqref="N33">
    <cfRule type="cellIs" dxfId="73" priority="19" operator="equal">
      <formula>"Bajo"</formula>
    </cfRule>
    <cfRule type="cellIs" dxfId="72" priority="18" operator="equal">
      <formula>"Moderado"</formula>
    </cfRule>
    <cfRule type="cellIs" dxfId="71" priority="17" operator="equal">
      <formula>"Alto"</formula>
    </cfRule>
    <cfRule type="cellIs" dxfId="70" priority="16" operator="equal">
      <formula>"Extremo"</formula>
    </cfRule>
  </conditionalFormatting>
  <conditionalFormatting sqref="N39">
    <cfRule type="cellIs" dxfId="69" priority="458" operator="equal">
      <formula>"Moderado"</formula>
    </cfRule>
    <cfRule type="cellIs" dxfId="68" priority="459" operator="equal">
      <formula>"Bajo"</formula>
    </cfRule>
    <cfRule type="cellIs" dxfId="67" priority="456" operator="equal">
      <formula>"Extremo"</formula>
    </cfRule>
    <cfRule type="cellIs" dxfId="66" priority="457" operator="equal">
      <formula>"Alto"</formula>
    </cfRule>
  </conditionalFormatting>
  <conditionalFormatting sqref="N45">
    <cfRule type="cellIs" dxfId="65" priority="428" operator="equal">
      <formula>"Extremo"</formula>
    </cfRule>
    <cfRule type="cellIs" dxfId="64" priority="429" operator="equal">
      <formula>"Alto"</formula>
    </cfRule>
    <cfRule type="cellIs" dxfId="63" priority="430" operator="equal">
      <formula>"Moderado"</formula>
    </cfRule>
    <cfRule type="cellIs" dxfId="62" priority="431" operator="equal">
      <formula>"Bajo"</formula>
    </cfRule>
  </conditionalFormatting>
  <conditionalFormatting sqref="N51">
    <cfRule type="cellIs" dxfId="61" priority="401" operator="equal">
      <formula>"Alto"</formula>
    </cfRule>
    <cfRule type="cellIs" dxfId="60" priority="403" operator="equal">
      <formula>"Bajo"</formula>
    </cfRule>
    <cfRule type="cellIs" dxfId="59" priority="400" operator="equal">
      <formula>"Extremo"</formula>
    </cfRule>
    <cfRule type="cellIs" dxfId="58" priority="402" operator="equal">
      <formula>"Moderado"</formula>
    </cfRule>
  </conditionalFormatting>
  <conditionalFormatting sqref="N57">
    <cfRule type="cellIs" dxfId="57" priority="373" operator="equal">
      <formula>"Alto"</formula>
    </cfRule>
    <cfRule type="cellIs" dxfId="56" priority="372" operator="equal">
      <formula>"Extremo"</formula>
    </cfRule>
    <cfRule type="cellIs" dxfId="55" priority="374" operator="equal">
      <formula>"Moderado"</formula>
    </cfRule>
    <cfRule type="cellIs" dxfId="54" priority="375" operator="equal">
      <formula>"Bajo"</formula>
    </cfRule>
  </conditionalFormatting>
  <conditionalFormatting sqref="N63">
    <cfRule type="cellIs" dxfId="53" priority="346" operator="equal">
      <formula>"Moderado"</formula>
    </cfRule>
    <cfRule type="cellIs" dxfId="52" priority="347" operator="equal">
      <formula>"Bajo"</formula>
    </cfRule>
    <cfRule type="cellIs" dxfId="51" priority="345" operator="equal">
      <formula>"Alto"</formula>
    </cfRule>
    <cfRule type="cellIs" dxfId="50" priority="344" operator="equal">
      <formula>"Extremo"</formula>
    </cfRule>
  </conditionalFormatting>
  <conditionalFormatting sqref="N69">
    <cfRule type="cellIs" dxfId="49" priority="319" operator="equal">
      <formula>"Bajo"</formula>
    </cfRule>
    <cfRule type="cellIs" dxfId="48" priority="317" operator="equal">
      <formula>"Alto"</formula>
    </cfRule>
    <cfRule type="cellIs" dxfId="47" priority="316" operator="equal">
      <formula>"Extremo"</formula>
    </cfRule>
    <cfRule type="cellIs" dxfId="46" priority="318" operator="equal">
      <formula>"Moderado"</formula>
    </cfRule>
  </conditionalFormatting>
  <conditionalFormatting sqref="Y12">
    <cfRule type="cellIs" dxfId="45" priority="315" operator="equal">
      <formula>"Muy Baja"</formula>
    </cfRule>
    <cfRule type="cellIs" dxfId="44" priority="311" operator="equal">
      <formula>"Muy Alta"</formula>
    </cfRule>
    <cfRule type="cellIs" dxfId="43" priority="312" operator="equal">
      <formula>"Alta"</formula>
    </cfRule>
    <cfRule type="cellIs" dxfId="42" priority="313" operator="equal">
      <formula>"Media"</formula>
    </cfRule>
    <cfRule type="cellIs" dxfId="41" priority="314" operator="equal">
      <formula>"Baja"</formula>
    </cfRule>
  </conditionalFormatting>
  <conditionalFormatting sqref="Y14:Y25">
    <cfRule type="cellIs" dxfId="40" priority="40" operator="equal">
      <formula>"Muy Alta"</formula>
    </cfRule>
    <cfRule type="cellIs" dxfId="39" priority="41" operator="equal">
      <formula>"Alta"</formula>
    </cfRule>
    <cfRule type="cellIs" dxfId="38" priority="43" operator="equal">
      <formula>"Baja"</formula>
    </cfRule>
    <cfRule type="cellIs" dxfId="37" priority="44" operator="equal">
      <formula>"Muy Baja"</formula>
    </cfRule>
    <cfRule type="cellIs" dxfId="36" priority="42" operator="equal">
      <formula>"Media"</formula>
    </cfRule>
  </conditionalFormatting>
  <conditionalFormatting sqref="Y28:Y74">
    <cfRule type="cellIs" dxfId="35" priority="11" operator="equal">
      <formula>"Alta"</formula>
    </cfRule>
    <cfRule type="cellIs" dxfId="34" priority="14" operator="equal">
      <formula>"Muy Baja"</formula>
    </cfRule>
    <cfRule type="cellIs" dxfId="33" priority="13" operator="equal">
      <formula>"Baja"</formula>
    </cfRule>
    <cfRule type="cellIs" dxfId="32" priority="12" operator="equal">
      <formula>"Media"</formula>
    </cfRule>
    <cfRule type="cellIs" dxfId="31" priority="10" operator="equal">
      <formula>"Muy Alta"</formula>
    </cfRule>
  </conditionalFormatting>
  <conditionalFormatting sqref="AA12">
    <cfRule type="cellIs" dxfId="30" priority="306" operator="equal">
      <formula>"Catastrófico"</formula>
    </cfRule>
    <cfRule type="cellIs" dxfId="29" priority="308" operator="equal">
      <formula>"Moderado"</formula>
    </cfRule>
    <cfRule type="cellIs" dxfId="28" priority="309" operator="equal">
      <formula>"Menor"</formula>
    </cfRule>
    <cfRule type="cellIs" dxfId="27" priority="310" operator="equal">
      <formula>"Leve"</formula>
    </cfRule>
    <cfRule type="cellIs" dxfId="26" priority="307" operator="equal">
      <formula>"Mayor"</formula>
    </cfRule>
  </conditionalFormatting>
  <conditionalFormatting sqref="AA14:AA25">
    <cfRule type="cellIs" dxfId="25" priority="35" operator="equal">
      <formula>"Catastrófico"</formula>
    </cfRule>
    <cfRule type="cellIs" dxfId="24" priority="39" operator="equal">
      <formula>"Leve"</formula>
    </cfRule>
    <cfRule type="cellIs" dxfId="23" priority="36" operator="equal">
      <formula>"Mayor"</formula>
    </cfRule>
    <cfRule type="cellIs" dxfId="22" priority="38" operator="equal">
      <formula>"Menor"</formula>
    </cfRule>
    <cfRule type="cellIs" dxfId="21" priority="37" operator="equal">
      <formula>"Moderado"</formula>
    </cfRule>
  </conditionalFormatting>
  <conditionalFormatting sqref="AA28:AA74">
    <cfRule type="cellIs" dxfId="20" priority="6" operator="equal">
      <formula>"Mayor"</formula>
    </cfRule>
    <cfRule type="cellIs" dxfId="19" priority="7" operator="equal">
      <formula>"Moderado"</formula>
    </cfRule>
    <cfRule type="cellIs" dxfId="18" priority="5" operator="equal">
      <formula>"Catastrófico"</formula>
    </cfRule>
    <cfRule type="cellIs" dxfId="17" priority="8" operator="equal">
      <formula>"Menor"</formula>
    </cfRule>
    <cfRule type="cellIs" dxfId="16" priority="9" operator="equal">
      <formula>"Leve"</formula>
    </cfRule>
  </conditionalFormatting>
  <conditionalFormatting sqref="AC12">
    <cfRule type="cellIs" dxfId="15" priority="305" operator="equal">
      <formula>"Bajo"</formula>
    </cfRule>
    <cfRule type="cellIs" dxfId="14" priority="304" operator="equal">
      <formula>"Moderado"</formula>
    </cfRule>
    <cfRule type="cellIs" dxfId="13" priority="303" operator="equal">
      <formula>"Alto"</formula>
    </cfRule>
    <cfRule type="cellIs" dxfId="12" priority="302" operator="equal">
      <formula>"Extremo"</formula>
    </cfRule>
  </conditionalFormatting>
  <conditionalFormatting sqref="AC14:AC25">
    <cfRule type="cellIs" dxfId="11" priority="34" operator="equal">
      <formula>"Bajo"</formula>
    </cfRule>
    <cfRule type="cellIs" dxfId="10" priority="33" operator="equal">
      <formula>"Moderado"</formula>
    </cfRule>
    <cfRule type="cellIs" dxfId="9" priority="32" operator="equal">
      <formula>"Alto"</formula>
    </cfRule>
    <cfRule type="cellIs" dxfId="8" priority="31" operator="equal">
      <formula>"Extremo"</formula>
    </cfRule>
  </conditionalFormatting>
  <conditionalFormatting sqref="AC28:AC74">
    <cfRule type="cellIs" dxfId="7" priority="3" operator="equal">
      <formula>"Moderado"</formula>
    </cfRule>
    <cfRule type="cellIs" dxfId="6" priority="2" operator="equal">
      <formula>"Alto"</formula>
    </cfRule>
    <cfRule type="cellIs" dxfId="5" priority="4" operator="equal">
      <formula>"Bajo"</formula>
    </cfRule>
    <cfRule type="cellIs" dxfId="4" priority="1" operator="equal">
      <formula>"Extremo"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0000000}">
          <x14:formula1>
            <xm:f>'Tabla Valoración controles'!$D$4:$D$6</xm:f>
          </x14:formula1>
          <xm:sqref>R12 R14:R18 R39:R74</xm:sqref>
        </x14:dataValidation>
        <x14:dataValidation type="list" allowBlank="1" showInputMessage="1" showErrorMessage="1" xr:uid="{00000000-0002-0000-0200-000001000000}">
          <x14:formula1>
            <xm:f>'Tabla Valoración controles'!$D$7:$D$8</xm:f>
          </x14:formula1>
          <xm:sqref>S12 S14:S18 S39:S74</xm:sqref>
        </x14:dataValidation>
        <x14:dataValidation type="list" allowBlank="1" showInputMessage="1" showErrorMessage="1" xr:uid="{00000000-0002-0000-0200-000002000000}">
          <x14:formula1>
            <xm:f>'Tabla Valoración controles'!$D$9:$D$10</xm:f>
          </x14:formula1>
          <xm:sqref>U12 U14:U18 U39:U74</xm:sqref>
        </x14:dataValidation>
        <x14:dataValidation type="list" allowBlank="1" showInputMessage="1" showErrorMessage="1" xr:uid="{00000000-0002-0000-0200-000003000000}">
          <x14:formula1>
            <xm:f>'Tabla Valoración controles'!$D$11:$D$12</xm:f>
          </x14:formula1>
          <xm:sqref>V12 V14:V18 V39:V74</xm:sqref>
        </x14:dataValidation>
        <x14:dataValidation type="list" allowBlank="1" showInputMessage="1" showErrorMessage="1" xr:uid="{00000000-0002-0000-0200-000004000000}">
          <x14:formula1>
            <xm:f>'Tabla Valoración controles'!$D$13:$D$14</xm:f>
          </x14:formula1>
          <xm:sqref>W12 W14:W18 W39:W74</xm:sqref>
        </x14:dataValidation>
        <x14:dataValidation type="list" allowBlank="1" showInputMessage="1" showErrorMessage="1" xr:uid="{00000000-0002-0000-0200-000005000000}">
          <x14:formula1>
            <xm:f>'Opciones Tratamiento'!$B$13:$B$19</xm:f>
          </x14:formula1>
          <xm:sqref>F12:F24 F39:F74</xm:sqref>
        </x14:dataValidation>
        <x14:dataValidation type="list" allowBlank="1" showInputMessage="1" showErrorMessage="1" xr:uid="{00000000-0002-0000-0200-000006000000}">
          <x14:formula1>
            <xm:f>'Opciones Tratamiento'!$E$2:$E$4</xm:f>
          </x14:formula1>
          <xm:sqref>B12:B24 B39:B74</xm:sqref>
        </x14:dataValidation>
        <x14:dataValidation type="list" allowBlank="1" showInputMessage="1" showErrorMessage="1" xr:uid="{00000000-0002-0000-0200-000007000000}">
          <x14:formula1>
            <xm:f>'Opciones Tratamiento'!$B$2:$B$5</xm:f>
          </x14:formula1>
          <xm:sqref>AD12 AD14:AD18 AD39:AD74</xm:sqref>
        </x14:dataValidation>
        <x14:dataValidation type="list" allowBlank="1" showInputMessage="1" showErrorMessage="1" xr:uid="{00000000-0002-0000-0200-000008000000}">
          <x14:formula1>
            <xm:f>'Tabla Impacto'!$F$210:$F$221</xm:f>
          </x14:formula1>
          <xm:sqref>J12:J24 J39:J74</xm:sqref>
        </x14:dataValidation>
        <x14:dataValidation type="custom" allowBlank="1" showInputMessage="1" showErrorMessage="1" error="Recuerde que las acciones se generan bajo la medida de mitigar el riesgo" xr:uid="{00000000-0002-0000-0200-000009000000}">
          <x14:formula1>
            <xm:f>IF(OR(AD14='Opciones Tratamiento'!$B$2,AD14='Opciones Tratamiento'!$B$3,AD14='Opciones Tratamiento'!$B$4),ISBLANK(AD14),ISTEXT(AD14))</xm:f>
          </x14:formula1>
          <xm:sqref>AE14:AE18 AE39:AE74</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AG13 AF14 AF15:AG18 AF39:AG74</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AH12 AI12:AI18 AH14:AH18 AH39:AI74</xm:sqref>
        </x14:dataValidation>
        <x14:dataValidation type="custom" allowBlank="1" showInputMessage="1" showErrorMessage="1" error="Recuerde que las acciones se generan bajo la medida de mitigar el riesgo" xr:uid="{00000000-0002-0000-0200-00000C000000}">
          <x14:formula1>
            <xm:f>IF(OR(AE14='Opciones Tratamiento'!$B$2,AE14='Opciones Tratamiento'!$B$3,AE14='Opciones Tratamiento'!$B$4),ISBLANK(AE14),ISTEXT(AE14))</xm:f>
          </x14:formula1>
          <xm:sqref>AG12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24" t="s">
        <v>192</v>
      </c>
      <c r="C2" s="524"/>
      <c r="D2" s="524"/>
      <c r="E2" s="524"/>
      <c r="F2" s="524"/>
      <c r="G2" s="524"/>
      <c r="H2" s="524"/>
      <c r="I2" s="524"/>
      <c r="J2" s="492" t="s">
        <v>26</v>
      </c>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24"/>
      <c r="C3" s="524"/>
      <c r="D3" s="524"/>
      <c r="E3" s="524"/>
      <c r="F3" s="524"/>
      <c r="G3" s="524"/>
      <c r="H3" s="524"/>
      <c r="I3" s="524"/>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24"/>
      <c r="C4" s="524"/>
      <c r="D4" s="524"/>
      <c r="E4" s="524"/>
      <c r="F4" s="524"/>
      <c r="G4" s="524"/>
      <c r="H4" s="524"/>
      <c r="I4" s="524"/>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39" t="s">
        <v>193</v>
      </c>
      <c r="C6" s="439"/>
      <c r="D6" s="440"/>
      <c r="E6" s="477" t="s">
        <v>194</v>
      </c>
      <c r="F6" s="478"/>
      <c r="G6" s="478"/>
      <c r="H6" s="478"/>
      <c r="I6" s="479"/>
      <c r="J6" s="488" t="str">
        <f>IF(AND('Mapa de Riesgos'!$H$12="Muy Alta",'Mapa de Riesgos'!$L$12="Leve"),CONCATENATE("R",'Mapa de Riesgos'!$A$12),"")</f>
        <v/>
      </c>
      <c r="K6" s="489"/>
      <c r="L6" s="489" t="str">
        <f>IF(AND('Mapa de Riesgos'!$H$19="Muy Alta",'Mapa de Riesgos'!$L$19="Leve"),CONCATENATE("R",'Mapa de Riesgos'!$A$19),"")</f>
        <v/>
      </c>
      <c r="M6" s="489"/>
      <c r="N6" s="489" t="str">
        <f>IF(AND('Mapa de Riesgos'!$H$25="Muy Alta",'Mapa de Riesgos'!$L$25="Leve"),CONCATENATE("R",'Mapa de Riesgos'!$A$25),"")</f>
        <v/>
      </c>
      <c r="O6" s="491"/>
      <c r="P6" s="488" t="str">
        <f>IF(AND('Mapa de Riesgos'!$H$12="Muy Alta",'Mapa de Riesgos'!$L$12="Menor"),CONCATENATE("R",'Mapa de Riesgos'!$A$12),"")</f>
        <v/>
      </c>
      <c r="Q6" s="489"/>
      <c r="R6" s="489" t="str">
        <f>IF(AND('Mapa de Riesgos'!$H$19="Muy Alta",'Mapa de Riesgos'!$L$19="Menor"),CONCATENATE("R",'Mapa de Riesgos'!$A$19),"")</f>
        <v/>
      </c>
      <c r="S6" s="489"/>
      <c r="T6" s="489" t="str">
        <f>IF(AND('Mapa de Riesgos'!$H$25="Muy Alta",'Mapa de Riesgos'!$L$25="Menor"),CONCATENATE("R",'Mapa de Riesgos'!$A$25),"")</f>
        <v/>
      </c>
      <c r="U6" s="491"/>
      <c r="V6" s="488" t="str">
        <f>IF(AND('Mapa de Riesgos'!$H$12="Muy Alta",'Mapa de Riesgos'!$L$12="Moderado"),CONCATENATE("R",'Mapa de Riesgos'!$A$12),"")</f>
        <v/>
      </c>
      <c r="W6" s="489"/>
      <c r="X6" s="489" t="str">
        <f>IF(AND('Mapa de Riesgos'!$H$19="Muy Alta",'Mapa de Riesgos'!$L$19="Moderado"),CONCATENATE("R",'Mapa de Riesgos'!$A$19),"")</f>
        <v/>
      </c>
      <c r="Y6" s="489"/>
      <c r="Z6" s="489" t="str">
        <f>IF(AND('Mapa de Riesgos'!$H$25="Muy Alta",'Mapa de Riesgos'!$L$25="Moderado"),CONCATENATE("R",'Mapa de Riesgos'!$A$25),"")</f>
        <v/>
      </c>
      <c r="AA6" s="491"/>
      <c r="AB6" s="488" t="str">
        <f>IF(AND('Mapa de Riesgos'!$H$12="Muy Alta",'Mapa de Riesgos'!$L$12="Mayor"),CONCATENATE("R",'Mapa de Riesgos'!$A$12),"")</f>
        <v/>
      </c>
      <c r="AC6" s="489"/>
      <c r="AD6" s="489" t="str">
        <f>IF(AND('Mapa de Riesgos'!$H$19="Muy Alta",'Mapa de Riesgos'!$L$19="Mayor"),CONCATENATE("R",'Mapa de Riesgos'!$A$19),"")</f>
        <v/>
      </c>
      <c r="AE6" s="489"/>
      <c r="AF6" s="489" t="str">
        <f>IF(AND('Mapa de Riesgos'!$H$25="Muy Alta",'Mapa de Riesgos'!$L$25="Mayor"),CONCATENATE("R",'Mapa de Riesgos'!$A$25),"")</f>
        <v/>
      </c>
      <c r="AG6" s="491"/>
      <c r="AH6" s="503" t="str">
        <f>IF(AND('Mapa de Riesgos'!$H$12="Muy Alta",'Mapa de Riesgos'!$L$12="Catastrófico"),CONCATENATE("R",'Mapa de Riesgos'!$A$12),"")</f>
        <v/>
      </c>
      <c r="AI6" s="504"/>
      <c r="AJ6" s="504" t="str">
        <f>IF(AND('Mapa de Riesgos'!$H$19="Muy Alta",'Mapa de Riesgos'!$L$19="Catastrófico"),CONCATENATE("R",'Mapa de Riesgos'!$A$19),"")</f>
        <v/>
      </c>
      <c r="AK6" s="504"/>
      <c r="AL6" s="504" t="str">
        <f>IF(AND('Mapa de Riesgos'!$H$25="Muy Alta",'Mapa de Riesgos'!$L$25="Catastrófico"),CONCATENATE("R",'Mapa de Riesgos'!$A$25),"")</f>
        <v/>
      </c>
      <c r="AM6" s="505"/>
      <c r="AO6" s="441" t="s">
        <v>195</v>
      </c>
      <c r="AP6" s="442"/>
      <c r="AQ6" s="442"/>
      <c r="AR6" s="442"/>
      <c r="AS6" s="442"/>
      <c r="AT6" s="44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39"/>
      <c r="C7" s="439"/>
      <c r="D7" s="440"/>
      <c r="E7" s="480"/>
      <c r="F7" s="481"/>
      <c r="G7" s="481"/>
      <c r="H7" s="481"/>
      <c r="I7" s="482"/>
      <c r="J7" s="490"/>
      <c r="K7" s="486"/>
      <c r="L7" s="486"/>
      <c r="M7" s="486"/>
      <c r="N7" s="486"/>
      <c r="O7" s="487"/>
      <c r="P7" s="490"/>
      <c r="Q7" s="486"/>
      <c r="R7" s="486"/>
      <c r="S7" s="486"/>
      <c r="T7" s="486"/>
      <c r="U7" s="487"/>
      <c r="V7" s="490"/>
      <c r="W7" s="486"/>
      <c r="X7" s="486"/>
      <c r="Y7" s="486"/>
      <c r="Z7" s="486"/>
      <c r="AA7" s="487"/>
      <c r="AB7" s="490"/>
      <c r="AC7" s="486"/>
      <c r="AD7" s="486"/>
      <c r="AE7" s="486"/>
      <c r="AF7" s="486"/>
      <c r="AG7" s="487"/>
      <c r="AH7" s="497"/>
      <c r="AI7" s="498"/>
      <c r="AJ7" s="498"/>
      <c r="AK7" s="498"/>
      <c r="AL7" s="498"/>
      <c r="AM7" s="499"/>
      <c r="AN7" s="83"/>
      <c r="AO7" s="444"/>
      <c r="AP7" s="445"/>
      <c r="AQ7" s="445"/>
      <c r="AR7" s="445"/>
      <c r="AS7" s="445"/>
      <c r="AT7" s="44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39"/>
      <c r="C8" s="439"/>
      <c r="D8" s="440"/>
      <c r="E8" s="480"/>
      <c r="F8" s="481"/>
      <c r="G8" s="481"/>
      <c r="H8" s="481"/>
      <c r="I8" s="482"/>
      <c r="J8" s="490" t="str">
        <f>IF(AND('Mapa de Riesgos'!$H$33="Muy Alta",'Mapa de Riesgos'!$L$33="Leve"),CONCATENATE("R",'Mapa de Riesgos'!$A$33),"")</f>
        <v/>
      </c>
      <c r="K8" s="486"/>
      <c r="L8" s="486" t="str">
        <f>IF(AND('Mapa de Riesgos'!$H$39="Muy Alta",'Mapa de Riesgos'!$L$39="Leve"),CONCATENATE("R",'Mapa de Riesgos'!$A$39),"")</f>
        <v/>
      </c>
      <c r="M8" s="486"/>
      <c r="N8" s="486" t="str">
        <f>IF(AND('Mapa de Riesgos'!$H$45="Muy Alta",'Mapa de Riesgos'!$L$45="Leve"),CONCATENATE("R",'Mapa de Riesgos'!$A$45),"")</f>
        <v/>
      </c>
      <c r="O8" s="487"/>
      <c r="P8" s="490" t="str">
        <f>IF(AND('Mapa de Riesgos'!$H$33="Muy Alta",'Mapa de Riesgos'!$L$33="Menor"),CONCATENATE("R",'Mapa de Riesgos'!$A$33),"")</f>
        <v/>
      </c>
      <c r="Q8" s="486"/>
      <c r="R8" s="486" t="str">
        <f>IF(AND('Mapa de Riesgos'!$H$39="Muy Alta",'Mapa de Riesgos'!$L$39="Menor"),CONCATENATE("R",'Mapa de Riesgos'!$A$39),"")</f>
        <v/>
      </c>
      <c r="S8" s="486"/>
      <c r="T8" s="486" t="str">
        <f>IF(AND('Mapa de Riesgos'!$H$45="Muy Alta",'Mapa de Riesgos'!$L$45="Menor"),CONCATENATE("R",'Mapa de Riesgos'!$A$45),"")</f>
        <v/>
      </c>
      <c r="U8" s="487"/>
      <c r="V8" s="490" t="str">
        <f>IF(AND('Mapa de Riesgos'!$H$33="Muy Alta",'Mapa de Riesgos'!$L$33="Moderado"),CONCATENATE("R",'Mapa de Riesgos'!$A$33),"")</f>
        <v/>
      </c>
      <c r="W8" s="486"/>
      <c r="X8" s="486" t="str">
        <f>IF(AND('Mapa de Riesgos'!$H$39="Muy Alta",'Mapa de Riesgos'!$L$39="Moderado"),CONCATENATE("R",'Mapa de Riesgos'!$A$39),"")</f>
        <v/>
      </c>
      <c r="Y8" s="486"/>
      <c r="Z8" s="486" t="str">
        <f>IF(AND('Mapa de Riesgos'!$H$45="Muy Alta",'Mapa de Riesgos'!$L$45="Moderado"),CONCATENATE("R",'Mapa de Riesgos'!$A$45),"")</f>
        <v/>
      </c>
      <c r="AA8" s="487"/>
      <c r="AB8" s="490" t="str">
        <f>IF(AND('Mapa de Riesgos'!$H$33="Muy Alta",'Mapa de Riesgos'!$L$33="Mayor"),CONCATENATE("R",'Mapa de Riesgos'!$A$33),"")</f>
        <v/>
      </c>
      <c r="AC8" s="486"/>
      <c r="AD8" s="486" t="str">
        <f>IF(AND('Mapa de Riesgos'!$H$39="Muy Alta",'Mapa de Riesgos'!$L$39="Mayor"),CONCATENATE("R",'Mapa de Riesgos'!$A$39),"")</f>
        <v/>
      </c>
      <c r="AE8" s="486"/>
      <c r="AF8" s="486" t="str">
        <f>IF(AND('Mapa de Riesgos'!$H$45="Muy Alta",'Mapa de Riesgos'!$L$45="Mayor"),CONCATENATE("R",'Mapa de Riesgos'!$A$45),"")</f>
        <v/>
      </c>
      <c r="AG8" s="487"/>
      <c r="AH8" s="497" t="str">
        <f>IF(AND('Mapa de Riesgos'!$H$33="Muy Alta",'Mapa de Riesgos'!$L$33="Catastrófico"),CONCATENATE("R",'Mapa de Riesgos'!$A$33),"")</f>
        <v/>
      </c>
      <c r="AI8" s="498"/>
      <c r="AJ8" s="498" t="str">
        <f>IF(AND('Mapa de Riesgos'!$H$39="Muy Alta",'Mapa de Riesgos'!$L$39="Catastrófico"),CONCATENATE("R",'Mapa de Riesgos'!$A$39),"")</f>
        <v/>
      </c>
      <c r="AK8" s="498"/>
      <c r="AL8" s="498" t="str">
        <f>IF(AND('Mapa de Riesgos'!$H$45="Muy Alta",'Mapa de Riesgos'!$L$45="Catastrófico"),CONCATENATE("R",'Mapa de Riesgos'!$A$45),"")</f>
        <v/>
      </c>
      <c r="AM8" s="499"/>
      <c r="AN8" s="83"/>
      <c r="AO8" s="444"/>
      <c r="AP8" s="445"/>
      <c r="AQ8" s="445"/>
      <c r="AR8" s="445"/>
      <c r="AS8" s="445"/>
      <c r="AT8" s="44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39"/>
      <c r="C9" s="439"/>
      <c r="D9" s="440"/>
      <c r="E9" s="480"/>
      <c r="F9" s="481"/>
      <c r="G9" s="481"/>
      <c r="H9" s="481"/>
      <c r="I9" s="482"/>
      <c r="J9" s="490"/>
      <c r="K9" s="486"/>
      <c r="L9" s="486"/>
      <c r="M9" s="486"/>
      <c r="N9" s="486"/>
      <c r="O9" s="487"/>
      <c r="P9" s="490"/>
      <c r="Q9" s="486"/>
      <c r="R9" s="486"/>
      <c r="S9" s="486"/>
      <c r="T9" s="486"/>
      <c r="U9" s="487"/>
      <c r="V9" s="490"/>
      <c r="W9" s="486"/>
      <c r="X9" s="486"/>
      <c r="Y9" s="486"/>
      <c r="Z9" s="486"/>
      <c r="AA9" s="487"/>
      <c r="AB9" s="490"/>
      <c r="AC9" s="486"/>
      <c r="AD9" s="486"/>
      <c r="AE9" s="486"/>
      <c r="AF9" s="486"/>
      <c r="AG9" s="487"/>
      <c r="AH9" s="497"/>
      <c r="AI9" s="498"/>
      <c r="AJ9" s="498"/>
      <c r="AK9" s="498"/>
      <c r="AL9" s="498"/>
      <c r="AM9" s="499"/>
      <c r="AN9" s="83"/>
      <c r="AO9" s="444"/>
      <c r="AP9" s="445"/>
      <c r="AQ9" s="445"/>
      <c r="AR9" s="445"/>
      <c r="AS9" s="445"/>
      <c r="AT9" s="44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39"/>
      <c r="C10" s="439"/>
      <c r="D10" s="440"/>
      <c r="E10" s="480"/>
      <c r="F10" s="481"/>
      <c r="G10" s="481"/>
      <c r="H10" s="481"/>
      <c r="I10" s="482"/>
      <c r="J10" s="490" t="str">
        <f>IF(AND('Mapa de Riesgos'!$H$51="Muy Alta",'Mapa de Riesgos'!$L$51="Leve"),CONCATENATE("R",'Mapa de Riesgos'!$A$51),"")</f>
        <v/>
      </c>
      <c r="K10" s="486"/>
      <c r="L10" s="486" t="str">
        <f>IF(AND('Mapa de Riesgos'!$H$57="Muy Alta",'Mapa de Riesgos'!$L$57="Leve"),CONCATENATE("R",'Mapa de Riesgos'!$A$57),"")</f>
        <v/>
      </c>
      <c r="M10" s="486"/>
      <c r="N10" s="486" t="str">
        <f>IF(AND('Mapa de Riesgos'!$H$63="Muy Alta",'Mapa de Riesgos'!$L$63="Leve"),CONCATENATE("R",'Mapa de Riesgos'!$A$63),"")</f>
        <v/>
      </c>
      <c r="O10" s="487"/>
      <c r="P10" s="490" t="str">
        <f>IF(AND('Mapa de Riesgos'!$H$51="Muy Alta",'Mapa de Riesgos'!$L$51="Menor"),CONCATENATE("R",'Mapa de Riesgos'!$A$51),"")</f>
        <v/>
      </c>
      <c r="Q10" s="486"/>
      <c r="R10" s="486" t="str">
        <f>IF(AND('Mapa de Riesgos'!$H$57="Muy Alta",'Mapa de Riesgos'!$L$57="Menor"),CONCATENATE("R",'Mapa de Riesgos'!$A$57),"")</f>
        <v/>
      </c>
      <c r="S10" s="486"/>
      <c r="T10" s="486" t="str">
        <f>IF(AND('Mapa de Riesgos'!$H$63="Muy Alta",'Mapa de Riesgos'!$L$63="Menor"),CONCATENATE("R",'Mapa de Riesgos'!$A$63),"")</f>
        <v/>
      </c>
      <c r="U10" s="487"/>
      <c r="V10" s="490" t="str">
        <f>IF(AND('Mapa de Riesgos'!$H$51="Muy Alta",'Mapa de Riesgos'!$L$51="Moderado"),CONCATENATE("R",'Mapa de Riesgos'!$A$51),"")</f>
        <v/>
      </c>
      <c r="W10" s="486"/>
      <c r="X10" s="486" t="str">
        <f>IF(AND('Mapa de Riesgos'!$H$57="Muy Alta",'Mapa de Riesgos'!$L$57="Moderado"),CONCATENATE("R",'Mapa de Riesgos'!$A$57),"")</f>
        <v/>
      </c>
      <c r="Y10" s="486"/>
      <c r="Z10" s="486" t="str">
        <f>IF(AND('Mapa de Riesgos'!$H$63="Muy Alta",'Mapa de Riesgos'!$L$63="Moderado"),CONCATENATE("R",'Mapa de Riesgos'!$A$63),"")</f>
        <v/>
      </c>
      <c r="AA10" s="487"/>
      <c r="AB10" s="490" t="str">
        <f>IF(AND('Mapa de Riesgos'!$H$51="Muy Alta",'Mapa de Riesgos'!$L$51="Mayor"),CONCATENATE("R",'Mapa de Riesgos'!$A$51),"")</f>
        <v/>
      </c>
      <c r="AC10" s="486"/>
      <c r="AD10" s="486" t="str">
        <f>IF(AND('Mapa de Riesgos'!$H$57="Muy Alta",'Mapa de Riesgos'!$L$57="Mayor"),CONCATENATE("R",'Mapa de Riesgos'!$A$57),"")</f>
        <v/>
      </c>
      <c r="AE10" s="486"/>
      <c r="AF10" s="486" t="str">
        <f>IF(AND('Mapa de Riesgos'!$H$63="Muy Alta",'Mapa de Riesgos'!$L$63="Mayor"),CONCATENATE("R",'Mapa de Riesgos'!$A$63),"")</f>
        <v/>
      </c>
      <c r="AG10" s="487"/>
      <c r="AH10" s="497" t="str">
        <f>IF(AND('Mapa de Riesgos'!$H$51="Muy Alta",'Mapa de Riesgos'!$L$51="Catastrófico"),CONCATENATE("R",'Mapa de Riesgos'!$A$51),"")</f>
        <v/>
      </c>
      <c r="AI10" s="498"/>
      <c r="AJ10" s="498" t="str">
        <f>IF(AND('Mapa de Riesgos'!$H$57="Muy Alta",'Mapa de Riesgos'!$L$57="Catastrófico"),CONCATENATE("R",'Mapa de Riesgos'!$A$57),"")</f>
        <v/>
      </c>
      <c r="AK10" s="498"/>
      <c r="AL10" s="498" t="str">
        <f>IF(AND('Mapa de Riesgos'!$H$63="Muy Alta",'Mapa de Riesgos'!$L$63="Catastrófico"),CONCATENATE("R",'Mapa de Riesgos'!$A$63),"")</f>
        <v/>
      </c>
      <c r="AM10" s="499"/>
      <c r="AN10" s="83"/>
      <c r="AO10" s="444"/>
      <c r="AP10" s="445"/>
      <c r="AQ10" s="445"/>
      <c r="AR10" s="445"/>
      <c r="AS10" s="445"/>
      <c r="AT10" s="44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39"/>
      <c r="C11" s="439"/>
      <c r="D11" s="440"/>
      <c r="E11" s="480"/>
      <c r="F11" s="481"/>
      <c r="G11" s="481"/>
      <c r="H11" s="481"/>
      <c r="I11" s="482"/>
      <c r="J11" s="490"/>
      <c r="K11" s="486"/>
      <c r="L11" s="486"/>
      <c r="M11" s="486"/>
      <c r="N11" s="486"/>
      <c r="O11" s="487"/>
      <c r="P11" s="490"/>
      <c r="Q11" s="486"/>
      <c r="R11" s="486"/>
      <c r="S11" s="486"/>
      <c r="T11" s="486"/>
      <c r="U11" s="487"/>
      <c r="V11" s="490"/>
      <c r="W11" s="486"/>
      <c r="X11" s="486"/>
      <c r="Y11" s="486"/>
      <c r="Z11" s="486"/>
      <c r="AA11" s="487"/>
      <c r="AB11" s="490"/>
      <c r="AC11" s="486"/>
      <c r="AD11" s="486"/>
      <c r="AE11" s="486"/>
      <c r="AF11" s="486"/>
      <c r="AG11" s="487"/>
      <c r="AH11" s="497"/>
      <c r="AI11" s="498"/>
      <c r="AJ11" s="498"/>
      <c r="AK11" s="498"/>
      <c r="AL11" s="498"/>
      <c r="AM11" s="499"/>
      <c r="AN11" s="83"/>
      <c r="AO11" s="444"/>
      <c r="AP11" s="445"/>
      <c r="AQ11" s="445"/>
      <c r="AR11" s="445"/>
      <c r="AS11" s="445"/>
      <c r="AT11" s="44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39"/>
      <c r="C12" s="439"/>
      <c r="D12" s="440"/>
      <c r="E12" s="480"/>
      <c r="F12" s="481"/>
      <c r="G12" s="481"/>
      <c r="H12" s="481"/>
      <c r="I12" s="482"/>
      <c r="J12" s="490" t="str">
        <f>IF(AND('Mapa de Riesgos'!$H$69="Muy Alta",'Mapa de Riesgos'!$L$69="Leve"),CONCATENATE("R",'Mapa de Riesgos'!$A$69),"")</f>
        <v/>
      </c>
      <c r="K12" s="486"/>
      <c r="L12" s="486" t="str">
        <f>IF(AND('Mapa de Riesgos'!$H$75="Muy Alta",'Mapa de Riesgos'!$L$75="Leve"),CONCATENATE("R",'Mapa de Riesgos'!$A$75),"")</f>
        <v/>
      </c>
      <c r="M12" s="486"/>
      <c r="N12" s="486" t="str">
        <f>IF(AND('Mapa de Riesgos'!$H$81="Muy Alta",'Mapa de Riesgos'!$L$81="Leve"),CONCATENATE("R",'Mapa de Riesgos'!$A$81),"")</f>
        <v/>
      </c>
      <c r="O12" s="487"/>
      <c r="P12" s="490" t="str">
        <f>IF(AND('Mapa de Riesgos'!$H$69="Muy Alta",'Mapa de Riesgos'!$L$69="Menor"),CONCATENATE("R",'Mapa de Riesgos'!$A$69),"")</f>
        <v/>
      </c>
      <c r="Q12" s="486"/>
      <c r="R12" s="486" t="str">
        <f>IF(AND('Mapa de Riesgos'!$H$75="Muy Alta",'Mapa de Riesgos'!$L$75="Menor"),CONCATENATE("R",'Mapa de Riesgos'!$A$75),"")</f>
        <v/>
      </c>
      <c r="S12" s="486"/>
      <c r="T12" s="486" t="str">
        <f>IF(AND('Mapa de Riesgos'!$H$81="Muy Alta",'Mapa de Riesgos'!$L$81="Menor"),CONCATENATE("R",'Mapa de Riesgos'!$A$81),"")</f>
        <v/>
      </c>
      <c r="U12" s="487"/>
      <c r="V12" s="490" t="str">
        <f>IF(AND('Mapa de Riesgos'!$H$69="Muy Alta",'Mapa de Riesgos'!$L$69="Moderado"),CONCATENATE("R",'Mapa de Riesgos'!$A$69),"")</f>
        <v/>
      </c>
      <c r="W12" s="486"/>
      <c r="X12" s="486" t="str">
        <f>IF(AND('Mapa de Riesgos'!$H$75="Muy Alta",'Mapa de Riesgos'!$L$75="Moderado"),CONCATENATE("R",'Mapa de Riesgos'!$A$75),"")</f>
        <v/>
      </c>
      <c r="Y12" s="486"/>
      <c r="Z12" s="486" t="str">
        <f>IF(AND('Mapa de Riesgos'!$H$81="Muy Alta",'Mapa de Riesgos'!$L$81="Moderado"),CONCATENATE("R",'Mapa de Riesgos'!$A$81),"")</f>
        <v/>
      </c>
      <c r="AA12" s="487"/>
      <c r="AB12" s="490" t="str">
        <f>IF(AND('Mapa de Riesgos'!$H$69="Muy Alta",'Mapa de Riesgos'!$L$69="Mayor"),CONCATENATE("R",'Mapa de Riesgos'!$A$69),"")</f>
        <v/>
      </c>
      <c r="AC12" s="486"/>
      <c r="AD12" s="486" t="str">
        <f>IF(AND('Mapa de Riesgos'!$H$75="Muy Alta",'Mapa de Riesgos'!$L$75="Mayor"),CONCATENATE("R",'Mapa de Riesgos'!$A$75),"")</f>
        <v/>
      </c>
      <c r="AE12" s="486"/>
      <c r="AF12" s="486" t="str">
        <f>IF(AND('Mapa de Riesgos'!$H$81="Muy Alta",'Mapa de Riesgos'!$L$81="Mayor"),CONCATENATE("R",'Mapa de Riesgos'!$A$81),"")</f>
        <v/>
      </c>
      <c r="AG12" s="487"/>
      <c r="AH12" s="497" t="str">
        <f>IF(AND('Mapa de Riesgos'!$H$69="Muy Alta",'Mapa de Riesgos'!$L$69="Catastrófico"),CONCATENATE("R",'Mapa de Riesgos'!$A$69),"")</f>
        <v/>
      </c>
      <c r="AI12" s="498"/>
      <c r="AJ12" s="498" t="str">
        <f>IF(AND('Mapa de Riesgos'!$H$75="Muy Alta",'Mapa de Riesgos'!$L$75="Catastrófico"),CONCATENATE("R",'Mapa de Riesgos'!$A$75),"")</f>
        <v/>
      </c>
      <c r="AK12" s="498"/>
      <c r="AL12" s="498" t="str">
        <f>IF(AND('Mapa de Riesgos'!$H$81="Muy Alta",'Mapa de Riesgos'!$L$81="Catastrófico"),CONCATENATE("R",'Mapa de Riesgos'!$A$81),"")</f>
        <v/>
      </c>
      <c r="AM12" s="499"/>
      <c r="AN12" s="83"/>
      <c r="AO12" s="444"/>
      <c r="AP12" s="445"/>
      <c r="AQ12" s="445"/>
      <c r="AR12" s="445"/>
      <c r="AS12" s="445"/>
      <c r="AT12" s="44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39"/>
      <c r="C13" s="439"/>
      <c r="D13" s="440"/>
      <c r="E13" s="483"/>
      <c r="F13" s="484"/>
      <c r="G13" s="484"/>
      <c r="H13" s="484"/>
      <c r="I13" s="485"/>
      <c r="J13" s="490"/>
      <c r="K13" s="486"/>
      <c r="L13" s="486"/>
      <c r="M13" s="486"/>
      <c r="N13" s="486"/>
      <c r="O13" s="487"/>
      <c r="P13" s="490"/>
      <c r="Q13" s="486"/>
      <c r="R13" s="486"/>
      <c r="S13" s="486"/>
      <c r="T13" s="486"/>
      <c r="U13" s="487"/>
      <c r="V13" s="490"/>
      <c r="W13" s="486"/>
      <c r="X13" s="486"/>
      <c r="Y13" s="486"/>
      <c r="Z13" s="486"/>
      <c r="AA13" s="487"/>
      <c r="AB13" s="490"/>
      <c r="AC13" s="486"/>
      <c r="AD13" s="486"/>
      <c r="AE13" s="486"/>
      <c r="AF13" s="486"/>
      <c r="AG13" s="487"/>
      <c r="AH13" s="500"/>
      <c r="AI13" s="501"/>
      <c r="AJ13" s="501"/>
      <c r="AK13" s="501"/>
      <c r="AL13" s="501"/>
      <c r="AM13" s="502"/>
      <c r="AN13" s="83"/>
      <c r="AO13" s="447"/>
      <c r="AP13" s="448"/>
      <c r="AQ13" s="448"/>
      <c r="AR13" s="448"/>
      <c r="AS13" s="448"/>
      <c r="AT13" s="44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39"/>
      <c r="C14" s="439"/>
      <c r="D14" s="440"/>
      <c r="E14" s="477" t="s">
        <v>196</v>
      </c>
      <c r="F14" s="478"/>
      <c r="G14" s="478"/>
      <c r="H14" s="478"/>
      <c r="I14" s="478"/>
      <c r="J14" s="512" t="str">
        <f>IF(AND('Mapa de Riesgos'!$H$12="Alta",'Mapa de Riesgos'!$L$12="Leve"),CONCATENATE("R",'Mapa de Riesgos'!$A$12),"")</f>
        <v/>
      </c>
      <c r="K14" s="513"/>
      <c r="L14" s="513" t="str">
        <f>IF(AND('Mapa de Riesgos'!$H$19="Alta",'Mapa de Riesgos'!$L$19="Leve"),CONCATENATE("R",'Mapa de Riesgos'!$A$19),"")</f>
        <v/>
      </c>
      <c r="M14" s="513"/>
      <c r="N14" s="513" t="str">
        <f>IF(AND('Mapa de Riesgos'!$H$25="Alta",'Mapa de Riesgos'!$L$25="Leve"),CONCATENATE("R",'Mapa de Riesgos'!$A$25),"")</f>
        <v/>
      </c>
      <c r="O14" s="514"/>
      <c r="P14" s="512" t="str">
        <f>IF(AND('Mapa de Riesgos'!$H$12="Alta",'Mapa de Riesgos'!$L$12="Menor"),CONCATENATE("R",'Mapa de Riesgos'!$A$12),"")</f>
        <v/>
      </c>
      <c r="Q14" s="513"/>
      <c r="R14" s="513" t="str">
        <f>IF(AND('Mapa de Riesgos'!$H$19="Alta",'Mapa de Riesgos'!$L$19="Menor"),CONCATENATE("R",'Mapa de Riesgos'!$A$19),"")</f>
        <v/>
      </c>
      <c r="S14" s="513"/>
      <c r="T14" s="513" t="str">
        <f>IF(AND('Mapa de Riesgos'!$H$25="Alta",'Mapa de Riesgos'!$L$25="Menor"),CONCATENATE("R",'Mapa de Riesgos'!$A$25),"")</f>
        <v/>
      </c>
      <c r="U14" s="514"/>
      <c r="V14" s="488" t="str">
        <f>IF(AND('Mapa de Riesgos'!$H$12="Alta",'Mapa de Riesgos'!$L$12="Moderado"),CONCATENATE("R",'Mapa de Riesgos'!$A$12),"")</f>
        <v/>
      </c>
      <c r="W14" s="489"/>
      <c r="X14" s="489" t="str">
        <f>IF(AND('Mapa de Riesgos'!$H$19="Alta",'Mapa de Riesgos'!$L$19="Moderado"),CONCATENATE("R",'Mapa de Riesgos'!$A$19),"")</f>
        <v/>
      </c>
      <c r="Y14" s="489"/>
      <c r="Z14" s="489" t="str">
        <f>IF(AND('Mapa de Riesgos'!$H$25="Alta",'Mapa de Riesgos'!$L$25="Moderado"),CONCATENATE("R",'Mapa de Riesgos'!$A$25),"")</f>
        <v/>
      </c>
      <c r="AA14" s="491"/>
      <c r="AB14" s="488" t="str">
        <f>IF(AND('Mapa de Riesgos'!$H$12="Alta",'Mapa de Riesgos'!$L$12="Mayor"),CONCATENATE("R",'Mapa de Riesgos'!$A$12),"")</f>
        <v/>
      </c>
      <c r="AC14" s="489"/>
      <c r="AD14" s="489" t="str">
        <f>IF(AND('Mapa de Riesgos'!$H$19="Alta",'Mapa de Riesgos'!$L$19="Mayor"),CONCATENATE("R",'Mapa de Riesgos'!$A$19),"")</f>
        <v/>
      </c>
      <c r="AE14" s="489"/>
      <c r="AF14" s="489" t="str">
        <f>IF(AND('Mapa de Riesgos'!$H$25="Alta",'Mapa de Riesgos'!$L$25="Mayor"),CONCATENATE("R",'Mapa de Riesgos'!$A$25),"")</f>
        <v/>
      </c>
      <c r="AG14" s="491"/>
      <c r="AH14" s="503" t="str">
        <f>IF(AND('Mapa de Riesgos'!$H$12="Alta",'Mapa de Riesgos'!$L$12="Catastrófico"),CONCATENATE("R",'Mapa de Riesgos'!$A$12),"")</f>
        <v/>
      </c>
      <c r="AI14" s="504"/>
      <c r="AJ14" s="504" t="str">
        <f>IF(AND('Mapa de Riesgos'!$H$19="Alta",'Mapa de Riesgos'!$L$19="Catastrófico"),CONCATENATE("R",'Mapa de Riesgos'!$A$19),"")</f>
        <v/>
      </c>
      <c r="AK14" s="504"/>
      <c r="AL14" s="504" t="str">
        <f>IF(AND('Mapa de Riesgos'!$H$25="Alta",'Mapa de Riesgos'!$L$25="Catastrófico"),CONCATENATE("R",'Mapa de Riesgos'!$A$25),"")</f>
        <v/>
      </c>
      <c r="AM14" s="505"/>
      <c r="AN14" s="83"/>
      <c r="AO14" s="450" t="s">
        <v>197</v>
      </c>
      <c r="AP14" s="451"/>
      <c r="AQ14" s="451"/>
      <c r="AR14" s="451"/>
      <c r="AS14" s="451"/>
      <c r="AT14" s="45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39"/>
      <c r="C15" s="439"/>
      <c r="D15" s="440"/>
      <c r="E15" s="480"/>
      <c r="F15" s="481"/>
      <c r="G15" s="481"/>
      <c r="H15" s="481"/>
      <c r="I15" s="481"/>
      <c r="J15" s="506"/>
      <c r="K15" s="507"/>
      <c r="L15" s="507"/>
      <c r="M15" s="507"/>
      <c r="N15" s="507"/>
      <c r="O15" s="508"/>
      <c r="P15" s="506"/>
      <c r="Q15" s="507"/>
      <c r="R15" s="507"/>
      <c r="S15" s="507"/>
      <c r="T15" s="507"/>
      <c r="U15" s="508"/>
      <c r="V15" s="490"/>
      <c r="W15" s="486"/>
      <c r="X15" s="486"/>
      <c r="Y15" s="486"/>
      <c r="Z15" s="486"/>
      <c r="AA15" s="487"/>
      <c r="AB15" s="490"/>
      <c r="AC15" s="486"/>
      <c r="AD15" s="486"/>
      <c r="AE15" s="486"/>
      <c r="AF15" s="486"/>
      <c r="AG15" s="487"/>
      <c r="AH15" s="497"/>
      <c r="AI15" s="498"/>
      <c r="AJ15" s="498"/>
      <c r="AK15" s="498"/>
      <c r="AL15" s="498"/>
      <c r="AM15" s="499"/>
      <c r="AN15" s="83"/>
      <c r="AO15" s="453"/>
      <c r="AP15" s="454"/>
      <c r="AQ15" s="454"/>
      <c r="AR15" s="454"/>
      <c r="AS15" s="454"/>
      <c r="AT15" s="45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39"/>
      <c r="C16" s="439"/>
      <c r="D16" s="440"/>
      <c r="E16" s="480"/>
      <c r="F16" s="481"/>
      <c r="G16" s="481"/>
      <c r="H16" s="481"/>
      <c r="I16" s="481"/>
      <c r="J16" s="506" t="str">
        <f>IF(AND('Mapa de Riesgos'!$H$33="Alta",'Mapa de Riesgos'!$L$33="Leve"),CONCATENATE("R",'Mapa de Riesgos'!$A$33),"")</f>
        <v/>
      </c>
      <c r="K16" s="507"/>
      <c r="L16" s="507" t="str">
        <f>IF(AND('Mapa de Riesgos'!$H$39="Alta",'Mapa de Riesgos'!$L$39="Leve"),CONCATENATE("R",'Mapa de Riesgos'!$A$39),"")</f>
        <v/>
      </c>
      <c r="M16" s="507"/>
      <c r="N16" s="507" t="str">
        <f>IF(AND('Mapa de Riesgos'!$H$45="Alta",'Mapa de Riesgos'!$L$45="Leve"),CONCATENATE("R",'Mapa de Riesgos'!$A$45),"")</f>
        <v/>
      </c>
      <c r="O16" s="508"/>
      <c r="P16" s="506" t="str">
        <f>IF(AND('Mapa de Riesgos'!$H$33="Alta",'Mapa de Riesgos'!$L$33="Menor"),CONCATENATE("R",'Mapa de Riesgos'!$A$33),"")</f>
        <v/>
      </c>
      <c r="Q16" s="507"/>
      <c r="R16" s="507" t="str">
        <f>IF(AND('Mapa de Riesgos'!$H$39="Alta",'Mapa de Riesgos'!$L$39="Menor"),CONCATENATE("R",'Mapa de Riesgos'!$A$39),"")</f>
        <v/>
      </c>
      <c r="S16" s="507"/>
      <c r="T16" s="507" t="str">
        <f>IF(AND('Mapa de Riesgos'!$H$45="Alta",'Mapa de Riesgos'!$L$45="Menor"),CONCATENATE("R",'Mapa de Riesgos'!$A$45),"")</f>
        <v/>
      </c>
      <c r="U16" s="508"/>
      <c r="V16" s="490" t="str">
        <f>IF(AND('Mapa de Riesgos'!$H$33="Alta",'Mapa de Riesgos'!$L$33="Moderado"),CONCATENATE("R",'Mapa de Riesgos'!$A$33),"")</f>
        <v/>
      </c>
      <c r="W16" s="486"/>
      <c r="X16" s="486" t="str">
        <f>IF(AND('Mapa de Riesgos'!$H$39="Alta",'Mapa de Riesgos'!$L$39="Moderado"),CONCATENATE("R",'Mapa de Riesgos'!$A$39),"")</f>
        <v/>
      </c>
      <c r="Y16" s="486"/>
      <c r="Z16" s="486" t="str">
        <f>IF(AND('Mapa de Riesgos'!$H$45="Alta",'Mapa de Riesgos'!$L$45="Moderado"),CONCATENATE("R",'Mapa de Riesgos'!$A$45),"")</f>
        <v/>
      </c>
      <c r="AA16" s="487"/>
      <c r="AB16" s="490" t="str">
        <f>IF(AND('Mapa de Riesgos'!$H$33="Alta",'Mapa de Riesgos'!$L$33="Mayor"),CONCATENATE("R",'Mapa de Riesgos'!$A$33),"")</f>
        <v/>
      </c>
      <c r="AC16" s="486"/>
      <c r="AD16" s="486" t="str">
        <f>IF(AND('Mapa de Riesgos'!$H$39="Alta",'Mapa de Riesgos'!$L$39="Mayor"),CONCATENATE("R",'Mapa de Riesgos'!$A$39),"")</f>
        <v/>
      </c>
      <c r="AE16" s="486"/>
      <c r="AF16" s="486" t="str">
        <f>IF(AND('Mapa de Riesgos'!$H$45="Alta",'Mapa de Riesgos'!$L$45="Mayor"),CONCATENATE("R",'Mapa de Riesgos'!$A$45),"")</f>
        <v/>
      </c>
      <c r="AG16" s="487"/>
      <c r="AH16" s="497" t="str">
        <f>IF(AND('Mapa de Riesgos'!$H$33="Alta",'Mapa de Riesgos'!$L$33="Catastrófico"),CONCATENATE("R",'Mapa de Riesgos'!$A$33),"")</f>
        <v/>
      </c>
      <c r="AI16" s="498"/>
      <c r="AJ16" s="498" t="str">
        <f>IF(AND('Mapa de Riesgos'!$H$39="Alta",'Mapa de Riesgos'!$L$39="Catastrófico"),CONCATENATE("R",'Mapa de Riesgos'!$A$39),"")</f>
        <v/>
      </c>
      <c r="AK16" s="498"/>
      <c r="AL16" s="498" t="str">
        <f>IF(AND('Mapa de Riesgos'!$H$45="Alta",'Mapa de Riesgos'!$L$45="Catastrófico"),CONCATENATE("R",'Mapa de Riesgos'!$A$45),"")</f>
        <v/>
      </c>
      <c r="AM16" s="499"/>
      <c r="AN16" s="83"/>
      <c r="AO16" s="453"/>
      <c r="AP16" s="454"/>
      <c r="AQ16" s="454"/>
      <c r="AR16" s="454"/>
      <c r="AS16" s="454"/>
      <c r="AT16" s="45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39"/>
      <c r="C17" s="439"/>
      <c r="D17" s="440"/>
      <c r="E17" s="480"/>
      <c r="F17" s="481"/>
      <c r="G17" s="481"/>
      <c r="H17" s="481"/>
      <c r="I17" s="481"/>
      <c r="J17" s="506"/>
      <c r="K17" s="507"/>
      <c r="L17" s="507"/>
      <c r="M17" s="507"/>
      <c r="N17" s="507"/>
      <c r="O17" s="508"/>
      <c r="P17" s="506"/>
      <c r="Q17" s="507"/>
      <c r="R17" s="507"/>
      <c r="S17" s="507"/>
      <c r="T17" s="507"/>
      <c r="U17" s="508"/>
      <c r="V17" s="490"/>
      <c r="W17" s="486"/>
      <c r="X17" s="486"/>
      <c r="Y17" s="486"/>
      <c r="Z17" s="486"/>
      <c r="AA17" s="487"/>
      <c r="AB17" s="490"/>
      <c r="AC17" s="486"/>
      <c r="AD17" s="486"/>
      <c r="AE17" s="486"/>
      <c r="AF17" s="486"/>
      <c r="AG17" s="487"/>
      <c r="AH17" s="497"/>
      <c r="AI17" s="498"/>
      <c r="AJ17" s="498"/>
      <c r="AK17" s="498"/>
      <c r="AL17" s="498"/>
      <c r="AM17" s="499"/>
      <c r="AN17" s="83"/>
      <c r="AO17" s="453"/>
      <c r="AP17" s="454"/>
      <c r="AQ17" s="454"/>
      <c r="AR17" s="454"/>
      <c r="AS17" s="454"/>
      <c r="AT17" s="45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39"/>
      <c r="C18" s="439"/>
      <c r="D18" s="440"/>
      <c r="E18" s="480"/>
      <c r="F18" s="481"/>
      <c r="G18" s="481"/>
      <c r="H18" s="481"/>
      <c r="I18" s="481"/>
      <c r="J18" s="506" t="str">
        <f>IF(AND('Mapa de Riesgos'!$H$51="Alta",'Mapa de Riesgos'!$L$51="Leve"),CONCATENATE("R",'Mapa de Riesgos'!$A$51),"")</f>
        <v/>
      </c>
      <c r="K18" s="507"/>
      <c r="L18" s="507" t="str">
        <f>IF(AND('Mapa de Riesgos'!$H$57="Alta",'Mapa de Riesgos'!$L$57="Leve"),CONCATENATE("R",'Mapa de Riesgos'!$A$57),"")</f>
        <v/>
      </c>
      <c r="M18" s="507"/>
      <c r="N18" s="507" t="str">
        <f>IF(AND('Mapa de Riesgos'!$H$63="Alta",'Mapa de Riesgos'!$L$63="Leve"),CONCATENATE("R",'Mapa de Riesgos'!$A$63),"")</f>
        <v/>
      </c>
      <c r="O18" s="508"/>
      <c r="P18" s="506" t="str">
        <f>IF(AND('Mapa de Riesgos'!$H$51="Alta",'Mapa de Riesgos'!$L$51="Menor"),CONCATENATE("R",'Mapa de Riesgos'!$A$51),"")</f>
        <v/>
      </c>
      <c r="Q18" s="507"/>
      <c r="R18" s="507" t="str">
        <f>IF(AND('Mapa de Riesgos'!$H$57="Alta",'Mapa de Riesgos'!$L$57="Menor"),CONCATENATE("R",'Mapa de Riesgos'!$A$57),"")</f>
        <v/>
      </c>
      <c r="S18" s="507"/>
      <c r="T18" s="507" t="str">
        <f>IF(AND('Mapa de Riesgos'!$H$63="Alta",'Mapa de Riesgos'!$L$63="Menor"),CONCATENATE("R",'Mapa de Riesgos'!$A$63),"")</f>
        <v/>
      </c>
      <c r="U18" s="508"/>
      <c r="V18" s="490" t="str">
        <f>IF(AND('Mapa de Riesgos'!$H$51="Alta",'Mapa de Riesgos'!$L$51="Moderado"),CONCATENATE("R",'Mapa de Riesgos'!$A$51),"")</f>
        <v/>
      </c>
      <c r="W18" s="486"/>
      <c r="X18" s="486" t="str">
        <f>IF(AND('Mapa de Riesgos'!$H$57="Alta",'Mapa de Riesgos'!$L$57="Moderado"),CONCATENATE("R",'Mapa de Riesgos'!$A$57),"")</f>
        <v/>
      </c>
      <c r="Y18" s="486"/>
      <c r="Z18" s="486" t="str">
        <f>IF(AND('Mapa de Riesgos'!$H$63="Alta",'Mapa de Riesgos'!$L$63="Moderado"),CONCATENATE("R",'Mapa de Riesgos'!$A$63),"")</f>
        <v/>
      </c>
      <c r="AA18" s="487"/>
      <c r="AB18" s="490" t="str">
        <f>IF(AND('Mapa de Riesgos'!$H$51="Alta",'Mapa de Riesgos'!$L$51="Mayor"),CONCATENATE("R",'Mapa de Riesgos'!$A$51),"")</f>
        <v/>
      </c>
      <c r="AC18" s="486"/>
      <c r="AD18" s="486" t="str">
        <f>IF(AND('Mapa de Riesgos'!$H$57="Alta",'Mapa de Riesgos'!$L$57="Mayor"),CONCATENATE("R",'Mapa de Riesgos'!$A$57),"")</f>
        <v/>
      </c>
      <c r="AE18" s="486"/>
      <c r="AF18" s="486" t="str">
        <f>IF(AND('Mapa de Riesgos'!$H$63="Alta",'Mapa de Riesgos'!$L$63="Mayor"),CONCATENATE("R",'Mapa de Riesgos'!$A$63),"")</f>
        <v/>
      </c>
      <c r="AG18" s="487"/>
      <c r="AH18" s="497" t="str">
        <f>IF(AND('Mapa de Riesgos'!$H$51="Alta",'Mapa de Riesgos'!$L$51="Catastrófico"),CONCATENATE("R",'Mapa de Riesgos'!$A$51),"")</f>
        <v/>
      </c>
      <c r="AI18" s="498"/>
      <c r="AJ18" s="498" t="str">
        <f>IF(AND('Mapa de Riesgos'!$H$57="Alta",'Mapa de Riesgos'!$L$57="Catastrófico"),CONCATENATE("R",'Mapa de Riesgos'!$A$57),"")</f>
        <v/>
      </c>
      <c r="AK18" s="498"/>
      <c r="AL18" s="498" t="str">
        <f>IF(AND('Mapa de Riesgos'!$H$63="Alta",'Mapa de Riesgos'!$L$63="Catastrófico"),CONCATENATE("R",'Mapa de Riesgos'!$A$63),"")</f>
        <v/>
      </c>
      <c r="AM18" s="499"/>
      <c r="AN18" s="83"/>
      <c r="AO18" s="453"/>
      <c r="AP18" s="454"/>
      <c r="AQ18" s="454"/>
      <c r="AR18" s="454"/>
      <c r="AS18" s="454"/>
      <c r="AT18" s="45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39"/>
      <c r="C19" s="439"/>
      <c r="D19" s="440"/>
      <c r="E19" s="480"/>
      <c r="F19" s="481"/>
      <c r="G19" s="481"/>
      <c r="H19" s="481"/>
      <c r="I19" s="481"/>
      <c r="J19" s="506"/>
      <c r="K19" s="507"/>
      <c r="L19" s="507"/>
      <c r="M19" s="507"/>
      <c r="N19" s="507"/>
      <c r="O19" s="508"/>
      <c r="P19" s="506"/>
      <c r="Q19" s="507"/>
      <c r="R19" s="507"/>
      <c r="S19" s="507"/>
      <c r="T19" s="507"/>
      <c r="U19" s="508"/>
      <c r="V19" s="490"/>
      <c r="W19" s="486"/>
      <c r="X19" s="486"/>
      <c r="Y19" s="486"/>
      <c r="Z19" s="486"/>
      <c r="AA19" s="487"/>
      <c r="AB19" s="490"/>
      <c r="AC19" s="486"/>
      <c r="AD19" s="486"/>
      <c r="AE19" s="486"/>
      <c r="AF19" s="486"/>
      <c r="AG19" s="487"/>
      <c r="AH19" s="497"/>
      <c r="AI19" s="498"/>
      <c r="AJ19" s="498"/>
      <c r="AK19" s="498"/>
      <c r="AL19" s="498"/>
      <c r="AM19" s="499"/>
      <c r="AN19" s="83"/>
      <c r="AO19" s="453"/>
      <c r="AP19" s="454"/>
      <c r="AQ19" s="454"/>
      <c r="AR19" s="454"/>
      <c r="AS19" s="454"/>
      <c r="AT19" s="45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39"/>
      <c r="C20" s="439"/>
      <c r="D20" s="440"/>
      <c r="E20" s="480"/>
      <c r="F20" s="481"/>
      <c r="G20" s="481"/>
      <c r="H20" s="481"/>
      <c r="I20" s="481"/>
      <c r="J20" s="506" t="str">
        <f>IF(AND('Mapa de Riesgos'!$H$69="Alta",'Mapa de Riesgos'!$L$69="Leve"),CONCATENATE("R",'Mapa de Riesgos'!$A$69),"")</f>
        <v/>
      </c>
      <c r="K20" s="507"/>
      <c r="L20" s="507" t="str">
        <f>IF(AND('Mapa de Riesgos'!$H$75="Alta",'Mapa de Riesgos'!$L$75="Leve"),CONCATENATE("R",'Mapa de Riesgos'!$A$75),"")</f>
        <v/>
      </c>
      <c r="M20" s="507"/>
      <c r="N20" s="507" t="str">
        <f>IF(AND('Mapa de Riesgos'!$H$81="Alta",'Mapa de Riesgos'!$L$81="Leve"),CONCATENATE("R",'Mapa de Riesgos'!$A$81),"")</f>
        <v/>
      </c>
      <c r="O20" s="508"/>
      <c r="P20" s="506" t="str">
        <f>IF(AND('Mapa de Riesgos'!$H$69="Alta",'Mapa de Riesgos'!$L$69="Menor"),CONCATENATE("R",'Mapa de Riesgos'!$A$69),"")</f>
        <v/>
      </c>
      <c r="Q20" s="507"/>
      <c r="R20" s="507" t="str">
        <f>IF(AND('Mapa de Riesgos'!$H$75="Alta",'Mapa de Riesgos'!$L$75="Menor"),CONCATENATE("R",'Mapa de Riesgos'!$A$75),"")</f>
        <v/>
      </c>
      <c r="S20" s="507"/>
      <c r="T20" s="507" t="str">
        <f>IF(AND('Mapa de Riesgos'!$H$81="Alta",'Mapa de Riesgos'!$L$81="Menor"),CONCATENATE("R",'Mapa de Riesgos'!$A$81),"")</f>
        <v/>
      </c>
      <c r="U20" s="508"/>
      <c r="V20" s="490" t="str">
        <f>IF(AND('Mapa de Riesgos'!$H$69="Alta",'Mapa de Riesgos'!$L$69="Moderado"),CONCATENATE("R",'Mapa de Riesgos'!$A$69),"")</f>
        <v/>
      </c>
      <c r="W20" s="486"/>
      <c r="X20" s="486" t="str">
        <f>IF(AND('Mapa de Riesgos'!$H$75="Alta",'Mapa de Riesgos'!$L$75="Moderado"),CONCATENATE("R",'Mapa de Riesgos'!$A$75),"")</f>
        <v/>
      </c>
      <c r="Y20" s="486"/>
      <c r="Z20" s="486" t="str">
        <f>IF(AND('Mapa de Riesgos'!$H$81="Alta",'Mapa de Riesgos'!$L$81="Moderado"),CONCATENATE("R",'Mapa de Riesgos'!$A$81),"")</f>
        <v/>
      </c>
      <c r="AA20" s="487"/>
      <c r="AB20" s="490" t="str">
        <f>IF(AND('Mapa de Riesgos'!$H$69="Alta",'Mapa de Riesgos'!$L$69="Mayor"),CONCATENATE("R",'Mapa de Riesgos'!$A$69),"")</f>
        <v/>
      </c>
      <c r="AC20" s="486"/>
      <c r="AD20" s="486" t="str">
        <f>IF(AND('Mapa de Riesgos'!$H$75="Alta",'Mapa de Riesgos'!$L$75="Mayor"),CONCATENATE("R",'Mapa de Riesgos'!$A$75),"")</f>
        <v/>
      </c>
      <c r="AE20" s="486"/>
      <c r="AF20" s="486" t="str">
        <f>IF(AND('Mapa de Riesgos'!$H$81="Alta",'Mapa de Riesgos'!$L$81="Mayor"),CONCATENATE("R",'Mapa de Riesgos'!$A$81),"")</f>
        <v/>
      </c>
      <c r="AG20" s="487"/>
      <c r="AH20" s="497" t="str">
        <f>IF(AND('Mapa de Riesgos'!$H$69="Alta",'Mapa de Riesgos'!$L$69="Catastrófico"),CONCATENATE("R",'Mapa de Riesgos'!$A$69),"")</f>
        <v/>
      </c>
      <c r="AI20" s="498"/>
      <c r="AJ20" s="498" t="str">
        <f>IF(AND('Mapa de Riesgos'!$H$75="Alta",'Mapa de Riesgos'!$L$75="Catastrófico"),CONCATENATE("R",'Mapa de Riesgos'!$A$75),"")</f>
        <v/>
      </c>
      <c r="AK20" s="498"/>
      <c r="AL20" s="498" t="str">
        <f>IF(AND('Mapa de Riesgos'!$H$81="Alta",'Mapa de Riesgos'!$L$81="Catastrófico"),CONCATENATE("R",'Mapa de Riesgos'!$A$81),"")</f>
        <v/>
      </c>
      <c r="AM20" s="499"/>
      <c r="AN20" s="83"/>
      <c r="AO20" s="453"/>
      <c r="AP20" s="454"/>
      <c r="AQ20" s="454"/>
      <c r="AR20" s="454"/>
      <c r="AS20" s="454"/>
      <c r="AT20" s="45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39"/>
      <c r="C21" s="439"/>
      <c r="D21" s="440"/>
      <c r="E21" s="483"/>
      <c r="F21" s="484"/>
      <c r="G21" s="484"/>
      <c r="H21" s="484"/>
      <c r="I21" s="484"/>
      <c r="J21" s="509"/>
      <c r="K21" s="510"/>
      <c r="L21" s="510"/>
      <c r="M21" s="510"/>
      <c r="N21" s="510"/>
      <c r="O21" s="511"/>
      <c r="P21" s="509"/>
      <c r="Q21" s="510"/>
      <c r="R21" s="510"/>
      <c r="S21" s="510"/>
      <c r="T21" s="510"/>
      <c r="U21" s="511"/>
      <c r="V21" s="494"/>
      <c r="W21" s="495"/>
      <c r="X21" s="495"/>
      <c r="Y21" s="495"/>
      <c r="Z21" s="495"/>
      <c r="AA21" s="496"/>
      <c r="AB21" s="494"/>
      <c r="AC21" s="495"/>
      <c r="AD21" s="495"/>
      <c r="AE21" s="495"/>
      <c r="AF21" s="495"/>
      <c r="AG21" s="496"/>
      <c r="AH21" s="500"/>
      <c r="AI21" s="501"/>
      <c r="AJ21" s="501"/>
      <c r="AK21" s="501"/>
      <c r="AL21" s="501"/>
      <c r="AM21" s="502"/>
      <c r="AN21" s="83"/>
      <c r="AO21" s="456"/>
      <c r="AP21" s="457"/>
      <c r="AQ21" s="457"/>
      <c r="AR21" s="457"/>
      <c r="AS21" s="457"/>
      <c r="AT21" s="45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39"/>
      <c r="C22" s="439"/>
      <c r="D22" s="440"/>
      <c r="E22" s="477" t="s">
        <v>198</v>
      </c>
      <c r="F22" s="478"/>
      <c r="G22" s="478"/>
      <c r="H22" s="478"/>
      <c r="I22" s="479"/>
      <c r="J22" s="512" t="str">
        <f>IF(AND('Mapa de Riesgos'!$H$12="Media",'Mapa de Riesgos'!$L$12="Leve"),CONCATENATE("R",'Mapa de Riesgos'!$A$12),"")</f>
        <v/>
      </c>
      <c r="K22" s="513"/>
      <c r="L22" s="513" t="str">
        <f>IF(AND('Mapa de Riesgos'!$H$19="Media",'Mapa de Riesgos'!$L$19="Leve"),CONCATENATE("R",'Mapa de Riesgos'!$A$19),"")</f>
        <v/>
      </c>
      <c r="M22" s="513"/>
      <c r="N22" s="513" t="str">
        <f>IF(AND('Mapa de Riesgos'!$H$25="Media",'Mapa de Riesgos'!$L$25="Leve"),CONCATENATE("R",'Mapa de Riesgos'!$A$25),"")</f>
        <v/>
      </c>
      <c r="O22" s="514"/>
      <c r="P22" s="512" t="str">
        <f>IF(AND('Mapa de Riesgos'!$H$12="Media",'Mapa de Riesgos'!$L$12="Menor"),CONCATENATE("R",'Mapa de Riesgos'!$A$12),"")</f>
        <v/>
      </c>
      <c r="Q22" s="513"/>
      <c r="R22" s="513" t="str">
        <f>IF(AND('Mapa de Riesgos'!$H$19="Media",'Mapa de Riesgos'!$L$19="Menor"),CONCATENATE("R",'Mapa de Riesgos'!$A$19),"")</f>
        <v/>
      </c>
      <c r="S22" s="513"/>
      <c r="T22" s="513" t="str">
        <f>IF(AND('Mapa de Riesgos'!$H$25="Media",'Mapa de Riesgos'!$L$25="Menor"),CONCATENATE("R",'Mapa de Riesgos'!$A$25),"")</f>
        <v/>
      </c>
      <c r="U22" s="514"/>
      <c r="V22" s="512" t="str">
        <f>IF(AND('Mapa de Riesgos'!$H$12="Media",'Mapa de Riesgos'!$L$12="Moderado"),CONCATENATE("R",'Mapa de Riesgos'!$A$12),"")</f>
        <v/>
      </c>
      <c r="W22" s="513"/>
      <c r="X22" s="513" t="str">
        <f>IF(AND('Mapa de Riesgos'!$H$19="Media",'Mapa de Riesgos'!$L$19="Moderado"),CONCATENATE("R",'Mapa de Riesgos'!$A$19),"")</f>
        <v/>
      </c>
      <c r="Y22" s="513"/>
      <c r="Z22" s="513" t="str">
        <f>IF(AND('Mapa de Riesgos'!$H$25="Media",'Mapa de Riesgos'!$L$25="Moderado"),CONCATENATE("R",'Mapa de Riesgos'!$A$25),"")</f>
        <v>R3</v>
      </c>
      <c r="AA22" s="514"/>
      <c r="AB22" s="488" t="str">
        <f>IF(AND('Mapa de Riesgos'!$H$12="Media",'Mapa de Riesgos'!$L$12="Mayor"),CONCATENATE("R",'Mapa de Riesgos'!$A$12),"")</f>
        <v>R1</v>
      </c>
      <c r="AC22" s="489"/>
      <c r="AD22" s="489" t="str">
        <f>IF(AND('Mapa de Riesgos'!$H$19="Media",'Mapa de Riesgos'!$L$19="Mayor"),CONCATENATE("R",'Mapa de Riesgos'!$A$19),"")</f>
        <v/>
      </c>
      <c r="AE22" s="489"/>
      <c r="AF22" s="489" t="str">
        <f>IF(AND('Mapa de Riesgos'!$H$25="Media",'Mapa de Riesgos'!$L$25="Mayor"),CONCATENATE("R",'Mapa de Riesgos'!$A$25),"")</f>
        <v/>
      </c>
      <c r="AG22" s="491"/>
      <c r="AH22" s="503" t="str">
        <f>IF(AND('Mapa de Riesgos'!$H$12="Media",'Mapa de Riesgos'!$L$12="Catastrófico"),CONCATENATE("R",'Mapa de Riesgos'!$A$12),"")</f>
        <v/>
      </c>
      <c r="AI22" s="504"/>
      <c r="AJ22" s="504" t="str">
        <f>IF(AND('Mapa de Riesgos'!$H$19="Media",'Mapa de Riesgos'!$L$19="Catastrófico"),CONCATENATE("R",'Mapa de Riesgos'!$A$19),"")</f>
        <v/>
      </c>
      <c r="AK22" s="504"/>
      <c r="AL22" s="504" t="str">
        <f>IF(AND('Mapa de Riesgos'!$H$25="Media",'Mapa de Riesgos'!$L$25="Catastrófico"),CONCATENATE("R",'Mapa de Riesgos'!$A$25),"")</f>
        <v/>
      </c>
      <c r="AM22" s="505"/>
      <c r="AN22" s="83"/>
      <c r="AO22" s="459" t="s">
        <v>199</v>
      </c>
      <c r="AP22" s="460"/>
      <c r="AQ22" s="460"/>
      <c r="AR22" s="460"/>
      <c r="AS22" s="460"/>
      <c r="AT22" s="46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39"/>
      <c r="C23" s="439"/>
      <c r="D23" s="440"/>
      <c r="E23" s="480"/>
      <c r="F23" s="481"/>
      <c r="G23" s="481"/>
      <c r="H23" s="481"/>
      <c r="I23" s="482"/>
      <c r="J23" s="506"/>
      <c r="K23" s="507"/>
      <c r="L23" s="507"/>
      <c r="M23" s="507"/>
      <c r="N23" s="507"/>
      <c r="O23" s="508"/>
      <c r="P23" s="506"/>
      <c r="Q23" s="507"/>
      <c r="R23" s="507"/>
      <c r="S23" s="507"/>
      <c r="T23" s="507"/>
      <c r="U23" s="508"/>
      <c r="V23" s="506"/>
      <c r="W23" s="507"/>
      <c r="X23" s="507"/>
      <c r="Y23" s="507"/>
      <c r="Z23" s="507"/>
      <c r="AA23" s="508"/>
      <c r="AB23" s="490"/>
      <c r="AC23" s="486"/>
      <c r="AD23" s="486"/>
      <c r="AE23" s="486"/>
      <c r="AF23" s="486"/>
      <c r="AG23" s="487"/>
      <c r="AH23" s="497"/>
      <c r="AI23" s="498"/>
      <c r="AJ23" s="498"/>
      <c r="AK23" s="498"/>
      <c r="AL23" s="498"/>
      <c r="AM23" s="499"/>
      <c r="AN23" s="83"/>
      <c r="AO23" s="462"/>
      <c r="AP23" s="463"/>
      <c r="AQ23" s="463"/>
      <c r="AR23" s="463"/>
      <c r="AS23" s="463"/>
      <c r="AT23" s="46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39"/>
      <c r="C24" s="439"/>
      <c r="D24" s="440"/>
      <c r="E24" s="480"/>
      <c r="F24" s="481"/>
      <c r="G24" s="481"/>
      <c r="H24" s="481"/>
      <c r="I24" s="482"/>
      <c r="J24" s="506" t="str">
        <f>IF(AND('Mapa de Riesgos'!$H$33="Media",'Mapa de Riesgos'!$L$33="Leve"),CONCATENATE("R",'Mapa de Riesgos'!$A$33),"")</f>
        <v/>
      </c>
      <c r="K24" s="507"/>
      <c r="L24" s="507" t="str">
        <f>IF(AND('Mapa de Riesgos'!$H$39="Media",'Mapa de Riesgos'!$L$39="Leve"),CONCATENATE("R",'Mapa de Riesgos'!$A$39),"")</f>
        <v/>
      </c>
      <c r="M24" s="507"/>
      <c r="N24" s="507" t="str">
        <f>IF(AND('Mapa de Riesgos'!$H$45="Media",'Mapa de Riesgos'!$L$45="Leve"),CONCATENATE("R",'Mapa de Riesgos'!$A$45),"")</f>
        <v/>
      </c>
      <c r="O24" s="508"/>
      <c r="P24" s="506" t="str">
        <f>IF(AND('Mapa de Riesgos'!$H$33="Media",'Mapa de Riesgos'!$L$33="Menor"),CONCATENATE("R",'Mapa de Riesgos'!$A$33),"")</f>
        <v/>
      </c>
      <c r="Q24" s="507"/>
      <c r="R24" s="507" t="str">
        <f>IF(AND('Mapa de Riesgos'!$H$39="Media",'Mapa de Riesgos'!$L$39="Menor"),CONCATENATE("R",'Mapa de Riesgos'!$A$39),"")</f>
        <v/>
      </c>
      <c r="S24" s="507"/>
      <c r="T24" s="507" t="str">
        <f>IF(AND('Mapa de Riesgos'!$H$45="Media",'Mapa de Riesgos'!$L$45="Menor"),CONCATENATE("R",'Mapa de Riesgos'!$A$45),"")</f>
        <v/>
      </c>
      <c r="U24" s="508"/>
      <c r="V24" s="506" t="str">
        <f>IF(AND('Mapa de Riesgos'!$H$33="Media",'Mapa de Riesgos'!$L$33="Moderado"),CONCATENATE("R",'Mapa de Riesgos'!$A$33),"")</f>
        <v>R4</v>
      </c>
      <c r="W24" s="507"/>
      <c r="X24" s="507" t="str">
        <f>IF(AND('Mapa de Riesgos'!$H$39="Media",'Mapa de Riesgos'!$L$39="Moderado"),CONCATENATE("R",'Mapa de Riesgos'!$A$39),"")</f>
        <v/>
      </c>
      <c r="Y24" s="507"/>
      <c r="Z24" s="507" t="str">
        <f>IF(AND('Mapa de Riesgos'!$H$45="Media",'Mapa de Riesgos'!$L$45="Moderado"),CONCATENATE("R",'Mapa de Riesgos'!$A$45),"")</f>
        <v/>
      </c>
      <c r="AA24" s="508"/>
      <c r="AB24" s="490" t="str">
        <f>IF(AND('Mapa de Riesgos'!$H$33="Media",'Mapa de Riesgos'!$L$33="Mayor"),CONCATENATE("R",'Mapa de Riesgos'!$A$33),"")</f>
        <v/>
      </c>
      <c r="AC24" s="486"/>
      <c r="AD24" s="486" t="str">
        <f>IF(AND('Mapa de Riesgos'!$H$39="Media",'Mapa de Riesgos'!$L$39="Mayor"),CONCATENATE("R",'Mapa de Riesgos'!$A$39),"")</f>
        <v/>
      </c>
      <c r="AE24" s="486"/>
      <c r="AF24" s="486" t="str">
        <f>IF(AND('Mapa de Riesgos'!$H$45="Media",'Mapa de Riesgos'!$L$45="Mayor"),CONCATENATE("R",'Mapa de Riesgos'!$A$45),"")</f>
        <v/>
      </c>
      <c r="AG24" s="487"/>
      <c r="AH24" s="497" t="str">
        <f>IF(AND('Mapa de Riesgos'!$H$33="Media",'Mapa de Riesgos'!$L$33="Catastrófico"),CONCATENATE("R",'Mapa de Riesgos'!$A$33),"")</f>
        <v/>
      </c>
      <c r="AI24" s="498"/>
      <c r="AJ24" s="498" t="str">
        <f>IF(AND('Mapa de Riesgos'!$H$39="Media",'Mapa de Riesgos'!$L$39="Catastrófico"),CONCATENATE("R",'Mapa de Riesgos'!$A$39),"")</f>
        <v/>
      </c>
      <c r="AK24" s="498"/>
      <c r="AL24" s="498" t="str">
        <f>IF(AND('Mapa de Riesgos'!$H$45="Media",'Mapa de Riesgos'!$L$45="Catastrófico"),CONCATENATE("R",'Mapa de Riesgos'!$A$45),"")</f>
        <v/>
      </c>
      <c r="AM24" s="499"/>
      <c r="AN24" s="83"/>
      <c r="AO24" s="462"/>
      <c r="AP24" s="463"/>
      <c r="AQ24" s="463"/>
      <c r="AR24" s="463"/>
      <c r="AS24" s="463"/>
      <c r="AT24" s="46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39"/>
      <c r="C25" s="439"/>
      <c r="D25" s="440"/>
      <c r="E25" s="480"/>
      <c r="F25" s="481"/>
      <c r="G25" s="481"/>
      <c r="H25" s="481"/>
      <c r="I25" s="482"/>
      <c r="J25" s="506"/>
      <c r="K25" s="507"/>
      <c r="L25" s="507"/>
      <c r="M25" s="507"/>
      <c r="N25" s="507"/>
      <c r="O25" s="508"/>
      <c r="P25" s="506"/>
      <c r="Q25" s="507"/>
      <c r="R25" s="507"/>
      <c r="S25" s="507"/>
      <c r="T25" s="507"/>
      <c r="U25" s="508"/>
      <c r="V25" s="506"/>
      <c r="W25" s="507"/>
      <c r="X25" s="507"/>
      <c r="Y25" s="507"/>
      <c r="Z25" s="507"/>
      <c r="AA25" s="508"/>
      <c r="AB25" s="490"/>
      <c r="AC25" s="486"/>
      <c r="AD25" s="486"/>
      <c r="AE25" s="486"/>
      <c r="AF25" s="486"/>
      <c r="AG25" s="487"/>
      <c r="AH25" s="497"/>
      <c r="AI25" s="498"/>
      <c r="AJ25" s="498"/>
      <c r="AK25" s="498"/>
      <c r="AL25" s="498"/>
      <c r="AM25" s="499"/>
      <c r="AN25" s="83"/>
      <c r="AO25" s="462"/>
      <c r="AP25" s="463"/>
      <c r="AQ25" s="463"/>
      <c r="AR25" s="463"/>
      <c r="AS25" s="463"/>
      <c r="AT25" s="46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39"/>
      <c r="C26" s="439"/>
      <c r="D26" s="440"/>
      <c r="E26" s="480"/>
      <c r="F26" s="481"/>
      <c r="G26" s="481"/>
      <c r="H26" s="481"/>
      <c r="I26" s="482"/>
      <c r="J26" s="506" t="str">
        <f>IF(AND('Mapa de Riesgos'!$H$51="Media",'Mapa de Riesgos'!$L$51="Leve"),CONCATENATE("R",'Mapa de Riesgos'!$A$51),"")</f>
        <v/>
      </c>
      <c r="K26" s="507"/>
      <c r="L26" s="507" t="str">
        <f>IF(AND('Mapa de Riesgos'!$H$57="Media",'Mapa de Riesgos'!$L$57="Leve"),CONCATENATE("R",'Mapa de Riesgos'!$A$57),"")</f>
        <v/>
      </c>
      <c r="M26" s="507"/>
      <c r="N26" s="507" t="str">
        <f>IF(AND('Mapa de Riesgos'!$H$63="Media",'Mapa de Riesgos'!$L$63="Leve"),CONCATENATE("R",'Mapa de Riesgos'!$A$63),"")</f>
        <v/>
      </c>
      <c r="O26" s="508"/>
      <c r="P26" s="506" t="str">
        <f>IF(AND('Mapa de Riesgos'!$H$51="Media",'Mapa de Riesgos'!$L$51="Menor"),CONCATENATE("R",'Mapa de Riesgos'!$A$51),"")</f>
        <v/>
      </c>
      <c r="Q26" s="507"/>
      <c r="R26" s="507" t="str">
        <f>IF(AND('Mapa de Riesgos'!$H$57="Media",'Mapa de Riesgos'!$L$57="Menor"),CONCATENATE("R",'Mapa de Riesgos'!$A$57),"")</f>
        <v/>
      </c>
      <c r="S26" s="507"/>
      <c r="T26" s="507" t="str">
        <f>IF(AND('Mapa de Riesgos'!$H$63="Media",'Mapa de Riesgos'!$L$63="Menor"),CONCATENATE("R",'Mapa de Riesgos'!$A$63),"")</f>
        <v/>
      </c>
      <c r="U26" s="508"/>
      <c r="V26" s="506" t="str">
        <f>IF(AND('Mapa de Riesgos'!$H$51="Media",'Mapa de Riesgos'!$L$51="Moderado"),CONCATENATE("R",'Mapa de Riesgos'!$A$51),"")</f>
        <v/>
      </c>
      <c r="W26" s="507"/>
      <c r="X26" s="507" t="str">
        <f>IF(AND('Mapa de Riesgos'!$H$57="Media",'Mapa de Riesgos'!$L$57="Moderado"),CONCATENATE("R",'Mapa de Riesgos'!$A$57),"")</f>
        <v/>
      </c>
      <c r="Y26" s="507"/>
      <c r="Z26" s="507" t="str">
        <f>IF(AND('Mapa de Riesgos'!$H$63="Media",'Mapa de Riesgos'!$L$63="Moderado"),CONCATENATE("R",'Mapa de Riesgos'!$A$63),"")</f>
        <v/>
      </c>
      <c r="AA26" s="508"/>
      <c r="AB26" s="490" t="str">
        <f>IF(AND('Mapa de Riesgos'!$H$51="Media",'Mapa de Riesgos'!$L$51="Mayor"),CONCATENATE("R",'Mapa de Riesgos'!$A$51),"")</f>
        <v/>
      </c>
      <c r="AC26" s="486"/>
      <c r="AD26" s="486" t="str">
        <f>IF(AND('Mapa de Riesgos'!$H$57="Media",'Mapa de Riesgos'!$L$57="Mayor"),CONCATENATE("R",'Mapa de Riesgos'!$A$57),"")</f>
        <v/>
      </c>
      <c r="AE26" s="486"/>
      <c r="AF26" s="486" t="str">
        <f>IF(AND('Mapa de Riesgos'!$H$63="Media",'Mapa de Riesgos'!$L$63="Mayor"),CONCATENATE("R",'Mapa de Riesgos'!$A$63),"")</f>
        <v/>
      </c>
      <c r="AG26" s="487"/>
      <c r="AH26" s="497" t="str">
        <f>IF(AND('Mapa de Riesgos'!$H$51="Media",'Mapa de Riesgos'!$L$51="Catastrófico"),CONCATENATE("R",'Mapa de Riesgos'!$A$51),"")</f>
        <v/>
      </c>
      <c r="AI26" s="498"/>
      <c r="AJ26" s="498" t="str">
        <f>IF(AND('Mapa de Riesgos'!$H$57="Media",'Mapa de Riesgos'!$L$57="Catastrófico"),CONCATENATE("R",'Mapa de Riesgos'!$A$57),"")</f>
        <v/>
      </c>
      <c r="AK26" s="498"/>
      <c r="AL26" s="498" t="str">
        <f>IF(AND('Mapa de Riesgos'!$H$63="Media",'Mapa de Riesgos'!$L$63="Catastrófico"),CONCATENATE("R",'Mapa de Riesgos'!$A$63),"")</f>
        <v/>
      </c>
      <c r="AM26" s="499"/>
      <c r="AN26" s="83"/>
      <c r="AO26" s="462"/>
      <c r="AP26" s="463"/>
      <c r="AQ26" s="463"/>
      <c r="AR26" s="463"/>
      <c r="AS26" s="463"/>
      <c r="AT26" s="46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39"/>
      <c r="C27" s="439"/>
      <c r="D27" s="440"/>
      <c r="E27" s="480"/>
      <c r="F27" s="481"/>
      <c r="G27" s="481"/>
      <c r="H27" s="481"/>
      <c r="I27" s="482"/>
      <c r="J27" s="506"/>
      <c r="K27" s="507"/>
      <c r="L27" s="507"/>
      <c r="M27" s="507"/>
      <c r="N27" s="507"/>
      <c r="O27" s="508"/>
      <c r="P27" s="506"/>
      <c r="Q27" s="507"/>
      <c r="R27" s="507"/>
      <c r="S27" s="507"/>
      <c r="T27" s="507"/>
      <c r="U27" s="508"/>
      <c r="V27" s="506"/>
      <c r="W27" s="507"/>
      <c r="X27" s="507"/>
      <c r="Y27" s="507"/>
      <c r="Z27" s="507"/>
      <c r="AA27" s="508"/>
      <c r="AB27" s="490"/>
      <c r="AC27" s="486"/>
      <c r="AD27" s="486"/>
      <c r="AE27" s="486"/>
      <c r="AF27" s="486"/>
      <c r="AG27" s="487"/>
      <c r="AH27" s="497"/>
      <c r="AI27" s="498"/>
      <c r="AJ27" s="498"/>
      <c r="AK27" s="498"/>
      <c r="AL27" s="498"/>
      <c r="AM27" s="499"/>
      <c r="AN27" s="83"/>
      <c r="AO27" s="462"/>
      <c r="AP27" s="463"/>
      <c r="AQ27" s="463"/>
      <c r="AR27" s="463"/>
      <c r="AS27" s="463"/>
      <c r="AT27" s="46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39"/>
      <c r="C28" s="439"/>
      <c r="D28" s="440"/>
      <c r="E28" s="480"/>
      <c r="F28" s="481"/>
      <c r="G28" s="481"/>
      <c r="H28" s="481"/>
      <c r="I28" s="482"/>
      <c r="J28" s="506" t="str">
        <f>IF(AND('Mapa de Riesgos'!$H$69="Media",'Mapa de Riesgos'!$L$69="Leve"),CONCATENATE("R",'Mapa de Riesgos'!$A$69),"")</f>
        <v/>
      </c>
      <c r="K28" s="507"/>
      <c r="L28" s="507" t="str">
        <f>IF(AND('Mapa de Riesgos'!$H$75="Media",'Mapa de Riesgos'!$L$75="Leve"),CONCATENATE("R",'Mapa de Riesgos'!$A$75),"")</f>
        <v/>
      </c>
      <c r="M28" s="507"/>
      <c r="N28" s="507" t="str">
        <f>IF(AND('Mapa de Riesgos'!$H$81="Media",'Mapa de Riesgos'!$L$81="Leve"),CONCATENATE("R",'Mapa de Riesgos'!$A$81),"")</f>
        <v/>
      </c>
      <c r="O28" s="508"/>
      <c r="P28" s="506" t="str">
        <f>IF(AND('Mapa de Riesgos'!$H$69="Media",'Mapa de Riesgos'!$L$69="Menor"),CONCATENATE("R",'Mapa de Riesgos'!$A$69),"")</f>
        <v/>
      </c>
      <c r="Q28" s="507"/>
      <c r="R28" s="507" t="str">
        <f>IF(AND('Mapa de Riesgos'!$H$75="Media",'Mapa de Riesgos'!$L$75="Menor"),CONCATENATE("R",'Mapa de Riesgos'!$A$75),"")</f>
        <v/>
      </c>
      <c r="S28" s="507"/>
      <c r="T28" s="507" t="str">
        <f>IF(AND('Mapa de Riesgos'!$H$81="Media",'Mapa de Riesgos'!$L$81="Menor"),CONCATENATE("R",'Mapa de Riesgos'!$A$81),"")</f>
        <v/>
      </c>
      <c r="U28" s="508"/>
      <c r="V28" s="506" t="str">
        <f>IF(AND('Mapa de Riesgos'!$H$69="Media",'Mapa de Riesgos'!$L$69="Moderado"),CONCATENATE("R",'Mapa de Riesgos'!$A$69),"")</f>
        <v/>
      </c>
      <c r="W28" s="507"/>
      <c r="X28" s="507" t="str">
        <f>IF(AND('Mapa de Riesgos'!$H$75="Media",'Mapa de Riesgos'!$L$75="Moderado"),CONCATENATE("R",'Mapa de Riesgos'!$A$75),"")</f>
        <v/>
      </c>
      <c r="Y28" s="507"/>
      <c r="Z28" s="507" t="str">
        <f>IF(AND('Mapa de Riesgos'!$H$81="Media",'Mapa de Riesgos'!$L$81="Moderado"),CONCATENATE("R",'Mapa de Riesgos'!$A$81),"")</f>
        <v/>
      </c>
      <c r="AA28" s="508"/>
      <c r="AB28" s="490" t="str">
        <f>IF(AND('Mapa de Riesgos'!$H$69="Media",'Mapa de Riesgos'!$L$69="Mayor"),CONCATENATE("R",'Mapa de Riesgos'!$A$69),"")</f>
        <v/>
      </c>
      <c r="AC28" s="486"/>
      <c r="AD28" s="486" t="str">
        <f>IF(AND('Mapa de Riesgos'!$H$75="Media",'Mapa de Riesgos'!$L$75="Mayor"),CONCATENATE("R",'Mapa de Riesgos'!$A$75),"")</f>
        <v/>
      </c>
      <c r="AE28" s="486"/>
      <c r="AF28" s="486" t="str">
        <f>IF(AND('Mapa de Riesgos'!$H$81="Media",'Mapa de Riesgos'!$L$81="Mayor"),CONCATENATE("R",'Mapa de Riesgos'!$A$81),"")</f>
        <v/>
      </c>
      <c r="AG28" s="487"/>
      <c r="AH28" s="497" t="str">
        <f>IF(AND('Mapa de Riesgos'!$H$69="Media",'Mapa de Riesgos'!$L$69="Catastrófico"),CONCATENATE("R",'Mapa de Riesgos'!$A$69),"")</f>
        <v/>
      </c>
      <c r="AI28" s="498"/>
      <c r="AJ28" s="498" t="str">
        <f>IF(AND('Mapa de Riesgos'!$H$75="Media",'Mapa de Riesgos'!$L$75="Catastrófico"),CONCATENATE("R",'Mapa de Riesgos'!$A$75),"")</f>
        <v/>
      </c>
      <c r="AK28" s="498"/>
      <c r="AL28" s="498" t="str">
        <f>IF(AND('Mapa de Riesgos'!$H$81="Media",'Mapa de Riesgos'!$L$81="Catastrófico"),CONCATENATE("R",'Mapa de Riesgos'!$A$81),"")</f>
        <v/>
      </c>
      <c r="AM28" s="499"/>
      <c r="AN28" s="83"/>
      <c r="AO28" s="462"/>
      <c r="AP28" s="463"/>
      <c r="AQ28" s="463"/>
      <c r="AR28" s="463"/>
      <c r="AS28" s="463"/>
      <c r="AT28" s="46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39"/>
      <c r="C29" s="439"/>
      <c r="D29" s="440"/>
      <c r="E29" s="483"/>
      <c r="F29" s="484"/>
      <c r="G29" s="484"/>
      <c r="H29" s="484"/>
      <c r="I29" s="485"/>
      <c r="J29" s="506"/>
      <c r="K29" s="507"/>
      <c r="L29" s="507"/>
      <c r="M29" s="507"/>
      <c r="N29" s="507"/>
      <c r="O29" s="508"/>
      <c r="P29" s="509"/>
      <c r="Q29" s="510"/>
      <c r="R29" s="510"/>
      <c r="S29" s="510"/>
      <c r="T29" s="510"/>
      <c r="U29" s="511"/>
      <c r="V29" s="509"/>
      <c r="W29" s="510"/>
      <c r="X29" s="510"/>
      <c r="Y29" s="510"/>
      <c r="Z29" s="510"/>
      <c r="AA29" s="511"/>
      <c r="AB29" s="494"/>
      <c r="AC29" s="495"/>
      <c r="AD29" s="495"/>
      <c r="AE29" s="495"/>
      <c r="AF29" s="495"/>
      <c r="AG29" s="496"/>
      <c r="AH29" s="500"/>
      <c r="AI29" s="501"/>
      <c r="AJ29" s="501"/>
      <c r="AK29" s="501"/>
      <c r="AL29" s="501"/>
      <c r="AM29" s="502"/>
      <c r="AN29" s="83"/>
      <c r="AO29" s="465"/>
      <c r="AP29" s="466"/>
      <c r="AQ29" s="466"/>
      <c r="AR29" s="466"/>
      <c r="AS29" s="466"/>
      <c r="AT29" s="46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39"/>
      <c r="C30" s="439"/>
      <c r="D30" s="440"/>
      <c r="E30" s="477" t="s">
        <v>200</v>
      </c>
      <c r="F30" s="478"/>
      <c r="G30" s="478"/>
      <c r="H30" s="478"/>
      <c r="I30" s="478"/>
      <c r="J30" s="521" t="str">
        <f>IF(AND('Mapa de Riesgos'!$H$12="Baja",'Mapa de Riesgos'!$L$12="Leve"),CONCATENATE("R",'Mapa de Riesgos'!$A$12),"")</f>
        <v/>
      </c>
      <c r="K30" s="522"/>
      <c r="L30" s="522" t="str">
        <f>IF(AND('Mapa de Riesgos'!$H$19="Baja",'Mapa de Riesgos'!$L$19="Leve"),CONCATENATE("R",'Mapa de Riesgos'!$A$19),"")</f>
        <v/>
      </c>
      <c r="M30" s="522"/>
      <c r="N30" s="522" t="str">
        <f>IF(AND('Mapa de Riesgos'!$H$25="Baja",'Mapa de Riesgos'!$L$25="Leve"),CONCATENATE("R",'Mapa de Riesgos'!$A$25),"")</f>
        <v/>
      </c>
      <c r="O30" s="523"/>
      <c r="P30" s="513" t="str">
        <f>IF(AND('Mapa de Riesgos'!$H$12="Baja",'Mapa de Riesgos'!$L$12="Menor"),CONCATENATE("R",'Mapa de Riesgos'!$A$12),"")</f>
        <v/>
      </c>
      <c r="Q30" s="513"/>
      <c r="R30" s="513" t="str">
        <f>IF(AND('Mapa de Riesgos'!$H$19="Baja",'Mapa de Riesgos'!$L$19="Menor"),CONCATENATE("R",'Mapa de Riesgos'!$A$19),"")</f>
        <v/>
      </c>
      <c r="S30" s="513"/>
      <c r="T30" s="513" t="str">
        <f>IF(AND('Mapa de Riesgos'!$H$25="Baja",'Mapa de Riesgos'!$L$25="Menor"),CONCATENATE("R",'Mapa de Riesgos'!$A$25),"")</f>
        <v/>
      </c>
      <c r="U30" s="514"/>
      <c r="V30" s="512" t="str">
        <f>IF(AND('Mapa de Riesgos'!$H$12="Baja",'Mapa de Riesgos'!$L$12="Moderado"),CONCATENATE("R",'Mapa de Riesgos'!$A$12),"")</f>
        <v/>
      </c>
      <c r="W30" s="513"/>
      <c r="X30" s="513" t="str">
        <f>IF(AND('Mapa de Riesgos'!$H$19="Baja",'Mapa de Riesgos'!$L$19="Moderado"),CONCATENATE("R",'Mapa de Riesgos'!$A$19),"")</f>
        <v/>
      </c>
      <c r="Y30" s="513"/>
      <c r="Z30" s="513" t="str">
        <f>IF(AND('Mapa de Riesgos'!$H$25="Baja",'Mapa de Riesgos'!$L$25="Moderado"),CONCATENATE("R",'Mapa de Riesgos'!$A$25),"")</f>
        <v/>
      </c>
      <c r="AA30" s="514"/>
      <c r="AB30" s="488" t="str">
        <f>IF(AND('Mapa de Riesgos'!$H$12="Baja",'Mapa de Riesgos'!$L$12="Mayor"),CONCATENATE("R",'Mapa de Riesgos'!$A$12),"")</f>
        <v/>
      </c>
      <c r="AC30" s="489"/>
      <c r="AD30" s="489" t="str">
        <f>IF(AND('Mapa de Riesgos'!$H$19="Baja",'Mapa de Riesgos'!$L$19="Mayor"),CONCATENATE("R",'Mapa de Riesgos'!$A$19),"")</f>
        <v/>
      </c>
      <c r="AE30" s="489"/>
      <c r="AF30" s="489" t="str">
        <f>IF(AND('Mapa de Riesgos'!$H$25="Baja",'Mapa de Riesgos'!$L$25="Mayor"),CONCATENATE("R",'Mapa de Riesgos'!$A$25),"")</f>
        <v/>
      </c>
      <c r="AG30" s="491"/>
      <c r="AH30" s="503" t="str">
        <f>IF(AND('Mapa de Riesgos'!$H$12="Baja",'Mapa de Riesgos'!$L$12="Catastrófico"),CONCATENATE("R",'Mapa de Riesgos'!$A$12),"")</f>
        <v/>
      </c>
      <c r="AI30" s="504"/>
      <c r="AJ30" s="504" t="str">
        <f>IF(AND('Mapa de Riesgos'!$H$19="Baja",'Mapa de Riesgos'!$L$19="Catastrófico"),CONCATENATE("R",'Mapa de Riesgos'!$A$19),"")</f>
        <v/>
      </c>
      <c r="AK30" s="504"/>
      <c r="AL30" s="504" t="str">
        <f>IF(AND('Mapa de Riesgos'!$H$25="Baja",'Mapa de Riesgos'!$L$25="Catastrófico"),CONCATENATE("R",'Mapa de Riesgos'!$A$25),"")</f>
        <v/>
      </c>
      <c r="AM30" s="505"/>
      <c r="AN30" s="83"/>
      <c r="AO30" s="468" t="s">
        <v>201</v>
      </c>
      <c r="AP30" s="469"/>
      <c r="AQ30" s="469"/>
      <c r="AR30" s="469"/>
      <c r="AS30" s="469"/>
      <c r="AT30" s="47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39"/>
      <c r="C31" s="439"/>
      <c r="D31" s="440"/>
      <c r="E31" s="480"/>
      <c r="F31" s="481"/>
      <c r="G31" s="481"/>
      <c r="H31" s="481"/>
      <c r="I31" s="481"/>
      <c r="J31" s="517"/>
      <c r="K31" s="515"/>
      <c r="L31" s="515"/>
      <c r="M31" s="515"/>
      <c r="N31" s="515"/>
      <c r="O31" s="516"/>
      <c r="P31" s="507"/>
      <c r="Q31" s="507"/>
      <c r="R31" s="507"/>
      <c r="S31" s="507"/>
      <c r="T31" s="507"/>
      <c r="U31" s="508"/>
      <c r="V31" s="506"/>
      <c r="W31" s="507"/>
      <c r="X31" s="507"/>
      <c r="Y31" s="507"/>
      <c r="Z31" s="507"/>
      <c r="AA31" s="508"/>
      <c r="AB31" s="490"/>
      <c r="AC31" s="486"/>
      <c r="AD31" s="486"/>
      <c r="AE31" s="486"/>
      <c r="AF31" s="486"/>
      <c r="AG31" s="487"/>
      <c r="AH31" s="497"/>
      <c r="AI31" s="498"/>
      <c r="AJ31" s="498"/>
      <c r="AK31" s="498"/>
      <c r="AL31" s="498"/>
      <c r="AM31" s="499"/>
      <c r="AN31" s="83"/>
      <c r="AO31" s="471"/>
      <c r="AP31" s="472"/>
      <c r="AQ31" s="472"/>
      <c r="AR31" s="472"/>
      <c r="AS31" s="472"/>
      <c r="AT31" s="47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39"/>
      <c r="C32" s="439"/>
      <c r="D32" s="440"/>
      <c r="E32" s="480"/>
      <c r="F32" s="481"/>
      <c r="G32" s="481"/>
      <c r="H32" s="481"/>
      <c r="I32" s="481"/>
      <c r="J32" s="517" t="str">
        <f>IF(AND('Mapa de Riesgos'!$H$33="Baja",'Mapa de Riesgos'!$L$33="Leve"),CONCATENATE("R",'Mapa de Riesgos'!$A$33),"")</f>
        <v/>
      </c>
      <c r="K32" s="515"/>
      <c r="L32" s="515" t="str">
        <f>IF(AND('Mapa de Riesgos'!$H$39="Baja",'Mapa de Riesgos'!$L$39="Leve"),CONCATENATE("R",'Mapa de Riesgos'!$A$39),"")</f>
        <v/>
      </c>
      <c r="M32" s="515"/>
      <c r="N32" s="515" t="str">
        <f>IF(AND('Mapa de Riesgos'!$H$45="Baja",'Mapa de Riesgos'!$L$45="Leve"),CONCATENATE("R",'Mapa de Riesgos'!$A$45),"")</f>
        <v/>
      </c>
      <c r="O32" s="516"/>
      <c r="P32" s="507" t="str">
        <f>IF(AND('Mapa de Riesgos'!$H$33="Baja",'Mapa de Riesgos'!$L$33="Menor"),CONCATENATE("R",'Mapa de Riesgos'!$A$33),"")</f>
        <v/>
      </c>
      <c r="Q32" s="507"/>
      <c r="R32" s="507" t="str">
        <f>IF(AND('Mapa de Riesgos'!$H$39="Baja",'Mapa de Riesgos'!$L$39="Menor"),CONCATENATE("R",'Mapa de Riesgos'!$A$39),"")</f>
        <v/>
      </c>
      <c r="S32" s="507"/>
      <c r="T32" s="507" t="str">
        <f>IF(AND('Mapa de Riesgos'!$H$45="Baja",'Mapa de Riesgos'!$L$45="Menor"),CONCATENATE("R",'Mapa de Riesgos'!$A$45),"")</f>
        <v/>
      </c>
      <c r="U32" s="508"/>
      <c r="V32" s="506" t="str">
        <f>IF(AND('Mapa de Riesgos'!$H$33="Baja",'Mapa de Riesgos'!$L$33="Moderado"),CONCATENATE("R",'Mapa de Riesgos'!$A$33),"")</f>
        <v/>
      </c>
      <c r="W32" s="507"/>
      <c r="X32" s="507" t="str">
        <f>IF(AND('Mapa de Riesgos'!$H$39="Baja",'Mapa de Riesgos'!$L$39="Moderado"),CONCATENATE("R",'Mapa de Riesgos'!$A$39),"")</f>
        <v/>
      </c>
      <c r="Y32" s="507"/>
      <c r="Z32" s="507" t="str">
        <f>IF(AND('Mapa de Riesgos'!$H$45="Baja",'Mapa de Riesgos'!$L$45="Moderado"),CONCATENATE("R",'Mapa de Riesgos'!$A$45),"")</f>
        <v/>
      </c>
      <c r="AA32" s="508"/>
      <c r="AB32" s="490" t="str">
        <f>IF(AND('Mapa de Riesgos'!$H$33="Baja",'Mapa de Riesgos'!$L$33="Mayor"),CONCATENATE("R",'Mapa de Riesgos'!$A$33),"")</f>
        <v/>
      </c>
      <c r="AC32" s="486"/>
      <c r="AD32" s="486" t="str">
        <f>IF(AND('Mapa de Riesgos'!$H$39="Baja",'Mapa de Riesgos'!$L$39="Mayor"),CONCATENATE("R",'Mapa de Riesgos'!$A$39),"")</f>
        <v/>
      </c>
      <c r="AE32" s="486"/>
      <c r="AF32" s="486" t="str">
        <f>IF(AND('Mapa de Riesgos'!$H$45="Baja",'Mapa de Riesgos'!$L$45="Mayor"),CONCATENATE("R",'Mapa de Riesgos'!$A$45),"")</f>
        <v/>
      </c>
      <c r="AG32" s="487"/>
      <c r="AH32" s="497" t="str">
        <f>IF(AND('Mapa de Riesgos'!$H$33="Baja",'Mapa de Riesgos'!$L$33="Catastrófico"),CONCATENATE("R",'Mapa de Riesgos'!$A$33),"")</f>
        <v/>
      </c>
      <c r="AI32" s="498"/>
      <c r="AJ32" s="498" t="str">
        <f>IF(AND('Mapa de Riesgos'!$H$39="Baja",'Mapa de Riesgos'!$L$39="Catastrófico"),CONCATENATE("R",'Mapa de Riesgos'!$A$39),"")</f>
        <v/>
      </c>
      <c r="AK32" s="498"/>
      <c r="AL32" s="498" t="str">
        <f>IF(AND('Mapa de Riesgos'!$H$45="Baja",'Mapa de Riesgos'!$L$45="Catastrófico"),CONCATENATE("R",'Mapa de Riesgos'!$A$45),"")</f>
        <v/>
      </c>
      <c r="AM32" s="499"/>
      <c r="AN32" s="83"/>
      <c r="AO32" s="471"/>
      <c r="AP32" s="472"/>
      <c r="AQ32" s="472"/>
      <c r="AR32" s="472"/>
      <c r="AS32" s="472"/>
      <c r="AT32" s="47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39"/>
      <c r="C33" s="439"/>
      <c r="D33" s="440"/>
      <c r="E33" s="480"/>
      <c r="F33" s="481"/>
      <c r="G33" s="481"/>
      <c r="H33" s="481"/>
      <c r="I33" s="481"/>
      <c r="J33" s="517"/>
      <c r="K33" s="515"/>
      <c r="L33" s="515"/>
      <c r="M33" s="515"/>
      <c r="N33" s="515"/>
      <c r="O33" s="516"/>
      <c r="P33" s="507"/>
      <c r="Q33" s="507"/>
      <c r="R33" s="507"/>
      <c r="S33" s="507"/>
      <c r="T33" s="507"/>
      <c r="U33" s="508"/>
      <c r="V33" s="506"/>
      <c r="W33" s="507"/>
      <c r="X33" s="507"/>
      <c r="Y33" s="507"/>
      <c r="Z33" s="507"/>
      <c r="AA33" s="508"/>
      <c r="AB33" s="490"/>
      <c r="AC33" s="486"/>
      <c r="AD33" s="486"/>
      <c r="AE33" s="486"/>
      <c r="AF33" s="486"/>
      <c r="AG33" s="487"/>
      <c r="AH33" s="497"/>
      <c r="AI33" s="498"/>
      <c r="AJ33" s="498"/>
      <c r="AK33" s="498"/>
      <c r="AL33" s="498"/>
      <c r="AM33" s="499"/>
      <c r="AN33" s="83"/>
      <c r="AO33" s="471"/>
      <c r="AP33" s="472"/>
      <c r="AQ33" s="472"/>
      <c r="AR33" s="472"/>
      <c r="AS33" s="472"/>
      <c r="AT33" s="47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39"/>
      <c r="C34" s="439"/>
      <c r="D34" s="440"/>
      <c r="E34" s="480"/>
      <c r="F34" s="481"/>
      <c r="G34" s="481"/>
      <c r="H34" s="481"/>
      <c r="I34" s="481"/>
      <c r="J34" s="517" t="str">
        <f>IF(AND('Mapa de Riesgos'!$H$51="Baja",'Mapa de Riesgos'!$L$51="Leve"),CONCATENATE("R",'Mapa de Riesgos'!$A$51),"")</f>
        <v/>
      </c>
      <c r="K34" s="515"/>
      <c r="L34" s="515" t="str">
        <f>IF(AND('Mapa de Riesgos'!$H$57="Baja",'Mapa de Riesgos'!$L$57="Leve"),CONCATENATE("R",'Mapa de Riesgos'!$A$57),"")</f>
        <v/>
      </c>
      <c r="M34" s="515"/>
      <c r="N34" s="515" t="str">
        <f>IF(AND('Mapa de Riesgos'!$H$63="Baja",'Mapa de Riesgos'!$L$63="Leve"),CONCATENATE("R",'Mapa de Riesgos'!$A$63),"")</f>
        <v/>
      </c>
      <c r="O34" s="516"/>
      <c r="P34" s="507" t="str">
        <f>IF(AND('Mapa de Riesgos'!$H$51="Baja",'Mapa de Riesgos'!$L$51="Menor"),CONCATENATE("R",'Mapa de Riesgos'!$A$51),"")</f>
        <v/>
      </c>
      <c r="Q34" s="507"/>
      <c r="R34" s="507" t="str">
        <f>IF(AND('Mapa de Riesgos'!$H$57="Baja",'Mapa de Riesgos'!$L$57="Menor"),CONCATENATE("R",'Mapa de Riesgos'!$A$57),"")</f>
        <v/>
      </c>
      <c r="S34" s="507"/>
      <c r="T34" s="507" t="str">
        <f>IF(AND('Mapa de Riesgos'!$H$63="Baja",'Mapa de Riesgos'!$L$63="Menor"),CONCATENATE("R",'Mapa de Riesgos'!$A$63),"")</f>
        <v/>
      </c>
      <c r="U34" s="508"/>
      <c r="V34" s="506" t="str">
        <f>IF(AND('Mapa de Riesgos'!$H$51="Baja",'Mapa de Riesgos'!$L$51="Moderado"),CONCATENATE("R",'Mapa de Riesgos'!$A$51),"")</f>
        <v/>
      </c>
      <c r="W34" s="507"/>
      <c r="X34" s="507" t="str">
        <f>IF(AND('Mapa de Riesgos'!$H$57="Baja",'Mapa de Riesgos'!$L$57="Moderado"),CONCATENATE("R",'Mapa de Riesgos'!$A$57),"")</f>
        <v/>
      </c>
      <c r="Y34" s="507"/>
      <c r="Z34" s="507" t="str">
        <f>IF(AND('Mapa de Riesgos'!$H$63="Baja",'Mapa de Riesgos'!$L$63="Moderado"),CONCATENATE("R",'Mapa de Riesgos'!$A$63),"")</f>
        <v/>
      </c>
      <c r="AA34" s="508"/>
      <c r="AB34" s="490" t="str">
        <f>IF(AND('Mapa de Riesgos'!$H$51="Baja",'Mapa de Riesgos'!$L$51="Mayor"),CONCATENATE("R",'Mapa de Riesgos'!$A$51),"")</f>
        <v/>
      </c>
      <c r="AC34" s="486"/>
      <c r="AD34" s="486" t="str">
        <f>IF(AND('Mapa de Riesgos'!$H$57="Baja",'Mapa de Riesgos'!$L$57="Mayor"),CONCATENATE("R",'Mapa de Riesgos'!$A$57),"")</f>
        <v/>
      </c>
      <c r="AE34" s="486"/>
      <c r="AF34" s="486" t="str">
        <f>IF(AND('Mapa de Riesgos'!$H$63="Baja",'Mapa de Riesgos'!$L$63="Mayor"),CONCATENATE("R",'Mapa de Riesgos'!$A$63),"")</f>
        <v/>
      </c>
      <c r="AG34" s="487"/>
      <c r="AH34" s="497" t="str">
        <f>IF(AND('Mapa de Riesgos'!$H$51="Baja",'Mapa de Riesgos'!$L$51="Catastrófico"),CONCATENATE("R",'Mapa de Riesgos'!$A$51),"")</f>
        <v/>
      </c>
      <c r="AI34" s="498"/>
      <c r="AJ34" s="498" t="str">
        <f>IF(AND('Mapa de Riesgos'!$H$57="Baja",'Mapa de Riesgos'!$L$57="Catastrófico"),CONCATENATE("R",'Mapa de Riesgos'!$A$57),"")</f>
        <v/>
      </c>
      <c r="AK34" s="498"/>
      <c r="AL34" s="498" t="str">
        <f>IF(AND('Mapa de Riesgos'!$H$63="Baja",'Mapa de Riesgos'!$L$63="Catastrófico"),CONCATENATE("R",'Mapa de Riesgos'!$A$63),"")</f>
        <v/>
      </c>
      <c r="AM34" s="499"/>
      <c r="AN34" s="83"/>
      <c r="AO34" s="471"/>
      <c r="AP34" s="472"/>
      <c r="AQ34" s="472"/>
      <c r="AR34" s="472"/>
      <c r="AS34" s="472"/>
      <c r="AT34" s="47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39"/>
      <c r="C35" s="439"/>
      <c r="D35" s="440"/>
      <c r="E35" s="480"/>
      <c r="F35" s="481"/>
      <c r="G35" s="481"/>
      <c r="H35" s="481"/>
      <c r="I35" s="481"/>
      <c r="J35" s="517"/>
      <c r="K35" s="515"/>
      <c r="L35" s="515"/>
      <c r="M35" s="515"/>
      <c r="N35" s="515"/>
      <c r="O35" s="516"/>
      <c r="P35" s="507"/>
      <c r="Q35" s="507"/>
      <c r="R35" s="507"/>
      <c r="S35" s="507"/>
      <c r="T35" s="507"/>
      <c r="U35" s="508"/>
      <c r="V35" s="506"/>
      <c r="W35" s="507"/>
      <c r="X35" s="507"/>
      <c r="Y35" s="507"/>
      <c r="Z35" s="507"/>
      <c r="AA35" s="508"/>
      <c r="AB35" s="490"/>
      <c r="AC35" s="486"/>
      <c r="AD35" s="486"/>
      <c r="AE35" s="486"/>
      <c r="AF35" s="486"/>
      <c r="AG35" s="487"/>
      <c r="AH35" s="497"/>
      <c r="AI35" s="498"/>
      <c r="AJ35" s="498"/>
      <c r="AK35" s="498"/>
      <c r="AL35" s="498"/>
      <c r="AM35" s="499"/>
      <c r="AN35" s="83"/>
      <c r="AO35" s="471"/>
      <c r="AP35" s="472"/>
      <c r="AQ35" s="472"/>
      <c r="AR35" s="472"/>
      <c r="AS35" s="472"/>
      <c r="AT35" s="47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39"/>
      <c r="C36" s="439"/>
      <c r="D36" s="440"/>
      <c r="E36" s="480"/>
      <c r="F36" s="481"/>
      <c r="G36" s="481"/>
      <c r="H36" s="481"/>
      <c r="I36" s="481"/>
      <c r="J36" s="517" t="str">
        <f>IF(AND('Mapa de Riesgos'!$H$69="Baja",'Mapa de Riesgos'!$L$69="Leve"),CONCATENATE("R",'Mapa de Riesgos'!$A$69),"")</f>
        <v/>
      </c>
      <c r="K36" s="515"/>
      <c r="L36" s="515" t="str">
        <f>IF(AND('Mapa de Riesgos'!$H$75="Baja",'Mapa de Riesgos'!$L$75="Leve"),CONCATENATE("R",'Mapa de Riesgos'!$A$75),"")</f>
        <v/>
      </c>
      <c r="M36" s="515"/>
      <c r="N36" s="515" t="str">
        <f>IF(AND('Mapa de Riesgos'!$H$81="Baja",'Mapa de Riesgos'!$L$81="Leve"),CONCATENATE("R",'Mapa de Riesgos'!$A$81),"")</f>
        <v/>
      </c>
      <c r="O36" s="516"/>
      <c r="P36" s="507" t="str">
        <f>IF(AND('Mapa de Riesgos'!$H$69="Baja",'Mapa de Riesgos'!$L$69="Menor"),CONCATENATE("R",'Mapa de Riesgos'!$A$69),"")</f>
        <v/>
      </c>
      <c r="Q36" s="507"/>
      <c r="R36" s="507" t="str">
        <f>IF(AND('Mapa de Riesgos'!$H$75="Baja",'Mapa de Riesgos'!$L$75="Menor"),CONCATENATE("R",'Mapa de Riesgos'!$A$75),"")</f>
        <v/>
      </c>
      <c r="S36" s="507"/>
      <c r="T36" s="507" t="str">
        <f>IF(AND('Mapa de Riesgos'!$H$81="Baja",'Mapa de Riesgos'!$L$81="Menor"),CONCATENATE("R",'Mapa de Riesgos'!$A$81),"")</f>
        <v/>
      </c>
      <c r="U36" s="508"/>
      <c r="V36" s="506" t="str">
        <f>IF(AND('Mapa de Riesgos'!$H$69="Baja",'Mapa de Riesgos'!$L$69="Moderado"),CONCATENATE("R",'Mapa de Riesgos'!$A$69),"")</f>
        <v/>
      </c>
      <c r="W36" s="507"/>
      <c r="X36" s="507" t="str">
        <f>IF(AND('Mapa de Riesgos'!$H$75="Baja",'Mapa de Riesgos'!$L$75="Moderado"),CONCATENATE("R",'Mapa de Riesgos'!$A$75),"")</f>
        <v/>
      </c>
      <c r="Y36" s="507"/>
      <c r="Z36" s="507" t="str">
        <f>IF(AND('Mapa de Riesgos'!$H$81="Baja",'Mapa de Riesgos'!$L$81="Moderado"),CONCATENATE("R",'Mapa de Riesgos'!$A$81),"")</f>
        <v/>
      </c>
      <c r="AA36" s="508"/>
      <c r="AB36" s="490" t="str">
        <f>IF(AND('Mapa de Riesgos'!$H$69="Baja",'Mapa de Riesgos'!$L$69="Mayor"),CONCATENATE("R",'Mapa de Riesgos'!$A$69),"")</f>
        <v/>
      </c>
      <c r="AC36" s="486"/>
      <c r="AD36" s="486" t="str">
        <f>IF(AND('Mapa de Riesgos'!$H$75="Baja",'Mapa de Riesgos'!$L$75="Mayor"),CONCATENATE("R",'Mapa de Riesgos'!$A$75),"")</f>
        <v/>
      </c>
      <c r="AE36" s="486"/>
      <c r="AF36" s="486" t="str">
        <f>IF(AND('Mapa de Riesgos'!$H$81="Baja",'Mapa de Riesgos'!$L$81="Mayor"),CONCATENATE("R",'Mapa de Riesgos'!$A$81),"")</f>
        <v/>
      </c>
      <c r="AG36" s="487"/>
      <c r="AH36" s="497" t="str">
        <f>IF(AND('Mapa de Riesgos'!$H$69="Baja",'Mapa de Riesgos'!$L$69="Catastrófico"),CONCATENATE("R",'Mapa de Riesgos'!$A$69),"")</f>
        <v/>
      </c>
      <c r="AI36" s="498"/>
      <c r="AJ36" s="498" t="str">
        <f>IF(AND('Mapa de Riesgos'!$H$75="Baja",'Mapa de Riesgos'!$L$75="Catastrófico"),CONCATENATE("R",'Mapa de Riesgos'!$A$75),"")</f>
        <v/>
      </c>
      <c r="AK36" s="498"/>
      <c r="AL36" s="498" t="str">
        <f>IF(AND('Mapa de Riesgos'!$H$81="Baja",'Mapa de Riesgos'!$L$81="Catastrófico"),CONCATENATE("R",'Mapa de Riesgos'!$A$81),"")</f>
        <v/>
      </c>
      <c r="AM36" s="499"/>
      <c r="AN36" s="83"/>
      <c r="AO36" s="471"/>
      <c r="AP36" s="472"/>
      <c r="AQ36" s="472"/>
      <c r="AR36" s="472"/>
      <c r="AS36" s="472"/>
      <c r="AT36" s="47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39"/>
      <c r="C37" s="439"/>
      <c r="D37" s="440"/>
      <c r="E37" s="483"/>
      <c r="F37" s="484"/>
      <c r="G37" s="484"/>
      <c r="H37" s="484"/>
      <c r="I37" s="484"/>
      <c r="J37" s="518"/>
      <c r="K37" s="519"/>
      <c r="L37" s="519"/>
      <c r="M37" s="519"/>
      <c r="N37" s="519"/>
      <c r="O37" s="520"/>
      <c r="P37" s="510"/>
      <c r="Q37" s="510"/>
      <c r="R37" s="510"/>
      <c r="S37" s="510"/>
      <c r="T37" s="510"/>
      <c r="U37" s="511"/>
      <c r="V37" s="509"/>
      <c r="W37" s="510"/>
      <c r="X37" s="510"/>
      <c r="Y37" s="510"/>
      <c r="Z37" s="510"/>
      <c r="AA37" s="511"/>
      <c r="AB37" s="494"/>
      <c r="AC37" s="495"/>
      <c r="AD37" s="495"/>
      <c r="AE37" s="495"/>
      <c r="AF37" s="495"/>
      <c r="AG37" s="496"/>
      <c r="AH37" s="500"/>
      <c r="AI37" s="501"/>
      <c r="AJ37" s="501"/>
      <c r="AK37" s="501"/>
      <c r="AL37" s="501"/>
      <c r="AM37" s="502"/>
      <c r="AN37" s="83"/>
      <c r="AO37" s="474"/>
      <c r="AP37" s="475"/>
      <c r="AQ37" s="475"/>
      <c r="AR37" s="475"/>
      <c r="AS37" s="475"/>
      <c r="AT37" s="47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39"/>
      <c r="C38" s="439"/>
      <c r="D38" s="440"/>
      <c r="E38" s="477" t="s">
        <v>202</v>
      </c>
      <c r="F38" s="478"/>
      <c r="G38" s="478"/>
      <c r="H38" s="478"/>
      <c r="I38" s="479"/>
      <c r="J38" s="521" t="str">
        <f>IF(AND('Mapa de Riesgos'!$H$12="Muy Baja",'Mapa de Riesgos'!$L$12="Leve"),CONCATENATE("R",'Mapa de Riesgos'!$A$12),"")</f>
        <v/>
      </c>
      <c r="K38" s="522"/>
      <c r="L38" s="522" t="str">
        <f>IF(AND('Mapa de Riesgos'!$H$19="Muy Baja",'Mapa de Riesgos'!$L$19="Leve"),CONCATENATE("R",'Mapa de Riesgos'!$A$19),"")</f>
        <v/>
      </c>
      <c r="M38" s="522"/>
      <c r="N38" s="522" t="str">
        <f>IF(AND('Mapa de Riesgos'!$H$25="Muy Baja",'Mapa de Riesgos'!$L$25="Leve"),CONCATENATE("R",'Mapa de Riesgos'!$A$25),"")</f>
        <v/>
      </c>
      <c r="O38" s="523"/>
      <c r="P38" s="521" t="str">
        <f>IF(AND('Mapa de Riesgos'!$H$12="Muy Baja",'Mapa de Riesgos'!$L$12="Menor"),CONCATENATE("R",'Mapa de Riesgos'!$A$12),"")</f>
        <v/>
      </c>
      <c r="Q38" s="522"/>
      <c r="R38" s="522" t="str">
        <f>IF(AND('Mapa de Riesgos'!$H$19="Muy Baja",'Mapa de Riesgos'!$L$19="Menor"),CONCATENATE("R",'Mapa de Riesgos'!$A$19),"")</f>
        <v/>
      </c>
      <c r="S38" s="522"/>
      <c r="T38" s="522" t="str">
        <f>IF(AND('Mapa de Riesgos'!$H$25="Muy Baja",'Mapa de Riesgos'!$L$25="Menor"),CONCATENATE("R",'Mapa de Riesgos'!$A$25),"")</f>
        <v/>
      </c>
      <c r="U38" s="523"/>
      <c r="V38" s="512" t="str">
        <f>IF(AND('Mapa de Riesgos'!$H$12="Muy Baja",'Mapa de Riesgos'!$L$12="Moderado"),CONCATENATE("R",'Mapa de Riesgos'!$A$12),"")</f>
        <v/>
      </c>
      <c r="W38" s="513"/>
      <c r="X38" s="513" t="str">
        <f>IF(AND('Mapa de Riesgos'!$H$19="Muy Baja",'Mapa de Riesgos'!$L$19="Moderado"),CONCATENATE("R",'Mapa de Riesgos'!$A$19),"")</f>
        <v>R2</v>
      </c>
      <c r="Y38" s="513"/>
      <c r="Z38" s="513" t="str">
        <f>IF(AND('Mapa de Riesgos'!$H$25="Muy Baja",'Mapa de Riesgos'!$L$25="Moderado"),CONCATENATE("R",'Mapa de Riesgos'!$A$25),"")</f>
        <v/>
      </c>
      <c r="AA38" s="514"/>
      <c r="AB38" s="488" t="str">
        <f>IF(AND('Mapa de Riesgos'!$H$12="Muy Baja",'Mapa de Riesgos'!$L$12="Mayor"),CONCATENATE("R",'Mapa de Riesgos'!$A$12),"")</f>
        <v/>
      </c>
      <c r="AC38" s="489"/>
      <c r="AD38" s="489" t="str">
        <f>IF(AND('Mapa de Riesgos'!$H$19="Muy Baja",'Mapa de Riesgos'!$L$19="Mayor"),CONCATENATE("R",'Mapa de Riesgos'!$A$19),"")</f>
        <v/>
      </c>
      <c r="AE38" s="489"/>
      <c r="AF38" s="489" t="str">
        <f>IF(AND('Mapa de Riesgos'!$H$25="Muy Baja",'Mapa de Riesgos'!$L$25="Mayor"),CONCATENATE("R",'Mapa de Riesgos'!$A$25),"")</f>
        <v/>
      </c>
      <c r="AG38" s="491"/>
      <c r="AH38" s="503" t="str">
        <f>IF(AND('Mapa de Riesgos'!$H$12="Muy Baja",'Mapa de Riesgos'!$L$12="Catastrófico"),CONCATENATE("R",'Mapa de Riesgos'!$A$12),"")</f>
        <v/>
      </c>
      <c r="AI38" s="504"/>
      <c r="AJ38" s="504" t="str">
        <f>IF(AND('Mapa de Riesgos'!$H$19="Muy Baja",'Mapa de Riesgos'!$L$19="Catastrófico"),CONCATENATE("R",'Mapa de Riesgos'!$A$19),"")</f>
        <v/>
      </c>
      <c r="AK38" s="504"/>
      <c r="AL38" s="504" t="str">
        <f>IF(AND('Mapa de Riesgos'!$H$25="Muy Baja",'Mapa de Riesgos'!$L$25="Catastrófico"),CONCATENATE("R",'Mapa de Riesgos'!$A$25),"")</f>
        <v/>
      </c>
      <c r="AM38" s="50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39"/>
      <c r="C39" s="439"/>
      <c r="D39" s="440"/>
      <c r="E39" s="480"/>
      <c r="F39" s="481"/>
      <c r="G39" s="481"/>
      <c r="H39" s="481"/>
      <c r="I39" s="482"/>
      <c r="J39" s="517"/>
      <c r="K39" s="515"/>
      <c r="L39" s="515"/>
      <c r="M39" s="515"/>
      <c r="N39" s="515"/>
      <c r="O39" s="516"/>
      <c r="P39" s="517"/>
      <c r="Q39" s="515"/>
      <c r="R39" s="515"/>
      <c r="S39" s="515"/>
      <c r="T39" s="515"/>
      <c r="U39" s="516"/>
      <c r="V39" s="506"/>
      <c r="W39" s="507"/>
      <c r="X39" s="507"/>
      <c r="Y39" s="507"/>
      <c r="Z39" s="507"/>
      <c r="AA39" s="508"/>
      <c r="AB39" s="490"/>
      <c r="AC39" s="486"/>
      <c r="AD39" s="486"/>
      <c r="AE39" s="486"/>
      <c r="AF39" s="486"/>
      <c r="AG39" s="487"/>
      <c r="AH39" s="497"/>
      <c r="AI39" s="498"/>
      <c r="AJ39" s="498"/>
      <c r="AK39" s="498"/>
      <c r="AL39" s="498"/>
      <c r="AM39" s="49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39"/>
      <c r="C40" s="439"/>
      <c r="D40" s="440"/>
      <c r="E40" s="480"/>
      <c r="F40" s="481"/>
      <c r="G40" s="481"/>
      <c r="H40" s="481"/>
      <c r="I40" s="482"/>
      <c r="J40" s="517" t="str">
        <f>IF(AND('Mapa de Riesgos'!$H$33="Muy Baja",'Mapa de Riesgos'!$L$33="Leve"),CONCATENATE("R",'Mapa de Riesgos'!$A$33),"")</f>
        <v/>
      </c>
      <c r="K40" s="515"/>
      <c r="L40" s="515" t="str">
        <f>IF(AND('Mapa de Riesgos'!$H$39="Muy Baja",'Mapa de Riesgos'!$L$39="Leve"),CONCATENATE("R",'Mapa de Riesgos'!$A$39),"")</f>
        <v/>
      </c>
      <c r="M40" s="515"/>
      <c r="N40" s="515" t="str">
        <f>IF(AND('Mapa de Riesgos'!$H$45="Muy Baja",'Mapa de Riesgos'!$L$45="Leve"),CONCATENATE("R",'Mapa de Riesgos'!$A$45),"")</f>
        <v/>
      </c>
      <c r="O40" s="516"/>
      <c r="P40" s="517" t="str">
        <f>IF(AND('Mapa de Riesgos'!$H$33="Muy Baja",'Mapa de Riesgos'!$L$33="Menor"),CONCATENATE("R",'Mapa de Riesgos'!$A$33),"")</f>
        <v/>
      </c>
      <c r="Q40" s="515"/>
      <c r="R40" s="515" t="str">
        <f>IF(AND('Mapa de Riesgos'!$H$39="Muy Baja",'Mapa de Riesgos'!$L$39="Menor"),CONCATENATE("R",'Mapa de Riesgos'!$A$39),"")</f>
        <v/>
      </c>
      <c r="S40" s="515"/>
      <c r="T40" s="515" t="str">
        <f>IF(AND('Mapa de Riesgos'!$H$45="Muy Baja",'Mapa de Riesgos'!$L$45="Menor"),CONCATENATE("R",'Mapa de Riesgos'!$A$45),"")</f>
        <v/>
      </c>
      <c r="U40" s="516"/>
      <c r="V40" s="506" t="str">
        <f>IF(AND('Mapa de Riesgos'!$H$33="Muy Baja",'Mapa de Riesgos'!$L$33="Moderado"),CONCATENATE("R",'Mapa de Riesgos'!$A$33),"")</f>
        <v/>
      </c>
      <c r="W40" s="507"/>
      <c r="X40" s="507" t="str">
        <f>IF(AND('Mapa de Riesgos'!$H$39="Muy Baja",'Mapa de Riesgos'!$L$39="Moderado"),CONCATENATE("R",'Mapa de Riesgos'!$A$39),"")</f>
        <v/>
      </c>
      <c r="Y40" s="507"/>
      <c r="Z40" s="507" t="str">
        <f>IF(AND('Mapa de Riesgos'!$H$45="Muy Baja",'Mapa de Riesgos'!$L$45="Moderado"),CONCATENATE("R",'Mapa de Riesgos'!$A$45),"")</f>
        <v/>
      </c>
      <c r="AA40" s="508"/>
      <c r="AB40" s="490" t="str">
        <f>IF(AND('Mapa de Riesgos'!$H$33="Muy Baja",'Mapa de Riesgos'!$L$33="Mayor"),CONCATENATE("R",'Mapa de Riesgos'!$A$33),"")</f>
        <v/>
      </c>
      <c r="AC40" s="486"/>
      <c r="AD40" s="486" t="str">
        <f>IF(AND('Mapa de Riesgos'!$H$39="Muy Baja",'Mapa de Riesgos'!$L$39="Mayor"),CONCATENATE("R",'Mapa de Riesgos'!$A$39),"")</f>
        <v/>
      </c>
      <c r="AE40" s="486"/>
      <c r="AF40" s="486" t="str">
        <f>IF(AND('Mapa de Riesgos'!$H$45="Muy Baja",'Mapa de Riesgos'!$L$45="Mayor"),CONCATENATE("R",'Mapa de Riesgos'!$A$45),"")</f>
        <v/>
      </c>
      <c r="AG40" s="487"/>
      <c r="AH40" s="497" t="str">
        <f>IF(AND('Mapa de Riesgos'!$H$33="Muy Baja",'Mapa de Riesgos'!$L$33="Catastrófico"),CONCATENATE("R",'Mapa de Riesgos'!$A$33),"")</f>
        <v/>
      </c>
      <c r="AI40" s="498"/>
      <c r="AJ40" s="498" t="str">
        <f>IF(AND('Mapa de Riesgos'!$H$39="Muy Baja",'Mapa de Riesgos'!$L$39="Catastrófico"),CONCATENATE("R",'Mapa de Riesgos'!$A$39),"")</f>
        <v/>
      </c>
      <c r="AK40" s="498"/>
      <c r="AL40" s="498" t="str">
        <f>IF(AND('Mapa de Riesgos'!$H$45="Muy Baja",'Mapa de Riesgos'!$L$45="Catastrófico"),CONCATENATE("R",'Mapa de Riesgos'!$A$45),"")</f>
        <v/>
      </c>
      <c r="AM40" s="49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39"/>
      <c r="C41" s="439"/>
      <c r="D41" s="440"/>
      <c r="E41" s="480"/>
      <c r="F41" s="481"/>
      <c r="G41" s="481"/>
      <c r="H41" s="481"/>
      <c r="I41" s="482"/>
      <c r="J41" s="517"/>
      <c r="K41" s="515"/>
      <c r="L41" s="515"/>
      <c r="M41" s="515"/>
      <c r="N41" s="515"/>
      <c r="O41" s="516"/>
      <c r="P41" s="517"/>
      <c r="Q41" s="515"/>
      <c r="R41" s="515"/>
      <c r="S41" s="515"/>
      <c r="T41" s="515"/>
      <c r="U41" s="516"/>
      <c r="V41" s="506"/>
      <c r="W41" s="507"/>
      <c r="X41" s="507"/>
      <c r="Y41" s="507"/>
      <c r="Z41" s="507"/>
      <c r="AA41" s="508"/>
      <c r="AB41" s="490"/>
      <c r="AC41" s="486"/>
      <c r="AD41" s="486"/>
      <c r="AE41" s="486"/>
      <c r="AF41" s="486"/>
      <c r="AG41" s="487"/>
      <c r="AH41" s="497"/>
      <c r="AI41" s="498"/>
      <c r="AJ41" s="498"/>
      <c r="AK41" s="498"/>
      <c r="AL41" s="498"/>
      <c r="AM41" s="49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39"/>
      <c r="C42" s="439"/>
      <c r="D42" s="440"/>
      <c r="E42" s="480"/>
      <c r="F42" s="481"/>
      <c r="G42" s="481"/>
      <c r="H42" s="481"/>
      <c r="I42" s="482"/>
      <c r="J42" s="517" t="str">
        <f>IF(AND('Mapa de Riesgos'!$H$51="Muy Baja",'Mapa de Riesgos'!$L$51="Leve"),CONCATENATE("R",'Mapa de Riesgos'!$A$51),"")</f>
        <v/>
      </c>
      <c r="K42" s="515"/>
      <c r="L42" s="515" t="str">
        <f>IF(AND('Mapa de Riesgos'!$H$57="Muy Baja",'Mapa de Riesgos'!$L$57="Leve"),CONCATENATE("R",'Mapa de Riesgos'!$A$57),"")</f>
        <v/>
      </c>
      <c r="M42" s="515"/>
      <c r="N42" s="515" t="str">
        <f>IF(AND('Mapa de Riesgos'!$H$63="Muy Baja",'Mapa de Riesgos'!$L$63="Leve"),CONCATENATE("R",'Mapa de Riesgos'!$A$63),"")</f>
        <v/>
      </c>
      <c r="O42" s="516"/>
      <c r="P42" s="517" t="str">
        <f>IF(AND('Mapa de Riesgos'!$H$51="Muy Baja",'Mapa de Riesgos'!$L$51="Menor"),CONCATENATE("R",'Mapa de Riesgos'!$A$51),"")</f>
        <v/>
      </c>
      <c r="Q42" s="515"/>
      <c r="R42" s="515" t="str">
        <f>IF(AND('Mapa de Riesgos'!$H$57="Muy Baja",'Mapa de Riesgos'!$L$57="Menor"),CONCATENATE("R",'Mapa de Riesgos'!$A$57),"")</f>
        <v/>
      </c>
      <c r="S42" s="515"/>
      <c r="T42" s="515" t="str">
        <f>IF(AND('Mapa de Riesgos'!$H$63="Muy Baja",'Mapa de Riesgos'!$L$63="Menor"),CONCATENATE("R",'Mapa de Riesgos'!$A$63),"")</f>
        <v/>
      </c>
      <c r="U42" s="516"/>
      <c r="V42" s="506" t="str">
        <f>IF(AND('Mapa de Riesgos'!$H$51="Muy Baja",'Mapa de Riesgos'!$L$51="Moderado"),CONCATENATE("R",'Mapa de Riesgos'!$A$51),"")</f>
        <v/>
      </c>
      <c r="W42" s="507"/>
      <c r="X42" s="507" t="str">
        <f>IF(AND('Mapa de Riesgos'!$H$57="Muy Baja",'Mapa de Riesgos'!$L$57="Moderado"),CONCATENATE("R",'Mapa de Riesgos'!$A$57),"")</f>
        <v/>
      </c>
      <c r="Y42" s="507"/>
      <c r="Z42" s="507" t="str">
        <f>IF(AND('Mapa de Riesgos'!$H$63="Muy Baja",'Mapa de Riesgos'!$L$63="Moderado"),CONCATENATE("R",'Mapa de Riesgos'!$A$63),"")</f>
        <v/>
      </c>
      <c r="AA42" s="508"/>
      <c r="AB42" s="490" t="str">
        <f>IF(AND('Mapa de Riesgos'!$H$51="Muy Baja",'Mapa de Riesgos'!$L$51="Mayor"),CONCATENATE("R",'Mapa de Riesgos'!$A$51),"")</f>
        <v/>
      </c>
      <c r="AC42" s="486"/>
      <c r="AD42" s="486" t="str">
        <f>IF(AND('Mapa de Riesgos'!$H$57="Muy Baja",'Mapa de Riesgos'!$L$57="Mayor"),CONCATENATE("R",'Mapa de Riesgos'!$A$57),"")</f>
        <v/>
      </c>
      <c r="AE42" s="486"/>
      <c r="AF42" s="486" t="str">
        <f>IF(AND('Mapa de Riesgos'!$H$63="Muy Baja",'Mapa de Riesgos'!$L$63="Mayor"),CONCATENATE("R",'Mapa de Riesgos'!$A$63),"")</f>
        <v/>
      </c>
      <c r="AG42" s="487"/>
      <c r="AH42" s="497" t="str">
        <f>IF(AND('Mapa de Riesgos'!$H$51="Muy Baja",'Mapa de Riesgos'!$L$51="Catastrófico"),CONCATENATE("R",'Mapa de Riesgos'!$A$51),"")</f>
        <v/>
      </c>
      <c r="AI42" s="498"/>
      <c r="AJ42" s="498" t="str">
        <f>IF(AND('Mapa de Riesgos'!$H$57="Muy Baja",'Mapa de Riesgos'!$L$57="Catastrófico"),CONCATENATE("R",'Mapa de Riesgos'!$A$57),"")</f>
        <v/>
      </c>
      <c r="AK42" s="498"/>
      <c r="AL42" s="498" t="str">
        <f>IF(AND('Mapa de Riesgos'!$H$63="Muy Baja",'Mapa de Riesgos'!$L$63="Catastrófico"),CONCATENATE("R",'Mapa de Riesgos'!$A$63),"")</f>
        <v/>
      </c>
      <c r="AM42" s="49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39"/>
      <c r="C43" s="439"/>
      <c r="D43" s="440"/>
      <c r="E43" s="480"/>
      <c r="F43" s="481"/>
      <c r="G43" s="481"/>
      <c r="H43" s="481"/>
      <c r="I43" s="482"/>
      <c r="J43" s="517"/>
      <c r="K43" s="515"/>
      <c r="L43" s="515"/>
      <c r="M43" s="515"/>
      <c r="N43" s="515"/>
      <c r="O43" s="516"/>
      <c r="P43" s="517"/>
      <c r="Q43" s="515"/>
      <c r="R43" s="515"/>
      <c r="S43" s="515"/>
      <c r="T43" s="515"/>
      <c r="U43" s="516"/>
      <c r="V43" s="506"/>
      <c r="W43" s="507"/>
      <c r="X43" s="507"/>
      <c r="Y43" s="507"/>
      <c r="Z43" s="507"/>
      <c r="AA43" s="508"/>
      <c r="AB43" s="490"/>
      <c r="AC43" s="486"/>
      <c r="AD43" s="486"/>
      <c r="AE43" s="486"/>
      <c r="AF43" s="486"/>
      <c r="AG43" s="487"/>
      <c r="AH43" s="497"/>
      <c r="AI43" s="498"/>
      <c r="AJ43" s="498"/>
      <c r="AK43" s="498"/>
      <c r="AL43" s="498"/>
      <c r="AM43" s="49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39"/>
      <c r="C44" s="439"/>
      <c r="D44" s="440"/>
      <c r="E44" s="480"/>
      <c r="F44" s="481"/>
      <c r="G44" s="481"/>
      <c r="H44" s="481"/>
      <c r="I44" s="482"/>
      <c r="J44" s="517" t="str">
        <f>IF(AND('Mapa de Riesgos'!$H$69="Muy Baja",'Mapa de Riesgos'!$L$69="Leve"),CONCATENATE("R",'Mapa de Riesgos'!$A$69),"")</f>
        <v/>
      </c>
      <c r="K44" s="515"/>
      <c r="L44" s="515" t="str">
        <f>IF(AND('Mapa de Riesgos'!$H$75="Muy Baja",'Mapa de Riesgos'!$L$75="Leve"),CONCATENATE("R",'Mapa de Riesgos'!$A$75),"")</f>
        <v/>
      </c>
      <c r="M44" s="515"/>
      <c r="N44" s="515" t="str">
        <f>IF(AND('Mapa de Riesgos'!$H$81="Muy Baja",'Mapa de Riesgos'!$L$81="Leve"),CONCATENATE("R",'Mapa de Riesgos'!$A$81),"")</f>
        <v/>
      </c>
      <c r="O44" s="516"/>
      <c r="P44" s="517" t="str">
        <f>IF(AND('Mapa de Riesgos'!$H$69="Muy Baja",'Mapa de Riesgos'!$L$69="Menor"),CONCATENATE("R",'Mapa de Riesgos'!$A$69),"")</f>
        <v/>
      </c>
      <c r="Q44" s="515"/>
      <c r="R44" s="515" t="str">
        <f>IF(AND('Mapa de Riesgos'!$H$75="Muy Baja",'Mapa de Riesgos'!$L$75="Menor"),CONCATENATE("R",'Mapa de Riesgos'!$A$75),"")</f>
        <v/>
      </c>
      <c r="S44" s="515"/>
      <c r="T44" s="515" t="str">
        <f>IF(AND('Mapa de Riesgos'!$H$81="Muy Baja",'Mapa de Riesgos'!$L$81="Menor"),CONCATENATE("R",'Mapa de Riesgos'!$A$81),"")</f>
        <v/>
      </c>
      <c r="U44" s="516"/>
      <c r="V44" s="506" t="str">
        <f>IF(AND('Mapa de Riesgos'!$H$69="Muy Baja",'Mapa de Riesgos'!$L$69="Moderado"),CONCATENATE("R",'Mapa de Riesgos'!$A$69),"")</f>
        <v/>
      </c>
      <c r="W44" s="507"/>
      <c r="X44" s="507" t="str">
        <f>IF(AND('Mapa de Riesgos'!$H$75="Muy Baja",'Mapa de Riesgos'!$L$75="Moderado"),CONCATENATE("R",'Mapa de Riesgos'!$A$75),"")</f>
        <v/>
      </c>
      <c r="Y44" s="507"/>
      <c r="Z44" s="507" t="str">
        <f>IF(AND('Mapa de Riesgos'!$H$81="Muy Baja",'Mapa de Riesgos'!$L$81="Moderado"),CONCATENATE("R",'Mapa de Riesgos'!$A$81),"")</f>
        <v/>
      </c>
      <c r="AA44" s="508"/>
      <c r="AB44" s="490" t="str">
        <f>IF(AND('Mapa de Riesgos'!$H$69="Muy Baja",'Mapa de Riesgos'!$L$69="Mayor"),CONCATENATE("R",'Mapa de Riesgos'!$A$69),"")</f>
        <v/>
      </c>
      <c r="AC44" s="486"/>
      <c r="AD44" s="486" t="str">
        <f>IF(AND('Mapa de Riesgos'!$H$75="Muy Baja",'Mapa de Riesgos'!$L$75="Mayor"),CONCATENATE("R",'Mapa de Riesgos'!$A$75),"")</f>
        <v/>
      </c>
      <c r="AE44" s="486"/>
      <c r="AF44" s="486" t="str">
        <f>IF(AND('Mapa de Riesgos'!$H$81="Muy Baja",'Mapa de Riesgos'!$L$81="Mayor"),CONCATENATE("R",'Mapa de Riesgos'!$A$81),"")</f>
        <v/>
      </c>
      <c r="AG44" s="487"/>
      <c r="AH44" s="497" t="str">
        <f>IF(AND('Mapa de Riesgos'!$H$69="Muy Baja",'Mapa de Riesgos'!$L$69="Catastrófico"),CONCATENATE("R",'Mapa de Riesgos'!$A$69),"")</f>
        <v/>
      </c>
      <c r="AI44" s="498"/>
      <c r="AJ44" s="498" t="str">
        <f>IF(AND('Mapa de Riesgos'!$H$75="Muy Baja",'Mapa de Riesgos'!$L$75="Catastrófico"),CONCATENATE("R",'Mapa de Riesgos'!$A$75),"")</f>
        <v/>
      </c>
      <c r="AK44" s="498"/>
      <c r="AL44" s="498" t="str">
        <f>IF(AND('Mapa de Riesgos'!$H$81="Muy Baja",'Mapa de Riesgos'!$L$81="Catastrófico"),CONCATENATE("R",'Mapa de Riesgos'!$A$81),"")</f>
        <v/>
      </c>
      <c r="AM44" s="49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39"/>
      <c r="C45" s="439"/>
      <c r="D45" s="440"/>
      <c r="E45" s="483"/>
      <c r="F45" s="484"/>
      <c r="G45" s="484"/>
      <c r="H45" s="484"/>
      <c r="I45" s="485"/>
      <c r="J45" s="518"/>
      <c r="K45" s="519"/>
      <c r="L45" s="519"/>
      <c r="M45" s="519"/>
      <c r="N45" s="519"/>
      <c r="O45" s="520"/>
      <c r="P45" s="518"/>
      <c r="Q45" s="519"/>
      <c r="R45" s="519"/>
      <c r="S45" s="519"/>
      <c r="T45" s="519"/>
      <c r="U45" s="520"/>
      <c r="V45" s="509"/>
      <c r="W45" s="510"/>
      <c r="X45" s="510"/>
      <c r="Y45" s="510"/>
      <c r="Z45" s="510"/>
      <c r="AA45" s="511"/>
      <c r="AB45" s="494"/>
      <c r="AC45" s="495"/>
      <c r="AD45" s="495"/>
      <c r="AE45" s="495"/>
      <c r="AF45" s="495"/>
      <c r="AG45" s="496"/>
      <c r="AH45" s="500"/>
      <c r="AI45" s="501"/>
      <c r="AJ45" s="501"/>
      <c r="AK45" s="501"/>
      <c r="AL45" s="501"/>
      <c r="AM45" s="50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77" t="s">
        <v>203</v>
      </c>
      <c r="K46" s="478"/>
      <c r="L46" s="478"/>
      <c r="M46" s="478"/>
      <c r="N46" s="478"/>
      <c r="O46" s="479"/>
      <c r="P46" s="477" t="s">
        <v>204</v>
      </c>
      <c r="Q46" s="478"/>
      <c r="R46" s="478"/>
      <c r="S46" s="478"/>
      <c r="T46" s="478"/>
      <c r="U46" s="479"/>
      <c r="V46" s="477" t="s">
        <v>205</v>
      </c>
      <c r="W46" s="478"/>
      <c r="X46" s="478"/>
      <c r="Y46" s="478"/>
      <c r="Z46" s="478"/>
      <c r="AA46" s="479"/>
      <c r="AB46" s="477" t="s">
        <v>206</v>
      </c>
      <c r="AC46" s="493"/>
      <c r="AD46" s="478"/>
      <c r="AE46" s="478"/>
      <c r="AF46" s="478"/>
      <c r="AG46" s="479"/>
      <c r="AH46" s="477" t="s">
        <v>207</v>
      </c>
      <c r="AI46" s="478"/>
      <c r="AJ46" s="478"/>
      <c r="AK46" s="478"/>
      <c r="AL46" s="478"/>
      <c r="AM46" s="47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0"/>
      <c r="K47" s="481"/>
      <c r="L47" s="481"/>
      <c r="M47" s="481"/>
      <c r="N47" s="481"/>
      <c r="O47" s="482"/>
      <c r="P47" s="480"/>
      <c r="Q47" s="481"/>
      <c r="R47" s="481"/>
      <c r="S47" s="481"/>
      <c r="T47" s="481"/>
      <c r="U47" s="482"/>
      <c r="V47" s="480"/>
      <c r="W47" s="481"/>
      <c r="X47" s="481"/>
      <c r="Y47" s="481"/>
      <c r="Z47" s="481"/>
      <c r="AA47" s="482"/>
      <c r="AB47" s="480"/>
      <c r="AC47" s="481"/>
      <c r="AD47" s="481"/>
      <c r="AE47" s="481"/>
      <c r="AF47" s="481"/>
      <c r="AG47" s="482"/>
      <c r="AH47" s="480"/>
      <c r="AI47" s="481"/>
      <c r="AJ47" s="481"/>
      <c r="AK47" s="481"/>
      <c r="AL47" s="481"/>
      <c r="AM47" s="48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0"/>
      <c r="K48" s="481"/>
      <c r="L48" s="481"/>
      <c r="M48" s="481"/>
      <c r="N48" s="481"/>
      <c r="O48" s="482"/>
      <c r="P48" s="480"/>
      <c r="Q48" s="481"/>
      <c r="R48" s="481"/>
      <c r="S48" s="481"/>
      <c r="T48" s="481"/>
      <c r="U48" s="482"/>
      <c r="V48" s="480"/>
      <c r="W48" s="481"/>
      <c r="X48" s="481"/>
      <c r="Y48" s="481"/>
      <c r="Z48" s="481"/>
      <c r="AA48" s="482"/>
      <c r="AB48" s="480"/>
      <c r="AC48" s="481"/>
      <c r="AD48" s="481"/>
      <c r="AE48" s="481"/>
      <c r="AF48" s="481"/>
      <c r="AG48" s="482"/>
      <c r="AH48" s="480"/>
      <c r="AI48" s="481"/>
      <c r="AJ48" s="481"/>
      <c r="AK48" s="481"/>
      <c r="AL48" s="481"/>
      <c r="AM48" s="48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0"/>
      <c r="K49" s="481"/>
      <c r="L49" s="481"/>
      <c r="M49" s="481"/>
      <c r="N49" s="481"/>
      <c r="O49" s="482"/>
      <c r="P49" s="480"/>
      <c r="Q49" s="481"/>
      <c r="R49" s="481"/>
      <c r="S49" s="481"/>
      <c r="T49" s="481"/>
      <c r="U49" s="482"/>
      <c r="V49" s="480"/>
      <c r="W49" s="481"/>
      <c r="X49" s="481"/>
      <c r="Y49" s="481"/>
      <c r="Z49" s="481"/>
      <c r="AA49" s="482"/>
      <c r="AB49" s="480"/>
      <c r="AC49" s="481"/>
      <c r="AD49" s="481"/>
      <c r="AE49" s="481"/>
      <c r="AF49" s="481"/>
      <c r="AG49" s="482"/>
      <c r="AH49" s="480"/>
      <c r="AI49" s="481"/>
      <c r="AJ49" s="481"/>
      <c r="AK49" s="481"/>
      <c r="AL49" s="481"/>
      <c r="AM49" s="48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0"/>
      <c r="K50" s="481"/>
      <c r="L50" s="481"/>
      <c r="M50" s="481"/>
      <c r="N50" s="481"/>
      <c r="O50" s="482"/>
      <c r="P50" s="480"/>
      <c r="Q50" s="481"/>
      <c r="R50" s="481"/>
      <c r="S50" s="481"/>
      <c r="T50" s="481"/>
      <c r="U50" s="482"/>
      <c r="V50" s="480"/>
      <c r="W50" s="481"/>
      <c r="X50" s="481"/>
      <c r="Y50" s="481"/>
      <c r="Z50" s="481"/>
      <c r="AA50" s="482"/>
      <c r="AB50" s="480"/>
      <c r="AC50" s="481"/>
      <c r="AD50" s="481"/>
      <c r="AE50" s="481"/>
      <c r="AF50" s="481"/>
      <c r="AG50" s="482"/>
      <c r="AH50" s="480"/>
      <c r="AI50" s="481"/>
      <c r="AJ50" s="481"/>
      <c r="AK50" s="481"/>
      <c r="AL50" s="481"/>
      <c r="AM50" s="4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3"/>
      <c r="K51" s="484"/>
      <c r="L51" s="484"/>
      <c r="M51" s="484"/>
      <c r="N51" s="484"/>
      <c r="O51" s="485"/>
      <c r="P51" s="483"/>
      <c r="Q51" s="484"/>
      <c r="R51" s="484"/>
      <c r="S51" s="484"/>
      <c r="T51" s="484"/>
      <c r="U51" s="485"/>
      <c r="V51" s="483"/>
      <c r="W51" s="484"/>
      <c r="X51" s="484"/>
      <c r="Y51" s="484"/>
      <c r="Z51" s="484"/>
      <c r="AA51" s="485"/>
      <c r="AB51" s="483"/>
      <c r="AC51" s="484"/>
      <c r="AD51" s="484"/>
      <c r="AE51" s="484"/>
      <c r="AF51" s="484"/>
      <c r="AG51" s="485"/>
      <c r="AH51" s="483"/>
      <c r="AI51" s="484"/>
      <c r="AJ51" s="484"/>
      <c r="AK51" s="484"/>
      <c r="AL51" s="484"/>
      <c r="AM51" s="48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30" zoomScaleNormal="3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0" t="s">
        <v>208</v>
      </c>
      <c r="C2" s="551"/>
      <c r="D2" s="551"/>
      <c r="E2" s="551"/>
      <c r="F2" s="551"/>
      <c r="G2" s="551"/>
      <c r="H2" s="551"/>
      <c r="I2" s="551"/>
      <c r="J2" s="492" t="s">
        <v>26</v>
      </c>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1"/>
      <c r="C3" s="551"/>
      <c r="D3" s="551"/>
      <c r="E3" s="551"/>
      <c r="F3" s="551"/>
      <c r="G3" s="551"/>
      <c r="H3" s="551"/>
      <c r="I3" s="551"/>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1"/>
      <c r="C4" s="551"/>
      <c r="D4" s="551"/>
      <c r="E4" s="551"/>
      <c r="F4" s="551"/>
      <c r="G4" s="551"/>
      <c r="H4" s="551"/>
      <c r="I4" s="551"/>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39" t="s">
        <v>193</v>
      </c>
      <c r="C6" s="439"/>
      <c r="D6" s="440"/>
      <c r="E6" s="534" t="s">
        <v>194</v>
      </c>
      <c r="F6" s="535"/>
      <c r="G6" s="535"/>
      <c r="H6" s="535"/>
      <c r="I6" s="552"/>
      <c r="J6" s="46" t="str">
        <f>IF(AND('Mapa de Riesgos'!$Y$12="Muy Alta",'Mapa de Riesgos'!$AA$12="Leve"),CONCATENATE("R1C",'Mapa de Riesgos'!$O$12),"")</f>
        <v/>
      </c>
      <c r="K6" s="47" t="str">
        <f>IF(AND('Mapa de Riesgos'!$Y$14="Muy Alta",'Mapa de Riesgos'!$AA$14="Leve"),CONCATENATE("R1C",'Mapa de Riesgos'!$O$14),"")</f>
        <v/>
      </c>
      <c r="L6" s="47" t="str">
        <f>IF(AND('Mapa de Riesgos'!$Y$15="Muy Alta",'Mapa de Riesgos'!$AA$15="Leve"),CONCATENATE("R1C",'Mapa de Riesgos'!$O$15),"")</f>
        <v/>
      </c>
      <c r="M6" s="47" t="str">
        <f>IF(AND('Mapa de Riesgos'!$Y$16="Muy Alta",'Mapa de Riesgos'!$AA$16="Leve"),CONCATENATE("R1C",'Mapa de Riesgos'!$O$16),"")</f>
        <v/>
      </c>
      <c r="N6" s="47" t="str">
        <f>IF(AND('Mapa de Riesgos'!$Y$17="Muy Alta",'Mapa de Riesgos'!$AA$17="Leve"),CONCATENATE("R1C",'Mapa de Riesgos'!$O$17),"")</f>
        <v/>
      </c>
      <c r="O6" s="48" t="str">
        <f>IF(AND('Mapa de Riesgos'!$Y$18="Muy Alta",'Mapa de Riesgos'!$AA$18="Leve"),CONCATENATE("R1C",'Mapa de Riesgos'!$O$18),"")</f>
        <v/>
      </c>
      <c r="P6" s="46" t="str">
        <f>IF(AND('Mapa de Riesgos'!$Y$12="Muy Alta",'Mapa de Riesgos'!$AA$12="Menor"),CONCATENATE("R1C",'Mapa de Riesgos'!$O$12),"")</f>
        <v/>
      </c>
      <c r="Q6" s="47" t="str">
        <f>IF(AND('Mapa de Riesgos'!$Y$14="Muy Alta",'Mapa de Riesgos'!$AA$14="Menor"),CONCATENATE("R1C",'Mapa de Riesgos'!$O$14),"")</f>
        <v/>
      </c>
      <c r="R6" s="47" t="str">
        <f>IF(AND('Mapa de Riesgos'!$Y$15="Muy Alta",'Mapa de Riesgos'!$AA$15="Menor"),CONCATENATE("R1C",'Mapa de Riesgos'!$O$15),"")</f>
        <v/>
      </c>
      <c r="S6" s="47" t="str">
        <f>IF(AND('Mapa de Riesgos'!$Y$16="Muy Alta",'Mapa de Riesgos'!$AA$16="Menor"),CONCATENATE("R1C",'Mapa de Riesgos'!$O$16),"")</f>
        <v/>
      </c>
      <c r="T6" s="47" t="str">
        <f>IF(AND('Mapa de Riesgos'!$Y$17="Muy Alta",'Mapa de Riesgos'!$AA$17="Menor"),CONCATENATE("R1C",'Mapa de Riesgos'!$O$17),"")</f>
        <v/>
      </c>
      <c r="U6" s="48" t="str">
        <f>IF(AND('Mapa de Riesgos'!$Y$18="Muy Alta",'Mapa de Riesgos'!$AA$18="Menor"),CONCATENATE("R1C",'Mapa de Riesgos'!$O$18),"")</f>
        <v/>
      </c>
      <c r="V6" s="46" t="str">
        <f>IF(AND('Mapa de Riesgos'!$Y$12="Muy Alta",'Mapa de Riesgos'!$AA$12="Moderado"),CONCATENATE("R1C",'Mapa de Riesgos'!$O$12),"")</f>
        <v/>
      </c>
      <c r="W6" s="47" t="str">
        <f>IF(AND('Mapa de Riesgos'!$Y$14="Muy Alta",'Mapa de Riesgos'!$AA$14="Moderado"),CONCATENATE("R1C",'Mapa de Riesgos'!$O$14),"")</f>
        <v/>
      </c>
      <c r="X6" s="47" t="str">
        <f>IF(AND('Mapa de Riesgos'!$Y$15="Muy Alta",'Mapa de Riesgos'!$AA$15="Moderado"),CONCATENATE("R1C",'Mapa de Riesgos'!$O$15),"")</f>
        <v/>
      </c>
      <c r="Y6" s="47" t="str">
        <f>IF(AND('Mapa de Riesgos'!$Y$16="Muy Alta",'Mapa de Riesgos'!$AA$16="Moderado"),CONCATENATE("R1C",'Mapa de Riesgos'!$O$16),"")</f>
        <v/>
      </c>
      <c r="Z6" s="47" t="str">
        <f>IF(AND('Mapa de Riesgos'!$Y$17="Muy Alta",'Mapa de Riesgos'!$AA$17="Moderado"),CONCATENATE("R1C",'Mapa de Riesgos'!$O$17),"")</f>
        <v/>
      </c>
      <c r="AA6" s="48" t="str">
        <f>IF(AND('Mapa de Riesgos'!$Y$18="Muy Alta",'Mapa de Riesgos'!$AA$18="Moderado"),CONCATENATE("R1C",'Mapa de Riesgos'!$O$18),"")</f>
        <v/>
      </c>
      <c r="AB6" s="46" t="str">
        <f>IF(AND('Mapa de Riesgos'!$Y$12="Muy Alta",'Mapa de Riesgos'!$AA$12="Mayor"),CONCATENATE("R1C",'Mapa de Riesgos'!$O$12),"")</f>
        <v/>
      </c>
      <c r="AC6" s="47" t="str">
        <f>IF(AND('Mapa de Riesgos'!$Y$14="Muy Alta",'Mapa de Riesgos'!$AA$14="Mayor"),CONCATENATE("R1C",'Mapa de Riesgos'!$O$14),"")</f>
        <v/>
      </c>
      <c r="AD6" s="47" t="str">
        <f>IF(AND('Mapa de Riesgos'!$Y$15="Muy Alta",'Mapa de Riesgos'!$AA$15="Mayor"),CONCATENATE("R1C",'Mapa de Riesgos'!$O$15),"")</f>
        <v/>
      </c>
      <c r="AE6" s="47" t="str">
        <f>IF(AND('Mapa de Riesgos'!$Y$16="Muy Alta",'Mapa de Riesgos'!$AA$16="Mayor"),CONCATENATE("R1C",'Mapa de Riesgos'!$O$16),"")</f>
        <v/>
      </c>
      <c r="AF6" s="47" t="str">
        <f>IF(AND('Mapa de Riesgos'!$Y$17="Muy Alta",'Mapa de Riesgos'!$AA$17="Mayor"),CONCATENATE("R1C",'Mapa de Riesgos'!$O$17),"")</f>
        <v/>
      </c>
      <c r="AG6" s="48" t="str">
        <f>IF(AND('Mapa de Riesgos'!$Y$18="Muy Alta",'Mapa de Riesgos'!$AA$18="Mayor"),CONCATENATE("R1C",'Mapa de Riesgos'!$O$18),"")</f>
        <v/>
      </c>
      <c r="AH6" s="49" t="str">
        <f>IF(AND('Mapa de Riesgos'!$Y$12="Muy Alta",'Mapa de Riesgos'!$AA$12="Catastrófico"),CONCATENATE("R1C",'Mapa de Riesgos'!$O$12),"")</f>
        <v/>
      </c>
      <c r="AI6" s="50" t="str">
        <f>IF(AND('Mapa de Riesgos'!$Y$14="Muy Alta",'Mapa de Riesgos'!$AA$14="Catastrófico"),CONCATENATE("R1C",'Mapa de Riesgos'!$O$14),"")</f>
        <v/>
      </c>
      <c r="AJ6" s="50" t="str">
        <f>IF(AND('Mapa de Riesgos'!$Y$15="Muy Alta",'Mapa de Riesgos'!$AA$15="Catastrófico"),CONCATENATE("R1C",'Mapa de Riesgos'!$O$15),"")</f>
        <v/>
      </c>
      <c r="AK6" s="50" t="str">
        <f>IF(AND('Mapa de Riesgos'!$Y$16="Muy Alta",'Mapa de Riesgos'!$AA$16="Catastrófico"),CONCATENATE("R1C",'Mapa de Riesgos'!$O$16),"")</f>
        <v/>
      </c>
      <c r="AL6" s="50" t="str">
        <f>IF(AND('Mapa de Riesgos'!$Y$17="Muy Alta",'Mapa de Riesgos'!$AA$17="Catastrófico"),CONCATENATE("R1C",'Mapa de Riesgos'!$O$17),"")</f>
        <v/>
      </c>
      <c r="AM6" s="51" t="str">
        <f>IF(AND('Mapa de Riesgos'!$Y$18="Muy Alta",'Mapa de Riesgos'!$AA$18="Catastrófico"),CONCATENATE("R1C",'Mapa de Riesgos'!$O$18),"")</f>
        <v/>
      </c>
      <c r="AN6" s="83"/>
      <c r="AO6" s="541" t="s">
        <v>195</v>
      </c>
      <c r="AP6" s="542"/>
      <c r="AQ6" s="542"/>
      <c r="AR6" s="542"/>
      <c r="AS6" s="542"/>
      <c r="AT6" s="54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39"/>
      <c r="C7" s="439"/>
      <c r="D7" s="440"/>
      <c r="E7" s="538"/>
      <c r="F7" s="537"/>
      <c r="G7" s="537"/>
      <c r="H7" s="537"/>
      <c r="I7" s="553"/>
      <c r="J7" s="52" t="str">
        <f>IF(AND('Mapa de Riesgos'!$Y$19="Muy Alta",'Mapa de Riesgos'!$AA$19="Leve"),CONCATENATE("R2C",'Mapa de Riesgos'!$O$19),"")</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Riesgos'!$Y$19="Muy Alta",'Mapa de Riesgos'!$AA$19="Menor"),CONCATENATE("R2C",'Mapa de Riesgos'!$O$19),"")</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Riesgos'!$Y$19="Muy Alta",'Mapa de Riesgos'!$AA$19="Moderado"),CONCATENATE("R2C",'Mapa de Riesgos'!$O$19),"")</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Riesgos'!$Y$19="Muy Alta",'Mapa de Riesgos'!$AA$19="Mayor"),CONCATENATE("R2C",'Mapa de Riesgos'!$O$19),"")</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Riesgos'!$Y$19="Muy Alta",'Mapa de Riesgos'!$AA$19="Catastrófico"),CONCATENATE("R2C",'Mapa de Riesgos'!$O$19),"")</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544"/>
      <c r="AP7" s="545"/>
      <c r="AQ7" s="545"/>
      <c r="AR7" s="545"/>
      <c r="AS7" s="545"/>
      <c r="AT7" s="54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39"/>
      <c r="C8" s="439"/>
      <c r="D8" s="440"/>
      <c r="E8" s="538"/>
      <c r="F8" s="537"/>
      <c r="G8" s="537"/>
      <c r="H8" s="537"/>
      <c r="I8" s="553"/>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44"/>
      <c r="AP8" s="545"/>
      <c r="AQ8" s="545"/>
      <c r="AR8" s="545"/>
      <c r="AS8" s="545"/>
      <c r="AT8" s="54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39"/>
      <c r="C9" s="439"/>
      <c r="D9" s="440"/>
      <c r="E9" s="538"/>
      <c r="F9" s="537"/>
      <c r="G9" s="537"/>
      <c r="H9" s="537"/>
      <c r="I9" s="553"/>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44"/>
      <c r="AP9" s="545"/>
      <c r="AQ9" s="545"/>
      <c r="AR9" s="545"/>
      <c r="AS9" s="545"/>
      <c r="AT9" s="54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39"/>
      <c r="C10" s="439"/>
      <c r="D10" s="440"/>
      <c r="E10" s="538"/>
      <c r="F10" s="537"/>
      <c r="G10" s="537"/>
      <c r="H10" s="537"/>
      <c r="I10" s="553"/>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544"/>
      <c r="AP10" s="545"/>
      <c r="AQ10" s="545"/>
      <c r="AR10" s="545"/>
      <c r="AS10" s="545"/>
      <c r="AT10" s="54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39"/>
      <c r="C11" s="439"/>
      <c r="D11" s="440"/>
      <c r="E11" s="538"/>
      <c r="F11" s="537"/>
      <c r="G11" s="537"/>
      <c r="H11" s="537"/>
      <c r="I11" s="553"/>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44"/>
      <c r="AP11" s="545"/>
      <c r="AQ11" s="545"/>
      <c r="AR11" s="545"/>
      <c r="AS11" s="545"/>
      <c r="AT11" s="54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39"/>
      <c r="C12" s="439"/>
      <c r="D12" s="440"/>
      <c r="E12" s="538"/>
      <c r="F12" s="537"/>
      <c r="G12" s="537"/>
      <c r="H12" s="537"/>
      <c r="I12" s="553"/>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544"/>
      <c r="AP12" s="545"/>
      <c r="AQ12" s="545"/>
      <c r="AR12" s="545"/>
      <c r="AS12" s="545"/>
      <c r="AT12" s="54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39"/>
      <c r="C13" s="439"/>
      <c r="D13" s="440"/>
      <c r="E13" s="538"/>
      <c r="F13" s="537"/>
      <c r="G13" s="537"/>
      <c r="H13" s="537"/>
      <c r="I13" s="553"/>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544"/>
      <c r="AP13" s="545"/>
      <c r="AQ13" s="545"/>
      <c r="AR13" s="545"/>
      <c r="AS13" s="545"/>
      <c r="AT13" s="54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39"/>
      <c r="C14" s="439"/>
      <c r="D14" s="440"/>
      <c r="E14" s="538"/>
      <c r="F14" s="537"/>
      <c r="G14" s="537"/>
      <c r="H14" s="537"/>
      <c r="I14" s="553"/>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544"/>
      <c r="AP14" s="545"/>
      <c r="AQ14" s="545"/>
      <c r="AR14" s="545"/>
      <c r="AS14" s="545"/>
      <c r="AT14" s="54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39"/>
      <c r="C15" s="439"/>
      <c r="D15" s="440"/>
      <c r="E15" s="539"/>
      <c r="F15" s="540"/>
      <c r="G15" s="540"/>
      <c r="H15" s="540"/>
      <c r="I15" s="554"/>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547"/>
      <c r="AP15" s="548"/>
      <c r="AQ15" s="548"/>
      <c r="AR15" s="548"/>
      <c r="AS15" s="548"/>
      <c r="AT15" s="54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39"/>
      <c r="C16" s="439"/>
      <c r="D16" s="440"/>
      <c r="E16" s="534" t="s">
        <v>196</v>
      </c>
      <c r="F16" s="535"/>
      <c r="G16" s="535"/>
      <c r="H16" s="535"/>
      <c r="I16" s="535"/>
      <c r="J16" s="64" t="str">
        <f>IF(AND('Mapa de Riesgos'!$Y$12="Alta",'Mapa de Riesgos'!$AA$12="Leve"),CONCATENATE("R1C",'Mapa de Riesgos'!$O$12),"")</f>
        <v/>
      </c>
      <c r="K16" s="65" t="str">
        <f>IF(AND('Mapa de Riesgos'!$Y$14="Alta",'Mapa de Riesgos'!$AA$14="Leve"),CONCATENATE("R1C",'Mapa de Riesgos'!$O$14),"")</f>
        <v/>
      </c>
      <c r="L16" s="65" t="str">
        <f>IF(AND('Mapa de Riesgos'!$Y$15="Alta",'Mapa de Riesgos'!$AA$15="Leve"),CONCATENATE("R1C",'Mapa de Riesgos'!$O$15),"")</f>
        <v/>
      </c>
      <c r="M16" s="65" t="str">
        <f>IF(AND('Mapa de Riesgos'!$Y$16="Alta",'Mapa de Riesgos'!$AA$16="Leve"),CONCATENATE("R1C",'Mapa de Riesgos'!$O$16),"")</f>
        <v/>
      </c>
      <c r="N16" s="65" t="str">
        <f>IF(AND('Mapa de Riesgos'!$Y$17="Alta",'Mapa de Riesgos'!$AA$17="Leve"),CONCATENATE("R1C",'Mapa de Riesgos'!$O$17),"")</f>
        <v/>
      </c>
      <c r="O16" s="66" t="str">
        <f>IF(AND('Mapa de Riesgos'!$Y$18="Alta",'Mapa de Riesgos'!$AA$18="Leve"),CONCATENATE("R1C",'Mapa de Riesgos'!$O$18),"")</f>
        <v/>
      </c>
      <c r="P16" s="64" t="str">
        <f>IF(AND('Mapa de Riesgos'!$Y$12="Alta",'Mapa de Riesgos'!$AA$12="Menor"),CONCATENATE("R1C",'Mapa de Riesgos'!$O$12),"")</f>
        <v/>
      </c>
      <c r="Q16" s="65" t="str">
        <f>IF(AND('Mapa de Riesgos'!$Y$14="Alta",'Mapa de Riesgos'!$AA$14="Menor"),CONCATENATE("R1C",'Mapa de Riesgos'!$O$14),"")</f>
        <v/>
      </c>
      <c r="R16" s="65" t="str">
        <f>IF(AND('Mapa de Riesgos'!$Y$15="Alta",'Mapa de Riesgos'!$AA$15="Menor"),CONCATENATE("R1C",'Mapa de Riesgos'!$O$15),"")</f>
        <v/>
      </c>
      <c r="S16" s="65" t="str">
        <f>IF(AND('Mapa de Riesgos'!$Y$16="Alta",'Mapa de Riesgos'!$AA$16="Menor"),CONCATENATE("R1C",'Mapa de Riesgos'!$O$16),"")</f>
        <v/>
      </c>
      <c r="T16" s="65" t="str">
        <f>IF(AND('Mapa de Riesgos'!$Y$17="Alta",'Mapa de Riesgos'!$AA$17="Menor"),CONCATENATE("R1C",'Mapa de Riesgos'!$O$17),"")</f>
        <v/>
      </c>
      <c r="U16" s="66" t="str">
        <f>IF(AND('Mapa de Riesgos'!$Y$18="Alta",'Mapa de Riesgos'!$AA$18="Menor"),CONCATENATE("R1C",'Mapa de Riesgos'!$O$18),"")</f>
        <v/>
      </c>
      <c r="V16" s="46" t="str">
        <f>IF(AND('Mapa de Riesgos'!$Y$12="Alta",'Mapa de Riesgos'!$AA$12="Moderado"),CONCATENATE("R1C",'Mapa de Riesgos'!$O$12),"")</f>
        <v/>
      </c>
      <c r="W16" s="47" t="str">
        <f>IF(AND('Mapa de Riesgos'!$Y$14="Alta",'Mapa de Riesgos'!$AA$14="Moderado"),CONCATENATE("R1C",'Mapa de Riesgos'!$O$14),"")</f>
        <v/>
      </c>
      <c r="X16" s="47" t="str">
        <f>IF(AND('Mapa de Riesgos'!$Y$15="Alta",'Mapa de Riesgos'!$AA$15="Moderado"),CONCATENATE("R1C",'Mapa de Riesgos'!$O$15),"")</f>
        <v/>
      </c>
      <c r="Y16" s="47" t="str">
        <f>IF(AND('Mapa de Riesgos'!$Y$16="Alta",'Mapa de Riesgos'!$AA$16="Moderado"),CONCATENATE("R1C",'Mapa de Riesgos'!$O$16),"")</f>
        <v/>
      </c>
      <c r="Z16" s="47" t="str">
        <f>IF(AND('Mapa de Riesgos'!$Y$17="Alta",'Mapa de Riesgos'!$AA$17="Moderado"),CONCATENATE("R1C",'Mapa de Riesgos'!$O$17),"")</f>
        <v/>
      </c>
      <c r="AA16" s="48" t="str">
        <f>IF(AND('Mapa de Riesgos'!$Y$18="Alta",'Mapa de Riesgos'!$AA$18="Moderado"),CONCATENATE("R1C",'Mapa de Riesgos'!$O$18),"")</f>
        <v/>
      </c>
      <c r="AB16" s="46" t="str">
        <f>IF(AND('Mapa de Riesgos'!$Y$12="Alta",'Mapa de Riesgos'!$AA$12="Mayor"),CONCATENATE("R1C",'Mapa de Riesgos'!$O$12),"")</f>
        <v/>
      </c>
      <c r="AC16" s="47" t="str">
        <f>IF(AND('Mapa de Riesgos'!$Y$14="Alta",'Mapa de Riesgos'!$AA$14="Mayor"),CONCATENATE("R1C",'Mapa de Riesgos'!$O$14),"")</f>
        <v/>
      </c>
      <c r="AD16" s="47" t="str">
        <f>IF(AND('Mapa de Riesgos'!$Y$15="Alta",'Mapa de Riesgos'!$AA$15="Mayor"),CONCATENATE("R1C",'Mapa de Riesgos'!$O$15),"")</f>
        <v/>
      </c>
      <c r="AE16" s="47" t="str">
        <f>IF(AND('Mapa de Riesgos'!$Y$16="Alta",'Mapa de Riesgos'!$AA$16="Mayor"),CONCATENATE("R1C",'Mapa de Riesgos'!$O$16),"")</f>
        <v/>
      </c>
      <c r="AF16" s="47" t="str">
        <f>IF(AND('Mapa de Riesgos'!$Y$17="Alta",'Mapa de Riesgos'!$AA$17="Mayor"),CONCATENATE("R1C",'Mapa de Riesgos'!$O$17),"")</f>
        <v/>
      </c>
      <c r="AG16" s="48" t="str">
        <f>IF(AND('Mapa de Riesgos'!$Y$18="Alta",'Mapa de Riesgos'!$AA$18="Mayor"),CONCATENATE("R1C",'Mapa de Riesgos'!$O$18),"")</f>
        <v/>
      </c>
      <c r="AH16" s="49" t="str">
        <f>IF(AND('Mapa de Riesgos'!$Y$12="Alta",'Mapa de Riesgos'!$AA$12="Catastrófico"),CONCATENATE("R1C",'Mapa de Riesgos'!$O$12),"")</f>
        <v/>
      </c>
      <c r="AI16" s="50" t="str">
        <f>IF(AND('Mapa de Riesgos'!$Y$14="Alta",'Mapa de Riesgos'!$AA$14="Catastrófico"),CONCATENATE("R1C",'Mapa de Riesgos'!$O$14),"")</f>
        <v/>
      </c>
      <c r="AJ16" s="50" t="str">
        <f>IF(AND('Mapa de Riesgos'!$Y$15="Alta",'Mapa de Riesgos'!$AA$15="Catastrófico"),CONCATENATE("R1C",'Mapa de Riesgos'!$O$15),"")</f>
        <v/>
      </c>
      <c r="AK16" s="50" t="str">
        <f>IF(AND('Mapa de Riesgos'!$Y$16="Alta",'Mapa de Riesgos'!$AA$16="Catastrófico"),CONCATENATE("R1C",'Mapa de Riesgos'!$O$16),"")</f>
        <v/>
      </c>
      <c r="AL16" s="50" t="str">
        <f>IF(AND('Mapa de Riesgos'!$Y$17="Alta",'Mapa de Riesgos'!$AA$17="Catastrófico"),CONCATENATE("R1C",'Mapa de Riesgos'!$O$17),"")</f>
        <v/>
      </c>
      <c r="AM16" s="51" t="str">
        <f>IF(AND('Mapa de Riesgos'!$Y$18="Alta",'Mapa de Riesgos'!$AA$18="Catastrófico"),CONCATENATE("R1C",'Mapa de Riesgos'!$O$18),"")</f>
        <v/>
      </c>
      <c r="AN16" s="83"/>
      <c r="AO16" s="525" t="s">
        <v>197</v>
      </c>
      <c r="AP16" s="526"/>
      <c r="AQ16" s="526"/>
      <c r="AR16" s="526"/>
      <c r="AS16" s="526"/>
      <c r="AT16" s="52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39"/>
      <c r="C17" s="439"/>
      <c r="D17" s="440"/>
      <c r="E17" s="536"/>
      <c r="F17" s="537"/>
      <c r="G17" s="537"/>
      <c r="H17" s="537"/>
      <c r="I17" s="537"/>
      <c r="J17" s="67" t="str">
        <f>IF(AND('Mapa de Riesgos'!$Y$19="Alta",'Mapa de Riesgos'!$AA$19="Leve"),CONCATENATE("R2C",'Mapa de Riesgos'!$O$19),"")</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Riesgos'!$Y$19="Alta",'Mapa de Riesgos'!$AA$19="Menor"),CONCATENATE("R2C",'Mapa de Riesgos'!$O$19),"")</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Riesgos'!$Y$19="Alta",'Mapa de Riesgos'!$AA$19="Moderado"),CONCATENATE("R2C",'Mapa de Riesgos'!$O$19),"")</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Riesgos'!$Y$19="Alta",'Mapa de Riesgos'!$AA$19="Mayor"),CONCATENATE("R2C",'Mapa de Riesgos'!$O$19),"")</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Riesgos'!$Y$19="Alta",'Mapa de Riesgos'!$AA$19="Catastrófico"),CONCATENATE("R2C",'Mapa de Riesgos'!$O$19),"")</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528"/>
      <c r="AP17" s="529"/>
      <c r="AQ17" s="529"/>
      <c r="AR17" s="529"/>
      <c r="AS17" s="529"/>
      <c r="AT17" s="53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39"/>
      <c r="C18" s="439"/>
      <c r="D18" s="440"/>
      <c r="E18" s="538"/>
      <c r="F18" s="537"/>
      <c r="G18" s="537"/>
      <c r="H18" s="537"/>
      <c r="I18" s="537"/>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28"/>
      <c r="AP18" s="529"/>
      <c r="AQ18" s="529"/>
      <c r="AR18" s="529"/>
      <c r="AS18" s="529"/>
      <c r="AT18" s="53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39"/>
      <c r="C19" s="439"/>
      <c r="D19" s="440"/>
      <c r="E19" s="538"/>
      <c r="F19" s="537"/>
      <c r="G19" s="537"/>
      <c r="H19" s="537"/>
      <c r="I19" s="537"/>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28"/>
      <c r="AP19" s="529"/>
      <c r="AQ19" s="529"/>
      <c r="AR19" s="529"/>
      <c r="AS19" s="529"/>
      <c r="AT19" s="53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39"/>
      <c r="C20" s="439"/>
      <c r="D20" s="440"/>
      <c r="E20" s="538"/>
      <c r="F20" s="537"/>
      <c r="G20" s="537"/>
      <c r="H20" s="537"/>
      <c r="I20" s="537"/>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528"/>
      <c r="AP20" s="529"/>
      <c r="AQ20" s="529"/>
      <c r="AR20" s="529"/>
      <c r="AS20" s="529"/>
      <c r="AT20" s="53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39"/>
      <c r="C21" s="439"/>
      <c r="D21" s="440"/>
      <c r="E21" s="538"/>
      <c r="F21" s="537"/>
      <c r="G21" s="537"/>
      <c r="H21" s="537"/>
      <c r="I21" s="537"/>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28"/>
      <c r="AP21" s="529"/>
      <c r="AQ21" s="529"/>
      <c r="AR21" s="529"/>
      <c r="AS21" s="529"/>
      <c r="AT21" s="53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39"/>
      <c r="C22" s="439"/>
      <c r="D22" s="440"/>
      <c r="E22" s="538"/>
      <c r="F22" s="537"/>
      <c r="G22" s="537"/>
      <c r="H22" s="537"/>
      <c r="I22" s="537"/>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528"/>
      <c r="AP22" s="529"/>
      <c r="AQ22" s="529"/>
      <c r="AR22" s="529"/>
      <c r="AS22" s="529"/>
      <c r="AT22" s="53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39"/>
      <c r="C23" s="439"/>
      <c r="D23" s="440"/>
      <c r="E23" s="538"/>
      <c r="F23" s="537"/>
      <c r="G23" s="537"/>
      <c r="H23" s="537"/>
      <c r="I23" s="537"/>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528"/>
      <c r="AP23" s="529"/>
      <c r="AQ23" s="529"/>
      <c r="AR23" s="529"/>
      <c r="AS23" s="529"/>
      <c r="AT23" s="53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39"/>
      <c r="C24" s="439"/>
      <c r="D24" s="440"/>
      <c r="E24" s="538"/>
      <c r="F24" s="537"/>
      <c r="G24" s="537"/>
      <c r="H24" s="537"/>
      <c r="I24" s="537"/>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528"/>
      <c r="AP24" s="529"/>
      <c r="AQ24" s="529"/>
      <c r="AR24" s="529"/>
      <c r="AS24" s="529"/>
      <c r="AT24" s="53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39"/>
      <c r="C25" s="439"/>
      <c r="D25" s="440"/>
      <c r="E25" s="539"/>
      <c r="F25" s="540"/>
      <c r="G25" s="540"/>
      <c r="H25" s="540"/>
      <c r="I25" s="540"/>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531"/>
      <c r="AP25" s="532"/>
      <c r="AQ25" s="532"/>
      <c r="AR25" s="532"/>
      <c r="AS25" s="532"/>
      <c r="AT25" s="53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39"/>
      <c r="C26" s="439"/>
      <c r="D26" s="440"/>
      <c r="E26" s="534" t="s">
        <v>198</v>
      </c>
      <c r="F26" s="535"/>
      <c r="G26" s="535"/>
      <c r="H26" s="535"/>
      <c r="I26" s="552"/>
      <c r="J26" s="64" t="str">
        <f>IF(AND('Mapa de Riesgos'!$Y$12="Media",'Mapa de Riesgos'!$AA$12="Leve"),CONCATENATE("R1C",'Mapa de Riesgos'!$O$12),"")</f>
        <v/>
      </c>
      <c r="K26" s="65" t="str">
        <f>IF(AND('Mapa de Riesgos'!$Y$14="Media",'Mapa de Riesgos'!$AA$14="Leve"),CONCATENATE("R1C",'Mapa de Riesgos'!$O$14),"")</f>
        <v/>
      </c>
      <c r="L26" s="65" t="str">
        <f>IF(AND('Mapa de Riesgos'!$Y$15="Media",'Mapa de Riesgos'!$AA$15="Leve"),CONCATENATE("R1C",'Mapa de Riesgos'!$O$15),"")</f>
        <v/>
      </c>
      <c r="M26" s="65" t="str">
        <f>IF(AND('Mapa de Riesgos'!$Y$16="Media",'Mapa de Riesgos'!$AA$16="Leve"),CONCATENATE("R1C",'Mapa de Riesgos'!$O$16),"")</f>
        <v/>
      </c>
      <c r="N26" s="65" t="str">
        <f>IF(AND('Mapa de Riesgos'!$Y$17="Media",'Mapa de Riesgos'!$AA$17="Leve"),CONCATENATE("R1C",'Mapa de Riesgos'!$O$17),"")</f>
        <v/>
      </c>
      <c r="O26" s="66" t="str">
        <f>IF(AND('Mapa de Riesgos'!$Y$18="Media",'Mapa de Riesgos'!$AA$18="Leve"),CONCATENATE("R1C",'Mapa de Riesgos'!$O$18),"")</f>
        <v/>
      </c>
      <c r="P26" s="64" t="str">
        <f>IF(AND('Mapa de Riesgos'!$Y$12="Media",'Mapa de Riesgos'!$AA$12="Menor"),CONCATENATE("R1C",'Mapa de Riesgos'!$O$12),"")</f>
        <v/>
      </c>
      <c r="Q26" s="65" t="str">
        <f>IF(AND('Mapa de Riesgos'!$Y$14="Media",'Mapa de Riesgos'!$AA$14="Menor"),CONCATENATE("R1C",'Mapa de Riesgos'!$O$14),"")</f>
        <v/>
      </c>
      <c r="R26" s="65" t="str">
        <f>IF(AND('Mapa de Riesgos'!$Y$15="Media",'Mapa de Riesgos'!$AA$15="Menor"),CONCATENATE("R1C",'Mapa de Riesgos'!$O$15),"")</f>
        <v/>
      </c>
      <c r="S26" s="65" t="str">
        <f>IF(AND('Mapa de Riesgos'!$Y$16="Media",'Mapa de Riesgos'!$AA$16="Menor"),CONCATENATE("R1C",'Mapa de Riesgos'!$O$16),"")</f>
        <v/>
      </c>
      <c r="T26" s="65" t="str">
        <f>IF(AND('Mapa de Riesgos'!$Y$17="Media",'Mapa de Riesgos'!$AA$17="Menor"),CONCATENATE("R1C",'Mapa de Riesgos'!$O$17),"")</f>
        <v/>
      </c>
      <c r="U26" s="66" t="str">
        <f>IF(AND('Mapa de Riesgos'!$Y$18="Media",'Mapa de Riesgos'!$AA$18="Menor"),CONCATENATE("R1C",'Mapa de Riesgos'!$O$18),"")</f>
        <v/>
      </c>
      <c r="V26" s="64" t="str">
        <f>IF(AND('Mapa de Riesgos'!$Y$12="Media",'Mapa de Riesgos'!$AA$12="Moderado"),CONCATENATE("R1C",'Mapa de Riesgos'!$O$12),"")</f>
        <v/>
      </c>
      <c r="W26" s="65" t="str">
        <f>IF(AND('Mapa de Riesgos'!$Y$14="Media",'Mapa de Riesgos'!$AA$14="Moderado"),CONCATENATE("R1C",'Mapa de Riesgos'!$O$14),"")</f>
        <v/>
      </c>
      <c r="X26" s="65" t="str">
        <f>IF(AND('Mapa de Riesgos'!$Y$15="Media",'Mapa de Riesgos'!$AA$15="Moderado"),CONCATENATE("R1C",'Mapa de Riesgos'!$O$15),"")</f>
        <v/>
      </c>
      <c r="Y26" s="65" t="str">
        <f>IF(AND('Mapa de Riesgos'!$Y$16="Media",'Mapa de Riesgos'!$AA$16="Moderado"),CONCATENATE("R1C",'Mapa de Riesgos'!$O$16),"")</f>
        <v/>
      </c>
      <c r="Z26" s="65" t="str">
        <f>IF(AND('Mapa de Riesgos'!$Y$17="Media",'Mapa de Riesgos'!$AA$17="Moderado"),CONCATENATE("R1C",'Mapa de Riesgos'!$O$17),"")</f>
        <v/>
      </c>
      <c r="AA26" s="66" t="str">
        <f>IF(AND('Mapa de Riesgos'!$Y$18="Media",'Mapa de Riesgos'!$AA$18="Moderado"),CONCATENATE("R1C",'Mapa de Riesgos'!$O$18),"")</f>
        <v/>
      </c>
      <c r="AB26" s="46" t="str">
        <f>IF(AND('Mapa de Riesgos'!$Y$12="Media",'Mapa de Riesgos'!$AA$12="Mayor"),CONCATENATE("R1C",'Mapa de Riesgos'!$O$12),"")</f>
        <v/>
      </c>
      <c r="AC26" s="47" t="str">
        <f>IF(AND('Mapa de Riesgos'!$Y$14="Media",'Mapa de Riesgos'!$AA$14="Mayor"),CONCATENATE("R1C",'Mapa de Riesgos'!$O$14),"")</f>
        <v/>
      </c>
      <c r="AD26" s="47" t="str">
        <f>IF(AND('Mapa de Riesgos'!$Y$15="Media",'Mapa de Riesgos'!$AA$15="Mayor"),CONCATENATE("R1C",'Mapa de Riesgos'!$O$15),"")</f>
        <v/>
      </c>
      <c r="AE26" s="47" t="str">
        <f>IF(AND('Mapa de Riesgos'!$Y$16="Media",'Mapa de Riesgos'!$AA$16="Mayor"),CONCATENATE("R1C",'Mapa de Riesgos'!$O$16),"")</f>
        <v/>
      </c>
      <c r="AF26" s="47" t="str">
        <f>IF(AND('Mapa de Riesgos'!$Y$17="Media",'Mapa de Riesgos'!$AA$17="Mayor"),CONCATENATE("R1C",'Mapa de Riesgos'!$O$17),"")</f>
        <v/>
      </c>
      <c r="AG26" s="48" t="str">
        <f>IF(AND('Mapa de Riesgos'!$Y$18="Media",'Mapa de Riesgos'!$AA$18="Mayor"),CONCATENATE("R1C",'Mapa de Riesgos'!$O$18),"")</f>
        <v/>
      </c>
      <c r="AH26" s="49" t="str">
        <f>IF(AND('Mapa de Riesgos'!$Y$12="Media",'Mapa de Riesgos'!$AA$12="Catastrófico"),CONCATENATE("R1C",'Mapa de Riesgos'!$O$12),"")</f>
        <v/>
      </c>
      <c r="AI26" s="50" t="str">
        <f>IF(AND('Mapa de Riesgos'!$Y$14="Media",'Mapa de Riesgos'!$AA$14="Catastrófico"),CONCATENATE("R1C",'Mapa de Riesgos'!$O$14),"")</f>
        <v/>
      </c>
      <c r="AJ26" s="50" t="str">
        <f>IF(AND('Mapa de Riesgos'!$Y$15="Media",'Mapa de Riesgos'!$AA$15="Catastrófico"),CONCATENATE("R1C",'Mapa de Riesgos'!$O$15),"")</f>
        <v/>
      </c>
      <c r="AK26" s="50" t="str">
        <f>IF(AND('Mapa de Riesgos'!$Y$16="Media",'Mapa de Riesgos'!$AA$16="Catastrófico"),CONCATENATE("R1C",'Mapa de Riesgos'!$O$16),"")</f>
        <v/>
      </c>
      <c r="AL26" s="50" t="str">
        <f>IF(AND('Mapa de Riesgos'!$Y$17="Media",'Mapa de Riesgos'!$AA$17="Catastrófico"),CONCATENATE("R1C",'Mapa de Riesgos'!$O$17),"")</f>
        <v/>
      </c>
      <c r="AM26" s="51" t="str">
        <f>IF(AND('Mapa de Riesgos'!$Y$18="Media",'Mapa de Riesgos'!$AA$18="Catastrófico"),CONCATENATE("R1C",'Mapa de Riesgos'!$O$18),"")</f>
        <v/>
      </c>
      <c r="AN26" s="83"/>
      <c r="AO26" s="564" t="s">
        <v>199</v>
      </c>
      <c r="AP26" s="565"/>
      <c r="AQ26" s="565"/>
      <c r="AR26" s="565"/>
      <c r="AS26" s="565"/>
      <c r="AT26" s="56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39"/>
      <c r="C27" s="439"/>
      <c r="D27" s="440"/>
      <c r="E27" s="536"/>
      <c r="F27" s="537"/>
      <c r="G27" s="537"/>
      <c r="H27" s="537"/>
      <c r="I27" s="553"/>
      <c r="J27" s="67" t="str">
        <f>IF(AND('Mapa de Riesgos'!$Y$19="Media",'Mapa de Riesgos'!$AA$19="Leve"),CONCATENATE("R2C",'Mapa de Riesgos'!$O$19),"")</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Riesgos'!$Y$19="Media",'Mapa de Riesgos'!$AA$19="Menor"),CONCATENATE("R2C",'Mapa de Riesgos'!$O$19),"")</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Riesgos'!$Y$19="Media",'Mapa de Riesgos'!$AA$19="Moderado"),CONCATENATE("R2C",'Mapa de Riesgos'!$O$19),"")</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Riesgos'!$Y$19="Media",'Mapa de Riesgos'!$AA$19="Mayor"),CONCATENATE("R2C",'Mapa de Riesgos'!$O$19),"")</f>
        <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Riesgos'!$Y$19="Media",'Mapa de Riesgos'!$AA$19="Catastrófico"),CONCATENATE("R2C",'Mapa de Riesgos'!$O$19),"")</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567"/>
      <c r="AP27" s="568"/>
      <c r="AQ27" s="568"/>
      <c r="AR27" s="568"/>
      <c r="AS27" s="568"/>
      <c r="AT27" s="56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39"/>
      <c r="C28" s="439"/>
      <c r="D28" s="440"/>
      <c r="E28" s="538"/>
      <c r="F28" s="537"/>
      <c r="G28" s="537"/>
      <c r="H28" s="537"/>
      <c r="I28" s="553"/>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567"/>
      <c r="AP28" s="568"/>
      <c r="AQ28" s="568"/>
      <c r="AR28" s="568"/>
      <c r="AS28" s="568"/>
      <c r="AT28" s="56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39"/>
      <c r="C29" s="439"/>
      <c r="D29" s="440"/>
      <c r="E29" s="538"/>
      <c r="F29" s="537"/>
      <c r="G29" s="537"/>
      <c r="H29" s="537"/>
      <c r="I29" s="553"/>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67"/>
      <c r="AP29" s="568"/>
      <c r="AQ29" s="568"/>
      <c r="AR29" s="568"/>
      <c r="AS29" s="568"/>
      <c r="AT29" s="56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39"/>
      <c r="C30" s="439"/>
      <c r="D30" s="440"/>
      <c r="E30" s="538"/>
      <c r="F30" s="537"/>
      <c r="G30" s="537"/>
      <c r="H30" s="537"/>
      <c r="I30" s="553"/>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567"/>
      <c r="AP30" s="568"/>
      <c r="AQ30" s="568"/>
      <c r="AR30" s="568"/>
      <c r="AS30" s="568"/>
      <c r="AT30" s="56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39"/>
      <c r="C31" s="439"/>
      <c r="D31" s="440"/>
      <c r="E31" s="538"/>
      <c r="F31" s="537"/>
      <c r="G31" s="537"/>
      <c r="H31" s="537"/>
      <c r="I31" s="553"/>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67"/>
      <c r="AP31" s="568"/>
      <c r="AQ31" s="568"/>
      <c r="AR31" s="568"/>
      <c r="AS31" s="568"/>
      <c r="AT31" s="56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39"/>
      <c r="C32" s="439"/>
      <c r="D32" s="440"/>
      <c r="E32" s="538"/>
      <c r="F32" s="537"/>
      <c r="G32" s="537"/>
      <c r="H32" s="537"/>
      <c r="I32" s="553"/>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567"/>
      <c r="AP32" s="568"/>
      <c r="AQ32" s="568"/>
      <c r="AR32" s="568"/>
      <c r="AS32" s="568"/>
      <c r="AT32" s="56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39"/>
      <c r="C33" s="439"/>
      <c r="D33" s="440"/>
      <c r="E33" s="538"/>
      <c r="F33" s="537"/>
      <c r="G33" s="537"/>
      <c r="H33" s="537"/>
      <c r="I33" s="553"/>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567"/>
      <c r="AP33" s="568"/>
      <c r="AQ33" s="568"/>
      <c r="AR33" s="568"/>
      <c r="AS33" s="568"/>
      <c r="AT33" s="56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39"/>
      <c r="C34" s="439"/>
      <c r="D34" s="440"/>
      <c r="E34" s="538"/>
      <c r="F34" s="537"/>
      <c r="G34" s="537"/>
      <c r="H34" s="537"/>
      <c r="I34" s="553"/>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567"/>
      <c r="AP34" s="568"/>
      <c r="AQ34" s="568"/>
      <c r="AR34" s="568"/>
      <c r="AS34" s="568"/>
      <c r="AT34" s="56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39"/>
      <c r="C35" s="439"/>
      <c r="D35" s="440"/>
      <c r="E35" s="539"/>
      <c r="F35" s="540"/>
      <c r="G35" s="540"/>
      <c r="H35" s="540"/>
      <c r="I35" s="554"/>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570"/>
      <c r="AP35" s="571"/>
      <c r="AQ35" s="571"/>
      <c r="AR35" s="571"/>
      <c r="AS35" s="571"/>
      <c r="AT35" s="57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39"/>
      <c r="C36" s="439"/>
      <c r="D36" s="440"/>
      <c r="E36" s="534" t="s">
        <v>200</v>
      </c>
      <c r="F36" s="535"/>
      <c r="G36" s="535"/>
      <c r="H36" s="535"/>
      <c r="I36" s="535"/>
      <c r="J36" s="73" t="str">
        <f>IF(AND('Mapa de Riesgos'!$Y$12="Baja",'Mapa de Riesgos'!$AA$12="Leve"),CONCATENATE("R1C",'Mapa de Riesgos'!$O$12),"")</f>
        <v/>
      </c>
      <c r="K36" s="74" t="str">
        <f>IF(AND('Mapa de Riesgos'!$Y$14="Baja",'Mapa de Riesgos'!$AA$14="Leve"),CONCATENATE("R1C",'Mapa de Riesgos'!$O$14),"")</f>
        <v/>
      </c>
      <c r="L36" s="74" t="str">
        <f>IF(AND('Mapa de Riesgos'!$Y$15="Baja",'Mapa de Riesgos'!$AA$15="Leve"),CONCATENATE("R1C",'Mapa de Riesgos'!$O$15),"")</f>
        <v/>
      </c>
      <c r="M36" s="74" t="str">
        <f>IF(AND('Mapa de Riesgos'!$Y$16="Baja",'Mapa de Riesgos'!$AA$16="Leve"),CONCATENATE("R1C",'Mapa de Riesgos'!$O$16),"")</f>
        <v/>
      </c>
      <c r="N36" s="74" t="str">
        <f>IF(AND('Mapa de Riesgos'!$Y$17="Baja",'Mapa de Riesgos'!$AA$17="Leve"),CONCATENATE("R1C",'Mapa de Riesgos'!$O$17),"")</f>
        <v/>
      </c>
      <c r="O36" s="75" t="str">
        <f>IF(AND('Mapa de Riesgos'!$Y$18="Baja",'Mapa de Riesgos'!$AA$18="Leve"),CONCATENATE("R1C",'Mapa de Riesgos'!$O$18),"")</f>
        <v/>
      </c>
      <c r="P36" s="64" t="str">
        <f>IF(AND('Mapa de Riesgos'!$Y$12="Baja",'Mapa de Riesgos'!$AA$12="Menor"),CONCATENATE("R1C",'Mapa de Riesgos'!$O$12),"")</f>
        <v/>
      </c>
      <c r="Q36" s="65" t="str">
        <f>IF(AND('Mapa de Riesgos'!$Y$14="Baja",'Mapa de Riesgos'!$AA$14="Menor"),CONCATENATE("R1C",'Mapa de Riesgos'!$O$14),"")</f>
        <v/>
      </c>
      <c r="R36" s="65" t="str">
        <f>IF(AND('Mapa de Riesgos'!$Y$15="Baja",'Mapa de Riesgos'!$AA$15="Menor"),CONCATENATE("R1C",'Mapa de Riesgos'!$O$15),"")</f>
        <v/>
      </c>
      <c r="S36" s="65" t="str">
        <f>IF(AND('Mapa de Riesgos'!$Y$16="Baja",'Mapa de Riesgos'!$AA$16="Menor"),CONCATENATE("R1C",'Mapa de Riesgos'!$O$16),"")</f>
        <v/>
      </c>
      <c r="T36" s="65" t="str">
        <f>IF(AND('Mapa de Riesgos'!$Y$17="Baja",'Mapa de Riesgos'!$AA$17="Menor"),CONCATENATE("R1C",'Mapa de Riesgos'!$O$17),"")</f>
        <v/>
      </c>
      <c r="U36" s="66" t="str">
        <f>IF(AND('Mapa de Riesgos'!$Y$18="Baja",'Mapa de Riesgos'!$AA$18="Menor"),CONCATENATE("R1C",'Mapa de Riesgos'!$O$18),"")</f>
        <v/>
      </c>
      <c r="V36" s="64" t="str">
        <f>IF(AND('Mapa de Riesgos'!$Y$12="Baja",'Mapa de Riesgos'!$AA$12="Moderado"),CONCATENATE("R1C",'Mapa de Riesgos'!$O$12),"")</f>
        <v/>
      </c>
      <c r="W36" s="65" t="str">
        <f>IF(AND('Mapa de Riesgos'!$Y$14="Baja",'Mapa de Riesgos'!$AA$14="Moderado"),CONCATENATE("R1C",'Mapa de Riesgos'!$O$14),"")</f>
        <v/>
      </c>
      <c r="X36" s="65" t="str">
        <f>IF(AND('Mapa de Riesgos'!$Y$15="Baja",'Mapa de Riesgos'!$AA$15="Moderado"),CONCATENATE("R1C",'Mapa de Riesgos'!$O$15),"")</f>
        <v/>
      </c>
      <c r="Y36" s="65" t="str">
        <f>IF(AND('Mapa de Riesgos'!$Y$16="Baja",'Mapa de Riesgos'!$AA$16="Moderado"),CONCATENATE("R1C",'Mapa de Riesgos'!$O$16),"")</f>
        <v/>
      </c>
      <c r="Z36" s="65" t="str">
        <f>IF(AND('Mapa de Riesgos'!$Y$17="Baja",'Mapa de Riesgos'!$AA$17="Moderado"),CONCATENATE("R1C",'Mapa de Riesgos'!$O$17),"")</f>
        <v/>
      </c>
      <c r="AA36" s="66" t="str">
        <f>IF(AND('Mapa de Riesgos'!$Y$18="Baja",'Mapa de Riesgos'!$AA$18="Moderado"),CONCATENATE("R1C",'Mapa de Riesgos'!$O$18),"")</f>
        <v/>
      </c>
      <c r="AB36" s="46" t="str">
        <f>IF(AND('Mapa de Riesgos'!$Y$12="Baja",'Mapa de Riesgos'!$AA$12="Mayor"),CONCATENATE("R1C",'Mapa de Riesgos'!$O$12),"")</f>
        <v>R1C1</v>
      </c>
      <c r="AC36" s="47" t="str">
        <f>IF(AND('Mapa de Riesgos'!$Y$14="Baja",'Mapa de Riesgos'!$AA$14="Mayor"),CONCATENATE("R1C",'Mapa de Riesgos'!$O$14),"")</f>
        <v/>
      </c>
      <c r="AD36" s="47" t="str">
        <f>IF(AND('Mapa de Riesgos'!$Y$15="Baja",'Mapa de Riesgos'!$AA$15="Mayor"),CONCATENATE("R1C",'Mapa de Riesgos'!$O$15),"")</f>
        <v/>
      </c>
      <c r="AE36" s="47" t="str">
        <f>IF(AND('Mapa de Riesgos'!$Y$16="Baja",'Mapa de Riesgos'!$AA$16="Mayor"),CONCATENATE("R1C",'Mapa de Riesgos'!$O$16),"")</f>
        <v/>
      </c>
      <c r="AF36" s="47" t="str">
        <f>IF(AND('Mapa de Riesgos'!$Y$17="Baja",'Mapa de Riesgos'!$AA$17="Mayor"),CONCATENATE("R1C",'Mapa de Riesgos'!$O$17),"")</f>
        <v/>
      </c>
      <c r="AG36" s="48" t="str">
        <f>IF(AND('Mapa de Riesgos'!$Y$18="Baja",'Mapa de Riesgos'!$AA$18="Mayor"),CONCATENATE("R1C",'Mapa de Riesgos'!$O$18),"")</f>
        <v/>
      </c>
      <c r="AH36" s="49" t="str">
        <f>IF(AND('Mapa de Riesgos'!$Y$12="Baja",'Mapa de Riesgos'!$AA$12="Catastrófico"),CONCATENATE("R1C",'Mapa de Riesgos'!$O$12),"")</f>
        <v/>
      </c>
      <c r="AI36" s="50" t="str">
        <f>IF(AND('Mapa de Riesgos'!$Y$14="Baja",'Mapa de Riesgos'!$AA$14="Catastrófico"),CONCATENATE("R1C",'Mapa de Riesgos'!$O$14),"")</f>
        <v/>
      </c>
      <c r="AJ36" s="50" t="str">
        <f>IF(AND('Mapa de Riesgos'!$Y$15="Baja",'Mapa de Riesgos'!$AA$15="Catastrófico"),CONCATENATE("R1C",'Mapa de Riesgos'!$O$15),"")</f>
        <v/>
      </c>
      <c r="AK36" s="50" t="str">
        <f>IF(AND('Mapa de Riesgos'!$Y$16="Baja",'Mapa de Riesgos'!$AA$16="Catastrófico"),CONCATENATE("R1C",'Mapa de Riesgos'!$O$16),"")</f>
        <v/>
      </c>
      <c r="AL36" s="50" t="str">
        <f>IF(AND('Mapa de Riesgos'!$Y$17="Baja",'Mapa de Riesgos'!$AA$17="Catastrófico"),CONCATENATE("R1C",'Mapa de Riesgos'!$O$17),"")</f>
        <v/>
      </c>
      <c r="AM36" s="51" t="str">
        <f>IF(AND('Mapa de Riesgos'!$Y$18="Baja",'Mapa de Riesgos'!$AA$18="Catastrófico"),CONCATENATE("R1C",'Mapa de Riesgos'!$O$18),"")</f>
        <v/>
      </c>
      <c r="AN36" s="83"/>
      <c r="AO36" s="555" t="s">
        <v>201</v>
      </c>
      <c r="AP36" s="556"/>
      <c r="AQ36" s="556"/>
      <c r="AR36" s="556"/>
      <c r="AS36" s="556"/>
      <c r="AT36" s="55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39"/>
      <c r="C37" s="439"/>
      <c r="D37" s="440"/>
      <c r="E37" s="536"/>
      <c r="F37" s="537"/>
      <c r="G37" s="537"/>
      <c r="H37" s="537"/>
      <c r="I37" s="537"/>
      <c r="J37" s="76" t="str">
        <f>IF(AND('Mapa de Riesgos'!$Y$19="Baja",'Mapa de Riesgos'!$AA$19="Leve"),CONCATENATE("R2C",'Mapa de Riesgos'!$O$19),"")</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Riesgos'!$Y$19="Baja",'Mapa de Riesgos'!$AA$19="Menor"),CONCATENATE("R2C",'Mapa de Riesgos'!$O$19),"")</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Riesgos'!$Y$19="Baja",'Mapa de Riesgos'!$AA$19="Moderado"),CONCATENATE("R2C",'Mapa de Riesgos'!$O$19),"")</f>
        <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Riesgos'!$Y$19="Baja",'Mapa de Riesgos'!$AA$19="Mayor"),CONCATENATE("R2C",'Mapa de Riesgos'!$O$19),"")</f>
        <v/>
      </c>
      <c r="AC37" s="53" t="str">
        <f>IF(AND('Mapa de Riesgos'!$Y$20="Baja",'Mapa de Riesgos'!$AA$20="Mayor"),CONCATENATE("R2C",'Mapa de Riesgos'!$O$20),"")</f>
        <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Riesgos'!$Y$19="Baja",'Mapa de Riesgos'!$AA$19="Catastrófico"),CONCATENATE("R2C",'Mapa de Riesgos'!$O$19),"")</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558"/>
      <c r="AP37" s="559"/>
      <c r="AQ37" s="559"/>
      <c r="AR37" s="559"/>
      <c r="AS37" s="559"/>
      <c r="AT37" s="56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39"/>
      <c r="C38" s="439"/>
      <c r="D38" s="440"/>
      <c r="E38" s="538"/>
      <c r="F38" s="537"/>
      <c r="G38" s="537"/>
      <c r="H38" s="537"/>
      <c r="I38" s="537"/>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R3C1</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558"/>
      <c r="AP38" s="559"/>
      <c r="AQ38" s="559"/>
      <c r="AR38" s="559"/>
      <c r="AS38" s="559"/>
      <c r="AT38" s="56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39"/>
      <c r="C39" s="439"/>
      <c r="D39" s="440"/>
      <c r="E39" s="538"/>
      <c r="F39" s="537"/>
      <c r="G39" s="537"/>
      <c r="H39" s="537"/>
      <c r="I39" s="537"/>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R4C1</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58"/>
      <c r="AP39" s="559"/>
      <c r="AQ39" s="559"/>
      <c r="AR39" s="559"/>
      <c r="AS39" s="559"/>
      <c r="AT39" s="56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39"/>
      <c r="C40" s="439"/>
      <c r="D40" s="440"/>
      <c r="E40" s="538"/>
      <c r="F40" s="537"/>
      <c r="G40" s="537"/>
      <c r="H40" s="537"/>
      <c r="I40" s="537"/>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558"/>
      <c r="AP40" s="559"/>
      <c r="AQ40" s="559"/>
      <c r="AR40" s="559"/>
      <c r="AS40" s="559"/>
      <c r="AT40" s="56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39"/>
      <c r="C41" s="439"/>
      <c r="D41" s="440"/>
      <c r="E41" s="538"/>
      <c r="F41" s="537"/>
      <c r="G41" s="537"/>
      <c r="H41" s="537"/>
      <c r="I41" s="537"/>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58"/>
      <c r="AP41" s="559"/>
      <c r="AQ41" s="559"/>
      <c r="AR41" s="559"/>
      <c r="AS41" s="559"/>
      <c r="AT41" s="56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39"/>
      <c r="C42" s="439"/>
      <c r="D42" s="440"/>
      <c r="E42" s="538"/>
      <c r="F42" s="537"/>
      <c r="G42" s="537"/>
      <c r="H42" s="537"/>
      <c r="I42" s="537"/>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558"/>
      <c r="AP42" s="559"/>
      <c r="AQ42" s="559"/>
      <c r="AR42" s="559"/>
      <c r="AS42" s="559"/>
      <c r="AT42" s="56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39"/>
      <c r="C43" s="439"/>
      <c r="D43" s="440"/>
      <c r="E43" s="538"/>
      <c r="F43" s="537"/>
      <c r="G43" s="537"/>
      <c r="H43" s="537"/>
      <c r="I43" s="537"/>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558"/>
      <c r="AP43" s="559"/>
      <c r="AQ43" s="559"/>
      <c r="AR43" s="559"/>
      <c r="AS43" s="559"/>
      <c r="AT43" s="56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39"/>
      <c r="C44" s="439"/>
      <c r="D44" s="440"/>
      <c r="E44" s="538"/>
      <c r="F44" s="537"/>
      <c r="G44" s="537"/>
      <c r="H44" s="537"/>
      <c r="I44" s="537"/>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558"/>
      <c r="AP44" s="559"/>
      <c r="AQ44" s="559"/>
      <c r="AR44" s="559"/>
      <c r="AS44" s="559"/>
      <c r="AT44" s="56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39"/>
      <c r="C45" s="439"/>
      <c r="D45" s="440"/>
      <c r="E45" s="539"/>
      <c r="F45" s="540"/>
      <c r="G45" s="540"/>
      <c r="H45" s="540"/>
      <c r="I45" s="540"/>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61"/>
      <c r="AP45" s="562"/>
      <c r="AQ45" s="562"/>
      <c r="AR45" s="562"/>
      <c r="AS45" s="562"/>
      <c r="AT45" s="563"/>
    </row>
    <row r="46" spans="1:80" ht="46.5" customHeight="1" x14ac:dyDescent="0.35">
      <c r="A46" s="83"/>
      <c r="B46" s="439"/>
      <c r="C46" s="439"/>
      <c r="D46" s="440"/>
      <c r="E46" s="534" t="s">
        <v>202</v>
      </c>
      <c r="F46" s="535"/>
      <c r="G46" s="535"/>
      <c r="H46" s="535"/>
      <c r="I46" s="552"/>
      <c r="J46" s="73" t="str">
        <f>IF(AND('Mapa de Riesgos'!$Y$12="Muy Baja",'Mapa de Riesgos'!$AA$12="Leve"),CONCATENATE("R1C",'Mapa de Riesgos'!$O$12),"")</f>
        <v/>
      </c>
      <c r="K46" s="74" t="str">
        <f>IF(AND('Mapa de Riesgos'!$Y$14="Muy Baja",'Mapa de Riesgos'!$AA$14="Leve"),CONCATENATE("R1C",'Mapa de Riesgos'!$O$14),"")</f>
        <v/>
      </c>
      <c r="L46" s="74" t="str">
        <f>IF(AND('Mapa de Riesgos'!$Y$15="Muy Baja",'Mapa de Riesgos'!$AA$15="Leve"),CONCATENATE("R1C",'Mapa de Riesgos'!$O$15),"")</f>
        <v/>
      </c>
      <c r="M46" s="74" t="str">
        <f>IF(AND('Mapa de Riesgos'!$Y$16="Muy Baja",'Mapa de Riesgos'!$AA$16="Leve"),CONCATENATE("R1C",'Mapa de Riesgos'!$O$16),"")</f>
        <v/>
      </c>
      <c r="N46" s="74" t="str">
        <f>IF(AND('Mapa de Riesgos'!$Y$17="Muy Baja",'Mapa de Riesgos'!$AA$17="Leve"),CONCATENATE("R1C",'Mapa de Riesgos'!$O$17),"")</f>
        <v/>
      </c>
      <c r="O46" s="75" t="str">
        <f>IF(AND('Mapa de Riesgos'!$Y$18="Muy Baja",'Mapa de Riesgos'!$AA$18="Leve"),CONCATENATE("R1C",'Mapa de Riesgos'!$O$18),"")</f>
        <v/>
      </c>
      <c r="P46" s="73" t="str">
        <f>IF(AND('Mapa de Riesgos'!$Y$12="Muy Baja",'Mapa de Riesgos'!$AA$12="Menor"),CONCATENATE("R1C",'Mapa de Riesgos'!$O$12),"")</f>
        <v/>
      </c>
      <c r="Q46" s="74" t="str">
        <f>IF(AND('Mapa de Riesgos'!$Y$14="Muy Baja",'Mapa de Riesgos'!$AA$14="Menor"),CONCATENATE("R1C",'Mapa de Riesgos'!$O$14),"")</f>
        <v/>
      </c>
      <c r="R46" s="74" t="str">
        <f>IF(AND('Mapa de Riesgos'!$Y$15="Muy Baja",'Mapa de Riesgos'!$AA$15="Menor"),CONCATENATE("R1C",'Mapa de Riesgos'!$O$15),"")</f>
        <v/>
      </c>
      <c r="S46" s="74" t="str">
        <f>IF(AND('Mapa de Riesgos'!$Y$16="Muy Baja",'Mapa de Riesgos'!$AA$16="Menor"),CONCATENATE("R1C",'Mapa de Riesgos'!$O$16),"")</f>
        <v/>
      </c>
      <c r="T46" s="74" t="str">
        <f>IF(AND('Mapa de Riesgos'!$Y$17="Muy Baja",'Mapa de Riesgos'!$AA$17="Menor"),CONCATENATE("R1C",'Mapa de Riesgos'!$O$17),"")</f>
        <v/>
      </c>
      <c r="U46" s="75" t="str">
        <f>IF(AND('Mapa de Riesgos'!$Y$18="Muy Baja",'Mapa de Riesgos'!$AA$18="Menor"),CONCATENATE("R1C",'Mapa de Riesgos'!$O$18),"")</f>
        <v/>
      </c>
      <c r="V46" s="64" t="str">
        <f>IF(AND('Mapa de Riesgos'!$Y$12="Muy Baja",'Mapa de Riesgos'!$AA$12="Moderado"),CONCATENATE("R1C",'Mapa de Riesgos'!$O$12),"")</f>
        <v/>
      </c>
      <c r="W46" s="82" t="str">
        <f>IF(AND('Mapa de Riesgos'!$Y$14="Muy Baja",'Mapa de Riesgos'!$AA$14="Moderado"),CONCATENATE("R1C",'Mapa de Riesgos'!$O$14),"")</f>
        <v/>
      </c>
      <c r="X46" s="65" t="str">
        <f>IF(AND('Mapa de Riesgos'!$Y$15="Muy Baja",'Mapa de Riesgos'!$AA$15="Moderado"),CONCATENATE("R1C",'Mapa de Riesgos'!$O$15),"")</f>
        <v/>
      </c>
      <c r="Y46" s="65" t="str">
        <f>IF(AND('Mapa de Riesgos'!$Y$16="Muy Baja",'Mapa de Riesgos'!$AA$16="Moderado"),CONCATENATE("R1C",'Mapa de Riesgos'!$O$16),"")</f>
        <v/>
      </c>
      <c r="Z46" s="65" t="str">
        <f>IF(AND('Mapa de Riesgos'!$Y$17="Muy Baja",'Mapa de Riesgos'!$AA$17="Moderado"),CONCATENATE("R1C",'Mapa de Riesgos'!$O$17),"")</f>
        <v/>
      </c>
      <c r="AA46" s="66" t="str">
        <f>IF(AND('Mapa de Riesgos'!$Y$18="Muy Baja",'Mapa de Riesgos'!$AA$18="Moderado"),CONCATENATE("R1C",'Mapa de Riesgos'!$O$18),"")</f>
        <v/>
      </c>
      <c r="AB46" s="46" t="str">
        <f>IF(AND('Mapa de Riesgos'!$Y$12="Muy Baja",'Mapa de Riesgos'!$AA$12="Mayor"),CONCATENATE("R1C",'Mapa de Riesgos'!$O$12),"")</f>
        <v/>
      </c>
      <c r="AC46" s="47" t="str">
        <f>IF(AND('Mapa de Riesgos'!$Y$14="Muy Baja",'Mapa de Riesgos'!$AA$14="Mayor"),CONCATENATE("R1C",'Mapa de Riesgos'!$O$14),"")</f>
        <v/>
      </c>
      <c r="AD46" s="47" t="str">
        <f>IF(AND('Mapa de Riesgos'!$Y$15="Muy Baja",'Mapa de Riesgos'!$AA$15="Mayor"),CONCATENATE("R1C",'Mapa de Riesgos'!$O$15),"")</f>
        <v/>
      </c>
      <c r="AE46" s="47" t="str">
        <f>IF(AND('Mapa de Riesgos'!$Y$16="Muy Baja",'Mapa de Riesgos'!$AA$16="Mayor"),CONCATENATE("R1C",'Mapa de Riesgos'!$O$16),"")</f>
        <v/>
      </c>
      <c r="AF46" s="47" t="str">
        <f>IF(AND('Mapa de Riesgos'!$Y$17="Muy Baja",'Mapa de Riesgos'!$AA$17="Mayor"),CONCATENATE("R1C",'Mapa de Riesgos'!$O$17),"")</f>
        <v/>
      </c>
      <c r="AG46" s="48" t="str">
        <f>IF(AND('Mapa de Riesgos'!$Y$18="Muy Baja",'Mapa de Riesgos'!$AA$18="Mayor"),CONCATENATE("R1C",'Mapa de Riesgos'!$O$18),"")</f>
        <v/>
      </c>
      <c r="AH46" s="49" t="str">
        <f>IF(AND('Mapa de Riesgos'!$Y$12="Muy Baja",'Mapa de Riesgos'!$AA$12="Catastrófico"),CONCATENATE("R1C",'Mapa de Riesgos'!$O$12),"")</f>
        <v/>
      </c>
      <c r="AI46" s="50" t="str">
        <f>IF(AND('Mapa de Riesgos'!$Y$14="Muy Baja",'Mapa de Riesgos'!$AA$14="Catastrófico"),CONCATENATE("R1C",'Mapa de Riesgos'!$O$14),"")</f>
        <v/>
      </c>
      <c r="AJ46" s="50" t="str">
        <f>IF(AND('Mapa de Riesgos'!$Y$15="Muy Baja",'Mapa de Riesgos'!$AA$15="Catastrófico"),CONCATENATE("R1C",'Mapa de Riesgos'!$O$15),"")</f>
        <v/>
      </c>
      <c r="AK46" s="50" t="str">
        <f>IF(AND('Mapa de Riesgos'!$Y$16="Muy Baja",'Mapa de Riesgos'!$AA$16="Catastrófico"),CONCATENATE("R1C",'Mapa de Riesgos'!$O$16),"")</f>
        <v/>
      </c>
      <c r="AL46" s="50" t="str">
        <f>IF(AND('Mapa de Riesgos'!$Y$17="Muy Baja",'Mapa de Riesgos'!$AA$17="Catastrófico"),CONCATENATE("R1C",'Mapa de Riesgos'!$O$17),"")</f>
        <v/>
      </c>
      <c r="AM46" s="51" t="str">
        <f>IF(AND('Mapa de Riesgos'!$Y$18="Muy Baja",'Mapa de Riesgos'!$AA$18="Catastrófico"),CONCATENATE("R1C",'Mapa de Riesgos'!$O$18),"")</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39"/>
      <c r="C47" s="439"/>
      <c r="D47" s="440"/>
      <c r="E47" s="536"/>
      <c r="F47" s="537"/>
      <c r="G47" s="537"/>
      <c r="H47" s="537"/>
      <c r="I47" s="553"/>
      <c r="J47" s="76" t="str">
        <f>IF(AND('Mapa de Riesgos'!$Y$19="Muy Baja",'Mapa de Riesgos'!$AA$19="Leve"),CONCATENATE("R2C",'Mapa de Riesgos'!$O$19),"")</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Riesgos'!$Y$19="Muy Baja",'Mapa de Riesgos'!$AA$19="Menor"),CONCATENATE("R2C",'Mapa de Riesgos'!$O$19),"")</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Riesgos'!$Y$19="Muy Baja",'Mapa de Riesgos'!$AA$19="Moderado"),CONCATENATE("R2C",'Mapa de Riesgos'!$O$19),"")</f>
        <v>R2C1</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Riesgos'!$Y$19="Muy Baja",'Mapa de Riesgos'!$AA$19="Mayor"),CONCATENATE("R2C",'Mapa de Riesgos'!$O$19),"")</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Riesgos'!$Y$19="Muy Baja",'Mapa de Riesgos'!$AA$19="Catastrófico"),CONCATENATE("R2C",'Mapa de Riesgos'!$O$19),"")</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39"/>
      <c r="C48" s="439"/>
      <c r="D48" s="440"/>
      <c r="E48" s="536"/>
      <c r="F48" s="537"/>
      <c r="G48" s="537"/>
      <c r="H48" s="537"/>
      <c r="I48" s="553"/>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39"/>
      <c r="C49" s="439"/>
      <c r="D49" s="440"/>
      <c r="E49" s="538"/>
      <c r="F49" s="537"/>
      <c r="G49" s="537"/>
      <c r="H49" s="537"/>
      <c r="I49" s="553"/>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39"/>
      <c r="C50" s="439"/>
      <c r="D50" s="440"/>
      <c r="E50" s="538"/>
      <c r="F50" s="537"/>
      <c r="G50" s="537"/>
      <c r="H50" s="537"/>
      <c r="I50" s="553"/>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39"/>
      <c r="C51" s="439"/>
      <c r="D51" s="440"/>
      <c r="E51" s="538"/>
      <c r="F51" s="537"/>
      <c r="G51" s="537"/>
      <c r="H51" s="537"/>
      <c r="I51" s="553"/>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39"/>
      <c r="C52" s="439"/>
      <c r="D52" s="440"/>
      <c r="E52" s="538"/>
      <c r="F52" s="537"/>
      <c r="G52" s="537"/>
      <c r="H52" s="537"/>
      <c r="I52" s="553"/>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39"/>
      <c r="C53" s="439"/>
      <c r="D53" s="440"/>
      <c r="E53" s="538"/>
      <c r="F53" s="537"/>
      <c r="G53" s="537"/>
      <c r="H53" s="537"/>
      <c r="I53" s="553"/>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39"/>
      <c r="C54" s="439"/>
      <c r="D54" s="440"/>
      <c r="E54" s="538"/>
      <c r="F54" s="537"/>
      <c r="G54" s="537"/>
      <c r="H54" s="537"/>
      <c r="I54" s="553"/>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39"/>
      <c r="C55" s="439"/>
      <c r="D55" s="440"/>
      <c r="E55" s="539"/>
      <c r="F55" s="540"/>
      <c r="G55" s="540"/>
      <c r="H55" s="540"/>
      <c r="I55" s="554"/>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4" t="s">
        <v>203</v>
      </c>
      <c r="K56" s="535"/>
      <c r="L56" s="535"/>
      <c r="M56" s="535"/>
      <c r="N56" s="535"/>
      <c r="O56" s="552"/>
      <c r="P56" s="534" t="s">
        <v>204</v>
      </c>
      <c r="Q56" s="535"/>
      <c r="R56" s="535"/>
      <c r="S56" s="535"/>
      <c r="T56" s="535"/>
      <c r="U56" s="552"/>
      <c r="V56" s="534" t="s">
        <v>205</v>
      </c>
      <c r="W56" s="535"/>
      <c r="X56" s="535"/>
      <c r="Y56" s="535"/>
      <c r="Z56" s="535"/>
      <c r="AA56" s="552"/>
      <c r="AB56" s="534" t="s">
        <v>206</v>
      </c>
      <c r="AC56" s="573"/>
      <c r="AD56" s="535"/>
      <c r="AE56" s="535"/>
      <c r="AF56" s="535"/>
      <c r="AG56" s="552"/>
      <c r="AH56" s="534" t="s">
        <v>207</v>
      </c>
      <c r="AI56" s="535"/>
      <c r="AJ56" s="535"/>
      <c r="AK56" s="535"/>
      <c r="AL56" s="535"/>
      <c r="AM56" s="55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8"/>
      <c r="K57" s="537"/>
      <c r="L57" s="537"/>
      <c r="M57" s="537"/>
      <c r="N57" s="537"/>
      <c r="O57" s="553"/>
      <c r="P57" s="538"/>
      <c r="Q57" s="537"/>
      <c r="R57" s="537"/>
      <c r="S57" s="537"/>
      <c r="T57" s="537"/>
      <c r="U57" s="553"/>
      <c r="V57" s="538"/>
      <c r="W57" s="537"/>
      <c r="X57" s="537"/>
      <c r="Y57" s="537"/>
      <c r="Z57" s="537"/>
      <c r="AA57" s="553"/>
      <c r="AB57" s="538"/>
      <c r="AC57" s="537"/>
      <c r="AD57" s="537"/>
      <c r="AE57" s="537"/>
      <c r="AF57" s="537"/>
      <c r="AG57" s="553"/>
      <c r="AH57" s="538"/>
      <c r="AI57" s="537"/>
      <c r="AJ57" s="537"/>
      <c r="AK57" s="537"/>
      <c r="AL57" s="537"/>
      <c r="AM57" s="55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8"/>
      <c r="K58" s="537"/>
      <c r="L58" s="537"/>
      <c r="M58" s="537"/>
      <c r="N58" s="537"/>
      <c r="O58" s="553"/>
      <c r="P58" s="538"/>
      <c r="Q58" s="537"/>
      <c r="R58" s="537"/>
      <c r="S58" s="537"/>
      <c r="T58" s="537"/>
      <c r="U58" s="553"/>
      <c r="V58" s="538"/>
      <c r="W58" s="537"/>
      <c r="X58" s="537"/>
      <c r="Y58" s="537"/>
      <c r="Z58" s="537"/>
      <c r="AA58" s="553"/>
      <c r="AB58" s="538"/>
      <c r="AC58" s="537"/>
      <c r="AD58" s="537"/>
      <c r="AE58" s="537"/>
      <c r="AF58" s="537"/>
      <c r="AG58" s="553"/>
      <c r="AH58" s="538"/>
      <c r="AI58" s="537"/>
      <c r="AJ58" s="537"/>
      <c r="AK58" s="537"/>
      <c r="AL58" s="537"/>
      <c r="AM58" s="55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8"/>
      <c r="K59" s="537"/>
      <c r="L59" s="537"/>
      <c r="M59" s="537"/>
      <c r="N59" s="537"/>
      <c r="O59" s="553"/>
      <c r="P59" s="538"/>
      <c r="Q59" s="537"/>
      <c r="R59" s="537"/>
      <c r="S59" s="537"/>
      <c r="T59" s="537"/>
      <c r="U59" s="553"/>
      <c r="V59" s="538"/>
      <c r="W59" s="537"/>
      <c r="X59" s="537"/>
      <c r="Y59" s="537"/>
      <c r="Z59" s="537"/>
      <c r="AA59" s="553"/>
      <c r="AB59" s="538"/>
      <c r="AC59" s="537"/>
      <c r="AD59" s="537"/>
      <c r="AE59" s="537"/>
      <c r="AF59" s="537"/>
      <c r="AG59" s="553"/>
      <c r="AH59" s="538"/>
      <c r="AI59" s="537"/>
      <c r="AJ59" s="537"/>
      <c r="AK59" s="537"/>
      <c r="AL59" s="537"/>
      <c r="AM59" s="55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8"/>
      <c r="K60" s="537"/>
      <c r="L60" s="537"/>
      <c r="M60" s="537"/>
      <c r="N60" s="537"/>
      <c r="O60" s="553"/>
      <c r="P60" s="538"/>
      <c r="Q60" s="537"/>
      <c r="R60" s="537"/>
      <c r="S60" s="537"/>
      <c r="T60" s="537"/>
      <c r="U60" s="553"/>
      <c r="V60" s="538"/>
      <c r="W60" s="537"/>
      <c r="X60" s="537"/>
      <c r="Y60" s="537"/>
      <c r="Z60" s="537"/>
      <c r="AA60" s="553"/>
      <c r="AB60" s="538"/>
      <c r="AC60" s="537"/>
      <c r="AD60" s="537"/>
      <c r="AE60" s="537"/>
      <c r="AF60" s="537"/>
      <c r="AG60" s="553"/>
      <c r="AH60" s="538"/>
      <c r="AI60" s="537"/>
      <c r="AJ60" s="537"/>
      <c r="AK60" s="537"/>
      <c r="AL60" s="537"/>
      <c r="AM60" s="55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39"/>
      <c r="K61" s="540"/>
      <c r="L61" s="540"/>
      <c r="M61" s="540"/>
      <c r="N61" s="540"/>
      <c r="O61" s="554"/>
      <c r="P61" s="539"/>
      <c r="Q61" s="540"/>
      <c r="R61" s="540"/>
      <c r="S61" s="540"/>
      <c r="T61" s="540"/>
      <c r="U61" s="554"/>
      <c r="V61" s="539"/>
      <c r="W61" s="540"/>
      <c r="X61" s="540"/>
      <c r="Y61" s="540"/>
      <c r="Z61" s="540"/>
      <c r="AA61" s="554"/>
      <c r="AB61" s="539"/>
      <c r="AC61" s="540"/>
      <c r="AD61" s="540"/>
      <c r="AE61" s="540"/>
      <c r="AF61" s="540"/>
      <c r="AG61" s="554"/>
      <c r="AH61" s="539"/>
      <c r="AI61" s="540"/>
      <c r="AJ61" s="540"/>
      <c r="AK61" s="540"/>
      <c r="AL61" s="540"/>
      <c r="AM61" s="55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4" t="s">
        <v>209</v>
      </c>
      <c r="C1" s="574"/>
      <c r="D1" s="57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210</v>
      </c>
      <c r="D3" s="12" t="s">
        <v>193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211</v>
      </c>
      <c r="C4" s="14" t="s">
        <v>212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213</v>
      </c>
      <c r="C5" s="17" t="s">
        <v>214</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215</v>
      </c>
      <c r="C6" s="17" t="s">
        <v>216</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217</v>
      </c>
      <c r="C7" s="17" t="s">
        <v>218</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219</v>
      </c>
      <c r="C8" s="17" t="s">
        <v>220</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5" t="s">
        <v>221</v>
      </c>
      <c r="C1" s="575"/>
      <c r="D1" s="57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222</v>
      </c>
      <c r="D3" s="36" t="s">
        <v>223</v>
      </c>
      <c r="E3" s="83"/>
      <c r="F3" s="83"/>
      <c r="G3" s="83"/>
      <c r="H3" s="83"/>
      <c r="I3" s="83"/>
      <c r="J3" s="83"/>
      <c r="K3" s="83"/>
      <c r="L3" s="83"/>
      <c r="M3" s="83"/>
      <c r="N3" s="83"/>
      <c r="O3" s="83"/>
      <c r="P3" s="83"/>
      <c r="Q3" s="83"/>
      <c r="R3" s="83"/>
      <c r="S3" s="83"/>
      <c r="T3" s="83"/>
      <c r="U3" s="83"/>
    </row>
    <row r="4" spans="1:21" ht="33.75" x14ac:dyDescent="0.25">
      <c r="A4" s="100" t="s">
        <v>224</v>
      </c>
      <c r="B4" s="39" t="s">
        <v>225</v>
      </c>
      <c r="C4" s="44" t="s">
        <v>226</v>
      </c>
      <c r="D4" s="37" t="s">
        <v>227</v>
      </c>
      <c r="E4" s="83"/>
      <c r="F4" s="83"/>
      <c r="G4" s="83"/>
      <c r="H4" s="83"/>
      <c r="I4" s="83"/>
      <c r="J4" s="83"/>
      <c r="K4" s="83"/>
      <c r="L4" s="83"/>
      <c r="M4" s="83"/>
      <c r="N4" s="83"/>
      <c r="O4" s="83"/>
      <c r="P4" s="83"/>
      <c r="Q4" s="83"/>
      <c r="R4" s="83"/>
      <c r="S4" s="83"/>
      <c r="T4" s="83"/>
      <c r="U4" s="83"/>
    </row>
    <row r="5" spans="1:21" ht="67.5" x14ac:dyDescent="0.25">
      <c r="A5" s="100" t="s">
        <v>228</v>
      </c>
      <c r="B5" s="40" t="s">
        <v>229</v>
      </c>
      <c r="C5" s="45" t="s">
        <v>230</v>
      </c>
      <c r="D5" s="38" t="s">
        <v>231</v>
      </c>
      <c r="E5" s="83"/>
      <c r="F5" s="83"/>
      <c r="G5" s="83"/>
      <c r="H5" s="83"/>
      <c r="I5" s="83"/>
      <c r="J5" s="83"/>
      <c r="K5" s="83"/>
      <c r="L5" s="83"/>
      <c r="M5" s="83"/>
      <c r="N5" s="83"/>
      <c r="O5" s="83"/>
      <c r="P5" s="83"/>
      <c r="Q5" s="83"/>
      <c r="R5" s="83"/>
      <c r="S5" s="83"/>
      <c r="T5" s="83"/>
      <c r="U5" s="83"/>
    </row>
    <row r="6" spans="1:21" ht="67.5" x14ac:dyDescent="0.25">
      <c r="A6" s="100" t="s">
        <v>199</v>
      </c>
      <c r="B6" s="41" t="s">
        <v>232</v>
      </c>
      <c r="C6" s="45" t="s">
        <v>233</v>
      </c>
      <c r="D6" s="38" t="s">
        <v>234</v>
      </c>
      <c r="E6" s="83"/>
      <c r="F6" s="83"/>
      <c r="G6" s="83"/>
      <c r="H6" s="83"/>
      <c r="I6" s="83"/>
      <c r="J6" s="83"/>
      <c r="K6" s="83"/>
      <c r="L6" s="83"/>
      <c r="M6" s="83"/>
      <c r="N6" s="83"/>
      <c r="O6" s="83"/>
      <c r="P6" s="83"/>
      <c r="Q6" s="83"/>
      <c r="R6" s="83"/>
      <c r="S6" s="83"/>
      <c r="T6" s="83"/>
      <c r="U6" s="83"/>
    </row>
    <row r="7" spans="1:21" ht="101.25" x14ac:dyDescent="0.25">
      <c r="A7" s="100" t="s">
        <v>235</v>
      </c>
      <c r="B7" s="42" t="s">
        <v>236</v>
      </c>
      <c r="C7" s="45" t="s">
        <v>237</v>
      </c>
      <c r="D7" s="38" t="s">
        <v>238</v>
      </c>
      <c r="E7" s="83"/>
      <c r="F7" s="83"/>
      <c r="G7" s="83"/>
      <c r="H7" s="83"/>
      <c r="I7" s="83"/>
      <c r="J7" s="83"/>
      <c r="K7" s="83"/>
      <c r="L7" s="83"/>
      <c r="M7" s="83"/>
      <c r="N7" s="83"/>
      <c r="O7" s="83"/>
      <c r="P7" s="83"/>
      <c r="Q7" s="83"/>
      <c r="R7" s="83"/>
      <c r="S7" s="83"/>
      <c r="T7" s="83"/>
      <c r="U7" s="83"/>
    </row>
    <row r="8" spans="1:21" ht="67.5" x14ac:dyDescent="0.25">
      <c r="A8" s="100" t="s">
        <v>239</v>
      </c>
      <c r="B8" s="43" t="s">
        <v>240</v>
      </c>
      <c r="C8" s="45" t="s">
        <v>241</v>
      </c>
      <c r="D8" s="38" t="s">
        <v>242</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243</v>
      </c>
      <c r="C11" s="100" t="s">
        <v>244</v>
      </c>
      <c r="D11" s="100" t="s">
        <v>245</v>
      </c>
      <c r="E11" s="83"/>
      <c r="F11" s="83"/>
      <c r="G11" s="83"/>
      <c r="H11" s="83"/>
      <c r="I11" s="83"/>
      <c r="J11" s="83"/>
      <c r="K11" s="83"/>
      <c r="L11" s="83"/>
      <c r="M11" s="83"/>
      <c r="N11" s="83"/>
      <c r="O11" s="83"/>
      <c r="P11" s="83"/>
      <c r="Q11" s="83"/>
      <c r="R11" s="83"/>
      <c r="S11" s="83"/>
      <c r="T11" s="83"/>
      <c r="U11" s="83"/>
    </row>
    <row r="12" spans="1:21" x14ac:dyDescent="0.25">
      <c r="A12" s="100"/>
      <c r="B12" s="100" t="s">
        <v>246</v>
      </c>
      <c r="C12" s="100" t="s">
        <v>247</v>
      </c>
      <c r="D12" s="100" t="s">
        <v>248</v>
      </c>
      <c r="E12" s="83"/>
      <c r="F12" s="83"/>
      <c r="G12" s="83"/>
      <c r="H12" s="83"/>
      <c r="I12" s="83"/>
      <c r="J12" s="83"/>
      <c r="K12" s="83"/>
      <c r="L12" s="83"/>
      <c r="M12" s="83"/>
      <c r="N12" s="83"/>
      <c r="O12" s="83"/>
      <c r="P12" s="83"/>
      <c r="Q12" s="83"/>
      <c r="R12" s="83"/>
      <c r="S12" s="83"/>
      <c r="T12" s="83"/>
      <c r="U12" s="83"/>
    </row>
    <row r="13" spans="1:21" x14ac:dyDescent="0.25">
      <c r="A13" s="100"/>
      <c r="B13" s="100"/>
      <c r="C13" s="100" t="s">
        <v>249</v>
      </c>
      <c r="D13" s="100" t="s">
        <v>168</v>
      </c>
      <c r="E13" s="83"/>
      <c r="F13" s="83"/>
      <c r="G13" s="83"/>
      <c r="H13" s="83"/>
      <c r="I13" s="83"/>
      <c r="J13" s="83"/>
      <c r="K13" s="83"/>
      <c r="L13" s="83"/>
      <c r="M13" s="83"/>
      <c r="N13" s="83"/>
      <c r="O13" s="83"/>
      <c r="P13" s="83"/>
      <c r="Q13" s="83"/>
      <c r="R13" s="83"/>
      <c r="S13" s="83"/>
      <c r="T13" s="83"/>
      <c r="U13" s="83"/>
    </row>
    <row r="14" spans="1:21" x14ac:dyDescent="0.25">
      <c r="A14" s="100"/>
      <c r="B14" s="100"/>
      <c r="C14" s="100" t="s">
        <v>152</v>
      </c>
      <c r="D14" s="100" t="s">
        <v>250</v>
      </c>
      <c r="E14" s="83"/>
      <c r="F14" s="83"/>
      <c r="G14" s="83"/>
      <c r="H14" s="83"/>
      <c r="I14" s="83"/>
      <c r="J14" s="83"/>
      <c r="K14" s="83"/>
      <c r="L14" s="83"/>
      <c r="M14" s="83"/>
      <c r="N14" s="83"/>
      <c r="O14" s="83"/>
      <c r="P14" s="83"/>
      <c r="Q14" s="83"/>
      <c r="R14" s="83"/>
      <c r="S14" s="83"/>
      <c r="T14" s="83"/>
      <c r="U14" s="83"/>
    </row>
    <row r="15" spans="1:21" x14ac:dyDescent="0.25">
      <c r="A15" s="100"/>
      <c r="B15" s="100"/>
      <c r="C15" s="100" t="s">
        <v>251</v>
      </c>
      <c r="D15" s="100" t="s">
        <v>252</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253</v>
      </c>
      <c r="C209" s="30" t="s">
        <v>254</v>
      </c>
      <c r="D209" s="33" t="s">
        <v>253</v>
      </c>
      <c r="E209" s="33" t="s">
        <v>254</v>
      </c>
    </row>
    <row r="210" spans="1:8" ht="21" x14ac:dyDescent="0.35">
      <c r="A210" s="83"/>
      <c r="B210" s="31" t="s">
        <v>255</v>
      </c>
      <c r="C210" s="31" t="s">
        <v>256</v>
      </c>
      <c r="D210" t="s">
        <v>255</v>
      </c>
      <c r="F210" t="str">
        <f>IF(NOT(ISBLANK(D210)),D210,IF(NOT(ISBLANK(E210)),"     "&amp;E210,FALSE))</f>
        <v>Afectación Económica o presupuestal</v>
      </c>
      <c r="G210" t="s">
        <v>255</v>
      </c>
      <c r="H210" t="str">
        <f>IF(NOT(ISERROR(MATCH(G210,_xlfn.ANCHORARRAY(B221),0))),F223&amp;"Por favor no seleccionar los criterios de impacto",G210)</f>
        <v>❌Por favor no seleccionar los criterios de impacto</v>
      </c>
    </row>
    <row r="211" spans="1:8" ht="21" x14ac:dyDescent="0.35">
      <c r="A211" s="83"/>
      <c r="B211" s="31" t="s">
        <v>255</v>
      </c>
      <c r="C211" s="31" t="s">
        <v>230</v>
      </c>
      <c r="E211" t="s">
        <v>256</v>
      </c>
      <c r="F211" t="str">
        <f t="shared" ref="F211:F221" si="0">IF(NOT(ISBLANK(D211)),D211,IF(NOT(ISBLANK(E211)),"     "&amp;E211,FALSE))</f>
        <v xml:space="preserve">     Afectación menor a 10 SMLMV .</v>
      </c>
    </row>
    <row r="212" spans="1:8" ht="21" x14ac:dyDescent="0.35">
      <c r="A212" s="83"/>
      <c r="B212" s="31" t="s">
        <v>255</v>
      </c>
      <c r="C212" s="31" t="s">
        <v>233</v>
      </c>
      <c r="E212" t="s">
        <v>230</v>
      </c>
      <c r="F212" t="str">
        <f t="shared" si="0"/>
        <v xml:space="preserve">     Entre 10 y 50 SMLMV </v>
      </c>
    </row>
    <row r="213" spans="1:8" ht="21" x14ac:dyDescent="0.35">
      <c r="A213" s="83"/>
      <c r="B213" s="31" t="s">
        <v>255</v>
      </c>
      <c r="C213" s="31" t="s">
        <v>237</v>
      </c>
      <c r="E213" t="s">
        <v>233</v>
      </c>
      <c r="F213" t="str">
        <f t="shared" si="0"/>
        <v xml:space="preserve">     Entre 50 y 100 SMLMV </v>
      </c>
    </row>
    <row r="214" spans="1:8" ht="21" x14ac:dyDescent="0.35">
      <c r="A214" s="83"/>
      <c r="B214" s="31" t="s">
        <v>255</v>
      </c>
      <c r="C214" s="31" t="s">
        <v>241</v>
      </c>
      <c r="E214" t="s">
        <v>237</v>
      </c>
      <c r="F214" t="str">
        <f t="shared" si="0"/>
        <v xml:space="preserve">     Entre 100 y 500 SMLMV </v>
      </c>
    </row>
    <row r="215" spans="1:8" ht="21" x14ac:dyDescent="0.35">
      <c r="A215" s="83"/>
      <c r="B215" s="31" t="s">
        <v>223</v>
      </c>
      <c r="C215" s="31" t="s">
        <v>227</v>
      </c>
      <c r="E215" t="s">
        <v>241</v>
      </c>
      <c r="F215" t="str">
        <f t="shared" si="0"/>
        <v xml:space="preserve">     Mayor a 500 SMLMV </v>
      </c>
    </row>
    <row r="216" spans="1:8" ht="21" x14ac:dyDescent="0.35">
      <c r="A216" s="83"/>
      <c r="B216" s="31" t="s">
        <v>223</v>
      </c>
      <c r="C216" s="31" t="s">
        <v>231</v>
      </c>
      <c r="D216" t="s">
        <v>223</v>
      </c>
      <c r="F216" t="str">
        <f t="shared" si="0"/>
        <v>Pérdida Reputacional</v>
      </c>
    </row>
    <row r="217" spans="1:8" ht="21" x14ac:dyDescent="0.35">
      <c r="A217" s="83"/>
      <c r="B217" s="31" t="s">
        <v>223</v>
      </c>
      <c r="C217" s="31" t="s">
        <v>234</v>
      </c>
      <c r="E217" t="s">
        <v>227</v>
      </c>
      <c r="F217" t="str">
        <f t="shared" si="0"/>
        <v xml:space="preserve">     El riesgo afecta la imagen de alguna área de la organización</v>
      </c>
    </row>
    <row r="218" spans="1:8" ht="21" x14ac:dyDescent="0.35">
      <c r="A218" s="83"/>
      <c r="B218" s="31" t="s">
        <v>223</v>
      </c>
      <c r="C218" s="31" t="s">
        <v>238</v>
      </c>
      <c r="E218" t="s">
        <v>231</v>
      </c>
      <c r="F218" t="str">
        <f t="shared" si="0"/>
        <v xml:space="preserve">     El riesgo afecta la imagen de la entidad internamente, de conocimiento general, nivel interno, de junta dircetiva y accionistas y/o de provedores</v>
      </c>
    </row>
    <row r="219" spans="1:8" ht="21" x14ac:dyDescent="0.35">
      <c r="A219" s="83"/>
      <c r="B219" s="31" t="s">
        <v>223</v>
      </c>
      <c r="C219" s="31" t="s">
        <v>242</v>
      </c>
      <c r="E219" t="s">
        <v>234</v>
      </c>
      <c r="F219" t="str">
        <f t="shared" si="0"/>
        <v xml:space="preserve">     El riesgo afecta la imagen de la entidad con algunos usuarios de relevancia frente al logro de los objetivos</v>
      </c>
    </row>
    <row r="220" spans="1:8" x14ac:dyDescent="0.25">
      <c r="A220" s="83"/>
      <c r="B220" s="32"/>
      <c r="C220" s="32"/>
      <c r="E220" t="s">
        <v>238</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242</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257</v>
      </c>
    </row>
    <row r="224" spans="1:8" x14ac:dyDescent="0.25">
      <c r="B224" s="22"/>
      <c r="C224" s="22"/>
      <c r="F224" s="35" t="s">
        <v>258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76" t="s">
        <v>259</v>
      </c>
      <c r="C1" s="577"/>
      <c r="D1" s="577"/>
      <c r="E1" s="577"/>
      <c r="F1" s="578"/>
    </row>
    <row r="2" spans="2:6" ht="16.5" thickBot="1" x14ac:dyDescent="0.3">
      <c r="B2" s="86"/>
      <c r="C2" s="86"/>
      <c r="D2" s="86"/>
      <c r="E2" s="86"/>
      <c r="F2" s="86"/>
    </row>
    <row r="3" spans="2:6" ht="16.5" thickBot="1" x14ac:dyDescent="0.25">
      <c r="B3" s="580" t="s">
        <v>260</v>
      </c>
      <c r="C3" s="581"/>
      <c r="D3" s="581"/>
      <c r="E3" s="98" t="s">
        <v>261</v>
      </c>
      <c r="F3" s="99" t="s">
        <v>262</v>
      </c>
    </row>
    <row r="4" spans="2:6" ht="31.5" x14ac:dyDescent="0.2">
      <c r="B4" s="582" t="s">
        <v>263</v>
      </c>
      <c r="C4" s="584" t="s">
        <v>141</v>
      </c>
      <c r="D4" s="87" t="s">
        <v>154</v>
      </c>
      <c r="E4" s="88" t="s">
        <v>264</v>
      </c>
      <c r="F4" s="89">
        <v>0.25</v>
      </c>
    </row>
    <row r="5" spans="2:6" ht="47.25" x14ac:dyDescent="0.2">
      <c r="B5" s="583"/>
      <c r="C5" s="585"/>
      <c r="D5" s="90" t="s">
        <v>265</v>
      </c>
      <c r="E5" s="91" t="s">
        <v>266</v>
      </c>
      <c r="F5" s="92">
        <v>0.15</v>
      </c>
    </row>
    <row r="6" spans="2:6" ht="47.25" x14ac:dyDescent="0.2">
      <c r="B6" s="583"/>
      <c r="C6" s="585"/>
      <c r="D6" s="90" t="s">
        <v>267</v>
      </c>
      <c r="E6" s="91" t="s">
        <v>268</v>
      </c>
      <c r="F6" s="92">
        <v>0.1</v>
      </c>
    </row>
    <row r="7" spans="2:6" ht="63" x14ac:dyDescent="0.2">
      <c r="B7" s="583"/>
      <c r="C7" s="585" t="s">
        <v>142</v>
      </c>
      <c r="D7" s="90" t="s">
        <v>269</v>
      </c>
      <c r="E7" s="91" t="s">
        <v>270</v>
      </c>
      <c r="F7" s="92">
        <v>0.25</v>
      </c>
    </row>
    <row r="8" spans="2:6" ht="31.5" x14ac:dyDescent="0.2">
      <c r="B8" s="583"/>
      <c r="C8" s="585"/>
      <c r="D8" s="90" t="s">
        <v>155</v>
      </c>
      <c r="E8" s="91" t="s">
        <v>271</v>
      </c>
      <c r="F8" s="92">
        <v>0.15</v>
      </c>
    </row>
    <row r="9" spans="2:6" ht="47.25" x14ac:dyDescent="0.2">
      <c r="B9" s="583" t="s">
        <v>272</v>
      </c>
      <c r="C9" s="585" t="s">
        <v>144</v>
      </c>
      <c r="D9" s="90" t="s">
        <v>156</v>
      </c>
      <c r="E9" s="91" t="s">
        <v>273</v>
      </c>
      <c r="F9" s="93" t="s">
        <v>274</v>
      </c>
    </row>
    <row r="10" spans="2:6" ht="63" x14ac:dyDescent="0.2">
      <c r="B10" s="583"/>
      <c r="C10" s="585"/>
      <c r="D10" s="90" t="s">
        <v>275</v>
      </c>
      <c r="E10" s="91" t="s">
        <v>276</v>
      </c>
      <c r="F10" s="93" t="s">
        <v>274</v>
      </c>
    </row>
    <row r="11" spans="2:6" ht="47.25" x14ac:dyDescent="0.2">
      <c r="B11" s="583"/>
      <c r="C11" s="585" t="s">
        <v>145</v>
      </c>
      <c r="D11" s="90" t="s">
        <v>157</v>
      </c>
      <c r="E11" s="91" t="s">
        <v>277</v>
      </c>
      <c r="F11" s="93" t="s">
        <v>274</v>
      </c>
    </row>
    <row r="12" spans="2:6" ht="47.25" x14ac:dyDescent="0.2">
      <c r="B12" s="583"/>
      <c r="C12" s="585"/>
      <c r="D12" s="90" t="s">
        <v>278</v>
      </c>
      <c r="E12" s="91" t="s">
        <v>279</v>
      </c>
      <c r="F12" s="93" t="s">
        <v>274</v>
      </c>
    </row>
    <row r="13" spans="2:6" ht="31.5" x14ac:dyDescent="0.2">
      <c r="B13" s="583"/>
      <c r="C13" s="585" t="s">
        <v>146</v>
      </c>
      <c r="D13" s="90" t="s">
        <v>158</v>
      </c>
      <c r="E13" s="91" t="s">
        <v>280</v>
      </c>
      <c r="F13" s="93" t="s">
        <v>274</v>
      </c>
    </row>
    <row r="14" spans="2:6" ht="32.25" thickBot="1" x14ac:dyDescent="0.25">
      <c r="B14" s="586"/>
      <c r="C14" s="587"/>
      <c r="D14" s="94" t="s">
        <v>281</v>
      </c>
      <c r="E14" s="95" t="s">
        <v>282</v>
      </c>
      <c r="F14" s="96" t="s">
        <v>274</v>
      </c>
    </row>
    <row r="15" spans="2:6" ht="49.5" customHeight="1" x14ac:dyDescent="0.2">
      <c r="B15" s="579" t="s">
        <v>283</v>
      </c>
      <c r="C15" s="579"/>
      <c r="D15" s="579"/>
      <c r="E15" s="579"/>
      <c r="F15" s="57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284</v>
      </c>
      <c r="E2" t="s">
        <v>285</v>
      </c>
    </row>
    <row r="3" spans="2:5" x14ac:dyDescent="0.25">
      <c r="B3" t="s">
        <v>286</v>
      </c>
      <c r="E3" t="s">
        <v>165</v>
      </c>
    </row>
    <row r="4" spans="2:5" x14ac:dyDescent="0.25">
      <c r="B4" t="s">
        <v>287</v>
      </c>
      <c r="E4" t="s">
        <v>147</v>
      </c>
    </row>
    <row r="5" spans="2:5" x14ac:dyDescent="0.25">
      <c r="B5" t="s">
        <v>159</v>
      </c>
    </row>
    <row r="8" spans="2:5" x14ac:dyDescent="0.25">
      <c r="B8" t="s">
        <v>288</v>
      </c>
    </row>
    <row r="9" spans="2:5" x14ac:dyDescent="0.25">
      <c r="B9" t="s">
        <v>289</v>
      </c>
    </row>
    <row r="10" spans="2:5" x14ac:dyDescent="0.25">
      <c r="B10" t="s">
        <v>290</v>
      </c>
    </row>
    <row r="13" spans="2:5" x14ac:dyDescent="0.25">
      <c r="B13" t="s">
        <v>291</v>
      </c>
    </row>
    <row r="14" spans="2:5" x14ac:dyDescent="0.25">
      <c r="B14" t="s">
        <v>151</v>
      </c>
    </row>
    <row r="15" spans="2:5" x14ac:dyDescent="0.25">
      <c r="B15" t="s">
        <v>292</v>
      </c>
    </row>
    <row r="16" spans="2:5" x14ac:dyDescent="0.25">
      <c r="B16" t="s">
        <v>293</v>
      </c>
    </row>
    <row r="17" spans="2:2" x14ac:dyDescent="0.25">
      <c r="B17" t="s">
        <v>294</v>
      </c>
    </row>
    <row r="18" spans="2:2" x14ac:dyDescent="0.25">
      <c r="B18" t="s">
        <v>295</v>
      </c>
    </row>
    <row r="19" spans="2:2" x14ac:dyDescent="0.25">
      <c r="B19" t="s">
        <v>296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2025-06-19T15:32:37Z</dcterms:modified>
  <cp:category/>
  <cp:contentStatus/>
</cp:coreProperties>
</file>