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ADMINISTRATIVA\"/>
    </mc:Choice>
  </mc:AlternateContent>
  <xr:revisionPtr revIDLastSave="0" documentId="13_ncr:1_{2E75C405-1481-4A7E-BDA3-EC7CA02F7732}"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 r:id="rId13"/>
  </externalReferences>
  <calcPr calcId="191028"/>
  <pivotCaches>
    <pivotCache cacheId="0"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8" i="1" l="1"/>
  <c r="Q39" i="1"/>
  <c r="Q40" i="1"/>
  <c r="T37" i="1"/>
  <c r="Q37" i="1"/>
  <c r="X37" i="1" s="1"/>
  <c r="K37" i="1"/>
  <c r="AB36" i="1"/>
  <c r="AA36" i="1" s="1"/>
  <c r="X36" i="1"/>
  <c r="Z36" i="1" s="1"/>
  <c r="T36" i="1"/>
  <c r="Q36" i="1"/>
  <c r="AB37" i="1" s="1"/>
  <c r="AA37" i="1" s="1"/>
  <c r="K36" i="1"/>
  <c r="AB35" i="1"/>
  <c r="AA35" i="1" s="1"/>
  <c r="X35" i="1"/>
  <c r="Y35" i="1" s="1"/>
  <c r="AC35" i="1" s="1"/>
  <c r="T35" i="1"/>
  <c r="Q35" i="1"/>
  <c r="K35" i="1"/>
  <c r="T34" i="1"/>
  <c r="Q34" i="1"/>
  <c r="K34" i="1"/>
  <c r="T33" i="1"/>
  <c r="Q33" i="1"/>
  <c r="AB34" i="1" s="1"/>
  <c r="AA34" i="1" s="1"/>
  <c r="K33" i="1"/>
  <c r="T30" i="1"/>
  <c r="Q30" i="1"/>
  <c r="AB33" i="1" s="1"/>
  <c r="AA33" i="1" s="1"/>
  <c r="L30" i="1"/>
  <c r="M30" i="1" s="1"/>
  <c r="AB30" i="1" s="1"/>
  <c r="AA30" i="1" s="1"/>
  <c r="K30" i="1"/>
  <c r="H30" i="1"/>
  <c r="AA29" i="1"/>
  <c r="Y29" i="1"/>
  <c r="AC29" i="1" s="1"/>
  <c r="T29" i="1"/>
  <c r="K29" i="1"/>
  <c r="AA28" i="1"/>
  <c r="Y28" i="1"/>
  <c r="AC28" i="1" s="1"/>
  <c r="T28" i="1"/>
  <c r="K28" i="1"/>
  <c r="AB27" i="1"/>
  <c r="AA27" i="1" s="1"/>
  <c r="Y27" i="1"/>
  <c r="T27" i="1"/>
  <c r="K27" i="1"/>
  <c r="AB26" i="1"/>
  <c r="AA26" i="1"/>
  <c r="Y26" i="1"/>
  <c r="T26" i="1"/>
  <c r="K26" i="1"/>
  <c r="AB25" i="1"/>
  <c r="AA25" i="1" s="1"/>
  <c r="AC25" i="1" s="1"/>
  <c r="Y25" i="1"/>
  <c r="T25" i="1"/>
  <c r="K25" i="1"/>
  <c r="T24" i="1"/>
  <c r="Q24" i="1"/>
  <c r="K24" i="1"/>
  <c r="L24" i="1" s="1"/>
  <c r="N24" i="1" s="1"/>
  <c r="H24" i="1"/>
  <c r="I24" i="1" s="1"/>
  <c r="N30" i="1" l="1"/>
  <c r="Y37" i="1"/>
  <c r="AC37" i="1" s="1"/>
  <c r="Z37" i="1"/>
  <c r="I30" i="1"/>
  <c r="X30" i="1" s="1"/>
  <c r="X33" i="1"/>
  <c r="Z35" i="1"/>
  <c r="Y36" i="1"/>
  <c r="AC36" i="1" s="1"/>
  <c r="X34" i="1"/>
  <c r="X24" i="1"/>
  <c r="Y24" i="1" s="1"/>
  <c r="AC27" i="1"/>
  <c r="AC26" i="1"/>
  <c r="Z24" i="1"/>
  <c r="M24" i="1"/>
  <c r="AB24" i="1" s="1"/>
  <c r="AA24" i="1" s="1"/>
  <c r="AC24" i="1" s="1"/>
  <c r="Z30" i="1" l="1"/>
  <c r="Y30" i="1"/>
  <c r="AC30" i="1" s="1"/>
  <c r="Y33" i="1"/>
  <c r="AC33" i="1" s="1"/>
  <c r="Z33" i="1"/>
  <c r="Z34" i="1"/>
  <c r="Y34" i="1"/>
  <c r="AC34" i="1" s="1"/>
  <c r="C8" i="1" l="1"/>
  <c r="C7" i="1"/>
  <c r="C6" i="1"/>
  <c r="T19" i="1"/>
  <c r="T18" i="1"/>
  <c r="Q12" i="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12" i="1" l="1"/>
  <c r="H12" i="1" l="1"/>
  <c r="I12" i="1" s="1"/>
  <c r="K61" i="1"/>
  <c r="K19" i="1"/>
  <c r="K53" i="1"/>
  <c r="K58" i="1"/>
  <c r="K42" i="1"/>
  <c r="K52" i="1"/>
  <c r="K39" i="1"/>
  <c r="K51" i="1"/>
  <c r="K60" i="1"/>
  <c r="K43" i="1"/>
  <c r="K54" i="1"/>
  <c r="K41" i="1"/>
  <c r="K45" i="1"/>
  <c r="K23" i="1"/>
  <c r="K21" i="1"/>
  <c r="K59" i="1"/>
  <c r="K20" i="1"/>
  <c r="K46" i="1"/>
  <c r="K22" i="1"/>
  <c r="K40" i="1"/>
  <c r="K57" i="1"/>
  <c r="K47" i="1"/>
  <c r="K55" i="1"/>
  <c r="K48" i="1"/>
  <c r="K49" i="1"/>
  <c r="F221" i="13" l="1"/>
  <c r="F211" i="13"/>
  <c r="F212" i="13"/>
  <c r="F213" i="13"/>
  <c r="F214" i="13"/>
  <c r="F215" i="13"/>
  <c r="F216" i="13"/>
  <c r="F217" i="13"/>
  <c r="F218" i="13"/>
  <c r="F219" i="13"/>
  <c r="F220" i="13"/>
  <c r="F210" i="13"/>
  <c r="K17" i="1"/>
  <c r="K16" i="1"/>
  <c r="K13" i="1"/>
  <c r="K14" i="1"/>
  <c r="B221" i="13" a="1"/>
  <c r="K15"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T39" i="1"/>
  <c r="I38" i="1"/>
  <c r="H18" i="1"/>
  <c r="Q17" i="1"/>
  <c r="Q16" i="1"/>
  <c r="T23" i="1"/>
  <c r="Q23" i="1"/>
  <c r="T22" i="1"/>
  <c r="Q22" i="1"/>
  <c r="T21" i="1"/>
  <c r="Q21" i="1"/>
  <c r="T20" i="1"/>
  <c r="Q20" i="1"/>
  <c r="Q19" i="1"/>
  <c r="Q18" i="1"/>
  <c r="X56" i="1" l="1"/>
  <c r="X40" i="1"/>
  <c r="X48" i="1"/>
  <c r="X60" i="1"/>
  <c r="X42" i="1"/>
  <c r="X54" i="1"/>
  <c r="AB57" i="1"/>
  <c r="X58" i="1"/>
  <c r="X57" i="1"/>
  <c r="X53" i="1"/>
  <c r="X52" i="1"/>
  <c r="X55" i="1"/>
  <c r="X59" i="1"/>
  <c r="X61" i="1"/>
  <c r="X39" i="1"/>
  <c r="X38" i="1"/>
  <c r="X41" i="1"/>
  <c r="X43" i="1"/>
  <c r="X47" i="1"/>
  <c r="X46" i="1"/>
  <c r="X49" i="1"/>
  <c r="AB45" i="1"/>
  <c r="X45" i="1"/>
  <c r="X44" i="1"/>
  <c r="X50" i="1"/>
  <c r="AB39" i="1"/>
  <c r="AB54" i="1"/>
  <c r="AA54" i="1" s="1"/>
  <c r="AB55" i="1"/>
  <c r="AA55" i="1" s="1"/>
  <c r="I18" i="1"/>
  <c r="X18" i="1" s="1"/>
  <c r="Z18" i="1" l="1"/>
  <c r="X19" i="1" s="1"/>
  <c r="Y18" i="1"/>
  <c r="Y56" i="1"/>
  <c r="Z56" i="1"/>
  <c r="Z57" i="1" s="1"/>
  <c r="Y55" i="1"/>
  <c r="Z55" i="1"/>
  <c r="Y54" i="1"/>
  <c r="Z54" i="1"/>
  <c r="Y50" i="1"/>
  <c r="Z50" i="1"/>
  <c r="X51" i="1" s="1"/>
  <c r="Y44" i="1"/>
  <c r="Z44" i="1"/>
  <c r="Z45" i="1" s="1"/>
  <c r="Y38" i="1"/>
  <c r="Z38" i="1"/>
  <c r="Y19" i="1" l="1"/>
  <c r="Z19" i="1"/>
  <c r="Y57" i="1"/>
  <c r="Y45" i="1"/>
  <c r="Y46" i="1"/>
  <c r="Z46" i="1"/>
  <c r="Z58" i="1"/>
  <c r="Y5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Y59" i="1" l="1"/>
  <c r="Z59" i="1"/>
  <c r="Y52" i="1"/>
  <c r="Z52" i="1"/>
  <c r="Y51" i="1"/>
  <c r="Z51" i="1"/>
  <c r="Y39" i="1"/>
  <c r="Z39" i="1"/>
  <c r="Y40" i="1" s="1"/>
  <c r="X20" i="1"/>
  <c r="Y20" i="1" s="1"/>
  <c r="Z40" i="1" l="1"/>
  <c r="Z41" i="1" s="1"/>
  <c r="Y60" i="1"/>
  <c r="Z60" i="1"/>
  <c r="Y47" i="1"/>
  <c r="Z47" i="1"/>
  <c r="Y48" i="1" s="1"/>
  <c r="Y41" i="1"/>
  <c r="Y53" i="1"/>
  <c r="Z53" i="1"/>
  <c r="Z20" i="1"/>
  <c r="X21" i="1" s="1"/>
  <c r="Y21" i="1" s="1"/>
  <c r="Y61" i="1" l="1"/>
  <c r="Z61" i="1"/>
  <c r="Z48" i="1"/>
  <c r="Y49" i="1" s="1"/>
  <c r="Z42" i="1"/>
  <c r="Y42" i="1"/>
  <c r="Z21" i="1"/>
  <c r="X22" i="1" s="1"/>
  <c r="Z22" i="1" s="1"/>
  <c r="X23" i="1" s="1"/>
  <c r="X12" i="1"/>
  <c r="Y12" i="1" s="1"/>
  <c r="Y43" i="1" l="1"/>
  <c r="Z43" i="1"/>
  <c r="Z49" i="1"/>
  <c r="Y22" i="1"/>
  <c r="Y23" i="1"/>
  <c r="Z23" i="1"/>
  <c r="Q13" i="1"/>
  <c r="Z12" i="1" l="1"/>
  <c r="X13" i="1" s="1"/>
  <c r="Y13" i="1" l="1"/>
  <c r="Z13" i="1" l="1"/>
  <c r="X16" i="1" l="1"/>
  <c r="Y16" i="1" l="1"/>
  <c r="Z16" i="1"/>
  <c r="X17" i="1" s="1"/>
  <c r="Y17" i="1" l="1"/>
  <c r="Z17" i="1"/>
  <c r="K44" i="1" l="1"/>
  <c r="L44" i="1" s="1"/>
  <c r="K56" i="1"/>
  <c r="L56" i="1" s="1"/>
  <c r="K50" i="1"/>
  <c r="L50" i="1" s="1"/>
  <c r="K38" i="1"/>
  <c r="L38"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AB18"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A18" i="1" l="1"/>
  <c r="AC18" i="1" s="1"/>
  <c r="AB19" i="1"/>
  <c r="AA19" i="1" s="1"/>
  <c r="AC19" i="1" s="1"/>
  <c r="AB44" i="1"/>
  <c r="AA44" i="1" s="1"/>
  <c r="AB56" i="1"/>
  <c r="AA56" i="1" s="1"/>
  <c r="AA12" i="1"/>
  <c r="AB50" i="1"/>
  <c r="AB38" i="1"/>
  <c r="AA38" i="1" s="1"/>
  <c r="AA50" i="1" l="1"/>
  <c r="V22" i="19" s="1"/>
  <c r="AB51" i="1"/>
  <c r="J28" i="19"/>
  <c r="J47" i="19"/>
  <c r="AB20" i="1"/>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AH38" i="19"/>
  <c r="V8" i="19"/>
  <c r="J48" i="19"/>
  <c r="AH28" i="19"/>
  <c r="P48" i="19"/>
  <c r="AH48" i="19"/>
  <c r="AB18" i="19"/>
  <c r="AH18" i="19"/>
  <c r="AB8" i="19"/>
  <c r="V48" i="19"/>
  <c r="J8" i="19"/>
  <c r="V18" i="19"/>
  <c r="J18" i="19"/>
  <c r="J38" i="19"/>
  <c r="AA13" i="1"/>
  <c r="AB40" i="1"/>
  <c r="AA39" i="1"/>
  <c r="AA45" i="1"/>
  <c r="AB46" i="1"/>
  <c r="AA46" i="1" s="1"/>
  <c r="AB47" i="1"/>
  <c r="AB52" i="1"/>
  <c r="AA52" i="1" s="1"/>
  <c r="AB53" i="1"/>
  <c r="AA53" i="1" s="1"/>
  <c r="AA51" i="1"/>
  <c r="AA57" i="1"/>
  <c r="AB58" i="1"/>
  <c r="V37" i="19" l="1"/>
  <c r="V38" i="19"/>
  <c r="P8" i="19"/>
  <c r="AB38" i="19"/>
  <c r="P28" i="19"/>
  <c r="V28" i="19"/>
  <c r="P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B21" i="1"/>
  <c r="AA20"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2" i="1" l="1"/>
  <c r="AB43" i="1"/>
  <c r="AA43"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<sst xmlns="http://schemas.openxmlformats.org/spreadsheetml/2006/main" count="505" uniqueCount="335">
  <si>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</si>
  <si>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</si>
  <si>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</si>
  <si>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</si>
  <si>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</si>
  <si>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</si>
  <si>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</si>
  <si>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</si>
  <si>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</si>
  <si>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</si>
  <si>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</si>
  <si>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</si>
  <si>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</si>
  <si>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</si>
  <si>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</si>
  <si>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</si>
  <si>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</si>
  <si>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</si>
  <si>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</si>
  <si>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</si>
  <si>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</si>
  <si>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</si>
  <si>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</si>
  <si>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</si>
  <si>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</si>
  <si>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</si>
  <si>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</si>
  <si>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</si>
  <si>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</si>
  <si>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</si>
  <si>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</si>
  <si>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</si>
  <si>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</si>
  <si>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</si>
  <si>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</si>
  <si>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</si>
  <si>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</si>
  <si>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</si>
  <si>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</si>
  <si>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</si>
  <si>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</si>
  <si>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</si>
  <si>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</si>
  <si>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</si>
  <si>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</si>
  <si>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</si>
  <si>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</si>
  <si>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</si>
  <si>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</si>
  <si>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</si>
  <si>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</si>
  <si>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</si>
  <si>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</si>
  <si>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</si>
  <si>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</si>
  <si>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</si>
  <si>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</si>
  <si>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</si>
  <si>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</si>
  <si>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</si>
  <si>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</si>
  <si>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</si>
  <si>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</si>
  <si>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</si>
  <si>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</si>
  <si>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</si>
  <si>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</si>
  <si>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</si>
  <si>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</si>
  <si>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</si>
  <si>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</si>
  <si>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</si>
  <si>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</si>
  <si>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</si>
  <si>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</si>
  <si>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</si>
  <si>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</si>
  <si>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</si>
  <si>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</si>
  <si>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</si>
  <si>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RECURSOS FÍSICOS</t>
  </si>
  <si>
    <t>ALCANCE:</t>
  </si>
  <si>
    <t>Se inicia con el mantenimiento y buen funcionamiento de los bienes muebles e inmuebles de los centros administrativos municipales, y finaliza garantizando espacios adecuados de trabajo con instalaciones óptimas para la prestación del servicio.</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</si>
  <si>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</si>
  <si>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</si>
  <si>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</si>
  <si>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</si>
  <si>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</si>
  <si>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</si>
  <si>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Garantizar que los recursos físicos satisfagan las necesidades de todos los procesos de la Alcaldía de Bucaramanga, administrando de manera eficiente y efectiva permitiendo el correcto desarrollo de las actividades de funcionamiento.</t>
  </si>
  <si>
    <t>* Plan de mantenimiento preventivo de los    recursos físicos.
*Plan de mantenimiento de infraestructura locativa.
*Informe de mantenimiento preventivo de    infraestructura.
*Servicios públicos pagados.</t>
  </si>
  <si>
    <t>*Mantenimiento de la maquinaria y flota vehicular de la Administración Municipal.
*Mantenimiento de la insfraestructura locativa de la Adminstración Municipal.</t>
  </si>
  <si>
    <t>MATRIZ DOFA</t>
  </si>
  <si>
    <t>DEBILIDADES</t>
  </si>
  <si>
    <t>AMENAZAS</t>
  </si>
  <si>
    <t xml:space="preserve">Falta de asignación de recursos asignados en el presupuesto para adelantar procesos contractuales. </t>
  </si>
  <si>
    <t>Recortes presupuestales del orden Nacional y Departamental.</t>
  </si>
  <si>
    <t xml:space="preserve">Falta de relacionamiento oportuno de las necesidades de mantenimiento de los bienes muebles e inmuebles </t>
  </si>
  <si>
    <t>Emergencias sanitarias</t>
  </si>
  <si>
    <t xml:space="preserve">Desconocimiento y aplicabilidad de la plataforma para el relacionamiento de las necesidades de mantenimiento de los bienes muebles e inmuebles </t>
  </si>
  <si>
    <t>Alteración del orden público.</t>
  </si>
  <si>
    <t>Obsolescencia en los equipos tecnológicos y mobiliarios que hacen parte de los distintos sistemas de la estructura del centro administrativo municipal y demás centros externos</t>
  </si>
  <si>
    <t>Demora en envío y exigencia por parte de la normatividad nacional de estudios previos para contratos (Ley 80 de 1993) para realizar cotizaciones concretas de todos los recursos que se requieren.</t>
  </si>
  <si>
    <t>Falta de personal de planta.</t>
  </si>
  <si>
    <t>Carencia de respuestos para los mantenimientos preventivos y correctivos de los distintos sistemas de la estructura del centro administrativo municipal y demás centros externos</t>
  </si>
  <si>
    <t>No hay transferencia del conociento debido a la inexistencia de base de datos.</t>
  </si>
  <si>
    <t>Incumplimientos normativos que pueden generar sanciones, afectar la imagen reputacional y comprometer la estabilidad operativa.</t>
  </si>
  <si>
    <t>FORTALEZAS</t>
  </si>
  <si>
    <t>OPORTUNIDADES</t>
  </si>
  <si>
    <t xml:space="preserve">Conocimiento y experiencia de personal vinculado al proceso. </t>
  </si>
  <si>
    <t>Acceso a desarrollos técnicologicos que permiten controlar la gestión realizada en el proceso.</t>
  </si>
  <si>
    <t xml:space="preserve">Disposición personal - compromiso del recurso humano. </t>
  </si>
  <si>
    <t>Decreto 038 del 2005</t>
  </si>
  <si>
    <t>Implementación del sistema de Gestión de Calidad y del Modelo Integrado de Planeación y Gestión, que permite generar controles a los procesos de contratación.</t>
  </si>
  <si>
    <t>Actualización de la plataforma RF para la inclusion de nuevas necesidades generadas por los usuarios</t>
  </si>
  <si>
    <t>Experiencia y compromisos de los servidores públicos vinculados al proceso, en cuanto a realizar mejoras al proceso.</t>
  </si>
  <si>
    <t>Software que permita tener actulizada toda la información de la subsecretaría.</t>
  </si>
  <si>
    <t>Planes de trabajo para adelantar los distintos procesos contractuales</t>
  </si>
  <si>
    <t>Proceso de modernización</t>
  </si>
  <si>
    <t>Planes de mantenimiento establecidos para garantizar el adecuado funcionamiento de los equipos</t>
  </si>
  <si>
    <t>Fortalecimiento de los controles y procedimientos internos para asegurar el cumplimiento normativo, reduciendo la posibilidad de sanciones y fortaleciendo la confianza institucional.</t>
  </si>
  <si>
    <t>Seguimiento y control continuo a los planes de trabajo y de mantenimiento establecidos</t>
  </si>
  <si>
    <t>Fomentar una cultura organizacional orientada a la prevención y mitigación del cambio climático.</t>
  </si>
  <si>
    <t>Apoyo del equipo de aseo y cafetería en la ejecución de las actividades de mantenimiento de la infraestructura.</t>
  </si>
  <si>
    <t>Alianza con dirección de transito de bucaramanga que permite beneficios para el personal.</t>
  </si>
  <si>
    <t>Capacitaciones continuas al equipo de mantenimiento con el ánimo de evitar accidentes.</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</si>
  <si>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</si>
  <si>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</si>
  <si>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</si>
  <si>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</si>
  <si>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</si>
  <si>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</si>
  <si>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</si>
  <si>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</si>
  <si>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</si>
  <si>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</si>
  <si>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</si>
  <si>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</si>
  <si>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</si>
  <si>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</si>
  <si>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</si>
  <si>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</si>
  <si>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</si>
  <si>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</si>
  <si>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</si>
  <si>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</si>
  <si>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</si>
  <si>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</si>
  <si>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</si>
  <si>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</si>
  <si>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</si>
  <si>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</si>
  <si>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</si>
  <si>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</si>
  <si>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</si>
  <si>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</si>
  <si>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</si>
  <si>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</si>
  <si>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</si>
  <si>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</si>
  <si>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</si>
  <si>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</si>
  <si>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</si>
  <si>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</si>
  <si>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</si>
  <si>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Deterioro de la infraestructura locativa de la administración municipal</t>
  </si>
  <si>
    <t>Falta de mantenimientos preventivos y correctivo.</t>
  </si>
  <si>
    <t>Posibilidad de afectación económica y reputacional por deterioro de la infraestructura locativa de la administración municipal, debido a la falta de mantenimiento preventivo y correctivo.</t>
  </si>
  <si>
    <t>Ejecucion y Administracion de procesos</t>
  </si>
  <si>
    <t xml:space="preserve">     El riesgo afecta la imagen de la entidad con algunos usuarios de relevancia frente al logro de los objetivos</t>
  </si>
  <si>
    <t>El Subsecretario Administrativo de Bienes y Servicios verifica las necesidades de mantenimiento preventivo de la infraestructura física de la administración Municipal, a través del Plan de Mantenimiento Preventivo.</t>
  </si>
  <si>
    <t>Preventivo</t>
  </si>
  <si>
    <t>Manual</t>
  </si>
  <si>
    <t>Documentado</t>
  </si>
  <si>
    <t>Continua</t>
  </si>
  <si>
    <t>Con Registro</t>
  </si>
  <si>
    <t>Reducir (mitigar)</t>
  </si>
  <si>
    <t>Ejecutar el 100% del Plan de Mantenimiento Preventivo de la infraestructura física de la administración Municipal.</t>
  </si>
  <si>
    <t>Subsecretario Administartivo de Bienes y Servicios</t>
  </si>
  <si>
    <t>Plan de Mantenimiento Preventivo de la infraestructura fiísica y soportes de cumplimiento</t>
  </si>
  <si>
    <t>El Subsecretario Administrativo de Bienes y Servicios verifica las necesidades de mantenimiento correctivo de la infraestructura física de la administración Municipal, de acuerdo a las necesidades de la entidad.</t>
  </si>
  <si>
    <t>Realizar seguimiento semestral al total de las solicitudes viabilizadas de los mantenimientos correctivos, realizados a la infraestructura física de la entidad.</t>
  </si>
  <si>
    <t xml:space="preserve">Informe de seguimiento (2) </t>
  </si>
  <si>
    <t>deterioro de los vehículos e investigaciones de entes de control</t>
  </si>
  <si>
    <t>Falta de mantenimiento al parque automotor del Municipio.</t>
  </si>
  <si>
    <t>Posibilidad de afectación reputacional y económica por el deterioro de los vehículos e investigaciones de entes de control debido a la falta de mantenimiento al parque automotor del Municipio.</t>
  </si>
  <si>
    <t>El Subsecretario Administrativo de Bienes y Servicios verifica y supervisa la ejecución de las necesidades de mantenimiento preventivo del parque automotor de la administración Municipal, a través del Plan de Mantenimiento Preventivo.</t>
  </si>
  <si>
    <t>Ejecutar el 100% del plan de mantenimiento preventivo (vehículos y motocicletas en USO) del parque automotor de la administración Municipal.</t>
  </si>
  <si>
    <t>Plan de Mantenimiento Preventivo del parque automotor y soportes de cumplimiento</t>
  </si>
  <si>
    <t>El Subsecretario Administrativo de Bienes y Servicios verifica las necesidades de mantenimiento correctivo del parque automotor de la administración Municipal, de acuerdo a las necesidades de la entidad.</t>
  </si>
  <si>
    <t>Realizar seguimiento semestral a los mantenimientos correctivos, realizados al parque automotor de la entidad.</t>
  </si>
  <si>
    <t>Reputacional</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</si>
  <si>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</si>
  <si>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</si>
  <si>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El profesional encargado revisa las acciones correctivas y de mejora, establecidas y plasmadas en los Planes de Mejoramiento de auditorías internas suscritos, a través de seguimiento al proceso de Recursos Físicos</t>
  </si>
  <si>
    <t>Realizar  un seguimiento semestral a las acciones establecidas en los Planes de Mejoramiento de auditorías internas suscritos</t>
  </si>
  <si>
    <t>Lider de proceso y
Profesional encargada</t>
  </si>
  <si>
    <t>Acta de reunión (2)</t>
  </si>
  <si>
    <t>Posibilidad de afectación económico y reputacional por posibles investigaciones y sanciones disciplinarias por entes de control, debido al incumplimiento de la Ley 594 del 2000 en los documentos generados por el Área de Recursos Físicos</t>
  </si>
  <si>
    <t>El equipo asignado para el manejo del archivo aplica los manuales y procedimientos para la intervencion documental establecidos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</si>
  <si>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100% de las Transferencias documentales primarias del Área de Recursos Físicos, en los tiempos establecidos en el cronograma para la vigencia que aplique la tabla de retención documental vigentes</t>
  </si>
  <si>
    <t>Líder del proceso y equipo asignado</t>
  </si>
  <si>
    <t>Acta de transferencia documental F-GDO-8600-238,37-022 
(1)</t>
  </si>
  <si>
    <t>Organizar semestralmente el 100% de los expedientes producidos por el Área de Recursos Físicos</t>
  </si>
  <si>
    <t xml:space="preserve">Informe de seguimiento a la organización documental F-GDO-8600-238,37-033 
(2) </t>
  </si>
  <si>
    <t>Elaborar semestralmente el 100% de los inventarios documentales de los archivos producidos por el Área de Recursos Físicos</t>
  </si>
  <si>
    <t>Inventarios documentales F-GDO-8600-238,37-003
(2)</t>
  </si>
  <si>
    <t xml:space="preserve">investigaciones de entes de control </t>
  </si>
  <si>
    <t>incremento en el consumo de servicios públicos de la administración municipal.</t>
  </si>
  <si>
    <t>Posibilidad de afectación económico y reputacional por investigaciones de entes de control debido al incremento en el consumo de servicios públicos de la administración municipal.</t>
  </si>
  <si>
    <t>Media</t>
  </si>
  <si>
    <t xml:space="preserve">El Subsecretario Administrativo de Bienes y Servicios verifica el pago oportuno de los servicios públicos de la Administración Municipal y su comportamiento historico. </t>
  </si>
  <si>
    <t xml:space="preserve">Realizar seguimientro trimestral al pago oportuno de los servicios públicos de la Administración Municipal y su comportamiento historico. </t>
  </si>
  <si>
    <t xml:space="preserve">Informe de seguimiento (3)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</si>
  <si>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</si>
  <si>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</si>
  <si>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</si>
  <si>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</si>
  <si>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</si>
  <si>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</si>
  <si>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</si>
  <si>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</si>
  <si>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</si>
  <si>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</si>
  <si>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</si>
  <si>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</si>
  <si>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</si>
  <si>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</si>
  <si>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</si>
  <si>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</si>
  <si>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</si>
  <si>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</si>
  <si>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</si>
  <si>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</si>
  <si>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</si>
  <si>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</si>
  <si>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</si>
  <si>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</si>
  <si>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</si>
  <si>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</si>
  <si>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</si>
  <si>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</si>
  <si>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</si>
  <si>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</si>
  <si>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</si>
  <si>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</si>
  <si>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</si>
  <si>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</si>
  <si>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</si>
  <si>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</si>
  <si>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</si>
  <si>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</si>
  <si>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</si>
  <si>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</si>
  <si>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</si>
  <si>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</si>
  <si>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</si>
  <si>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</si>
  <si>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</si>
  <si>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</si>
  <si>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</si>
  <si>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</si>
  <si>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</si>
  <si>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</si>
  <si>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</si>
  <si>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</si>
  <si>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</si>
  <si>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</si>
  <si>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</si>
  <si>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</si>
  <si>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</si>
  <si>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</si>
  <si>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</si>
  <si>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</si>
  <si>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</si>
  <si>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</si>
  <si>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</si>
  <si>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</si>
  <si>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</si>
  <si>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</si>
  <si>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</si>
  <si>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</si>
  <si>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</si>
  <si>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</si>
  <si>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</si>
  <si>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</si>
  <si>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</si>
  <si>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</si>
  <si>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</si>
  <si>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</si>
  <si>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</si>
  <si>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</si>
  <si>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</si>
  <si>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</si>
  <si>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</si>
  <si>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</si>
  <si>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</si>
  <si>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</si>
  <si>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</si>
  <si>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</si>
  <si>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</si>
  <si>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</si>
  <si>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</si>
  <si>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</si>
  <si>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</si>
  <si>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</si>
  <si>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</si>
  <si>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</si>
  <si>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</si>
  <si>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</si>
  <si>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</si>
  <si>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</si>
  <si>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</si>
  <si>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</si>
  <si>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</si>
  <si>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</si>
  <si>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</si>
  <si>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</si>
  <si>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</si>
  <si>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</si>
  <si>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</si>
  <si>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</si>
  <si>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</si>
  <si>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</si>
  <si>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</si>
  <si>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</si>
  <si>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</si>
  <si>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</si>
  <si>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</si>
  <si>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</si>
  <si>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</si>
  <si>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</si>
  <si>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 xml:space="preserve"> incumplimiento de las acciones correctivas y de mejora, en los tiempos estipulados y plasmados en los Planes de Mejoramiento de auditorías internas, suscritos</t>
  </si>
  <si>
    <t xml:space="preserve"> investigaciones y sanciones disciplinarias por entes de control</t>
  </si>
  <si>
    <t>incumplimiento de la Ley 594 del 2000 en los documentos generados por el Área de Recursos Físicos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</si>
</sst>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2"/>
      <name val="Arial Narrow"/>
      <family val="2"/>
    </font>
    <font>
      <sz val="14"/>
      <color theme="1"/>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60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4" borderId="43" xfId="0" applyFont="1" applyFill="1" applyBorder="1" applyAlignment="1">
      <alignment horizontal="center" vertical="center" wrapText="1" readingOrder="1"/>
    </xf>
    <xf numFmtId="0" fontId="37" fillId="14" borderId="44"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9" fillId="3" borderId="49" xfId="2" applyFont="1" applyFill="1" applyBorder="1"/>
    <xf numFmtId="0" fontId="49" fillId="3" borderId="50" xfId="2" applyFont="1" applyFill="1" applyBorder="1"/>
    <xf numFmtId="0" fontId="49" fillId="3" borderId="51" xfId="2" applyFont="1" applyFill="1" applyBorder="1"/>
    <xf numFmtId="0" fontId="0" fillId="3" borderId="15" xfId="0" applyFill="1" applyBorder="1"/>
    <xf numFmtId="0" fontId="51" fillId="3" borderId="0" xfId="2" quotePrefix="1" applyFont="1" applyFill="1" applyAlignment="1">
      <alignment horizontal="left" vertical="top" wrapText="1"/>
    </xf>
    <xf numFmtId="0" fontId="52" fillId="3" borderId="0" xfId="2" quotePrefix="1" applyFont="1" applyFill="1" applyAlignment="1">
      <alignment horizontal="left" vertical="top" wrapText="1"/>
    </xf>
    <xf numFmtId="0" fontId="52" fillId="3" borderId="73"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9" fillId="0" borderId="73" xfId="2" quotePrefix="1" applyFont="1" applyBorder="1" applyAlignment="1">
      <alignment horizontal="left" vertical="top" wrapText="1"/>
    </xf>
    <xf numFmtId="0" fontId="53" fillId="3" borderId="0" xfId="2" quotePrefix="1" applyFont="1" applyFill="1" applyAlignment="1">
      <alignment horizontal="left" vertical="top" wrapText="1"/>
    </xf>
    <xf numFmtId="0" fontId="53" fillId="3" borderId="84"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49" fillId="3" borderId="84" xfId="2" applyFont="1" applyFill="1" applyBorder="1"/>
    <xf numFmtId="0" fontId="49" fillId="3" borderId="0" xfId="2" applyFont="1" applyFill="1"/>
    <xf numFmtId="0" fontId="49" fillId="3" borderId="73" xfId="2" applyFont="1" applyFill="1" applyBorder="1"/>
    <xf numFmtId="0" fontId="49" fillId="3" borderId="15" xfId="2" applyFont="1" applyFill="1" applyBorder="1"/>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applyAlignment="1">
      <alignment horizontal="left" vertical="top" wrapText="1"/>
    </xf>
    <xf numFmtId="0" fontId="49" fillId="3" borderId="14" xfId="2" applyFont="1" applyFill="1" applyBorder="1" applyAlignment="1">
      <alignment horizontal="left" vertical="top" wrapText="1"/>
    </xf>
    <xf numFmtId="0" fontId="49" fillId="3" borderId="15" xfId="2" applyFont="1" applyFill="1" applyBorder="1" applyAlignment="1">
      <alignment horizontal="left" vertical="top" wrapText="1"/>
    </xf>
    <xf numFmtId="0" fontId="49" fillId="3" borderId="16" xfId="2" applyFont="1" applyFill="1" applyBorder="1"/>
    <xf numFmtId="0" fontId="49" fillId="3" borderId="18" xfId="2" applyFont="1" applyFill="1" applyBorder="1"/>
    <xf numFmtId="0" fontId="49" fillId="3" borderId="17" xfId="2" applyFont="1" applyFill="1" applyBorder="1"/>
    <xf numFmtId="0" fontId="47" fillId="3" borderId="93" xfId="0" applyFont="1" applyFill="1" applyBorder="1" applyAlignment="1">
      <alignment vertical="center" wrapText="1"/>
    </xf>
    <xf numFmtId="0" fontId="47"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7" fillId="3" borderId="95" xfId="0" applyNumberFormat="1" applyFont="1" applyFill="1" applyBorder="1" applyAlignment="1">
      <alignment horizontal="left" vertical="center" wrapText="1"/>
    </xf>
    <xf numFmtId="0" fontId="59" fillId="0" borderId="0" xfId="0" applyFont="1"/>
    <xf numFmtId="0" fontId="64" fillId="16" borderId="0" xfId="0" applyFont="1" applyFill="1" applyAlignment="1">
      <alignment horizontal="left" vertical="top" wrapText="1"/>
    </xf>
    <xf numFmtId="0" fontId="64" fillId="16" borderId="0" xfId="0" applyFont="1" applyFill="1" applyAlignment="1">
      <alignment wrapText="1"/>
    </xf>
    <xf numFmtId="0" fontId="67" fillId="17" borderId="96" xfId="0" applyFont="1" applyFill="1" applyBorder="1" applyAlignment="1">
      <alignment horizontal="left" vertical="center" wrapText="1" indent="1"/>
    </xf>
    <xf numFmtId="0" fontId="69" fillId="17" borderId="105"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3" fillId="0" borderId="113" xfId="0" applyFont="1" applyBorder="1" applyAlignment="1">
      <alignment horizontal="center"/>
    </xf>
    <xf numFmtId="0" fontId="47" fillId="3" borderId="94" xfId="0" applyFont="1" applyFill="1" applyBorder="1" applyAlignment="1">
      <alignment vertical="center" wrapText="1"/>
    </xf>
    <xf numFmtId="0" fontId="67" fillId="17" borderId="40" xfId="0" applyFont="1" applyFill="1" applyBorder="1" applyAlignment="1">
      <alignment horizontal="left" vertical="center" wrapText="1" indent="1"/>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 fillId="0" borderId="0" xfId="0" applyFont="1" applyAlignment="1">
      <alignment horizontal="center" vertical="center" wrapText="1"/>
    </xf>
    <xf numFmtId="0" fontId="35" fillId="3" borderId="0" xfId="0" applyFont="1" applyFill="1"/>
    <xf numFmtId="0" fontId="35" fillId="0" borderId="0" xfId="0" applyFont="1"/>
    <xf numFmtId="0" fontId="35" fillId="3" borderId="0" xfId="0" applyFont="1" applyFill="1" applyAlignment="1">
      <alignment horizontal="justify"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54" fillId="15" borderId="74" xfId="3" applyFont="1" applyFill="1" applyBorder="1" applyAlignment="1">
      <alignment horizontal="center" vertical="center" wrapText="1"/>
    </xf>
    <xf numFmtId="0" fontId="54" fillId="15" borderId="75" xfId="3" applyFont="1" applyFill="1" applyBorder="1" applyAlignment="1">
      <alignment horizontal="center" vertical="center" wrapText="1"/>
    </xf>
    <xf numFmtId="0" fontId="54" fillId="15" borderId="52" xfId="2" applyFont="1" applyFill="1" applyBorder="1" applyAlignment="1">
      <alignment horizontal="center" vertical="center"/>
    </xf>
    <xf numFmtId="0" fontId="54" fillId="15" borderId="53" xfId="2" applyFont="1" applyFill="1" applyBorder="1" applyAlignment="1">
      <alignment horizontal="center" vertical="center"/>
    </xf>
    <xf numFmtId="0" fontId="50" fillId="15" borderId="46" xfId="2" applyFont="1" applyFill="1" applyBorder="1" applyAlignment="1">
      <alignment horizontal="center" vertical="center" wrapText="1"/>
    </xf>
    <xf numFmtId="0" fontId="50" fillId="15" borderId="47" xfId="2" applyFont="1" applyFill="1" applyBorder="1" applyAlignment="1">
      <alignment horizontal="center" vertical="center" wrapText="1"/>
    </xf>
    <xf numFmtId="0" fontId="50" fillId="15"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51" fillId="3" borderId="50"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54" fillId="3" borderId="54" xfId="3" applyFont="1" applyFill="1" applyBorder="1" applyAlignment="1">
      <alignment horizontal="left" vertical="center" wrapText="1" readingOrder="1"/>
    </xf>
    <xf numFmtId="0" fontId="54" fillId="3" borderId="76" xfId="3" applyFont="1" applyFill="1" applyBorder="1" applyAlignment="1">
      <alignment horizontal="left" vertical="center" wrapText="1" readingOrder="1"/>
    </xf>
    <xf numFmtId="0" fontId="55" fillId="3" borderId="77" xfId="2" applyFont="1" applyFill="1" applyBorder="1" applyAlignment="1">
      <alignment horizontal="justify" vertical="center" wrapText="1"/>
    </xf>
    <xf numFmtId="0" fontId="55" fillId="3" borderId="78" xfId="2" applyFont="1" applyFill="1" applyBorder="1" applyAlignment="1">
      <alignment horizontal="justify" vertical="center" wrapText="1"/>
    </xf>
    <xf numFmtId="0" fontId="54" fillId="3" borderId="90" xfId="3" applyFont="1" applyFill="1" applyBorder="1" applyAlignment="1">
      <alignment horizontal="left" vertical="top" wrapText="1" readingOrder="1"/>
    </xf>
    <xf numFmtId="0" fontId="54" fillId="3" borderId="55" xfId="3" applyFont="1" applyFill="1" applyBorder="1" applyAlignment="1">
      <alignment horizontal="left" vertical="top" wrapText="1" readingOrder="1"/>
    </xf>
    <xf numFmtId="0" fontId="55" fillId="3" borderId="91" xfId="2" applyFont="1" applyFill="1" applyBorder="1" applyAlignment="1">
      <alignment horizontal="justify" vertical="center" wrapText="1"/>
    </xf>
    <xf numFmtId="0" fontId="55" fillId="3" borderId="79" xfId="2" applyFont="1" applyFill="1" applyBorder="1" applyAlignment="1">
      <alignment horizontal="justify" vertical="center" wrapText="1"/>
    </xf>
    <xf numFmtId="0" fontId="54" fillId="3" borderId="80" xfId="3" applyFont="1" applyFill="1" applyBorder="1" applyAlignment="1">
      <alignment horizontal="left" vertical="center" wrapText="1" readingOrder="1"/>
    </xf>
    <xf numFmtId="0" fontId="54" fillId="3" borderId="81" xfId="3" applyFont="1" applyFill="1" applyBorder="1" applyAlignment="1">
      <alignment horizontal="left" vertical="center" wrapText="1" readingOrder="1"/>
    </xf>
    <xf numFmtId="0" fontId="55" fillId="3" borderId="82" xfId="2" applyFont="1" applyFill="1" applyBorder="1" applyAlignment="1">
      <alignment horizontal="justify" vertical="center" wrapText="1"/>
    </xf>
    <xf numFmtId="0" fontId="55" fillId="3" borderId="83" xfId="2" applyFont="1" applyFill="1" applyBorder="1" applyAlignment="1">
      <alignment horizontal="justify" vertical="center" wrapText="1"/>
    </xf>
    <xf numFmtId="0" fontId="53" fillId="3" borderId="14" xfId="2" quotePrefix="1" applyFont="1" applyFill="1" applyBorder="1" applyAlignment="1">
      <alignment horizontal="center" vertical="top" wrapText="1"/>
    </xf>
    <xf numFmtId="0" fontId="53" fillId="3" borderId="0" xfId="2" quotePrefix="1" applyFont="1" applyFill="1" applyAlignment="1">
      <alignment horizontal="center" vertical="top" wrapText="1"/>
    </xf>
    <xf numFmtId="0" fontId="53" fillId="3" borderId="73" xfId="2" quotePrefix="1" applyFont="1" applyFill="1" applyBorder="1" applyAlignment="1">
      <alignment horizontal="center" vertical="top" wrapText="1"/>
    </xf>
    <xf numFmtId="0" fontId="54" fillId="15" borderId="85" xfId="3" applyFont="1" applyFill="1" applyBorder="1" applyAlignment="1">
      <alignment horizontal="center" vertical="center" wrapText="1"/>
    </xf>
    <xf numFmtId="0" fontId="54" fillId="3" borderId="86" xfId="3" applyFont="1" applyFill="1" applyBorder="1" applyAlignment="1">
      <alignment horizontal="left" vertical="top" wrapText="1" readingOrder="1"/>
    </xf>
    <xf numFmtId="0" fontId="54" fillId="3" borderId="87" xfId="3" applyFont="1" applyFill="1" applyBorder="1" applyAlignment="1">
      <alignment horizontal="left" vertical="top" wrapText="1" readingOrder="1"/>
    </xf>
    <xf numFmtId="0" fontId="55" fillId="3" borderId="88" xfId="2" applyFont="1" applyFill="1" applyBorder="1" applyAlignment="1">
      <alignment horizontal="justify" vertical="center" wrapText="1"/>
    </xf>
    <xf numFmtId="0" fontId="55" fillId="3" borderId="89" xfId="2" applyFont="1" applyFill="1" applyBorder="1" applyAlignment="1">
      <alignment horizontal="justify" vertical="center" wrapText="1"/>
    </xf>
    <xf numFmtId="0" fontId="55" fillId="3" borderId="56" xfId="2" applyFont="1" applyFill="1" applyBorder="1" applyAlignment="1">
      <alignment horizontal="justify" vertical="center" wrapText="1"/>
    </xf>
    <xf numFmtId="0" fontId="55" fillId="3" borderId="57"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59" xfId="0" applyFont="1" applyFill="1" applyBorder="1" applyAlignment="1">
      <alignment horizontal="left" vertical="center" wrapText="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58" xfId="0" applyFont="1" applyFill="1" applyBorder="1" applyAlignment="1">
      <alignment horizontal="left" vertical="center" wrapText="1"/>
    </xf>
    <xf numFmtId="0" fontId="54" fillId="3" borderId="67"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5" fillId="3" borderId="62" xfId="0" applyFont="1" applyFill="1" applyBorder="1" applyAlignment="1">
      <alignment horizontal="justify" vertical="center" wrapText="1"/>
    </xf>
    <xf numFmtId="0" fontId="55" fillId="3" borderId="63" xfId="0" applyFont="1" applyFill="1" applyBorder="1" applyAlignment="1">
      <alignment horizontal="justify" vertical="center" wrapText="1"/>
    </xf>
    <xf numFmtId="0" fontId="63" fillId="0" borderId="113" xfId="0" applyFont="1" applyBorder="1" applyAlignment="1">
      <alignment horizontal="center" vertical="center"/>
    </xf>
    <xf numFmtId="0" fontId="63" fillId="0" borderId="113" xfId="0" applyFont="1" applyBorder="1" applyAlignment="1">
      <alignment horizontal="center"/>
    </xf>
    <xf numFmtId="0" fontId="59" fillId="0" borderId="114" xfId="0" applyFont="1" applyBorder="1" applyAlignment="1">
      <alignment horizontal="center" vertical="center" wrapText="1"/>
    </xf>
    <xf numFmtId="0" fontId="59" fillId="0" borderId="72" xfId="0" applyFont="1" applyBorder="1" applyAlignment="1">
      <alignment horizontal="center" vertical="center" wrapText="1"/>
    </xf>
    <xf numFmtId="0" fontId="59" fillId="13" borderId="46" xfId="0" applyFont="1" applyFill="1" applyBorder="1" applyAlignment="1">
      <alignment horizontal="left" vertical="center" wrapText="1"/>
    </xf>
    <xf numFmtId="0" fontId="59" fillId="13" borderId="47" xfId="0" applyFont="1" applyFill="1" applyBorder="1" applyAlignment="1">
      <alignment horizontal="left" vertical="center" wrapText="1"/>
    </xf>
    <xf numFmtId="0" fontId="59" fillId="13" borderId="48" xfId="0" applyFont="1" applyFill="1" applyBorder="1" applyAlignment="1">
      <alignment horizontal="left" vertical="center" wrapText="1"/>
    </xf>
    <xf numFmtId="0" fontId="59" fillId="13" borderId="46" xfId="0" applyFont="1" applyFill="1" applyBorder="1" applyAlignment="1">
      <alignment horizontal="left" vertical="center"/>
    </xf>
    <xf numFmtId="0" fontId="59" fillId="13" borderId="48" xfId="0" applyFont="1" applyFill="1" applyBorder="1" applyAlignment="1">
      <alignment horizontal="left" vertical="center"/>
    </xf>
    <xf numFmtId="0" fontId="59" fillId="13" borderId="100" xfId="0" applyFont="1" applyFill="1" applyBorder="1" applyAlignment="1">
      <alignment horizontal="left" vertical="center"/>
    </xf>
    <xf numFmtId="0" fontId="59" fillId="13" borderId="77" xfId="0" applyFont="1" applyFill="1" applyBorder="1" applyAlignment="1">
      <alignment horizontal="left" vertical="center"/>
    </xf>
    <xf numFmtId="0" fontId="59" fillId="13" borderId="101" xfId="0" applyFont="1" applyFill="1" applyBorder="1" applyAlignment="1">
      <alignment horizontal="left" vertical="center"/>
    </xf>
    <xf numFmtId="0" fontId="71" fillId="13" borderId="100" xfId="0" applyFont="1" applyFill="1" applyBorder="1" applyAlignment="1">
      <alignment horizontal="left" vertical="center" wrapText="1"/>
    </xf>
    <xf numFmtId="0" fontId="71" fillId="13" borderId="101" xfId="0" applyFont="1" applyFill="1" applyBorder="1" applyAlignment="1">
      <alignment horizontal="left" vertical="center" wrapText="1"/>
    </xf>
    <xf numFmtId="0" fontId="59" fillId="13" borderId="100" xfId="0" applyFont="1" applyFill="1" applyBorder="1" applyAlignment="1">
      <alignment horizontal="left" vertical="center" wrapText="1"/>
    </xf>
    <xf numFmtId="0" fontId="59" fillId="13" borderId="77" xfId="0" applyFont="1" applyFill="1" applyBorder="1" applyAlignment="1">
      <alignment horizontal="left" vertical="center" wrapText="1"/>
    </xf>
    <xf numFmtId="0" fontId="59" fillId="13" borderId="101" xfId="0" applyFont="1" applyFill="1" applyBorder="1" applyAlignment="1">
      <alignment horizontal="left" vertical="center" wrapText="1"/>
    </xf>
    <xf numFmtId="0" fontId="71" fillId="13" borderId="100" xfId="0" applyFont="1" applyFill="1" applyBorder="1" applyAlignment="1">
      <alignment horizontal="left" wrapText="1"/>
    </xf>
    <xf numFmtId="0" fontId="71" fillId="13" borderId="77" xfId="0" applyFont="1" applyFill="1" applyBorder="1" applyAlignment="1">
      <alignment horizontal="left" wrapText="1"/>
    </xf>
    <xf numFmtId="0" fontId="71" fillId="13" borderId="101" xfId="0" applyFont="1" applyFill="1" applyBorder="1" applyAlignment="1">
      <alignment horizontal="left" wrapText="1"/>
    </xf>
    <xf numFmtId="0" fontId="66" fillId="0" borderId="92" xfId="0" applyFont="1" applyBorder="1" applyAlignment="1">
      <alignment vertical="top" wrapText="1"/>
    </xf>
    <xf numFmtId="0" fontId="66" fillId="0" borderId="94" xfId="0" applyFont="1" applyBorder="1" applyAlignment="1">
      <alignment vertical="top" wrapText="1"/>
    </xf>
    <xf numFmtId="0" fontId="72" fillId="0" borderId="12" xfId="0" applyFont="1" applyBorder="1" applyAlignment="1">
      <alignment horizontal="center" vertical="center" wrapText="1"/>
    </xf>
    <xf numFmtId="0" fontId="72" fillId="0" borderId="19"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0" xfId="0" applyFont="1" applyAlignment="1">
      <alignment horizontal="center" vertical="center" wrapText="1"/>
    </xf>
    <xf numFmtId="0" fontId="67" fillId="18" borderId="114" xfId="0" applyFont="1" applyFill="1" applyBorder="1" applyAlignment="1">
      <alignment horizontal="left" vertical="center" wrapText="1" indent="1"/>
    </xf>
    <xf numFmtId="0" fontId="67" fillId="18" borderId="65" xfId="0" applyFont="1" applyFill="1" applyBorder="1" applyAlignment="1">
      <alignment horizontal="left" vertical="center" wrapText="1" indent="1"/>
    </xf>
    <xf numFmtId="0" fontId="67" fillId="18" borderId="66" xfId="0" applyFont="1" applyFill="1" applyBorder="1" applyAlignment="1">
      <alignment horizontal="left" vertical="center" wrapText="1" indent="1"/>
    </xf>
    <xf numFmtId="0" fontId="68" fillId="18" borderId="97" xfId="0" applyFont="1" applyFill="1" applyBorder="1" applyAlignment="1">
      <alignment horizontal="left" vertical="center" wrapText="1" indent="1"/>
    </xf>
    <xf numFmtId="0" fontId="68" fillId="18" borderId="98" xfId="0" applyFont="1" applyFill="1" applyBorder="1" applyAlignment="1">
      <alignment horizontal="left" vertical="center" wrapText="1" indent="1"/>
    </xf>
    <xf numFmtId="0" fontId="68" fillId="18" borderId="99" xfId="0" applyFont="1" applyFill="1" applyBorder="1" applyAlignment="1">
      <alignment horizontal="left" vertical="center" wrapText="1" indent="1"/>
    </xf>
    <xf numFmtId="0" fontId="57" fillId="19" borderId="0" xfId="0" applyFont="1" applyFill="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67" fillId="17" borderId="12" xfId="0" applyFont="1" applyFill="1" applyBorder="1" applyAlignment="1">
      <alignment horizontal="center" vertical="center" wrapText="1"/>
    </xf>
    <xf numFmtId="0" fontId="67" fillId="17" borderId="19" xfId="0" applyFont="1" applyFill="1" applyBorder="1" applyAlignment="1">
      <alignment horizontal="center" vertical="center" wrapText="1"/>
    </xf>
    <xf numFmtId="0" fontId="67" fillId="17" borderId="13"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05" xfId="0" applyFont="1" applyFill="1" applyBorder="1" applyAlignment="1">
      <alignment horizontal="center" vertical="center" wrapText="1"/>
    </xf>
    <xf numFmtId="0" fontId="58" fillId="0" borderId="0" xfId="0" applyFont="1" applyAlignment="1">
      <alignment horizontal="center" vertical="center"/>
    </xf>
    <xf numFmtId="0" fontId="71" fillId="13" borderId="102" xfId="0" applyFont="1" applyFill="1" applyBorder="1" applyAlignment="1">
      <alignment horizontal="left" vertical="center" wrapText="1"/>
    </xf>
    <xf numFmtId="0" fontId="71" fillId="13" borderId="36" xfId="0" applyFont="1" applyFill="1" applyBorder="1" applyAlignment="1">
      <alignment horizontal="left" vertical="center" wrapText="1"/>
    </xf>
    <xf numFmtId="0" fontId="67" fillId="20" borderId="33" xfId="0" applyFont="1" applyFill="1" applyBorder="1" applyAlignment="1">
      <alignment horizontal="center" vertical="center" wrapText="1"/>
    </xf>
    <xf numFmtId="0" fontId="67" fillId="20" borderId="45" xfId="0" applyFont="1" applyFill="1" applyBorder="1" applyAlignment="1">
      <alignment horizontal="center" vertical="center" wrapText="1"/>
    </xf>
    <xf numFmtId="0" fontId="67" fillId="20" borderId="34" xfId="0" applyFont="1" applyFill="1" applyBorder="1" applyAlignment="1">
      <alignment horizontal="center" vertical="center" wrapText="1"/>
    </xf>
    <xf numFmtId="0" fontId="70" fillId="0" borderId="12" xfId="0" applyFont="1" applyBorder="1" applyAlignment="1">
      <alignment horizontal="center" vertical="center" wrapText="1"/>
    </xf>
    <xf numFmtId="0" fontId="70" fillId="0" borderId="13" xfId="0" applyFont="1" applyBorder="1" applyAlignment="1">
      <alignment horizontal="center" vertical="center" wrapText="1"/>
    </xf>
    <xf numFmtId="0" fontId="70" fillId="0" borderId="14"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16" xfId="0" applyFont="1" applyBorder="1" applyAlignment="1">
      <alignment horizontal="center" vertical="center" wrapText="1"/>
    </xf>
    <xf numFmtId="0" fontId="70" fillId="0" borderId="17" xfId="0" applyFont="1" applyBorder="1" applyAlignment="1">
      <alignment horizontal="center" vertical="center" wrapText="1"/>
    </xf>
    <xf numFmtId="0" fontId="59" fillId="13" borderId="102" xfId="0" applyFont="1" applyFill="1" applyBorder="1" applyAlignment="1">
      <alignment horizontal="left" vertical="center" wrapText="1"/>
    </xf>
    <xf numFmtId="0" fontId="59" fillId="13" borderId="36" xfId="0" applyFont="1" applyFill="1" applyBorder="1" applyAlignment="1">
      <alignment horizontal="left" vertical="center" wrapText="1"/>
    </xf>
    <xf numFmtId="0" fontId="59" fillId="13" borderId="102" xfId="0" applyFont="1" applyFill="1" applyBorder="1" applyAlignment="1">
      <alignment horizontal="left" vertical="center"/>
    </xf>
    <xf numFmtId="0" fontId="59" fillId="13" borderId="36" xfId="0" applyFont="1" applyFill="1" applyBorder="1" applyAlignment="1">
      <alignment horizontal="left" vertical="center"/>
    </xf>
    <xf numFmtId="0" fontId="71" fillId="13" borderId="102" xfId="0" applyFont="1" applyFill="1" applyBorder="1" applyAlignment="1">
      <alignment horizontal="left" vertical="center"/>
    </xf>
    <xf numFmtId="0" fontId="71" fillId="13" borderId="36" xfId="0" applyFont="1" applyFill="1" applyBorder="1" applyAlignment="1">
      <alignment horizontal="left" vertical="center"/>
    </xf>
    <xf numFmtId="0" fontId="59" fillId="13" borderId="35" xfId="0" applyFont="1" applyFill="1" applyBorder="1" applyAlignment="1">
      <alignment horizontal="left" vertical="center"/>
    </xf>
    <xf numFmtId="0" fontId="59" fillId="13" borderId="31" xfId="0" applyFont="1" applyFill="1" applyBorder="1" applyAlignment="1">
      <alignment horizontal="left" vertical="center"/>
    </xf>
    <xf numFmtId="0" fontId="71" fillId="13" borderId="100" xfId="0" applyFont="1" applyFill="1" applyBorder="1" applyAlignment="1">
      <alignment horizontal="left" vertical="center"/>
    </xf>
    <xf numFmtId="0" fontId="71" fillId="13" borderId="101" xfId="0" applyFont="1" applyFill="1" applyBorder="1" applyAlignment="1">
      <alignment horizontal="left" vertical="center"/>
    </xf>
    <xf numFmtId="0" fontId="59" fillId="13" borderId="37" xfId="0" applyFont="1" applyFill="1" applyBorder="1" applyAlignment="1">
      <alignment horizontal="left" vertical="center"/>
    </xf>
    <xf numFmtId="0" fontId="59" fillId="13" borderId="38" xfId="0" applyFont="1" applyFill="1" applyBorder="1" applyAlignment="1">
      <alignment horizontal="left" vertical="center"/>
    </xf>
    <xf numFmtId="0" fontId="59" fillId="13" borderId="39" xfId="0" applyFont="1" applyFill="1" applyBorder="1" applyAlignment="1">
      <alignment horizontal="left" vertical="center"/>
    </xf>
    <xf numFmtId="0" fontId="71" fillId="13" borderId="103" xfId="0" applyFont="1" applyFill="1" applyBorder="1" applyAlignment="1">
      <alignment horizontal="left" wrapText="1"/>
    </xf>
    <xf numFmtId="0" fontId="71" fillId="13" borderId="39" xfId="0" applyFont="1" applyFill="1" applyBorder="1" applyAlignment="1">
      <alignment horizontal="left" wrapText="1"/>
    </xf>
    <xf numFmtId="0" fontId="67" fillId="20" borderId="14" xfId="0" applyFont="1" applyFill="1" applyBorder="1" applyAlignment="1">
      <alignment horizontal="center" vertical="center" wrapText="1"/>
    </xf>
    <xf numFmtId="0" fontId="67" fillId="20" borderId="0" xfId="0" applyFont="1" applyFill="1" applyAlignment="1">
      <alignment horizontal="center" vertical="center" wrapText="1"/>
    </xf>
    <xf numFmtId="0" fontId="71" fillId="13" borderId="37" xfId="0" applyFont="1" applyFill="1" applyBorder="1" applyAlignment="1">
      <alignment horizontal="left" vertical="center" wrapText="1"/>
    </xf>
    <xf numFmtId="0" fontId="71" fillId="13" borderId="38" xfId="0" applyFont="1" applyFill="1" applyBorder="1" applyAlignment="1">
      <alignment horizontal="left" vertical="center" wrapText="1"/>
    </xf>
    <xf numFmtId="0" fontId="71" fillId="13" borderId="39" xfId="0" applyFont="1" applyFill="1" applyBorder="1" applyAlignment="1">
      <alignment horizontal="left" vertical="center" wrapText="1"/>
    </xf>
    <xf numFmtId="0" fontId="59" fillId="13" borderId="104" xfId="0" applyFont="1" applyFill="1" applyBorder="1" applyAlignment="1">
      <alignment horizontal="left"/>
    </xf>
    <xf numFmtId="0" fontId="59" fillId="13" borderId="99" xfId="0" applyFont="1" applyFill="1" applyBorder="1" applyAlignment="1">
      <alignment horizontal="left"/>
    </xf>
    <xf numFmtId="0" fontId="71" fillId="13" borderId="77" xfId="0" applyFont="1" applyFill="1" applyBorder="1" applyAlignment="1">
      <alignment horizontal="left" vertical="center" wrapText="1"/>
    </xf>
    <xf numFmtId="0" fontId="59" fillId="13" borderId="35" xfId="0" applyFont="1" applyFill="1" applyBorder="1" applyAlignment="1">
      <alignment horizontal="left" vertical="center" wrapText="1"/>
    </xf>
    <xf numFmtId="0" fontId="59" fillId="13" borderId="100" xfId="0" applyFont="1" applyFill="1" applyBorder="1" applyAlignment="1">
      <alignment horizontal="left"/>
    </xf>
    <xf numFmtId="0" fontId="59" fillId="13" borderId="77" xfId="0" applyFont="1" applyFill="1" applyBorder="1" applyAlignment="1">
      <alignment horizontal="left"/>
    </xf>
    <xf numFmtId="0" fontId="59" fillId="13" borderId="101" xfId="0" applyFont="1" applyFill="1" applyBorder="1" applyAlignment="1">
      <alignment horizontal="left"/>
    </xf>
    <xf numFmtId="0" fontId="68" fillId="0" borderId="105" xfId="0" applyFont="1" applyBorder="1" applyAlignment="1">
      <alignment horizontal="center" vertical="center" wrapText="1"/>
    </xf>
    <xf numFmtId="0" fontId="68" fillId="0" borderId="73" xfId="0" applyFont="1" applyBorder="1" applyAlignment="1">
      <alignment horizontal="center" vertical="center" wrapText="1"/>
    </xf>
    <xf numFmtId="0" fontId="68" fillId="0" borderId="106" xfId="0" applyFont="1" applyBorder="1" applyAlignment="1">
      <alignment horizontal="center" vertical="center" wrapText="1"/>
    </xf>
    <xf numFmtId="0" fontId="73" fillId="0" borderId="107" xfId="0" applyFont="1" applyBorder="1" applyAlignment="1">
      <alignment horizontal="center" vertical="center" wrapText="1"/>
    </xf>
    <xf numFmtId="0" fontId="73" fillId="0" borderId="108" xfId="0" applyFont="1" applyBorder="1" applyAlignment="1">
      <alignment horizontal="center" vertical="center" wrapText="1"/>
    </xf>
    <xf numFmtId="0" fontId="73" fillId="0" borderId="109" xfId="0" applyFont="1" applyBorder="1" applyAlignment="1">
      <alignment horizontal="center" vertical="center" wrapText="1"/>
    </xf>
    <xf numFmtId="0" fontId="73" fillId="0" borderId="110" xfId="0" applyFont="1" applyBorder="1" applyAlignment="1">
      <alignment horizontal="center" vertical="center" wrapText="1"/>
    </xf>
    <xf numFmtId="0" fontId="73" fillId="0" borderId="111" xfId="0" applyFont="1" applyBorder="1" applyAlignment="1">
      <alignment horizontal="center" vertical="center" wrapText="1"/>
    </xf>
    <xf numFmtId="0" fontId="73" fillId="0" borderId="112" xfId="0" applyFont="1" applyBorder="1" applyAlignment="1">
      <alignment horizontal="center" vertical="center" wrapText="1"/>
    </xf>
    <xf numFmtId="0" fontId="59" fillId="13" borderId="100" xfId="0" applyFont="1" applyFill="1" applyBorder="1" applyAlignment="1">
      <alignment horizontal="left" wrapText="1"/>
    </xf>
    <xf numFmtId="0" fontId="59" fillId="13" borderId="101" xfId="0" applyFont="1" applyFill="1" applyBorder="1" applyAlignment="1">
      <alignment horizontal="left" wrapText="1"/>
    </xf>
    <xf numFmtId="0" fontId="71" fillId="13" borderId="46" xfId="0" applyFont="1" applyFill="1" applyBorder="1" applyAlignment="1">
      <alignment horizontal="left" wrapText="1"/>
    </xf>
    <xf numFmtId="0" fontId="71" fillId="13" borderId="48" xfId="0" applyFont="1" applyFill="1" applyBorder="1" applyAlignment="1">
      <alignment horizontal="left" wrapText="1"/>
    </xf>
    <xf numFmtId="0" fontId="59" fillId="13" borderId="77" xfId="0" applyFont="1" applyFill="1" applyBorder="1" applyAlignment="1">
      <alignment horizontal="left"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0" fillId="2" borderId="3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7" fillId="2" borderId="31" xfId="0" applyFont="1" applyFill="1" applyBorder="1" applyAlignment="1">
      <alignment horizontal="left" vertical="center" wrapText="1"/>
    </xf>
    <xf numFmtId="14" fontId="47" fillId="2" borderId="31" xfId="0" applyNumberFormat="1" applyFont="1" applyFill="1" applyBorder="1" applyAlignment="1">
      <alignment horizontal="left"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3" xfId="0" applyFont="1" applyFill="1" applyBorder="1" applyAlignment="1">
      <alignment horizontal="center" vertical="center"/>
    </xf>
    <xf numFmtId="0" fontId="24" fillId="3"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35" fillId="3" borderId="0" xfId="0" applyFont="1" applyFill="1" applyAlignment="1">
      <alignment horizontal="left" vertical="center"/>
    </xf>
    <xf numFmtId="14" fontId="61" fillId="2" borderId="6" xfId="0" applyNumberFormat="1" applyFont="1" applyFill="1" applyBorder="1" applyAlignment="1" applyProtection="1">
      <alignment horizontal="center" vertical="center"/>
      <protection locked="0"/>
    </xf>
    <xf numFmtId="14" fontId="61" fillId="2" borderId="10" xfId="0" applyNumberFormat="1" applyFont="1" applyFill="1" applyBorder="1" applyAlignment="1" applyProtection="1">
      <alignment horizontal="center" vertical="center"/>
      <protection locked="0"/>
    </xf>
    <xf numFmtId="14" fontId="61" fillId="2" borderId="7" xfId="0" applyNumberFormat="1" applyFont="1" applyFill="1" applyBorder="1" applyAlignment="1" applyProtection="1">
      <alignment horizontal="center" vertical="center"/>
      <protection locked="0"/>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25" fillId="0" borderId="0" xfId="0" applyFont="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4" fillId="0" borderId="0" xfId="0" applyFont="1" applyAlignment="1">
      <alignment horizontal="center" vertical="center"/>
    </xf>
    <xf numFmtId="0" fontId="45" fillId="0" borderId="0" xfId="0" applyFont="1" applyAlignment="1">
      <alignment horizontal="center" vertical="center"/>
    </xf>
    <xf numFmtId="0" fontId="40" fillId="14" borderId="33" xfId="0" applyFont="1" applyFill="1" applyBorder="1" applyAlignment="1">
      <alignment horizontal="center" vertical="center" wrapText="1" readingOrder="1"/>
    </xf>
    <xf numFmtId="0" fontId="40" fillId="14" borderId="34" xfId="0" applyFont="1" applyFill="1" applyBorder="1" applyAlignment="1">
      <alignment horizontal="center" vertical="center" wrapText="1" readingOrder="1"/>
    </xf>
    <xf numFmtId="0" fontId="40" fillId="14"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6" fillId="3" borderId="7" xfId="0" applyFont="1" applyFill="1" applyBorder="1" applyAlignment="1" applyProtection="1">
      <alignment horizontal="left" vertical="center"/>
      <protection locked="0"/>
    </xf>
    <xf numFmtId="0" fontId="74" fillId="3" borderId="6" xfId="0" applyFont="1" applyFill="1" applyBorder="1" applyAlignment="1" applyProtection="1">
      <alignment horizontal="left" vertical="center" wrapText="1"/>
      <protection locked="0"/>
    </xf>
    <xf numFmtId="0" fontId="74" fillId="3" borderId="10" xfId="0" applyFont="1" applyFill="1" applyBorder="1" applyAlignment="1" applyProtection="1">
      <alignment horizontal="left" vertical="center" wrapText="1"/>
      <protection locked="0"/>
    </xf>
    <xf numFmtId="0" fontId="74" fillId="3" borderId="7"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61"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61"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0" fontId="6" fillId="0" borderId="10" xfId="0" applyFont="1" applyBorder="1" applyAlignment="1" applyProtection="1">
      <alignment horizontal="center" vertical="top" textRotation="90"/>
      <protection locked="0"/>
    </xf>
    <xf numFmtId="164" fontId="6" fillId="0" borderId="10" xfId="1" applyNumberFormat="1" applyFont="1" applyBorder="1" applyAlignment="1">
      <alignment horizontal="center" vertical="top"/>
    </xf>
    <xf numFmtId="9" fontId="6" fillId="0" borderId="29" xfId="0" applyNumberFormat="1" applyFont="1" applyBorder="1" applyAlignment="1" applyProtection="1">
      <alignment horizontal="center" vertical="top"/>
      <protection hidden="1"/>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center"/>
      <protection hidden="1"/>
    </xf>
    <xf numFmtId="0" fontId="61" fillId="0" borderId="4" xfId="0" applyFont="1" applyBorder="1" applyAlignment="1" applyProtection="1">
      <alignment horizontal="center" vertical="center" textRotation="90" wrapText="1"/>
      <protection hidden="1"/>
    </xf>
    <xf numFmtId="0" fontId="61" fillId="0" borderId="4" xfId="0" applyFont="1" applyBorder="1" applyAlignment="1" applyProtection="1">
      <alignment horizontal="center" vertical="center" textRotation="90"/>
      <protection hidden="1"/>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protection hidden="1"/>
    </xf>
    <xf numFmtId="0" fontId="61" fillId="0" borderId="8" xfId="0" applyFont="1" applyBorder="1" applyAlignment="1" applyProtection="1">
      <alignment horizontal="center" vertical="center" textRotation="90" wrapText="1"/>
      <protection hidden="1"/>
    </xf>
    <xf numFmtId="0" fontId="61" fillId="0" borderId="8" xfId="0" applyFont="1" applyBorder="1" applyAlignment="1" applyProtection="1">
      <alignment horizontal="center" vertical="center" textRotation="90"/>
      <protection hidden="1"/>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textRotation="90"/>
      <protection locked="0"/>
    </xf>
    <xf numFmtId="9" fontId="6" fillId="0" borderId="5" xfId="0" applyNumberFormat="1" applyFont="1" applyBorder="1" applyAlignment="1" applyProtection="1">
      <alignment horizontal="center" vertical="center"/>
      <protection hidden="1"/>
    </xf>
    <xf numFmtId="0" fontId="61" fillId="0" borderId="5" xfId="0" applyFont="1" applyBorder="1" applyAlignment="1" applyProtection="1">
      <alignment horizontal="center" vertical="center" textRotation="90" wrapText="1"/>
      <protection hidden="1"/>
    </xf>
    <xf numFmtId="0" fontId="61" fillId="0" borderId="5" xfId="0" applyFont="1" applyBorder="1" applyAlignment="1" applyProtection="1">
      <alignment horizontal="center" vertical="center" textRotation="90"/>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2.%20ADMINISTRATIVA/PROCESO%20MEJORAMIENTO%20CONTINUO/MRG%202025%20-%20MEJORAMIENTO%20CONTINU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G%202025%20-%20PRE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91" t="s">
        <v>0</v>
      </c>
      <c r="C2" s="192"/>
      <c r="D2" s="192"/>
      <c r="E2" s="192"/>
      <c r="F2" s="192"/>
      <c r="G2" s="192"/>
      <c r="H2" s="193"/>
    </row>
    <row r="3" spans="1:8" x14ac:dyDescent="0.25">
      <c r="B3" s="118"/>
      <c r="C3" s="119"/>
      <c r="D3" s="119"/>
      <c r="E3" s="119"/>
      <c r="F3" s="119"/>
      <c r="G3" s="119"/>
      <c r="H3" s="120"/>
    </row>
    <row r="4" spans="1:8" ht="63" customHeight="1" x14ac:dyDescent="0.25">
      <c r="B4" s="194" t="s">
        <v>1</v>
      </c>
      <c r="C4" s="195"/>
      <c r="D4" s="195"/>
      <c r="E4" s="195"/>
      <c r="F4" s="195"/>
      <c r="G4" s="195"/>
      <c r="H4" s="196"/>
    </row>
    <row r="5" spans="1:8" ht="63" customHeight="1" x14ac:dyDescent="0.25">
      <c r="B5" s="197"/>
      <c r="C5" s="198"/>
      <c r="D5" s="198"/>
      <c r="E5" s="198"/>
      <c r="F5" s="198"/>
      <c r="G5" s="198"/>
      <c r="H5" s="199"/>
    </row>
    <row r="6" spans="1:8" ht="16.5" x14ac:dyDescent="0.25">
      <c r="A6" s="121"/>
      <c r="B6" s="200" t="s">
        <v>2</v>
      </c>
      <c r="C6" s="201"/>
      <c r="D6" s="201"/>
      <c r="E6" s="201"/>
      <c r="F6" s="201"/>
      <c r="G6" s="201"/>
      <c r="H6" s="202"/>
    </row>
    <row r="7" spans="1:8" ht="95.25" customHeight="1" x14ac:dyDescent="0.25">
      <c r="A7" s="121"/>
      <c r="B7" s="203" t="s">
        <v>3</v>
      </c>
      <c r="C7" s="203"/>
      <c r="D7" s="203"/>
      <c r="E7" s="203"/>
      <c r="F7" s="203"/>
      <c r="G7" s="203"/>
      <c r="H7" s="204"/>
    </row>
    <row r="8" spans="1:8" ht="16.5" x14ac:dyDescent="0.25">
      <c r="A8" s="121"/>
      <c r="B8" s="122"/>
      <c r="C8" s="123"/>
      <c r="D8" s="123"/>
      <c r="E8" s="123"/>
      <c r="F8" s="123"/>
      <c r="G8" s="123"/>
      <c r="H8" s="124"/>
    </row>
    <row r="9" spans="1:8" ht="16.5" customHeight="1" x14ac:dyDescent="0.25">
      <c r="A9" s="121"/>
      <c r="B9" s="205" t="s">
        <v>4</v>
      </c>
      <c r="C9" s="205"/>
      <c r="D9" s="205"/>
      <c r="E9" s="205"/>
      <c r="F9" s="205"/>
      <c r="G9" s="205"/>
      <c r="H9" s="206"/>
    </row>
    <row r="10" spans="1:8" ht="16.5" customHeight="1" x14ac:dyDescent="0.25">
      <c r="A10" s="121"/>
      <c r="B10" s="205"/>
      <c r="C10" s="205"/>
      <c r="D10" s="205"/>
      <c r="E10" s="205"/>
      <c r="F10" s="205"/>
      <c r="G10" s="205"/>
      <c r="H10" s="206"/>
    </row>
    <row r="11" spans="1:8" ht="11.65" customHeight="1" x14ac:dyDescent="0.25">
      <c r="A11" s="121"/>
      <c r="B11" s="205"/>
      <c r="C11" s="205"/>
      <c r="D11" s="205"/>
      <c r="E11" s="205"/>
      <c r="F11" s="205"/>
      <c r="G11" s="205"/>
      <c r="H11" s="206"/>
    </row>
    <row r="12" spans="1:8" ht="11.65" customHeight="1" thickBot="1" x14ac:dyDescent="0.3">
      <c r="A12" s="121"/>
      <c r="B12" s="125"/>
      <c r="C12" s="125"/>
      <c r="D12" s="125"/>
      <c r="E12" s="125"/>
      <c r="F12" s="125"/>
      <c r="G12" s="125"/>
      <c r="H12" s="126"/>
    </row>
    <row r="13" spans="1:8" ht="14.25" customHeight="1" thickTop="1" x14ac:dyDescent="0.25">
      <c r="A13" s="121"/>
      <c r="B13" s="125"/>
      <c r="C13" s="187" t="s">
        <v>5</v>
      </c>
      <c r="D13" s="188"/>
      <c r="E13" s="189" t="s">
        <v>6</v>
      </c>
      <c r="F13" s="190"/>
      <c r="G13" s="125"/>
      <c r="H13" s="126"/>
    </row>
    <row r="14" spans="1:8" ht="23.25" customHeight="1" x14ac:dyDescent="0.25">
      <c r="A14" s="121"/>
      <c r="B14" s="125"/>
      <c r="C14" s="207" t="s">
        <v>7</v>
      </c>
      <c r="D14" s="208"/>
      <c r="E14" s="209" t="s">
        <v>8</v>
      </c>
      <c r="F14" s="210"/>
      <c r="G14" s="125"/>
      <c r="H14" s="126"/>
    </row>
    <row r="15" spans="1:8" ht="27" customHeight="1" x14ac:dyDescent="0.25">
      <c r="A15" s="121"/>
      <c r="B15" s="125"/>
      <c r="C15" s="207" t="s">
        <v>9</v>
      </c>
      <c r="D15" s="208"/>
      <c r="E15" s="209" t="s">
        <v>10</v>
      </c>
      <c r="F15" s="210"/>
      <c r="G15" s="125"/>
      <c r="H15" s="126"/>
    </row>
    <row r="16" spans="1:8" ht="39" customHeight="1" x14ac:dyDescent="0.25">
      <c r="A16" s="121"/>
      <c r="B16" s="125"/>
      <c r="C16" s="207" t="s">
        <v>11</v>
      </c>
      <c r="D16" s="208"/>
      <c r="E16" s="209" t="s">
        <v>12</v>
      </c>
      <c r="F16" s="210"/>
      <c r="G16" s="125"/>
      <c r="H16" s="126"/>
    </row>
    <row r="17" spans="1:8" ht="24.75" customHeight="1" x14ac:dyDescent="0.25">
      <c r="A17" s="121"/>
      <c r="B17" s="125"/>
      <c r="C17" s="207" t="s">
        <v>13</v>
      </c>
      <c r="D17" s="208"/>
      <c r="E17" s="209" t="s">
        <v>14</v>
      </c>
      <c r="F17" s="210"/>
      <c r="G17" s="125"/>
      <c r="H17" s="127"/>
    </row>
    <row r="18" spans="1:8" ht="12.4" customHeight="1" x14ac:dyDescent="0.25">
      <c r="A18" s="121"/>
      <c r="B18" s="125"/>
      <c r="C18" s="207" t="s">
        <v>15</v>
      </c>
      <c r="D18" s="208"/>
      <c r="E18" s="214" t="s">
        <v>16</v>
      </c>
      <c r="F18" s="210"/>
      <c r="G18" s="125"/>
      <c r="H18" s="126"/>
    </row>
    <row r="19" spans="1:8" ht="24" customHeight="1" thickBot="1" x14ac:dyDescent="0.3">
      <c r="A19" s="121"/>
      <c r="B19" s="125"/>
      <c r="C19" s="215" t="s">
        <v>17</v>
      </c>
      <c r="D19" s="216"/>
      <c r="E19" s="217" t="s">
        <v>18</v>
      </c>
      <c r="F19" s="218"/>
      <c r="G19" s="125"/>
      <c r="H19" s="126"/>
    </row>
    <row r="20" spans="1:8" ht="11.65" customHeight="1" thickTop="1" x14ac:dyDescent="0.25">
      <c r="A20" s="121"/>
      <c r="B20" s="125"/>
      <c r="C20" s="128"/>
      <c r="D20" s="128"/>
      <c r="E20" s="128"/>
      <c r="F20" s="128"/>
      <c r="G20" s="125"/>
      <c r="H20" s="126"/>
    </row>
    <row r="21" spans="1:8" ht="27.4" customHeight="1" thickBot="1" x14ac:dyDescent="0.3">
      <c r="A21" s="121"/>
      <c r="B21" s="219" t="s">
        <v>19</v>
      </c>
      <c r="C21" s="220"/>
      <c r="D21" s="220"/>
      <c r="E21" s="220"/>
      <c r="F21" s="220"/>
      <c r="G21" s="220"/>
      <c r="H21" s="221"/>
    </row>
    <row r="22" spans="1:8" ht="15.75" thickTop="1" x14ac:dyDescent="0.25">
      <c r="A22" s="121"/>
      <c r="B22" s="129"/>
      <c r="C22" s="222" t="s">
        <v>5</v>
      </c>
      <c r="D22" s="188"/>
      <c r="E22" s="189" t="s">
        <v>6</v>
      </c>
      <c r="F22" s="190"/>
      <c r="G22" s="128"/>
      <c r="H22" s="130"/>
    </row>
    <row r="23" spans="1:8" ht="13.5" customHeight="1" x14ac:dyDescent="0.25">
      <c r="A23" s="121"/>
      <c r="B23" s="131"/>
      <c r="C23" s="223" t="s">
        <v>7</v>
      </c>
      <c r="D23" s="224"/>
      <c r="E23" s="225" t="s">
        <v>20</v>
      </c>
      <c r="F23" s="226"/>
      <c r="G23" s="132"/>
      <c r="H23" s="133"/>
    </row>
    <row r="24" spans="1:8" ht="13.5" customHeight="1" x14ac:dyDescent="0.25">
      <c r="A24" s="121"/>
      <c r="B24" s="131"/>
      <c r="C24" s="211" t="s">
        <v>21</v>
      </c>
      <c r="D24" s="212"/>
      <c r="E24" s="213" t="s">
        <v>22</v>
      </c>
      <c r="F24" s="210"/>
      <c r="G24" s="132"/>
      <c r="H24" s="133"/>
    </row>
    <row r="25" spans="1:8" ht="13.5" customHeight="1" x14ac:dyDescent="0.25">
      <c r="A25" s="121"/>
      <c r="B25" s="131"/>
      <c r="C25" s="211" t="s">
        <v>9</v>
      </c>
      <c r="D25" s="212"/>
      <c r="E25" s="213" t="s">
        <v>23</v>
      </c>
      <c r="F25" s="210"/>
      <c r="G25" s="132"/>
      <c r="H25" s="133"/>
    </row>
    <row r="26" spans="1:8" ht="22.9" customHeight="1" x14ac:dyDescent="0.25">
      <c r="A26" s="121"/>
      <c r="B26" s="131"/>
      <c r="C26" s="211" t="s">
        <v>24</v>
      </c>
      <c r="D26" s="212"/>
      <c r="E26" s="227" t="s">
        <v>25</v>
      </c>
      <c r="F26" s="228"/>
      <c r="G26" s="132"/>
      <c r="H26" s="133"/>
    </row>
    <row r="27" spans="1:8" ht="39.75" customHeight="1" x14ac:dyDescent="0.25">
      <c r="A27" s="121"/>
      <c r="B27" s="131"/>
      <c r="C27" s="229" t="s">
        <v>26</v>
      </c>
      <c r="D27" s="230"/>
      <c r="E27" s="231" t="s">
        <v>27</v>
      </c>
      <c r="F27" s="232"/>
      <c r="G27" s="132"/>
      <c r="H27" s="134"/>
    </row>
    <row r="28" spans="1:8" ht="34.5" customHeight="1" x14ac:dyDescent="0.25">
      <c r="B28" s="135"/>
      <c r="C28" s="233" t="s">
        <v>28</v>
      </c>
      <c r="D28" s="230"/>
      <c r="E28" s="231" t="s">
        <v>29</v>
      </c>
      <c r="F28" s="232"/>
      <c r="G28" s="132"/>
      <c r="H28" s="134"/>
    </row>
    <row r="29" spans="1:8" ht="27.75" customHeight="1" x14ac:dyDescent="0.25">
      <c r="B29" s="135"/>
      <c r="C29" s="233" t="s">
        <v>30</v>
      </c>
      <c r="D29" s="230"/>
      <c r="E29" s="231" t="s">
        <v>31</v>
      </c>
      <c r="F29" s="232"/>
      <c r="G29" s="132"/>
      <c r="H29" s="134"/>
    </row>
    <row r="30" spans="1:8" ht="72" customHeight="1" x14ac:dyDescent="0.25">
      <c r="B30" s="135"/>
      <c r="C30" s="233" t="s">
        <v>32</v>
      </c>
      <c r="D30" s="230"/>
      <c r="E30" s="231" t="s">
        <v>33</v>
      </c>
      <c r="F30" s="232"/>
      <c r="G30" s="132"/>
      <c r="H30" s="134"/>
    </row>
    <row r="31" spans="1:8" ht="72.75" customHeight="1" x14ac:dyDescent="0.25">
      <c r="B31" s="135"/>
      <c r="C31" s="233" t="s">
        <v>34</v>
      </c>
      <c r="D31" s="230"/>
      <c r="E31" s="231" t="s">
        <v>35</v>
      </c>
      <c r="F31" s="232"/>
      <c r="G31" s="132"/>
      <c r="H31" s="134"/>
    </row>
    <row r="32" spans="1:8" ht="64.5" customHeight="1" x14ac:dyDescent="0.25">
      <c r="B32" s="135"/>
      <c r="C32" s="233" t="s">
        <v>36</v>
      </c>
      <c r="D32" s="230"/>
      <c r="E32" s="231" t="s">
        <v>37</v>
      </c>
      <c r="F32" s="232"/>
      <c r="G32" s="132"/>
      <c r="H32" s="134"/>
    </row>
    <row r="33" spans="2:8" ht="71.25" customHeight="1" x14ac:dyDescent="0.25">
      <c r="B33" s="135"/>
      <c r="C33" s="234" t="s">
        <v>38</v>
      </c>
      <c r="D33" s="229"/>
      <c r="E33" s="231" t="s">
        <v>39</v>
      </c>
      <c r="F33" s="232"/>
      <c r="G33" s="132"/>
      <c r="H33" s="134"/>
    </row>
    <row r="34" spans="2:8" ht="55.5" customHeight="1" x14ac:dyDescent="0.25">
      <c r="B34" s="135"/>
      <c r="C34" s="234" t="s">
        <v>40</v>
      </c>
      <c r="D34" s="229"/>
      <c r="E34" s="231" t="s">
        <v>41</v>
      </c>
      <c r="F34" s="232"/>
      <c r="G34" s="132"/>
      <c r="H34" s="134"/>
    </row>
    <row r="35" spans="2:8" ht="42" customHeight="1" x14ac:dyDescent="0.25">
      <c r="B35" s="135"/>
      <c r="C35" s="234" t="s">
        <v>42</v>
      </c>
      <c r="D35" s="229"/>
      <c r="E35" s="231" t="s">
        <v>43</v>
      </c>
      <c r="F35" s="232"/>
      <c r="G35" s="132"/>
      <c r="H35" s="134"/>
    </row>
    <row r="36" spans="2:8" ht="59.25" customHeight="1" x14ac:dyDescent="0.25">
      <c r="B36" s="135"/>
      <c r="C36" s="234" t="s">
        <v>44</v>
      </c>
      <c r="D36" s="229"/>
      <c r="E36" s="231" t="s">
        <v>45</v>
      </c>
      <c r="F36" s="232"/>
      <c r="G36" s="132"/>
      <c r="H36" s="134"/>
    </row>
    <row r="37" spans="2:8" ht="23.25" customHeight="1" x14ac:dyDescent="0.25">
      <c r="B37" s="135"/>
      <c r="C37" s="234" t="s">
        <v>46</v>
      </c>
      <c r="D37" s="229"/>
      <c r="E37" s="231" t="s">
        <v>47</v>
      </c>
      <c r="F37" s="232"/>
      <c r="G37" s="132"/>
      <c r="H37" s="134"/>
    </row>
    <row r="38" spans="2:8" ht="30.75" customHeight="1" x14ac:dyDescent="0.25">
      <c r="B38" s="135"/>
      <c r="C38" s="234" t="s">
        <v>48</v>
      </c>
      <c r="D38" s="229"/>
      <c r="E38" s="231" t="s">
        <v>49</v>
      </c>
      <c r="F38" s="232"/>
      <c r="G38" s="132"/>
      <c r="H38" s="134"/>
    </row>
    <row r="39" spans="2:8" ht="35.25" customHeight="1" x14ac:dyDescent="0.25">
      <c r="B39" s="135"/>
      <c r="C39" s="234" t="s">
        <v>48</v>
      </c>
      <c r="D39" s="229"/>
      <c r="E39" s="231" t="s">
        <v>49</v>
      </c>
      <c r="F39" s="232"/>
      <c r="G39" s="132"/>
      <c r="H39" s="134"/>
    </row>
    <row r="40" spans="2:8" ht="33" customHeight="1" x14ac:dyDescent="0.25">
      <c r="B40" s="135"/>
      <c r="C40" s="234" t="s">
        <v>50</v>
      </c>
      <c r="D40" s="229"/>
      <c r="E40" s="231" t="s">
        <v>51</v>
      </c>
      <c r="F40" s="232"/>
      <c r="G40" s="132"/>
      <c r="H40" s="134"/>
    </row>
    <row r="41" spans="2:8" ht="30" customHeight="1" x14ac:dyDescent="0.25">
      <c r="B41" s="135"/>
      <c r="C41" s="234" t="s">
        <v>52</v>
      </c>
      <c r="D41" s="229"/>
      <c r="E41" s="231" t="s">
        <v>53</v>
      </c>
      <c r="F41" s="232"/>
      <c r="G41" s="132"/>
      <c r="H41" s="134"/>
    </row>
    <row r="42" spans="2:8" ht="35.25" customHeight="1" x14ac:dyDescent="0.25">
      <c r="B42" s="135"/>
      <c r="C42" s="234" t="s">
        <v>54</v>
      </c>
      <c r="D42" s="229"/>
      <c r="E42" s="231" t="s">
        <v>55</v>
      </c>
      <c r="F42" s="232"/>
      <c r="G42" s="132"/>
      <c r="H42" s="134"/>
    </row>
    <row r="43" spans="2:8" ht="31.5" customHeight="1" x14ac:dyDescent="0.25">
      <c r="B43" s="135"/>
      <c r="C43" s="234" t="s">
        <v>56</v>
      </c>
      <c r="D43" s="229"/>
      <c r="E43" s="231" t="s">
        <v>57</v>
      </c>
      <c r="F43" s="232"/>
      <c r="G43" s="132"/>
      <c r="H43" s="134"/>
    </row>
    <row r="44" spans="2:8" ht="54" customHeight="1" x14ac:dyDescent="0.25">
      <c r="B44" s="135"/>
      <c r="C44" s="234" t="s">
        <v>58</v>
      </c>
      <c r="D44" s="229"/>
      <c r="E44" s="231" t="s">
        <v>59</v>
      </c>
      <c r="F44" s="232"/>
      <c r="G44" s="132"/>
      <c r="H44" s="134"/>
    </row>
    <row r="45" spans="2:8" ht="59.25" customHeight="1" x14ac:dyDescent="0.25">
      <c r="B45" s="135"/>
      <c r="C45" s="234" t="s">
        <v>60</v>
      </c>
      <c r="D45" s="229"/>
      <c r="E45" s="231" t="s">
        <v>61</v>
      </c>
      <c r="F45" s="232"/>
      <c r="G45" s="132"/>
      <c r="H45" s="134"/>
    </row>
    <row r="46" spans="2:8" ht="84" customHeight="1" x14ac:dyDescent="0.25">
      <c r="B46" s="135"/>
      <c r="C46" s="234" t="s">
        <v>62</v>
      </c>
      <c r="D46" s="229"/>
      <c r="E46" s="231" t="s">
        <v>63</v>
      </c>
      <c r="F46" s="232"/>
      <c r="G46" s="132"/>
      <c r="H46" s="134"/>
    </row>
    <row r="47" spans="2:8" ht="46.5" customHeight="1" thickBot="1" x14ac:dyDescent="0.3">
      <c r="B47" s="135"/>
      <c r="C47" s="235"/>
      <c r="D47" s="236"/>
      <c r="E47" s="237"/>
      <c r="F47" s="238"/>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171</v>
      </c>
      <c r="D3" s="10" t="s">
        <v>321</v>
      </c>
    </row>
    <row r="4" spans="1:4" ht="51" x14ac:dyDescent="0.2">
      <c r="A4" s="10" t="s">
        <v>289</v>
      </c>
      <c r="D4" s="10" t="s">
        <v>322</v>
      </c>
    </row>
    <row r="5" spans="1:4" ht="51" x14ac:dyDescent="0.2">
      <c r="A5" s="10" t="s">
        <v>291</v>
      </c>
      <c r="D5" s="10" t="s">
        <v>323</v>
      </c>
    </row>
    <row r="6" spans="1:4" ht="89.25" x14ac:dyDescent="0.2">
      <c r="A6" s="10" t="s">
        <v>293</v>
      </c>
      <c r="D6" s="10" t="s">
        <v>324</v>
      </c>
    </row>
    <row r="7" spans="1:4" ht="63.75" x14ac:dyDescent="0.2">
      <c r="A7" s="10" t="s">
        <v>172</v>
      </c>
      <c r="D7" s="10" t="s">
        <v>325</v>
      </c>
    </row>
    <row r="8" spans="1:4" x14ac:dyDescent="0.2">
      <c r="A8" s="10" t="s">
        <v>173</v>
      </c>
      <c r="D8" s="10"/>
    </row>
    <row r="9" spans="1:4" x14ac:dyDescent="0.2">
      <c r="A9" s="10" t="s">
        <v>299</v>
      </c>
    </row>
    <row r="10" spans="1:4" x14ac:dyDescent="0.2">
      <c r="A10" s="10" t="s">
        <v>174</v>
      </c>
      <c r="D10" s="10" t="s">
        <v>326</v>
      </c>
    </row>
    <row r="11" spans="1:4" x14ac:dyDescent="0.2">
      <c r="A11" s="10" t="s">
        <v>302</v>
      </c>
    </row>
    <row r="12" spans="1:4" x14ac:dyDescent="0.2">
      <c r="A12" s="10" t="s">
        <v>327</v>
      </c>
      <c r="D12" s="10"/>
    </row>
    <row r="13" spans="1:4" x14ac:dyDescent="0.2">
      <c r="A13" s="10" t="s">
        <v>328</v>
      </c>
    </row>
    <row r="14" spans="1:4" x14ac:dyDescent="0.2">
      <c r="A14" s="10" t="s">
        <v>329</v>
      </c>
    </row>
    <row r="16" spans="1:4" x14ac:dyDescent="0.2">
      <c r="A16" s="10" t="s">
        <v>330</v>
      </c>
    </row>
    <row r="17" spans="1:1" x14ac:dyDescent="0.2">
      <c r="A17" s="10" t="s">
        <v>308</v>
      </c>
    </row>
    <row r="18" spans="1:1" x14ac:dyDescent="0.2">
      <c r="A18" s="10" t="s">
        <v>310</v>
      </c>
    </row>
    <row r="20" spans="1:1" x14ac:dyDescent="0.2">
      <c r="A20" s="10" t="s">
        <v>313</v>
      </c>
    </row>
    <row r="21" spans="1:1" x14ac:dyDescent="0.2">
      <c r="A21" s="10" t="s">
        <v>314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28" zoomScale="70" zoomScaleNormal="70" workbookViewId="0">
      <selection activeCell="E35" sqref="E35:F35"/>
    </sheetView>
  </sheetViews>
  <sheetFormatPr baseColWidth="10" defaultColWidth="11.42578125" defaultRowHeight="14.25" x14ac:dyDescent="0.2"/>
  <cols>
    <col min="1" max="1" width="7.5703125" style="164" customWidth="1"/>
    <col min="2" max="2" width="16.7109375" style="164" customWidth="1" collapsed="1"/>
    <col min="3" max="3" width="29.7109375" style="164" customWidth="1" collapsed="1"/>
    <col min="4" max="4" width="43.7109375" style="164" customWidth="1" collapsed="1"/>
    <col min="5" max="5" width="39.28515625" style="164" customWidth="1" collapsed="1"/>
    <col min="6" max="6" width="39.28515625" style="164" customWidth="1"/>
    <col min="7" max="14" width="11.42578125" style="164"/>
    <col min="15" max="15" width="37" style="164" customWidth="1"/>
    <col min="16" max="50" width="11.42578125" style="164"/>
    <col min="51" max="51" width="6.140625" style="164" customWidth="1"/>
    <col min="52" max="52" width="130.5703125" style="164" customWidth="1"/>
    <col min="53" max="16384" width="11.42578125" style="164"/>
  </cols>
  <sheetData>
    <row r="1" spans="2:52" ht="16.5" customHeight="1" thickBot="1" x14ac:dyDescent="0.25">
      <c r="AZ1" s="165" t="s">
        <v>69</v>
      </c>
    </row>
    <row r="2" spans="2:52" ht="18" customHeight="1" thickBot="1" x14ac:dyDescent="0.25">
      <c r="B2" s="259"/>
      <c r="C2" s="261" t="s">
        <v>70</v>
      </c>
      <c r="D2" s="262"/>
      <c r="E2" s="262"/>
      <c r="F2" s="144" t="s">
        <v>71</v>
      </c>
      <c r="AZ2" s="165" t="s">
        <v>72</v>
      </c>
    </row>
    <row r="3" spans="2:52" ht="18" customHeight="1" thickBot="1" x14ac:dyDescent="0.25">
      <c r="B3" s="260"/>
      <c r="C3" s="263"/>
      <c r="D3" s="264"/>
      <c r="E3" s="264"/>
      <c r="F3" s="145" t="s">
        <v>73</v>
      </c>
      <c r="AZ3" s="165" t="s">
        <v>74</v>
      </c>
    </row>
    <row r="4" spans="2:52" ht="18" customHeight="1" thickBot="1" x14ac:dyDescent="0.25">
      <c r="B4" s="260"/>
      <c r="C4" s="263"/>
      <c r="D4" s="264"/>
      <c r="E4" s="264"/>
      <c r="F4" s="163" t="s">
        <v>75</v>
      </c>
      <c r="AZ4" s="165" t="s">
        <v>76</v>
      </c>
    </row>
    <row r="5" spans="2:52" ht="18" customHeight="1" thickBot="1" x14ac:dyDescent="0.25">
      <c r="B5" s="260"/>
      <c r="C5" s="263"/>
      <c r="D5" s="264"/>
      <c r="E5" s="264"/>
      <c r="F5" s="174" t="s">
        <v>77</v>
      </c>
      <c r="AZ5" s="166"/>
    </row>
    <row r="6" spans="2:52" ht="18" customHeight="1" thickBot="1" x14ac:dyDescent="0.25">
      <c r="B6" s="272" t="s">
        <v>78</v>
      </c>
      <c r="C6" s="273"/>
      <c r="D6" s="273"/>
      <c r="E6" s="273"/>
      <c r="F6" s="274"/>
      <c r="AZ6" s="166"/>
    </row>
    <row r="7" spans="2:52" ht="33.4" customHeight="1" x14ac:dyDescent="0.2">
      <c r="B7" s="175" t="s">
        <v>79</v>
      </c>
      <c r="C7" s="265" t="s">
        <v>80</v>
      </c>
      <c r="D7" s="266"/>
      <c r="E7" s="266"/>
      <c r="F7" s="267"/>
      <c r="AZ7" s="166"/>
    </row>
    <row r="8" spans="2:52" ht="33.6" customHeight="1" thickBot="1" x14ac:dyDescent="0.25">
      <c r="B8" s="167" t="s">
        <v>81</v>
      </c>
      <c r="C8" s="268" t="s">
        <v>82</v>
      </c>
      <c r="D8" s="269"/>
      <c r="E8" s="269"/>
      <c r="F8" s="270"/>
      <c r="AZ8" s="166"/>
    </row>
    <row r="9" spans="2:52" ht="16.5" thickBot="1" x14ac:dyDescent="0.25">
      <c r="B9" s="271"/>
      <c r="C9" s="271"/>
      <c r="D9" s="271"/>
      <c r="E9" s="271"/>
      <c r="F9" s="271"/>
    </row>
    <row r="10" spans="2:52" ht="15.6" customHeight="1" thickBot="1" x14ac:dyDescent="0.25">
      <c r="B10" s="275" t="s">
        <v>83</v>
      </c>
      <c r="C10" s="276"/>
      <c r="D10" s="276"/>
      <c r="E10" s="276"/>
      <c r="F10" s="277"/>
    </row>
    <row r="11" spans="2:52" ht="32.25" thickBot="1" x14ac:dyDescent="0.25">
      <c r="B11" s="278" t="s">
        <v>84</v>
      </c>
      <c r="C11" s="279"/>
      <c r="D11" s="168" t="s">
        <v>85</v>
      </c>
      <c r="E11" s="168" t="s">
        <v>86</v>
      </c>
      <c r="F11" s="169" t="s">
        <v>87</v>
      </c>
    </row>
    <row r="12" spans="2:52" ht="34.9" customHeight="1" x14ac:dyDescent="0.2">
      <c r="B12" s="286" t="s">
        <v>88</v>
      </c>
      <c r="C12" s="287"/>
      <c r="D12" s="319" t="s">
        <v>89</v>
      </c>
      <c r="E12" s="322" t="s">
        <v>90</v>
      </c>
      <c r="F12" s="325" t="s">
        <v>91</v>
      </c>
    </row>
    <row r="13" spans="2:52" ht="36.75" customHeight="1" x14ac:dyDescent="0.2">
      <c r="B13" s="288"/>
      <c r="C13" s="289"/>
      <c r="D13" s="320"/>
      <c r="E13" s="323"/>
      <c r="F13" s="326"/>
    </row>
    <row r="14" spans="2:52" ht="30.6" customHeight="1" x14ac:dyDescent="0.2">
      <c r="B14" s="288"/>
      <c r="C14" s="289"/>
      <c r="D14" s="320"/>
      <c r="E14" s="323"/>
      <c r="F14" s="326"/>
    </row>
    <row r="15" spans="2:52" ht="34.5" customHeight="1" x14ac:dyDescent="0.2">
      <c r="B15" s="288"/>
      <c r="C15" s="289"/>
      <c r="D15" s="320"/>
      <c r="E15" s="323"/>
      <c r="F15" s="326"/>
    </row>
    <row r="16" spans="2:52" ht="29.45" customHeight="1" x14ac:dyDescent="0.2">
      <c r="B16" s="288"/>
      <c r="C16" s="289"/>
      <c r="D16" s="320"/>
      <c r="E16" s="323"/>
      <c r="F16" s="326"/>
    </row>
    <row r="17" spans="2:6" ht="33.6" customHeight="1" thickBot="1" x14ac:dyDescent="0.25">
      <c r="B17" s="290"/>
      <c r="C17" s="291"/>
      <c r="D17" s="321"/>
      <c r="E17" s="324"/>
      <c r="F17" s="327"/>
    </row>
    <row r="18" spans="2:6" ht="18.75" thickBot="1" x14ac:dyDescent="0.25">
      <c r="B18" s="280" t="s">
        <v>92</v>
      </c>
      <c r="C18" s="280"/>
      <c r="D18" s="280"/>
      <c r="E18" s="280"/>
      <c r="F18" s="280"/>
    </row>
    <row r="19" spans="2:6" ht="16.5" thickBot="1" x14ac:dyDescent="0.25">
      <c r="B19" s="283" t="s">
        <v>93</v>
      </c>
      <c r="C19" s="285"/>
      <c r="D19" s="284"/>
      <c r="E19" s="283" t="s">
        <v>94</v>
      </c>
      <c r="F19" s="284"/>
    </row>
    <row r="20" spans="2:6" ht="15" customHeight="1" x14ac:dyDescent="0.2">
      <c r="B20" s="243" t="s">
        <v>95</v>
      </c>
      <c r="C20" s="244"/>
      <c r="D20" s="245"/>
      <c r="E20" s="246" t="s">
        <v>96</v>
      </c>
      <c r="F20" s="247"/>
    </row>
    <row r="21" spans="2:6" ht="15" customHeight="1" x14ac:dyDescent="0.2">
      <c r="B21" s="248" t="s">
        <v>97</v>
      </c>
      <c r="C21" s="249"/>
      <c r="D21" s="250"/>
      <c r="E21" s="251" t="s">
        <v>98</v>
      </c>
      <c r="F21" s="252"/>
    </row>
    <row r="22" spans="2:6" ht="15" customHeight="1" x14ac:dyDescent="0.2">
      <c r="B22" s="253" t="s">
        <v>99</v>
      </c>
      <c r="C22" s="254"/>
      <c r="D22" s="255"/>
      <c r="E22" s="251" t="s">
        <v>100</v>
      </c>
      <c r="F22" s="252"/>
    </row>
    <row r="23" spans="2:6" ht="15" customHeight="1" x14ac:dyDescent="0.2">
      <c r="B23" s="253" t="s">
        <v>101</v>
      </c>
      <c r="C23" s="254"/>
      <c r="D23" s="255"/>
      <c r="E23" s="248" t="s">
        <v>102</v>
      </c>
      <c r="F23" s="250"/>
    </row>
    <row r="24" spans="2:6" ht="15" customHeight="1" x14ac:dyDescent="0.2">
      <c r="B24" s="256" t="s">
        <v>103</v>
      </c>
      <c r="C24" s="257"/>
      <c r="D24" s="258"/>
      <c r="E24" s="253" t="s">
        <v>104</v>
      </c>
      <c r="F24" s="255"/>
    </row>
    <row r="25" spans="2:6" ht="15" customHeight="1" x14ac:dyDescent="0.2">
      <c r="B25" s="256" t="s">
        <v>105</v>
      </c>
      <c r="C25" s="257"/>
      <c r="D25" s="258"/>
      <c r="E25" s="253" t="s">
        <v>106</v>
      </c>
      <c r="F25" s="255"/>
    </row>
    <row r="26" spans="2:6" ht="15" customHeight="1" x14ac:dyDescent="0.2">
      <c r="B26" s="248" t="s">
        <v>95</v>
      </c>
      <c r="C26" s="249"/>
      <c r="D26" s="250"/>
      <c r="E26" s="281"/>
      <c r="F26" s="282"/>
    </row>
    <row r="27" spans="2:6" ht="15.75" customHeight="1" x14ac:dyDescent="0.2">
      <c r="B27" s="253" t="s">
        <v>97</v>
      </c>
      <c r="C27" s="254"/>
      <c r="D27" s="255"/>
      <c r="E27" s="292"/>
      <c r="F27" s="293"/>
    </row>
    <row r="28" spans="2:6" ht="14.45" customHeight="1" x14ac:dyDescent="0.2">
      <c r="B28" s="248" t="s">
        <v>99</v>
      </c>
      <c r="C28" s="249"/>
      <c r="D28" s="250"/>
      <c r="E28" s="294"/>
      <c r="F28" s="295"/>
    </row>
    <row r="29" spans="2:6" ht="15" customHeight="1" x14ac:dyDescent="0.2">
      <c r="B29" s="253" t="s">
        <v>101</v>
      </c>
      <c r="C29" s="254"/>
      <c r="D29" s="255"/>
      <c r="E29" s="296"/>
      <c r="F29" s="297"/>
    </row>
    <row r="30" spans="2:6" ht="15" customHeight="1" x14ac:dyDescent="0.2">
      <c r="B30" s="248" t="s">
        <v>103</v>
      </c>
      <c r="C30" s="249"/>
      <c r="D30" s="250"/>
      <c r="E30" s="296"/>
      <c r="F30" s="297"/>
    </row>
    <row r="31" spans="2:6" ht="15" customHeight="1" x14ac:dyDescent="0.2">
      <c r="B31" s="248" t="s">
        <v>105</v>
      </c>
      <c r="C31" s="249"/>
      <c r="D31" s="250"/>
      <c r="E31" s="296"/>
      <c r="F31" s="297"/>
    </row>
    <row r="32" spans="2:6" ht="15" customHeight="1" x14ac:dyDescent="0.2">
      <c r="B32" s="298"/>
      <c r="C32" s="299"/>
      <c r="D32" s="295"/>
      <c r="E32" s="300"/>
      <c r="F32" s="301"/>
    </row>
    <row r="33" spans="2:6" ht="15" customHeight="1" thickBot="1" x14ac:dyDescent="0.25">
      <c r="B33" s="302"/>
      <c r="C33" s="303"/>
      <c r="D33" s="304"/>
      <c r="E33" s="305"/>
      <c r="F33" s="306"/>
    </row>
    <row r="34" spans="2:6" ht="15" customHeight="1" thickBot="1" x14ac:dyDescent="0.25">
      <c r="B34" s="307" t="s">
        <v>107</v>
      </c>
      <c r="C34" s="308"/>
      <c r="D34" s="308"/>
      <c r="E34" s="283" t="s">
        <v>108</v>
      </c>
      <c r="F34" s="284"/>
    </row>
    <row r="35" spans="2:6" ht="29.1" customHeight="1" x14ac:dyDescent="0.2">
      <c r="B35" s="243" t="s">
        <v>109</v>
      </c>
      <c r="C35" s="244"/>
      <c r="D35" s="245"/>
      <c r="E35" s="330" t="s">
        <v>110</v>
      </c>
      <c r="F35" s="331"/>
    </row>
    <row r="36" spans="2:6" ht="14.45" customHeight="1" x14ac:dyDescent="0.2">
      <c r="B36" s="328" t="s">
        <v>111</v>
      </c>
      <c r="C36" s="332"/>
      <c r="D36" s="329"/>
      <c r="E36" s="253" t="s">
        <v>112</v>
      </c>
      <c r="F36" s="255"/>
    </row>
    <row r="37" spans="2:6" ht="14.45" customHeight="1" x14ac:dyDescent="0.2">
      <c r="B37" s="253" t="s">
        <v>113</v>
      </c>
      <c r="C37" s="254"/>
      <c r="D37" s="255"/>
      <c r="E37" s="251" t="s">
        <v>114</v>
      </c>
      <c r="F37" s="252"/>
    </row>
    <row r="38" spans="2:6" ht="14.45" customHeight="1" x14ac:dyDescent="0.2">
      <c r="B38" s="251" t="s">
        <v>115</v>
      </c>
      <c r="C38" s="314"/>
      <c r="D38" s="252"/>
      <c r="E38" s="256" t="s">
        <v>116</v>
      </c>
      <c r="F38" s="258"/>
    </row>
    <row r="39" spans="2:6" ht="14.45" customHeight="1" x14ac:dyDescent="0.2">
      <c r="B39" s="251" t="s">
        <v>117</v>
      </c>
      <c r="C39" s="314"/>
      <c r="D39" s="252"/>
      <c r="E39" s="328" t="s">
        <v>118</v>
      </c>
      <c r="F39" s="329"/>
    </row>
    <row r="40" spans="2:6" ht="14.45" customHeight="1" x14ac:dyDescent="0.2">
      <c r="B40" s="251" t="s">
        <v>119</v>
      </c>
      <c r="C40" s="314"/>
      <c r="D40" s="252"/>
      <c r="E40" s="251" t="s">
        <v>120</v>
      </c>
      <c r="F40" s="252"/>
    </row>
    <row r="41" spans="2:6" ht="14.45" customHeight="1" x14ac:dyDescent="0.2">
      <c r="B41" s="251" t="s">
        <v>121</v>
      </c>
      <c r="C41" s="314"/>
      <c r="D41" s="252"/>
      <c r="E41" s="253" t="s">
        <v>122</v>
      </c>
      <c r="F41" s="255"/>
    </row>
    <row r="42" spans="2:6" x14ac:dyDescent="0.2">
      <c r="B42" s="251" t="s">
        <v>123</v>
      </c>
      <c r="C42" s="314"/>
      <c r="D42" s="252"/>
      <c r="E42" s="315"/>
      <c r="F42" s="293"/>
    </row>
    <row r="43" spans="2:6" x14ac:dyDescent="0.2">
      <c r="B43" s="253" t="s">
        <v>124</v>
      </c>
      <c r="C43" s="254"/>
      <c r="D43" s="255"/>
      <c r="E43" s="315"/>
      <c r="F43" s="293"/>
    </row>
    <row r="44" spans="2:6" ht="15" customHeight="1" x14ac:dyDescent="0.2">
      <c r="B44" s="316" t="s">
        <v>125</v>
      </c>
      <c r="C44" s="317"/>
      <c r="D44" s="318"/>
      <c r="E44" s="316"/>
      <c r="F44" s="318"/>
    </row>
    <row r="45" spans="2:6" ht="15" thickBot="1" x14ac:dyDescent="0.25">
      <c r="B45" s="309"/>
      <c r="C45" s="310"/>
      <c r="D45" s="311"/>
      <c r="E45" s="312"/>
      <c r="F45" s="313"/>
    </row>
    <row r="46" spans="2:6" ht="15" thickBot="1" x14ac:dyDescent="0.25"/>
    <row r="47" spans="2:6" ht="16.5" thickTop="1" thickBot="1" x14ac:dyDescent="0.25">
      <c r="B47" s="239" t="s">
        <v>126</v>
      </c>
      <c r="C47" s="239"/>
      <c r="D47" s="239"/>
      <c r="E47" s="239"/>
      <c r="F47" s="239"/>
    </row>
    <row r="48" spans="2:6" ht="16.5" thickTop="1" thickBot="1" x14ac:dyDescent="0.3">
      <c r="B48" s="173" t="s">
        <v>127</v>
      </c>
      <c r="C48" s="173" t="s">
        <v>128</v>
      </c>
      <c r="D48" s="240" t="s">
        <v>129</v>
      </c>
      <c r="E48" s="240"/>
      <c r="F48" s="173" t="s">
        <v>130</v>
      </c>
    </row>
    <row r="49" spans="2:6" ht="44.25" customHeight="1" thickTop="1" x14ac:dyDescent="0.2">
      <c r="B49" s="170" t="s">
        <v>131</v>
      </c>
      <c r="C49" s="171">
        <v>45723</v>
      </c>
      <c r="D49" s="241" t="s">
        <v>132</v>
      </c>
      <c r="E49" s="242"/>
      <c r="F49" s="172" t="s">
        <v>133</v>
      </c>
    </row>
  </sheetData>
  <mergeCells count="70">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 ref="B45:D45"/>
    <mergeCell ref="E45:F45"/>
    <mergeCell ref="B42:D42"/>
    <mergeCell ref="E42:F42"/>
    <mergeCell ref="B43:D43"/>
    <mergeCell ref="E43:F43"/>
    <mergeCell ref="B44:D44"/>
    <mergeCell ref="E44:F44"/>
    <mergeCell ref="B30:D30"/>
    <mergeCell ref="E30:F30"/>
    <mergeCell ref="B31:D31"/>
    <mergeCell ref="E31:F31"/>
    <mergeCell ref="E36:F36"/>
    <mergeCell ref="B32:D32"/>
    <mergeCell ref="E32:F32"/>
    <mergeCell ref="B33:D33"/>
    <mergeCell ref="E33:F33"/>
    <mergeCell ref="B34:D34"/>
    <mergeCell ref="E34:F34"/>
    <mergeCell ref="B27:D27"/>
    <mergeCell ref="E27:F27"/>
    <mergeCell ref="B28:D28"/>
    <mergeCell ref="E28:F28"/>
    <mergeCell ref="B29:D29"/>
    <mergeCell ref="E29:F29"/>
    <mergeCell ref="B10:F10"/>
    <mergeCell ref="B11:C11"/>
    <mergeCell ref="B18:F18"/>
    <mergeCell ref="E26:F26"/>
    <mergeCell ref="E19:F19"/>
    <mergeCell ref="B19:D19"/>
    <mergeCell ref="B12:C17"/>
    <mergeCell ref="B2:B5"/>
    <mergeCell ref="C2:E5"/>
    <mergeCell ref="C7:F7"/>
    <mergeCell ref="C8:F8"/>
    <mergeCell ref="B9:F9"/>
    <mergeCell ref="B6:F6"/>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6"/>
  <sheetViews>
    <sheetView tabSelected="1" zoomScale="80" zoomScaleNormal="80" workbookViewId="0">
      <selection activeCell="E12" sqref="E12:E17"/>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4.7109375" style="2" customWidth="1"/>
    <col min="5" max="5" width="34.28515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62"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1" style="1" customWidth="1"/>
    <col min="32" max="32" width="18.85546875" style="1" customWidth="1"/>
    <col min="33" max="33" width="22.28515625" style="1" customWidth="1"/>
    <col min="34" max="35" width="14.5703125" style="1" customWidth="1"/>
    <col min="36" max="16384" width="11.42578125" style="1"/>
  </cols>
  <sheetData>
    <row r="1" spans="1:67" ht="15" customHeight="1" x14ac:dyDescent="0.3">
      <c r="A1" s="397"/>
      <c r="B1" s="398"/>
      <c r="C1" s="398"/>
      <c r="D1" s="398"/>
      <c r="E1" s="339" t="s">
        <v>331</v>
      </c>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41" t="s">
        <v>71</v>
      </c>
      <c r="AI1" s="341"/>
    </row>
    <row r="2" spans="1:67" ht="15" customHeight="1" x14ac:dyDescent="0.3">
      <c r="A2" s="399"/>
      <c r="B2" s="400"/>
      <c r="C2" s="400"/>
      <c r="D2" s="400"/>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41" t="s">
        <v>73</v>
      </c>
      <c r="AI2" s="341"/>
    </row>
    <row r="3" spans="1:67" ht="15" customHeight="1" x14ac:dyDescent="0.3">
      <c r="A3" s="399"/>
      <c r="B3" s="400"/>
      <c r="C3" s="400"/>
      <c r="D3" s="400"/>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42" t="s">
        <v>75</v>
      </c>
      <c r="AI3" s="342"/>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01"/>
      <c r="B4" s="402"/>
      <c r="C4" s="402"/>
      <c r="D4" s="402"/>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41" t="s">
        <v>77</v>
      </c>
      <c r="AI4" s="341"/>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1"/>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s="182" customFormat="1" ht="32.25" customHeight="1" x14ac:dyDescent="0.25">
      <c r="A6" s="562" t="s">
        <v>134</v>
      </c>
      <c r="B6" s="563"/>
      <c r="C6" s="564" t="str">
        <f>+CONTEXTO!C7</f>
        <v>RECURSOS FÍSICOS</v>
      </c>
      <c r="D6" s="565"/>
      <c r="E6" s="565"/>
      <c r="F6" s="565"/>
      <c r="G6" s="565"/>
      <c r="H6" s="565"/>
      <c r="I6" s="565"/>
      <c r="J6" s="565"/>
      <c r="K6" s="565"/>
      <c r="L6" s="565"/>
      <c r="M6" s="565"/>
      <c r="N6" s="566"/>
      <c r="O6" s="406"/>
      <c r="P6" s="406"/>
      <c r="Q6" s="406"/>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row>
    <row r="7" spans="1:67" s="182" customFormat="1" ht="40.5" customHeight="1" x14ac:dyDescent="0.25">
      <c r="A7" s="562" t="s">
        <v>135</v>
      </c>
      <c r="B7" s="563"/>
      <c r="C7" s="567" t="str">
        <f>CONTEXTO!D12</f>
        <v>Garantizar que los recursos físicos satisfagan las necesidades de todos los procesos de la Alcaldía de Bucaramanga, administrando de manera eficiente y efectiva permitiendo el correcto desarrollo de las actividades de funcionamiento.</v>
      </c>
      <c r="D7" s="568"/>
      <c r="E7" s="568"/>
      <c r="F7" s="568"/>
      <c r="G7" s="568"/>
      <c r="H7" s="568"/>
      <c r="I7" s="568"/>
      <c r="J7" s="568"/>
      <c r="K7" s="568"/>
      <c r="L7" s="568"/>
      <c r="M7" s="568"/>
      <c r="N7" s="569"/>
      <c r="O7" s="181"/>
      <c r="P7" s="183"/>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row>
    <row r="8" spans="1:67" s="182" customFormat="1" ht="39.75" customHeight="1" x14ac:dyDescent="0.25">
      <c r="A8" s="562" t="s">
        <v>136</v>
      </c>
      <c r="B8" s="563"/>
      <c r="C8" s="567" t="str">
        <f>CONTEXTO!C8</f>
        <v>Se inicia con el mantenimiento y buen funcionamiento de los bienes muebles e inmuebles de los centros administrativos municipales, y finaliza garantizando espacios adecuados de trabajo con instalaciones óptimas para la prestación del servicio.</v>
      </c>
      <c r="D8" s="568"/>
      <c r="E8" s="568"/>
      <c r="F8" s="568"/>
      <c r="G8" s="568"/>
      <c r="H8" s="568"/>
      <c r="I8" s="568"/>
      <c r="J8" s="568"/>
      <c r="K8" s="568"/>
      <c r="L8" s="568"/>
      <c r="M8" s="568"/>
      <c r="N8" s="569"/>
      <c r="O8" s="181"/>
      <c r="P8" s="183"/>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row>
    <row r="9" spans="1:67" x14ac:dyDescent="0.3">
      <c r="A9" s="403" t="s">
        <v>137</v>
      </c>
      <c r="B9" s="404"/>
      <c r="C9" s="404"/>
      <c r="D9" s="404"/>
      <c r="E9" s="404"/>
      <c r="F9" s="404"/>
      <c r="G9" s="405"/>
      <c r="H9" s="403" t="s">
        <v>138</v>
      </c>
      <c r="I9" s="404"/>
      <c r="J9" s="404"/>
      <c r="K9" s="404"/>
      <c r="L9" s="404"/>
      <c r="M9" s="404"/>
      <c r="N9" s="405"/>
      <c r="O9" s="403" t="s">
        <v>139</v>
      </c>
      <c r="P9" s="404"/>
      <c r="Q9" s="404"/>
      <c r="R9" s="404"/>
      <c r="S9" s="404"/>
      <c r="T9" s="404"/>
      <c r="U9" s="404"/>
      <c r="V9" s="404"/>
      <c r="W9" s="405"/>
      <c r="X9" s="403" t="s">
        <v>140</v>
      </c>
      <c r="Y9" s="404"/>
      <c r="Z9" s="404"/>
      <c r="AA9" s="404"/>
      <c r="AB9" s="404"/>
      <c r="AC9" s="404"/>
      <c r="AD9" s="405"/>
      <c r="AE9" s="407" t="s">
        <v>141</v>
      </c>
      <c r="AF9" s="408"/>
      <c r="AG9" s="408"/>
      <c r="AH9" s="408"/>
      <c r="AI9" s="409"/>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55" t="s">
        <v>142</v>
      </c>
      <c r="B10" s="358" t="s">
        <v>26</v>
      </c>
      <c r="C10" s="347" t="s">
        <v>28</v>
      </c>
      <c r="D10" s="347" t="s">
        <v>30</v>
      </c>
      <c r="E10" s="357" t="s">
        <v>32</v>
      </c>
      <c r="F10" s="351" t="s">
        <v>34</v>
      </c>
      <c r="G10" s="347" t="s">
        <v>143</v>
      </c>
      <c r="H10" s="348" t="s">
        <v>144</v>
      </c>
      <c r="I10" s="349" t="s">
        <v>145</v>
      </c>
      <c r="J10" s="351" t="s">
        <v>146</v>
      </c>
      <c r="K10" s="351" t="s">
        <v>147</v>
      </c>
      <c r="L10" s="361" t="s">
        <v>148</v>
      </c>
      <c r="M10" s="349" t="s">
        <v>145</v>
      </c>
      <c r="N10" s="347" t="s">
        <v>40</v>
      </c>
      <c r="O10" s="359" t="s">
        <v>149</v>
      </c>
      <c r="P10" s="340" t="s">
        <v>42</v>
      </c>
      <c r="Q10" s="351" t="s">
        <v>44</v>
      </c>
      <c r="R10" s="340" t="s">
        <v>150</v>
      </c>
      <c r="S10" s="340"/>
      <c r="T10" s="340"/>
      <c r="U10" s="340"/>
      <c r="V10" s="340"/>
      <c r="W10" s="340"/>
      <c r="X10" s="346" t="s">
        <v>151</v>
      </c>
      <c r="Y10" s="346" t="s">
        <v>152</v>
      </c>
      <c r="Z10" s="346" t="s">
        <v>145</v>
      </c>
      <c r="AA10" s="346" t="s">
        <v>153</v>
      </c>
      <c r="AB10" s="346" t="s">
        <v>145</v>
      </c>
      <c r="AC10" s="346" t="s">
        <v>154</v>
      </c>
      <c r="AD10" s="359" t="s">
        <v>60</v>
      </c>
      <c r="AE10" s="340" t="s">
        <v>141</v>
      </c>
      <c r="AF10" s="340" t="s">
        <v>130</v>
      </c>
      <c r="AG10" s="340" t="s">
        <v>155</v>
      </c>
      <c r="AH10" s="340" t="s">
        <v>156</v>
      </c>
      <c r="AI10" s="351" t="s">
        <v>157</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56"/>
      <c r="B11" s="358"/>
      <c r="C11" s="340"/>
      <c r="D11" s="340"/>
      <c r="E11" s="358"/>
      <c r="F11" s="347"/>
      <c r="G11" s="340"/>
      <c r="H11" s="347"/>
      <c r="I11" s="350"/>
      <c r="J11" s="347"/>
      <c r="K11" s="347"/>
      <c r="L11" s="350"/>
      <c r="M11" s="350"/>
      <c r="N11" s="340"/>
      <c r="O11" s="360"/>
      <c r="P11" s="340"/>
      <c r="Q11" s="347"/>
      <c r="R11" s="7" t="s">
        <v>158</v>
      </c>
      <c r="S11" s="7" t="s">
        <v>159</v>
      </c>
      <c r="T11" s="7" t="s">
        <v>160</v>
      </c>
      <c r="U11" s="7" t="s">
        <v>161</v>
      </c>
      <c r="V11" s="7" t="s">
        <v>162</v>
      </c>
      <c r="W11" s="7" t="s">
        <v>163</v>
      </c>
      <c r="X11" s="346"/>
      <c r="Y11" s="346"/>
      <c r="Z11" s="346"/>
      <c r="AA11" s="346"/>
      <c r="AB11" s="346"/>
      <c r="AC11" s="346"/>
      <c r="AD11" s="360"/>
      <c r="AE11" s="340"/>
      <c r="AF11" s="340"/>
      <c r="AG11" s="340"/>
      <c r="AH11" s="340"/>
      <c r="AI11" s="347"/>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7.5" customHeight="1" x14ac:dyDescent="0.25">
      <c r="A12" s="352">
        <v>1</v>
      </c>
      <c r="B12" s="333" t="s">
        <v>164</v>
      </c>
      <c r="C12" s="333" t="s">
        <v>165</v>
      </c>
      <c r="D12" s="333" t="s">
        <v>166</v>
      </c>
      <c r="E12" s="336" t="s">
        <v>167</v>
      </c>
      <c r="F12" s="333" t="s">
        <v>168</v>
      </c>
      <c r="G12" s="343">
        <v>1060</v>
      </c>
      <c r="H12" s="362" t="str">
        <f>IF(G12&lt;=0,"",IF(G12&lt;=2,"Muy Baja",IF(G12&lt;=24,"Baja",IF(G12&lt;=500,"Media",IF(G12&lt;=5000,"Alta","Muy Alta")))))</f>
        <v>Alta</v>
      </c>
      <c r="I12" s="365">
        <f>IF(H12="","",IF(H12="Muy Baja",0.2,IF(H12="Baja",0.4,IF(H12="Media",0.6,IF(H12="Alta",0.8,IF(H12="Muy Alta",1,))))))</f>
        <v>0.8</v>
      </c>
      <c r="J12" s="371" t="s">
        <v>169</v>
      </c>
      <c r="K12" s="365"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62" t="str">
        <f>IF(OR(K12='Tabla Impacto'!$C$11,K12='Tabla Impacto'!$D$11),"Leve",IF(OR(K12='Tabla Impacto'!$C$12,K12='Tabla Impacto'!$D$12),"Menor",IF(OR(K12='Tabla Impacto'!$C$13,K12='Tabla Impacto'!$D$13),"Moderado",IF(OR(K12='Tabla Impacto'!$C$14,K12='Tabla Impacto'!$D$14),"Mayor",IF(OR(K12='Tabla Impacto'!$C$15,K12='Tabla Impacto'!$D$15),"Catastrófico","")))))</f>
        <v>Moderado</v>
      </c>
      <c r="M12" s="365">
        <f>IF(L12="","",IF(L12="Leve",0.2,IF(L12="Menor",0.4,IF(L12="Moderado",0.6,IF(L12="Mayor",0.8,IF(L12="Catastrófico",1,))))))</f>
        <v>0.6</v>
      </c>
      <c r="N12" s="368"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58" t="s">
        <v>170</v>
      </c>
      <c r="Q12" s="570" t="str">
        <f>IF(OR(R12="Preventivo",R12="Detectivo"),"Probabilidad",IF(R12="Correctivo","Impacto",""))</f>
        <v>Probabilidad</v>
      </c>
      <c r="R12" s="571" t="s">
        <v>171</v>
      </c>
      <c r="S12" s="571" t="s">
        <v>172</v>
      </c>
      <c r="T12" s="572" t="str">
        <f>IF(AND(R12="Preventivo",S12="Automático"),"50%",IF(AND(R12="Preventivo",S12="Manual"),"40%",IF(AND(R12="Detectivo",S12="Automático"),"40%",IF(AND(R12="Detectivo",S12="Manual"),"30%",IF(AND(R12="Correctivo",S12="Automático"),"35%",IF(AND(R12="Correctivo",S12="Manual"),"25%",""))))))</f>
        <v>40%</v>
      </c>
      <c r="U12" s="571" t="s">
        <v>173</v>
      </c>
      <c r="V12" s="571" t="s">
        <v>174</v>
      </c>
      <c r="W12" s="571" t="s">
        <v>175</v>
      </c>
      <c r="X12" s="573">
        <f>IFERROR(IF(Q12="Probabilidad",(I12-(+I12*T12)),IF(Q12="Impacto",I12,"")),"")</f>
        <v>0.48</v>
      </c>
      <c r="Y12" s="574" t="str">
        <f>IFERROR(IF(X12="","",IF(X12&lt;=0.2,"Muy Baja",IF(X12&lt;=0.4,"Baja",IF(X12&lt;=0.6,"Media",IF(X12&lt;=0.8,"Alta","Muy Alta"))))),"")</f>
        <v>Media</v>
      </c>
      <c r="Z12" s="575">
        <f>+X12</f>
        <v>0.48</v>
      </c>
      <c r="AA12" s="574" t="str">
        <f>IFERROR(IF(AB12="","",IF(AB12&lt;=0.2,"Leve",IF(AB12&lt;=0.4,"Menor",IF(AB12&lt;=0.6,"Moderado",IF(AB12&lt;=0.8,"Mayor","Catastrófico"))))),"")</f>
        <v>Moderado</v>
      </c>
      <c r="AB12" s="575">
        <f>IFERROR(IF(Q12="Impacto",(M12-(+M12*T12)),IF(Q12="Probabilidad",M12,"")),"")</f>
        <v>0.6</v>
      </c>
      <c r="AC12" s="57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577" t="s">
        <v>176</v>
      </c>
      <c r="AE12" s="158" t="s">
        <v>177</v>
      </c>
      <c r="AF12" s="155" t="s">
        <v>178</v>
      </c>
      <c r="AG12" s="180" t="s">
        <v>179</v>
      </c>
      <c r="AH12" s="179">
        <v>45658</v>
      </c>
      <c r="AI12" s="179">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70.5" customHeight="1" x14ac:dyDescent="0.3">
      <c r="A13" s="353"/>
      <c r="B13" s="334"/>
      <c r="C13" s="334"/>
      <c r="D13" s="334"/>
      <c r="E13" s="337"/>
      <c r="F13" s="334"/>
      <c r="G13" s="344"/>
      <c r="H13" s="363"/>
      <c r="I13" s="366"/>
      <c r="J13" s="372"/>
      <c r="K13" s="366">
        <f>IF(NOT(ISERROR(MATCH(J13,_xlfn.ANCHORARRAY(E24),0))),I26&amp;"Por favor no seleccionar los criterios de impacto",J13)</f>
        <v>0</v>
      </c>
      <c r="L13" s="363"/>
      <c r="M13" s="366"/>
      <c r="N13" s="369"/>
      <c r="O13" s="6">
        <v>2</v>
      </c>
      <c r="P13" s="158" t="s">
        <v>180</v>
      </c>
      <c r="Q13" s="570" t="str">
        <f>IF(OR(R13="Preventivo",R13="Detectivo"),"Probabilidad",IF(R13="Correctivo","Impacto",""))</f>
        <v>Probabilidad</v>
      </c>
      <c r="R13" s="571" t="s">
        <v>171</v>
      </c>
      <c r="S13" s="571" t="s">
        <v>172</v>
      </c>
      <c r="T13" s="572" t="str">
        <f t="shared" ref="T13:T17" si="0">IF(AND(R13="Preventivo",S13="Automático"),"50%",IF(AND(R13="Preventivo",S13="Manual"),"40%",IF(AND(R13="Detectivo",S13="Automático"),"40%",IF(AND(R13="Detectivo",S13="Manual"),"30%",IF(AND(R13="Correctivo",S13="Automático"),"35%",IF(AND(R13="Correctivo",S13="Manual"),"25%",""))))))</f>
        <v>40%</v>
      </c>
      <c r="U13" s="571" t="s">
        <v>173</v>
      </c>
      <c r="V13" s="571" t="s">
        <v>174</v>
      </c>
      <c r="W13" s="571" t="s">
        <v>175</v>
      </c>
      <c r="X13" s="573">
        <f>IFERROR(IF(AND(Q12="Probabilidad",Q13="Probabilidad"),(Z12-(+Z12*T13)),IF(Q13="Probabilidad",(I12-(+I12*T13)),IF(Q13="Impacto",Z12,""))),"")</f>
        <v>0.28799999999999998</v>
      </c>
      <c r="Y13" s="574" t="str">
        <f t="shared" ref="Y13:Y73" si="1">IFERROR(IF(X13="","",IF(X13&lt;=0.2,"Muy Baja",IF(X13&lt;=0.4,"Baja",IF(X13&lt;=0.6,"Media",IF(X13&lt;=0.8,"Alta","Muy Alta"))))),"")</f>
        <v>Baja</v>
      </c>
      <c r="Z13" s="575">
        <f t="shared" ref="Z13:Z17" si="2">+X13</f>
        <v>0.28799999999999998</v>
      </c>
      <c r="AA13" s="574" t="str">
        <f t="shared" ref="AA13:AA73" si="3">IFERROR(IF(AB13="","",IF(AB13&lt;=0.2,"Leve",IF(AB13&lt;=0.4,"Menor",IF(AB13&lt;=0.6,"Moderado",IF(AB13&lt;=0.8,"Mayor","Catastrófico"))))),"")</f>
        <v>Moderado</v>
      </c>
      <c r="AB13" s="575">
        <f>IFERROR(IF(AND(Q12="Impacto",Q13="Impacto"),(AB12-(+AB12*T13)),IF(Q13="Impacto",(M12-(+M12*T13)),IF(Q13="Probabilidad",AB12,""))),"")</f>
        <v>0.6</v>
      </c>
      <c r="AC13" s="576"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577" t="s">
        <v>176</v>
      </c>
      <c r="AE13" s="158" t="s">
        <v>181</v>
      </c>
      <c r="AF13" s="155" t="s">
        <v>178</v>
      </c>
      <c r="AG13" s="179" t="s">
        <v>182</v>
      </c>
      <c r="AH13" s="179">
        <v>45658</v>
      </c>
      <c r="AI13" s="179">
        <v>46010</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53"/>
      <c r="B14" s="334"/>
      <c r="C14" s="334"/>
      <c r="D14" s="334"/>
      <c r="E14" s="337"/>
      <c r="F14" s="334"/>
      <c r="G14" s="344"/>
      <c r="H14" s="363"/>
      <c r="I14" s="366"/>
      <c r="J14" s="372"/>
      <c r="K14" s="366">
        <f>IF(NOT(ISERROR(MATCH(J14,_xlfn.ANCHORARRAY(E25),0))),I27&amp;"Por favor no seleccionar los criterios de impacto",J14)</f>
        <v>0</v>
      </c>
      <c r="L14" s="363"/>
      <c r="M14" s="366"/>
      <c r="N14" s="369"/>
      <c r="O14" s="106">
        <v>3</v>
      </c>
      <c r="P14" s="160"/>
      <c r="Q14" s="578"/>
      <c r="R14" s="579"/>
      <c r="S14" s="579"/>
      <c r="T14" s="580"/>
      <c r="U14" s="579"/>
      <c r="V14" s="579"/>
      <c r="W14" s="579"/>
      <c r="X14" s="581"/>
      <c r="Y14" s="582"/>
      <c r="Z14" s="583"/>
      <c r="AA14" s="582"/>
      <c r="AB14" s="583"/>
      <c r="AC14" s="584"/>
      <c r="AD14" s="585"/>
      <c r="AE14" s="154"/>
      <c r="AF14" s="586"/>
      <c r="AG14" s="587"/>
      <c r="AH14" s="587"/>
      <c r="AI14" s="58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53"/>
      <c r="B15" s="334"/>
      <c r="C15" s="334"/>
      <c r="D15" s="334"/>
      <c r="E15" s="337"/>
      <c r="F15" s="334"/>
      <c r="G15" s="344"/>
      <c r="H15" s="363"/>
      <c r="I15" s="366"/>
      <c r="J15" s="372"/>
      <c r="K15" s="366">
        <f>IF(NOT(ISERROR(MATCH(J15,_xlfn.ANCHORARRAY(E26),0))),I28&amp;"Por favor no seleccionar los criterios de impacto",J15)</f>
        <v>0</v>
      </c>
      <c r="L15" s="363"/>
      <c r="M15" s="366"/>
      <c r="N15" s="369"/>
      <c r="O15" s="106">
        <v>4</v>
      </c>
      <c r="P15" s="158"/>
      <c r="Q15" s="578"/>
      <c r="R15" s="579"/>
      <c r="S15" s="579"/>
      <c r="T15" s="580"/>
      <c r="U15" s="579"/>
      <c r="V15" s="579"/>
      <c r="W15" s="579"/>
      <c r="X15" s="581"/>
      <c r="Y15" s="582"/>
      <c r="Z15" s="583"/>
      <c r="AA15" s="582"/>
      <c r="AB15" s="583"/>
      <c r="AC15" s="584"/>
      <c r="AD15" s="585"/>
      <c r="AE15" s="154"/>
      <c r="AF15" s="586"/>
      <c r="AG15" s="587"/>
      <c r="AH15" s="587"/>
      <c r="AI15" s="58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53"/>
      <c r="B16" s="334"/>
      <c r="C16" s="334"/>
      <c r="D16" s="334"/>
      <c r="E16" s="337"/>
      <c r="F16" s="334"/>
      <c r="G16" s="344"/>
      <c r="H16" s="363"/>
      <c r="I16" s="366"/>
      <c r="J16" s="372"/>
      <c r="K16" s="366">
        <f>IF(NOT(ISERROR(MATCH(J16,_xlfn.ANCHORARRAY(E27),0))),I29&amp;"Por favor no seleccionar los criterios de impacto",J16)</f>
        <v>0</v>
      </c>
      <c r="L16" s="363"/>
      <c r="M16" s="366"/>
      <c r="N16" s="369"/>
      <c r="O16" s="106">
        <v>5</v>
      </c>
      <c r="P16" s="158"/>
      <c r="Q16" s="578" t="str">
        <f t="shared" ref="Q16:Q17" si="5">IF(OR(R16="Preventivo",R16="Detectivo"),"Probabilidad",IF(R16="Correctivo","Impacto",""))</f>
        <v/>
      </c>
      <c r="R16" s="579"/>
      <c r="S16" s="579"/>
      <c r="T16" s="580" t="str">
        <f t="shared" si="0"/>
        <v/>
      </c>
      <c r="U16" s="579"/>
      <c r="V16" s="579"/>
      <c r="W16" s="579"/>
      <c r="X16" s="581" t="str">
        <f t="shared" ref="X16:X17" si="6">IFERROR(IF(AND(Q15="Probabilidad",Q16="Probabilidad"),(Z15-(+Z15*T16)),IF(AND(Q15="Impacto",Q16="Probabilidad"),(Z14-(+Z14*T16)),IF(Q16="Impacto",Z15,""))),"")</f>
        <v/>
      </c>
      <c r="Y16" s="582" t="str">
        <f t="shared" si="1"/>
        <v/>
      </c>
      <c r="Z16" s="583" t="str">
        <f t="shared" si="2"/>
        <v/>
      </c>
      <c r="AA16" s="582" t="str">
        <f t="shared" si="3"/>
        <v/>
      </c>
      <c r="AB16" s="583" t="str">
        <f t="shared" ref="AB16:AB17" si="7">IFERROR(IF(AND(Q15="Impacto",Q16="Impacto"),(AB15-(+AB15*T16)),IF(AND(Q15="Probabilidad",Q16="Impacto"),(AB14-(+AB14*T16)),IF(Q16="Probabilidad",AB15,""))),"")</f>
        <v/>
      </c>
      <c r="AC16" s="584" t="str">
        <f t="shared" si="4"/>
        <v/>
      </c>
      <c r="AD16" s="585"/>
      <c r="AE16" s="154"/>
      <c r="AF16" s="586"/>
      <c r="AG16" s="587"/>
      <c r="AH16" s="587"/>
      <c r="AI16" s="58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54"/>
      <c r="B17" s="335"/>
      <c r="C17" s="335"/>
      <c r="D17" s="335"/>
      <c r="E17" s="338"/>
      <c r="F17" s="335"/>
      <c r="G17" s="345"/>
      <c r="H17" s="364"/>
      <c r="I17" s="367"/>
      <c r="J17" s="373"/>
      <c r="K17" s="367">
        <f>IF(NOT(ISERROR(MATCH(J17,_xlfn.ANCHORARRAY(E28),0))),I30&amp;"Por favor no seleccionar los criterios de impacto",J17)</f>
        <v>0</v>
      </c>
      <c r="L17" s="364"/>
      <c r="M17" s="367"/>
      <c r="N17" s="370"/>
      <c r="O17" s="106">
        <v>6</v>
      </c>
      <c r="P17" s="158"/>
      <c r="Q17" s="578" t="str">
        <f t="shared" si="5"/>
        <v/>
      </c>
      <c r="R17" s="579"/>
      <c r="S17" s="579"/>
      <c r="T17" s="580" t="str">
        <f t="shared" si="0"/>
        <v/>
      </c>
      <c r="U17" s="579"/>
      <c r="V17" s="579"/>
      <c r="W17" s="579"/>
      <c r="X17" s="581" t="str">
        <f t="shared" si="6"/>
        <v/>
      </c>
      <c r="Y17" s="582" t="str">
        <f t="shared" si="1"/>
        <v/>
      </c>
      <c r="Z17" s="583" t="str">
        <f t="shared" si="2"/>
        <v/>
      </c>
      <c r="AA17" s="582" t="str">
        <f t="shared" si="3"/>
        <v/>
      </c>
      <c r="AB17" s="583" t="str">
        <f t="shared" si="7"/>
        <v/>
      </c>
      <c r="AC17" s="584" t="str">
        <f t="shared" si="4"/>
        <v/>
      </c>
      <c r="AD17" s="585"/>
      <c r="AE17" s="154"/>
      <c r="AF17" s="586"/>
      <c r="AG17" s="587"/>
      <c r="AH17" s="587"/>
      <c r="AI17" s="58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69" customHeight="1" x14ac:dyDescent="0.3">
      <c r="A18" s="352">
        <v>2</v>
      </c>
      <c r="B18" s="333" t="s">
        <v>164</v>
      </c>
      <c r="C18" s="333" t="s">
        <v>183</v>
      </c>
      <c r="D18" s="333" t="s">
        <v>184</v>
      </c>
      <c r="E18" s="336" t="s">
        <v>185</v>
      </c>
      <c r="F18" s="333" t="s">
        <v>168</v>
      </c>
      <c r="G18" s="343">
        <v>360</v>
      </c>
      <c r="H18" s="362" t="str">
        <f>IF(G18&lt;=0,"",IF(G18&lt;=2,"Muy Baja",IF(G18&lt;=24,"Baja",IF(G18&lt;=500,"Media",IF(G18&lt;=5000,"Alta","Muy Alta")))))</f>
        <v>Media</v>
      </c>
      <c r="I18" s="365">
        <f>IF(H18="","",IF(H18="Muy Baja",0.2,IF(H18="Baja",0.4,IF(H18="Media",0.6,IF(H18="Alta",0.8,IF(H18="Muy Alta",1,))))))</f>
        <v>0.6</v>
      </c>
      <c r="J18" s="371" t="s">
        <v>169</v>
      </c>
      <c r="K18" s="365"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62" t="str">
        <f>IF(OR(K18='Tabla Impacto'!$C$11,K18='Tabla Impacto'!$D$11),"Leve",IF(OR(K18='Tabla Impacto'!$C$12,K18='Tabla Impacto'!$D$12),"Menor",IF(OR(K18='Tabla Impacto'!$C$13,K18='Tabla Impacto'!$D$13),"Moderado",IF(OR(K18='Tabla Impacto'!$C$14,K18='Tabla Impacto'!$D$14),"Mayor",IF(OR(K18='Tabla Impacto'!$C$15,K18='Tabla Impacto'!$D$15),"Catastrófico","")))))</f>
        <v>Moderado</v>
      </c>
      <c r="M18" s="365">
        <f>IF(L18="","",IF(L18="Leve",0.2,IF(L18="Menor",0.4,IF(L18="Moderado",0.6,IF(L18="Mayor",0.8,IF(L18="Catastrófico",1,))))))</f>
        <v>0.6</v>
      </c>
      <c r="N18" s="368"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158" t="s">
        <v>186</v>
      </c>
      <c r="Q18" s="570" t="str">
        <f>IF(OR(R18="Preventivo",R18="Detectivo"),"Probabilidad",IF(R18="Correctivo","Impacto",""))</f>
        <v>Probabilidad</v>
      </c>
      <c r="R18" s="571" t="s">
        <v>171</v>
      </c>
      <c r="S18" s="571" t="s">
        <v>172</v>
      </c>
      <c r="T18" s="572" t="str">
        <f>IF(AND(R18="Preventivo",S18="Automático"),"50%",IF(AND(R18="Preventivo",S18="Manual"),"40%",IF(AND(R18="Detectivo",S18="Automático"),"40%",IF(AND(R18="Detectivo",S18="Manual"),"30%",IF(AND(R18="Correctivo",S18="Automático"),"35%",IF(AND(R18="Correctivo",S18="Manual"),"25%",""))))))</f>
        <v>40%</v>
      </c>
      <c r="U18" s="571" t="s">
        <v>173</v>
      </c>
      <c r="V18" s="571" t="s">
        <v>174</v>
      </c>
      <c r="W18" s="571" t="s">
        <v>175</v>
      </c>
      <c r="X18" s="573">
        <f>IFERROR(IF(Q18="Probabilidad",(I18-(+I18*T18)),IF(Q18="Impacto",I18,"")),"")</f>
        <v>0.36</v>
      </c>
      <c r="Y18" s="574" t="str">
        <f>IFERROR(IF(X18="","",IF(X18&lt;=0.2,"Muy Baja",IF(X18&lt;=0.4,"Baja",IF(X18&lt;=0.6,"Media",IF(X18&lt;=0.8,"Alta","Muy Alta"))))),"")</f>
        <v>Baja</v>
      </c>
      <c r="Z18" s="575">
        <f>+X18</f>
        <v>0.36</v>
      </c>
      <c r="AA18" s="574" t="str">
        <f>IFERROR(IF(AB18="","",IF(AB18&lt;=0.2,"Leve",IF(AB18&lt;=0.4,"Menor",IF(AB18&lt;=0.6,"Moderado",IF(AB18&lt;=0.8,"Mayor","Catastrófico"))))),"")</f>
        <v>Moderado</v>
      </c>
      <c r="AB18" s="575">
        <f>IFERROR(IF(Q18="Impacto",(M18-(+M18*T18)),IF(Q18="Probabilidad",M18,"")),"")</f>
        <v>0.6</v>
      </c>
      <c r="AC18" s="576"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577" t="s">
        <v>176</v>
      </c>
      <c r="AE18" s="158" t="s">
        <v>187</v>
      </c>
      <c r="AF18" s="155" t="s">
        <v>178</v>
      </c>
      <c r="AG18" s="180" t="s">
        <v>188</v>
      </c>
      <c r="AH18" s="179">
        <v>45658</v>
      </c>
      <c r="AI18" s="179">
        <v>46010</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64.5" x14ac:dyDescent="0.3">
      <c r="A19" s="353"/>
      <c r="B19" s="334"/>
      <c r="C19" s="334"/>
      <c r="D19" s="334"/>
      <c r="E19" s="337"/>
      <c r="F19" s="334"/>
      <c r="G19" s="344"/>
      <c r="H19" s="363"/>
      <c r="I19" s="366"/>
      <c r="J19" s="372"/>
      <c r="K19" s="366">
        <f>IF(NOT(ISERROR(MATCH(J19,_xlfn.ANCHORARRAY(E30),0))),I34&amp;"Por favor no seleccionar los criterios de impacto",J19)</f>
        <v>0</v>
      </c>
      <c r="L19" s="363"/>
      <c r="M19" s="366"/>
      <c r="N19" s="369"/>
      <c r="O19" s="6">
        <v>2</v>
      </c>
      <c r="P19" s="158" t="s">
        <v>189</v>
      </c>
      <c r="Q19" s="570" t="str">
        <f>IF(OR(R19="Preventivo",R19="Detectivo"),"Probabilidad",IF(R19="Correctivo","Impacto",""))</f>
        <v>Probabilidad</v>
      </c>
      <c r="R19" s="571" t="s">
        <v>171</v>
      </c>
      <c r="S19" s="571" t="s">
        <v>172</v>
      </c>
      <c r="T19" s="572" t="str">
        <f t="shared" ref="T19" si="8">IF(AND(R19="Preventivo",S19="Automático"),"50%",IF(AND(R19="Preventivo",S19="Manual"),"40%",IF(AND(R19="Detectivo",S19="Automático"),"40%",IF(AND(R19="Detectivo",S19="Manual"),"30%",IF(AND(R19="Correctivo",S19="Automático"),"35%",IF(AND(R19="Correctivo",S19="Manual"),"25%",""))))))</f>
        <v>40%</v>
      </c>
      <c r="U19" s="571" t="s">
        <v>173</v>
      </c>
      <c r="V19" s="571" t="s">
        <v>174</v>
      </c>
      <c r="W19" s="571" t="s">
        <v>175</v>
      </c>
      <c r="X19" s="573">
        <f>IFERROR(IF(AND(Q18="Probabilidad",Q19="Probabilidad"),(Z18-(+Z18*T19)),IF(Q19="Probabilidad",(I18-(+I18*T19)),IF(Q19="Impacto",Z18,""))),"")</f>
        <v>0.216</v>
      </c>
      <c r="Y19" s="574" t="str">
        <f t="shared" ref="Y19" si="9">IFERROR(IF(X19="","",IF(X19&lt;=0.2,"Muy Baja",IF(X19&lt;=0.4,"Baja",IF(X19&lt;=0.6,"Media",IF(X19&lt;=0.8,"Alta","Muy Alta"))))),"")</f>
        <v>Baja</v>
      </c>
      <c r="Z19" s="575">
        <f t="shared" ref="Z19" si="10">+X19</f>
        <v>0.216</v>
      </c>
      <c r="AA19" s="574" t="str">
        <f t="shared" ref="AA19" si="11">IFERROR(IF(AB19="","",IF(AB19&lt;=0.2,"Leve",IF(AB19&lt;=0.4,"Menor",IF(AB19&lt;=0.6,"Moderado",IF(AB19&lt;=0.8,"Mayor","Catastrófico"))))),"")</f>
        <v>Moderado</v>
      </c>
      <c r="AB19" s="575">
        <f>IFERROR(IF(AND(Q18="Impacto",Q19="Impacto"),(AB18-(+AB18*T19)),IF(Q19="Impacto",(M18-(+M18*T19)),IF(Q19="Probabilidad",AB18,""))),"")</f>
        <v>0.6</v>
      </c>
      <c r="AC19" s="576" t="str">
        <f t="shared" ref="AC19" si="12">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577" t="s">
        <v>176</v>
      </c>
      <c r="AE19" s="158" t="s">
        <v>190</v>
      </c>
      <c r="AF19" s="155" t="s">
        <v>178</v>
      </c>
      <c r="AG19" s="179" t="s">
        <v>182</v>
      </c>
      <c r="AH19" s="179">
        <v>45658</v>
      </c>
      <c r="AI19" s="179">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353"/>
      <c r="B20" s="334"/>
      <c r="C20" s="334"/>
      <c r="D20" s="334"/>
      <c r="E20" s="337"/>
      <c r="F20" s="334"/>
      <c r="G20" s="344"/>
      <c r="H20" s="363"/>
      <c r="I20" s="366"/>
      <c r="J20" s="372"/>
      <c r="K20" s="366">
        <f>IF(NOT(ISERROR(MATCH(J20,_xlfn.ANCHORARRAY(E33),0))),I35&amp;"Por favor no seleccionar los criterios de impacto",J20)</f>
        <v>0</v>
      </c>
      <c r="L20" s="363"/>
      <c r="M20" s="366"/>
      <c r="N20" s="369"/>
      <c r="O20" s="106">
        <v>3</v>
      </c>
      <c r="P20" s="160"/>
      <c r="Q20" s="570" t="str">
        <f>IF(OR(R20="Preventivo",R20="Detectivo"),"Probabilidad",IF(R20="Correctivo","Impacto",""))</f>
        <v/>
      </c>
      <c r="R20" s="571"/>
      <c r="S20" s="571"/>
      <c r="T20" s="572" t="str">
        <f t="shared" ref="T20:T23" si="13">IF(AND(R20="Preventivo",S20="Automático"),"50%",IF(AND(R20="Preventivo",S20="Manual"),"40%",IF(AND(R20="Detectivo",S20="Automático"),"40%",IF(AND(R20="Detectivo",S20="Manual"),"30%",IF(AND(R20="Correctivo",S20="Automático"),"35%",IF(AND(R20="Correctivo",S20="Manual"),"25%",""))))))</f>
        <v/>
      </c>
      <c r="U20" s="571"/>
      <c r="V20" s="571"/>
      <c r="W20" s="571"/>
      <c r="X20" s="573" t="str">
        <f>IFERROR(IF(AND(Q19="Probabilidad",Q20="Probabilidad"),(Z19-(+Z19*T20)),IF(AND(Q19="Impacto",Q20="Probabilidad"),(Z18-(+Z18*T20)),IF(Q20="Impacto",Z19,""))),"")</f>
        <v/>
      </c>
      <c r="Y20" s="574" t="str">
        <f t="shared" si="1"/>
        <v/>
      </c>
      <c r="Z20" s="575" t="str">
        <f t="shared" ref="Z20:Z24" si="14">+X20</f>
        <v/>
      </c>
      <c r="AA20" s="574" t="str">
        <f t="shared" si="3"/>
        <v/>
      </c>
      <c r="AB20" s="575" t="str">
        <f>IFERROR(IF(AND(Q19="Impacto",Q20="Impacto"),(AB19-(+AB19*T20)),IF(AND(Q19="Probabilidad",Q20="Impacto"),(AB18-(+AB18*T20)),IF(Q20="Probabilidad",AB19,""))),"")</f>
        <v/>
      </c>
      <c r="AC20" s="576" t="str">
        <f t="shared" ref="AC20" si="15">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77"/>
      <c r="AE20" s="155"/>
      <c r="AF20" s="157"/>
      <c r="AG20" s="157"/>
      <c r="AH20" s="156"/>
      <c r="AI20" s="156"/>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53"/>
      <c r="B21" s="334"/>
      <c r="C21" s="334"/>
      <c r="D21" s="334"/>
      <c r="E21" s="337"/>
      <c r="F21" s="334"/>
      <c r="G21" s="344"/>
      <c r="H21" s="363"/>
      <c r="I21" s="366"/>
      <c r="J21" s="372"/>
      <c r="K21" s="366">
        <f>IF(NOT(ISERROR(MATCH(J21,_xlfn.ANCHORARRAY(E34),0))),I36&amp;"Por favor no seleccionar los criterios de impacto",J21)</f>
        <v>0</v>
      </c>
      <c r="L21" s="363"/>
      <c r="M21" s="366"/>
      <c r="N21" s="369"/>
      <c r="O21" s="106">
        <v>4</v>
      </c>
      <c r="P21" s="158"/>
      <c r="Q21" s="578" t="str">
        <f t="shared" ref="Q21:Q24" si="16">IF(OR(R21="Preventivo",R21="Detectivo"),"Probabilidad",IF(R21="Correctivo","Impacto",""))</f>
        <v/>
      </c>
      <c r="R21" s="579"/>
      <c r="S21" s="579"/>
      <c r="T21" s="580" t="str">
        <f t="shared" si="13"/>
        <v/>
      </c>
      <c r="U21" s="579"/>
      <c r="V21" s="579"/>
      <c r="W21" s="579"/>
      <c r="X21" s="581" t="str">
        <f t="shared" ref="X21:X23" si="17">IFERROR(IF(AND(Q20="Probabilidad",Q21="Probabilidad"),(Z20-(+Z20*T21)),IF(AND(Q20="Impacto",Q21="Probabilidad"),(Z19-(+Z19*T21)),IF(Q21="Impacto",Z20,""))),"")</f>
        <v/>
      </c>
      <c r="Y21" s="582" t="str">
        <f t="shared" si="1"/>
        <v/>
      </c>
      <c r="Z21" s="583" t="str">
        <f t="shared" si="14"/>
        <v/>
      </c>
      <c r="AA21" s="582" t="str">
        <f t="shared" si="3"/>
        <v/>
      </c>
      <c r="AB21" s="583" t="str">
        <f t="shared" ref="AB21:AB23" si="18">IFERROR(IF(AND(Q20="Impacto",Q21="Impacto"),(AB20-(+AB20*T21)),IF(AND(Q20="Probabilidad",Q21="Impacto"),(AB19-(+AB19*T21)),IF(Q21="Probabilidad",AB20,""))),"")</f>
        <v/>
      </c>
      <c r="AC21" s="584"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585"/>
      <c r="AE21" s="154"/>
      <c r="AF21" s="586"/>
      <c r="AG21" s="586"/>
      <c r="AH21" s="587"/>
      <c r="AI21" s="587"/>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53"/>
      <c r="B22" s="334"/>
      <c r="C22" s="334"/>
      <c r="D22" s="334"/>
      <c r="E22" s="337"/>
      <c r="F22" s="334"/>
      <c r="G22" s="344"/>
      <c r="H22" s="363"/>
      <c r="I22" s="366"/>
      <c r="J22" s="372"/>
      <c r="K22" s="366">
        <f>IF(NOT(ISERROR(MATCH(J22,_xlfn.ANCHORARRAY(E35),0))),I37&amp;"Por favor no seleccionar los criterios de impacto",J22)</f>
        <v>0</v>
      </c>
      <c r="L22" s="363"/>
      <c r="M22" s="366"/>
      <c r="N22" s="369"/>
      <c r="O22" s="106">
        <v>5</v>
      </c>
      <c r="P22" s="158"/>
      <c r="Q22" s="578" t="str">
        <f t="shared" si="16"/>
        <v/>
      </c>
      <c r="R22" s="579"/>
      <c r="S22" s="579"/>
      <c r="T22" s="580" t="str">
        <f t="shared" si="13"/>
        <v/>
      </c>
      <c r="U22" s="579"/>
      <c r="V22" s="579"/>
      <c r="W22" s="579"/>
      <c r="X22" s="581" t="str">
        <f t="shared" si="17"/>
        <v/>
      </c>
      <c r="Y22" s="582" t="str">
        <f t="shared" si="1"/>
        <v/>
      </c>
      <c r="Z22" s="583" t="str">
        <f t="shared" si="14"/>
        <v/>
      </c>
      <c r="AA22" s="582" t="str">
        <f t="shared" si="3"/>
        <v/>
      </c>
      <c r="AB22" s="583" t="str">
        <f t="shared" si="18"/>
        <v/>
      </c>
      <c r="AC22" s="584" t="str">
        <f t="shared" ref="AC22:AC23" si="19">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85"/>
      <c r="AE22" s="154"/>
      <c r="AF22" s="586"/>
      <c r="AG22" s="586"/>
      <c r="AH22" s="587"/>
      <c r="AI22" s="587"/>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54"/>
      <c r="B23" s="335"/>
      <c r="C23" s="335"/>
      <c r="D23" s="335"/>
      <c r="E23" s="338"/>
      <c r="F23" s="335"/>
      <c r="G23" s="345"/>
      <c r="H23" s="364"/>
      <c r="I23" s="367"/>
      <c r="J23" s="373"/>
      <c r="K23" s="367">
        <f>IF(NOT(ISERROR(MATCH(J23,_xlfn.ANCHORARRAY(E36),0))),I38&amp;"Por favor no seleccionar los criterios de impacto",J23)</f>
        <v>0</v>
      </c>
      <c r="L23" s="364"/>
      <c r="M23" s="367"/>
      <c r="N23" s="370"/>
      <c r="O23" s="106">
        <v>6</v>
      </c>
      <c r="P23" s="158"/>
      <c r="Q23" s="578" t="str">
        <f t="shared" si="16"/>
        <v/>
      </c>
      <c r="R23" s="579"/>
      <c r="S23" s="579"/>
      <c r="T23" s="580" t="str">
        <f t="shared" si="13"/>
        <v/>
      </c>
      <c r="U23" s="579"/>
      <c r="V23" s="579"/>
      <c r="W23" s="579"/>
      <c r="X23" s="581" t="str">
        <f t="shared" si="17"/>
        <v/>
      </c>
      <c r="Y23" s="582" t="str">
        <f t="shared" si="1"/>
        <v/>
      </c>
      <c r="Z23" s="583" t="str">
        <f t="shared" si="14"/>
        <v/>
      </c>
      <c r="AA23" s="582" t="str">
        <f t="shared" si="3"/>
        <v/>
      </c>
      <c r="AB23" s="583" t="str">
        <f t="shared" si="18"/>
        <v/>
      </c>
      <c r="AC23" s="584" t="str">
        <f t="shared" si="19"/>
        <v/>
      </c>
      <c r="AD23" s="585"/>
      <c r="AE23" s="154"/>
      <c r="AF23" s="586"/>
      <c r="AG23" s="586"/>
      <c r="AH23" s="587"/>
      <c r="AI23" s="58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73.5" customHeight="1" x14ac:dyDescent="0.3">
      <c r="A24" s="352">
        <v>3</v>
      </c>
      <c r="B24" s="333" t="s">
        <v>191</v>
      </c>
      <c r="C24" s="371" t="s">
        <v>192</v>
      </c>
      <c r="D24" s="371" t="s">
        <v>332</v>
      </c>
      <c r="E24" s="336" t="s">
        <v>193</v>
      </c>
      <c r="F24" s="333" t="s">
        <v>168</v>
      </c>
      <c r="G24" s="343">
        <v>1</v>
      </c>
      <c r="H24" s="362" t="str">
        <f>IF(G24&lt;=0,"",IF(G24&lt;=2,"Muy Baja",IF(G24&lt;=24,"Baja",IF(G24&lt;=500,"Media",IF(G24&lt;=5000,"Alta","Muy Alta")))))</f>
        <v>Muy Baja</v>
      </c>
      <c r="I24" s="365">
        <f>IF(H24="","",IF(H24="Muy Baja",0.2,IF(H24="Baja",0.4,IF(H24="Media",0.6,IF(H24="Alta",0.8,IF(H24="Muy Alta",1,))))))</f>
        <v>0.2</v>
      </c>
      <c r="J24" s="371" t="s">
        <v>169</v>
      </c>
      <c r="K24" s="365" t="str">
        <f>IF(NOT(ISERROR(MATCH(J24,'[1]Tabla Impacto'!$B$221:$B$223,0))),'[1]Tabla Impacto'!$F$223&amp;"Por favor no seleccionar los criterios de impacto(Afectación Económica o presupuestal y Pérdida Reputacional)",J24)</f>
        <v xml:space="preserve">     El riesgo afecta la imagen de la entidad con algunos usuarios de relevancia frente al logro de los objetivos</v>
      </c>
      <c r="L24" s="362" t="str">
        <f>IF(OR(K24='[2]Tabla Impacto'!$C$11,K24='[2]Tabla Impacto'!$D$11),"Leve",IF(OR(K24='[2]Tabla Impacto'!$C$12,K24='[2]Tabla Impacto'!$D$12),"Menor",IF(OR(K24='[2]Tabla Impacto'!$C$13,K24='[2]Tabla Impacto'!$D$13),"Moderado",IF(OR(K24='[2]Tabla Impacto'!$C$14,K24='[2]Tabla Impacto'!$D$14),"Mayor",IF(OR(K24='[2]Tabla Impacto'!$C$15,K24='[2]Tabla Impacto'!$D$15),"Catastrófico","")))))</f>
        <v>Moderado</v>
      </c>
      <c r="M24" s="365">
        <f>IF(L24="","",IF(L24="Leve",0.2,IF(L24="Menor",0.4,IF(L24="Moderado",0.6,IF(L24="Mayor",0.8,IF(L24="Catastrófico",1,))))))</f>
        <v>0.6</v>
      </c>
      <c r="N24" s="368"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106">
        <v>1</v>
      </c>
      <c r="P24" s="158" t="s">
        <v>194</v>
      </c>
      <c r="Q24" s="570" t="str">
        <f t="shared" si="16"/>
        <v>Probabilidad</v>
      </c>
      <c r="R24" s="571" t="s">
        <v>171</v>
      </c>
      <c r="S24" s="571" t="s">
        <v>172</v>
      </c>
      <c r="T24" s="572" t="str">
        <f>IF(AND(R24="Preventivo",S24="Automático"),"50%",IF(AND(R24="Preventivo",S24="Manual"),"40%",IF(AND(R24="Detectivo",S24="Automático"),"40%",IF(AND(R24="Detectivo",S24="Manual"),"30%",IF(AND(R24="Correctivo",S24="Automático"),"35%",IF(AND(R24="Correctivo",S24="Manual"),"25%",""))))))</f>
        <v>40%</v>
      </c>
      <c r="U24" s="571" t="s">
        <v>173</v>
      </c>
      <c r="V24" s="571" t="s">
        <v>174</v>
      </c>
      <c r="W24" s="571" t="s">
        <v>175</v>
      </c>
      <c r="X24" s="573">
        <f>IFERROR(IF(Q24="Probabilidad",(I24-(+I24*T24)),IF(Q24="Impacto",I24,"")),"")</f>
        <v>0.12</v>
      </c>
      <c r="Y24" s="574" t="str">
        <f>IFERROR(IF(X24="","",IF(X24&lt;=0.2,"Muy Baja",IF(X24&lt;=0.4,"Baja",IF(X24&lt;=0.6,"Media",IF(X24&lt;=0.8,"Alta","Muy Alta"))))),"")</f>
        <v>Muy Baja</v>
      </c>
      <c r="Z24" s="575">
        <f t="shared" si="14"/>
        <v>0.12</v>
      </c>
      <c r="AA24" s="574" t="str">
        <f>IFERROR(IF(AB24="","",IF(AB24&lt;=0.2,"Leve",IF(AB24&lt;=0.4,"Menor",IF(AB24&lt;=0.6,"Moderado",IF(AB24&lt;=0.8,"Mayor","Catastrófico"))))),"")</f>
        <v>Moderado</v>
      </c>
      <c r="AB24" s="575">
        <f>IFERROR(IF(Q24="Impacto",(M24-(+M24*T24)),IF(Q24="Probabilidad",M24,"")),"")</f>
        <v>0.6</v>
      </c>
      <c r="AC24" s="576"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577" t="s">
        <v>176</v>
      </c>
      <c r="AE24" s="176" t="s">
        <v>195</v>
      </c>
      <c r="AF24" s="177" t="s">
        <v>196</v>
      </c>
      <c r="AG24" s="157" t="s">
        <v>197</v>
      </c>
      <c r="AH24" s="156">
        <v>45748</v>
      </c>
      <c r="AI24" s="156">
        <v>46010</v>
      </c>
    </row>
    <row r="25" spans="1:67" ht="18" customHeight="1" x14ac:dyDescent="0.3">
      <c r="A25" s="353"/>
      <c r="B25" s="334"/>
      <c r="C25" s="372"/>
      <c r="D25" s="372"/>
      <c r="E25" s="337"/>
      <c r="F25" s="334"/>
      <c r="G25" s="344"/>
      <c r="H25" s="363"/>
      <c r="I25" s="366"/>
      <c r="J25" s="372"/>
      <c r="K25" s="366">
        <f>IF(NOT(ISERROR(MATCH(J25,_xlfn.ANCHORARRAY(E46),0))),I48&amp;"Por favor no seleccionar los criterios de impacto",J25)</f>
        <v>0</v>
      </c>
      <c r="L25" s="363"/>
      <c r="M25" s="366"/>
      <c r="N25" s="369"/>
      <c r="O25" s="106">
        <v>2</v>
      </c>
      <c r="P25" s="158"/>
      <c r="Q25" s="570"/>
      <c r="R25" s="588"/>
      <c r="S25" s="571"/>
      <c r="T25" s="572" t="str">
        <f t="shared" ref="T25:T29" si="20">IF(AND(R25="Preventivo",S25="Automático"),"50%",IF(AND(R25="Preventivo",S25="Manual"),"40%",IF(AND(R25="Detectivo",S25="Automático"),"40%",IF(AND(R25="Detectivo",S25="Manual"),"30%",IF(AND(R25="Correctivo",S25="Automático"),"35%",IF(AND(R25="Correctivo",S25="Manual"),"25%",""))))))</f>
        <v/>
      </c>
      <c r="U25" s="571"/>
      <c r="V25" s="571"/>
      <c r="W25" s="571"/>
      <c r="X25" s="589"/>
      <c r="Y25" s="574" t="str">
        <f t="shared" ref="Y25:Y29" si="21">IFERROR(IF(X25="","",IF(X25&lt;=0.2,"Muy Baja",IF(X25&lt;=0.4,"Baja",IF(X25&lt;=0.6,"Media",IF(X25&lt;=0.8,"Alta","Muy Alta"))))),"")</f>
        <v/>
      </c>
      <c r="Z25" s="575"/>
      <c r="AA25" s="574" t="str">
        <f t="shared" ref="AA25:AA29" si="22">IFERROR(IF(AB25="","",IF(AB25&lt;=0.2,"Leve",IF(AB25&lt;=0.4,"Menor",IF(AB25&lt;=0.6,"Moderado",IF(AB25&lt;=0.8,"Mayor","Catastrófico"))))),"")</f>
        <v/>
      </c>
      <c r="AB25" s="575" t="str">
        <f t="shared" ref="AB25:AB27" si="23">IFERROR(IF(Q25="Impacto",(M25-(+M25*T25)),IF(Q25="Probabilidad",M25,"")),"")</f>
        <v/>
      </c>
      <c r="AC25" s="576" t="str">
        <f t="shared" ref="AC25:AC29" si="24">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77"/>
      <c r="AE25" s="154"/>
      <c r="AF25" s="586"/>
      <c r="AG25" s="586"/>
      <c r="AH25" s="587"/>
      <c r="AI25" s="587"/>
    </row>
    <row r="26" spans="1:67" ht="18" customHeight="1" x14ac:dyDescent="0.3">
      <c r="A26" s="353"/>
      <c r="B26" s="334"/>
      <c r="C26" s="372"/>
      <c r="D26" s="372"/>
      <c r="E26" s="337"/>
      <c r="F26" s="334"/>
      <c r="G26" s="344"/>
      <c r="H26" s="363"/>
      <c r="I26" s="366"/>
      <c r="J26" s="372"/>
      <c r="K26" s="366">
        <f>IF(NOT(ISERROR(MATCH(J26,_xlfn.ANCHORARRAY(E47),0))),I49&amp;"Por favor no seleccionar los criterios de impacto",J26)</f>
        <v>0</v>
      </c>
      <c r="L26" s="363"/>
      <c r="M26" s="366"/>
      <c r="N26" s="369"/>
      <c r="O26" s="106">
        <v>3</v>
      </c>
      <c r="P26" s="158"/>
      <c r="Q26" s="570"/>
      <c r="R26" s="588"/>
      <c r="S26" s="571"/>
      <c r="T26" s="572" t="str">
        <f t="shared" si="20"/>
        <v/>
      </c>
      <c r="U26" s="571"/>
      <c r="V26" s="571"/>
      <c r="W26" s="571"/>
      <c r="X26" s="589"/>
      <c r="Y26" s="574" t="str">
        <f t="shared" si="21"/>
        <v/>
      </c>
      <c r="Z26" s="590"/>
      <c r="AA26" s="574" t="str">
        <f t="shared" si="22"/>
        <v/>
      </c>
      <c r="AB26" s="575" t="str">
        <f t="shared" si="23"/>
        <v/>
      </c>
      <c r="AC26" s="576" t="str">
        <f t="shared" si="24"/>
        <v/>
      </c>
      <c r="AD26" s="577"/>
      <c r="AE26" s="154"/>
      <c r="AF26" s="586"/>
      <c r="AG26" s="586"/>
      <c r="AH26" s="587"/>
      <c r="AI26" s="587"/>
    </row>
    <row r="27" spans="1:67" ht="18" customHeight="1" x14ac:dyDescent="0.3">
      <c r="A27" s="353"/>
      <c r="B27" s="334"/>
      <c r="C27" s="372"/>
      <c r="D27" s="372"/>
      <c r="E27" s="337"/>
      <c r="F27" s="334"/>
      <c r="G27" s="344"/>
      <c r="H27" s="363"/>
      <c r="I27" s="366"/>
      <c r="J27" s="372"/>
      <c r="K27" s="366">
        <f>IF(NOT(ISERROR(MATCH(J27,_xlfn.ANCHORARRAY(E48),0))),I50&amp;"Por favor no seleccionar los criterios de impacto",J27)</f>
        <v>0</v>
      </c>
      <c r="L27" s="363"/>
      <c r="M27" s="366"/>
      <c r="N27" s="369"/>
      <c r="O27" s="106">
        <v>4</v>
      </c>
      <c r="P27" s="158"/>
      <c r="Q27" s="570"/>
      <c r="R27" s="588"/>
      <c r="S27" s="571"/>
      <c r="T27" s="572" t="str">
        <f t="shared" si="20"/>
        <v/>
      </c>
      <c r="U27" s="571"/>
      <c r="V27" s="571"/>
      <c r="W27" s="571"/>
      <c r="X27" s="589"/>
      <c r="Y27" s="574" t="str">
        <f t="shared" si="21"/>
        <v/>
      </c>
      <c r="Z27" s="590"/>
      <c r="AA27" s="574" t="str">
        <f t="shared" si="22"/>
        <v/>
      </c>
      <c r="AB27" s="575" t="str">
        <f t="shared" si="23"/>
        <v/>
      </c>
      <c r="AC27" s="576" t="str">
        <f t="shared" si="24"/>
        <v/>
      </c>
      <c r="AD27" s="577"/>
      <c r="AE27" s="154"/>
      <c r="AF27" s="586"/>
      <c r="AG27" s="586"/>
      <c r="AH27" s="587"/>
      <c r="AI27" s="587"/>
    </row>
    <row r="28" spans="1:67" ht="18" customHeight="1" x14ac:dyDescent="0.3">
      <c r="A28" s="353"/>
      <c r="B28" s="334"/>
      <c r="C28" s="372"/>
      <c r="D28" s="372"/>
      <c r="E28" s="337"/>
      <c r="F28" s="334"/>
      <c r="G28" s="344"/>
      <c r="H28" s="363"/>
      <c r="I28" s="366"/>
      <c r="J28" s="372"/>
      <c r="K28" s="366">
        <f>IF(NOT(ISERROR(MATCH(J28,_xlfn.ANCHORARRAY(E49),0))),I51&amp;"Por favor no seleccionar los criterios de impacto",J28)</f>
        <v>0</v>
      </c>
      <c r="L28" s="363"/>
      <c r="M28" s="366"/>
      <c r="N28" s="369"/>
      <c r="O28" s="106">
        <v>5</v>
      </c>
      <c r="P28" s="158"/>
      <c r="Q28" s="570"/>
      <c r="R28" s="588"/>
      <c r="S28" s="571"/>
      <c r="T28" s="572" t="str">
        <f t="shared" si="20"/>
        <v/>
      </c>
      <c r="U28" s="571"/>
      <c r="V28" s="571"/>
      <c r="W28" s="571"/>
      <c r="X28" s="589"/>
      <c r="Y28" s="574" t="str">
        <f t="shared" si="21"/>
        <v/>
      </c>
      <c r="Z28" s="590"/>
      <c r="AA28" s="574" t="str">
        <f t="shared" si="22"/>
        <v/>
      </c>
      <c r="AB28" s="590"/>
      <c r="AC28" s="576" t="str">
        <f t="shared" si="24"/>
        <v/>
      </c>
      <c r="AD28" s="577"/>
      <c r="AE28" s="154"/>
      <c r="AF28" s="586"/>
      <c r="AG28" s="586"/>
      <c r="AH28" s="587"/>
      <c r="AI28" s="587"/>
    </row>
    <row r="29" spans="1:67" ht="18" customHeight="1" x14ac:dyDescent="0.3">
      <c r="A29" s="354"/>
      <c r="B29" s="335"/>
      <c r="C29" s="373"/>
      <c r="D29" s="373"/>
      <c r="E29" s="338"/>
      <c r="F29" s="335"/>
      <c r="G29" s="345"/>
      <c r="H29" s="364"/>
      <c r="I29" s="367"/>
      <c r="J29" s="373"/>
      <c r="K29" s="367">
        <f>IF(NOT(ISERROR(MATCH(J29,_xlfn.ANCHORARRAY(E50),0))),I52&amp;"Por favor no seleccionar los criterios de impacto",J29)</f>
        <v>0</v>
      </c>
      <c r="L29" s="364"/>
      <c r="M29" s="367"/>
      <c r="N29" s="370"/>
      <c r="O29" s="106">
        <v>6</v>
      </c>
      <c r="P29" s="158"/>
      <c r="Q29" s="570"/>
      <c r="R29" s="588"/>
      <c r="S29" s="571"/>
      <c r="T29" s="572" t="str">
        <f t="shared" si="20"/>
        <v/>
      </c>
      <c r="U29" s="571"/>
      <c r="V29" s="571"/>
      <c r="W29" s="571"/>
      <c r="X29" s="589"/>
      <c r="Y29" s="574" t="str">
        <f t="shared" si="21"/>
        <v/>
      </c>
      <c r="Z29" s="590"/>
      <c r="AA29" s="574" t="str">
        <f t="shared" si="22"/>
        <v/>
      </c>
      <c r="AB29" s="590"/>
      <c r="AC29" s="576" t="str">
        <f t="shared" si="24"/>
        <v/>
      </c>
      <c r="AD29" s="577"/>
      <c r="AE29" s="154"/>
      <c r="AF29" s="586"/>
      <c r="AG29" s="586"/>
      <c r="AH29" s="587"/>
      <c r="AI29" s="587"/>
    </row>
    <row r="30" spans="1:67" s="3" customFormat="1" ht="80.25" customHeight="1" x14ac:dyDescent="0.25">
      <c r="A30" s="352">
        <v>4</v>
      </c>
      <c r="B30" s="333" t="s">
        <v>164</v>
      </c>
      <c r="C30" s="333" t="s">
        <v>333</v>
      </c>
      <c r="D30" s="333" t="s">
        <v>334</v>
      </c>
      <c r="E30" s="336" t="s">
        <v>198</v>
      </c>
      <c r="F30" s="333" t="s">
        <v>168</v>
      </c>
      <c r="G30" s="343">
        <v>50</v>
      </c>
      <c r="H30" s="362" t="str">
        <f>IF(G30&lt;=0,"",IF(G30&lt;=2,"Muy Baja",IF(G30&lt;=24,"Baja",IF(G30&lt;=500,"Media",IF(G30&lt;=5000,"Alta","Muy Alta")))))</f>
        <v>Media</v>
      </c>
      <c r="I30" s="365">
        <f>IF(H30="","",IF(H30="Muy Baja",0.2,IF(H30="Baja",0.4,IF(H30="Media",0.6,IF(H30="Alta",0.8,IF(H30="Muy Alta",1,))))))</f>
        <v>0.6</v>
      </c>
      <c r="J30" s="371" t="s">
        <v>169</v>
      </c>
      <c r="K30" s="184" t="str">
        <f>IF(NOT(ISERROR(MATCH(J30,'[3]Tabla Impacto'!$B$221:$B$223,0))),'[3]Tabla Impacto'!$F$223&amp;"Por favor no seleccionar los criterios de impacto(Afectación Económica o presupuestal y Pérdida Reputacional)",J30)</f>
        <v xml:space="preserve">     El riesgo afecta la imagen de la entidad con algunos usuarios de relevancia frente al logro de los objetivos</v>
      </c>
      <c r="L30" s="362" t="str">
        <f>IF(OR(K24='[2]Tabla Impacto'!$C$11,K24='[2]Tabla Impacto'!$D$11),"Leve",IF(OR(K24='[2]Tabla Impacto'!$C$12,K24='[2]Tabla Impacto'!$D$12),"Menor",IF(OR(K24='[2]Tabla Impacto'!$C$13,K24='[2]Tabla Impacto'!$D$13),"Moderado",IF(OR(K24='[2]Tabla Impacto'!$C$14,K24='[2]Tabla Impacto'!$D$14),"Mayor",IF(OR(K24='[2]Tabla Impacto'!$C$15,K24='[2]Tabla Impacto'!$D$15),"Catastrófico","")))))</f>
        <v>Moderado</v>
      </c>
      <c r="M30" s="365">
        <f>IF(L30="","",IF(L30="Leve",0.2,IF(L30="Menor",0.4,IF(L30="Moderado",0.6,IF(L30="Mayor",0.8,IF(L30="Catastrófico",1,))))))</f>
        <v>0.6</v>
      </c>
      <c r="N30" s="368"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352">
        <v>1</v>
      </c>
      <c r="P30" s="410" t="s">
        <v>199</v>
      </c>
      <c r="Q30" s="591" t="str">
        <f>IF(OR(R30="Preventivo",R30="Detectivo"),"Probabilidad",IF(R30="Correctivo","Impacto",""))</f>
        <v>Probabilidad</v>
      </c>
      <c r="R30" s="592" t="s">
        <v>171</v>
      </c>
      <c r="S30" s="592" t="s">
        <v>172</v>
      </c>
      <c r="T30" s="593" t="str">
        <f>IF(AND(R30="Preventivo",S30="Automático"),"50%",IF(AND(R30="Preventivo",S30="Manual"),"40%",IF(AND(R30="Detectivo",S30="Automático"),"40%",IF(AND(R30="Detectivo",S30="Manual"),"30%",IF(AND(R30="Correctivo",S30="Automático"),"35%",IF(AND(R30="Correctivo",S30="Manual"),"25%",""))))))</f>
        <v>40%</v>
      </c>
      <c r="U30" s="592" t="s">
        <v>173</v>
      </c>
      <c r="V30" s="592" t="s">
        <v>174</v>
      </c>
      <c r="W30" s="592" t="s">
        <v>175</v>
      </c>
      <c r="X30" s="573">
        <f>IFERROR(IF(Q30="Probabilidad",(I30-(+I30*T30)),IF(Q30="Impacto",I30,"")),"")</f>
        <v>0.36</v>
      </c>
      <c r="Y30" s="594" t="str">
        <f>IFERROR(IF(X30="","",IF(X30&lt;=0.2,"Muy Baja",IF(X30&lt;=0.4,"Baja",IF(X30&lt;=0.6,"Media",IF(X30&lt;=0.8,"Alta","Muy Alta"))))),"")</f>
        <v>Baja</v>
      </c>
      <c r="Z30" s="593">
        <f>+X30</f>
        <v>0.36</v>
      </c>
      <c r="AA30" s="594" t="str">
        <f>IFERROR(IF(AB30="","",IF(AB30&lt;=0.2,"Leve",IF(AB30&lt;=0.4,"Menor",IF(AB30&lt;=0.6,"Moderado",IF(AB30&lt;=0.8,"Mayor","Catastrófico"))))),"")</f>
        <v>Moderado</v>
      </c>
      <c r="AB30" s="593">
        <f>IFERROR(IF(Q30="Impacto",(M30-(+M30*T30)),IF(Q30="Probabilidad",M30,"")),"")</f>
        <v>0.6</v>
      </c>
      <c r="AC30" s="595"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592" t="s">
        <v>176</v>
      </c>
      <c r="AE30" s="176" t="s">
        <v>200</v>
      </c>
      <c r="AF30" s="178" t="s">
        <v>201</v>
      </c>
      <c r="AG30" s="179" t="s">
        <v>202</v>
      </c>
      <c r="AH30" s="156">
        <v>45658</v>
      </c>
      <c r="AI30" s="156">
        <v>45899</v>
      </c>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51" x14ac:dyDescent="0.25">
      <c r="A31" s="353"/>
      <c r="B31" s="334"/>
      <c r="C31" s="334"/>
      <c r="D31" s="334"/>
      <c r="E31" s="337"/>
      <c r="F31" s="334"/>
      <c r="G31" s="344"/>
      <c r="H31" s="363"/>
      <c r="I31" s="366"/>
      <c r="J31" s="372"/>
      <c r="K31" s="185"/>
      <c r="L31" s="363"/>
      <c r="M31" s="366"/>
      <c r="N31" s="369"/>
      <c r="O31" s="353"/>
      <c r="P31" s="411"/>
      <c r="Q31" s="596"/>
      <c r="R31" s="597"/>
      <c r="S31" s="597"/>
      <c r="T31" s="598"/>
      <c r="U31" s="597"/>
      <c r="V31" s="597"/>
      <c r="W31" s="597"/>
      <c r="X31" s="573"/>
      <c r="Y31" s="599"/>
      <c r="Z31" s="598"/>
      <c r="AA31" s="599"/>
      <c r="AB31" s="598"/>
      <c r="AC31" s="600"/>
      <c r="AD31" s="597"/>
      <c r="AE31" s="176" t="s">
        <v>203</v>
      </c>
      <c r="AF31" s="178" t="s">
        <v>201</v>
      </c>
      <c r="AG31" s="179" t="s">
        <v>204</v>
      </c>
      <c r="AH31" s="156">
        <v>45658</v>
      </c>
      <c r="AI31" s="156">
        <v>46010</v>
      </c>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s="3" customFormat="1" ht="44.25" customHeight="1" x14ac:dyDescent="0.25">
      <c r="A32" s="353"/>
      <c r="B32" s="334"/>
      <c r="C32" s="334"/>
      <c r="D32" s="334"/>
      <c r="E32" s="337"/>
      <c r="F32" s="334"/>
      <c r="G32" s="344"/>
      <c r="H32" s="363"/>
      <c r="I32" s="366"/>
      <c r="J32" s="372"/>
      <c r="K32" s="185"/>
      <c r="L32" s="363"/>
      <c r="M32" s="366"/>
      <c r="N32" s="369"/>
      <c r="O32" s="354"/>
      <c r="P32" s="412"/>
      <c r="Q32" s="601"/>
      <c r="R32" s="602"/>
      <c r="S32" s="602"/>
      <c r="T32" s="603"/>
      <c r="U32" s="602"/>
      <c r="V32" s="602"/>
      <c r="W32" s="602"/>
      <c r="X32" s="573"/>
      <c r="Y32" s="604"/>
      <c r="Z32" s="603"/>
      <c r="AA32" s="604"/>
      <c r="AB32" s="603"/>
      <c r="AC32" s="605"/>
      <c r="AD32" s="602"/>
      <c r="AE32" s="176" t="s">
        <v>205</v>
      </c>
      <c r="AF32" s="178" t="s">
        <v>201</v>
      </c>
      <c r="AG32" s="179" t="s">
        <v>206</v>
      </c>
      <c r="AH32" s="156">
        <v>45658</v>
      </c>
      <c r="AI32" s="156">
        <v>46010</v>
      </c>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s="3" customFormat="1" x14ac:dyDescent="0.25">
      <c r="A33" s="353"/>
      <c r="B33" s="334"/>
      <c r="C33" s="334"/>
      <c r="D33" s="334"/>
      <c r="E33" s="337"/>
      <c r="F33" s="334"/>
      <c r="G33" s="344"/>
      <c r="H33" s="363"/>
      <c r="I33" s="366"/>
      <c r="J33" s="372"/>
      <c r="K33" s="185">
        <f>IF(NOT(ISERROR(MATCH(J33,_xlfn.ANCHORARRAY(E44),0))),I46&amp;"Por favor no seleccionar los criterios de impacto",J33)</f>
        <v>0</v>
      </c>
      <c r="L33" s="363"/>
      <c r="M33" s="366"/>
      <c r="N33" s="369"/>
      <c r="O33" s="6">
        <v>2</v>
      </c>
      <c r="P33" s="158"/>
      <c r="Q33" s="570" t="str">
        <f>IF(OR(R33="Preventivo",R33="Detectivo"),"Probabilidad",IF(R33="Correctivo","Impacto",""))</f>
        <v/>
      </c>
      <c r="R33" s="571"/>
      <c r="S33" s="571"/>
      <c r="T33" s="572" t="str">
        <f t="shared" ref="T33:T37" si="25">IF(AND(R33="Preventivo",S33="Automático"),"50%",IF(AND(R33="Preventivo",S33="Manual"),"40%",IF(AND(R33="Detectivo",S33="Automático"),"40%",IF(AND(R33="Detectivo",S33="Manual"),"30%",IF(AND(R33="Correctivo",S33="Automático"),"35%",IF(AND(R33="Correctivo",S33="Manual"),"25%",""))))))</f>
        <v/>
      </c>
      <c r="U33" s="571"/>
      <c r="V33" s="571"/>
      <c r="W33" s="571"/>
      <c r="X33" s="573" t="str">
        <f>IFERROR(IF(AND(Q30="Probabilidad",Q33="Probabilidad"),(Z30-(+Z30*T33)),IF(Q33="Probabilidad",(I30-(+I30*T33)),IF(Q33="Impacto",Z30,""))),"")</f>
        <v/>
      </c>
      <c r="Y33" s="574" t="str">
        <f t="shared" ref="Y33:Y37" si="26">IFERROR(IF(X33="","",IF(X33&lt;=0.2,"Muy Baja",IF(X33&lt;=0.4,"Baja",IF(X33&lt;=0.6,"Media",IF(X33&lt;=0.8,"Alta","Muy Alta"))))),"")</f>
        <v/>
      </c>
      <c r="Z33" s="575" t="str">
        <f t="shared" ref="Z33:Z37" si="27">+X33</f>
        <v/>
      </c>
      <c r="AA33" s="574" t="str">
        <f t="shared" ref="AA33:AA37" si="28">IFERROR(IF(AB33="","",IF(AB33&lt;=0.2,"Leve",IF(AB33&lt;=0.4,"Menor",IF(AB33&lt;=0.6,"Moderado",IF(AB33&lt;=0.8,"Mayor","Catastrófico"))))),"")</f>
        <v/>
      </c>
      <c r="AB33" s="575" t="str">
        <f>IFERROR(IF(AND(Q30="Impacto",Q33="Impacto"),(AB30-(+AB30*T33)),IF(Q33="Impacto",(M30-(+M30*T33)),IF(Q33="Probabilidad",AB30,""))),"")</f>
        <v/>
      </c>
      <c r="AC33" s="576" t="str">
        <f t="shared" ref="AC33:AC34" si="29">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577"/>
      <c r="AE33" s="155"/>
      <c r="AF33" s="155"/>
      <c r="AG33" s="155"/>
      <c r="AH33" s="156"/>
      <c r="AI33" s="15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67" s="3" customFormat="1" x14ac:dyDescent="0.25">
      <c r="A34" s="353"/>
      <c r="B34" s="334"/>
      <c r="C34" s="334"/>
      <c r="D34" s="334"/>
      <c r="E34" s="337"/>
      <c r="F34" s="334"/>
      <c r="G34" s="344"/>
      <c r="H34" s="363"/>
      <c r="I34" s="366"/>
      <c r="J34" s="372"/>
      <c r="K34" s="185">
        <f>IF(NOT(ISERROR(MATCH(J34,_xlfn.ANCHORARRAY(E45),0))),I47&amp;"Por favor no seleccionar los criterios de impacto",J34)</f>
        <v>0</v>
      </c>
      <c r="L34" s="363"/>
      <c r="M34" s="366"/>
      <c r="N34" s="369"/>
      <c r="O34" s="6">
        <v>3</v>
      </c>
      <c r="P34" s="160"/>
      <c r="Q34" s="570" t="str">
        <f>IF(OR(R34="Preventivo",R34="Detectivo"),"Probabilidad",IF(R34="Correctivo","Impacto",""))</f>
        <v/>
      </c>
      <c r="R34" s="571"/>
      <c r="S34" s="571"/>
      <c r="T34" s="572" t="str">
        <f t="shared" si="25"/>
        <v/>
      </c>
      <c r="U34" s="571"/>
      <c r="V34" s="571"/>
      <c r="W34" s="571"/>
      <c r="X34" s="573" t="str">
        <f>IFERROR(IF(AND(Q33="Probabilidad",Q34="Probabilidad"),(Z33-(+Z33*T34)),IF(AND(Q33="Impacto",Q34="Probabilidad"),(Z30-(+Z30*T34)),IF(Q34="Impacto",Z33,""))),"")</f>
        <v/>
      </c>
      <c r="Y34" s="574" t="str">
        <f t="shared" si="26"/>
        <v/>
      </c>
      <c r="Z34" s="575" t="str">
        <f t="shared" si="27"/>
        <v/>
      </c>
      <c r="AA34" s="574" t="str">
        <f t="shared" si="28"/>
        <v/>
      </c>
      <c r="AB34" s="575" t="str">
        <f>IFERROR(IF(AND(Q33="Impacto",Q34="Impacto"),(AB33-(+AB33*T34)),IF(AND(Q33="Probabilidad",Q34="Impacto"),(AB30-(+AB30*T34)),IF(Q34="Probabilidad",AB33,""))),"")</f>
        <v/>
      </c>
      <c r="AC34" s="576" t="str">
        <f t="shared" si="29"/>
        <v/>
      </c>
      <c r="AD34" s="577"/>
      <c r="AE34" s="155"/>
      <c r="AF34" s="157"/>
      <c r="AG34" s="157"/>
      <c r="AH34" s="156"/>
      <c r="AI34" s="15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67" s="3" customFormat="1" ht="18" customHeight="1" x14ac:dyDescent="0.25">
      <c r="A35" s="353"/>
      <c r="B35" s="334"/>
      <c r="C35" s="334"/>
      <c r="D35" s="334"/>
      <c r="E35" s="337"/>
      <c r="F35" s="334"/>
      <c r="G35" s="344"/>
      <c r="H35" s="363"/>
      <c r="I35" s="366"/>
      <c r="J35" s="372"/>
      <c r="K35" s="185">
        <f>IF(NOT(ISERROR(MATCH(J35,_xlfn.ANCHORARRAY(E46),0))),I48&amp;"Por favor no seleccionar los criterios de impacto",J35)</f>
        <v>0</v>
      </c>
      <c r="L35" s="363"/>
      <c r="M35" s="366"/>
      <c r="N35" s="369"/>
      <c r="O35" s="6">
        <v>4</v>
      </c>
      <c r="P35" s="158"/>
      <c r="Q35" s="570" t="str">
        <f t="shared" ref="Q35:Q38" si="30">IF(OR(R35="Preventivo",R35="Detectivo"),"Probabilidad",IF(R35="Correctivo","Impacto",""))</f>
        <v/>
      </c>
      <c r="R35" s="571"/>
      <c r="S35" s="571"/>
      <c r="T35" s="572" t="str">
        <f t="shared" si="25"/>
        <v/>
      </c>
      <c r="U35" s="571"/>
      <c r="V35" s="571"/>
      <c r="W35" s="571"/>
      <c r="X35" s="573" t="str">
        <f t="shared" ref="X35:X37" si="31">IFERROR(IF(AND(Q34="Probabilidad",Q35="Probabilidad"),(Z34-(+Z34*T35)),IF(AND(Q34="Impacto",Q35="Probabilidad"),(Z33-(+Z33*T35)),IF(Q35="Impacto",Z34,""))),"")</f>
        <v/>
      </c>
      <c r="Y35" s="574" t="str">
        <f t="shared" si="26"/>
        <v/>
      </c>
      <c r="Z35" s="575" t="str">
        <f t="shared" si="27"/>
        <v/>
      </c>
      <c r="AA35" s="574" t="str">
        <f t="shared" si="28"/>
        <v/>
      </c>
      <c r="AB35" s="575" t="str">
        <f t="shared" ref="AB35:AB37" si="32">IFERROR(IF(AND(Q34="Impacto",Q35="Impacto"),(AB34-(+AB34*T35)),IF(AND(Q34="Probabilidad",Q35="Impacto"),(AB33-(+AB33*T35)),IF(Q35="Probabilidad",AB34,""))),"")</f>
        <v/>
      </c>
      <c r="AC35" s="576"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577"/>
      <c r="AE35" s="155"/>
      <c r="AF35" s="157"/>
      <c r="AG35" s="157"/>
      <c r="AH35" s="156"/>
      <c r="AI35" s="15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67" s="3" customFormat="1" ht="18" customHeight="1" x14ac:dyDescent="0.25">
      <c r="A36" s="353"/>
      <c r="B36" s="334"/>
      <c r="C36" s="334"/>
      <c r="D36" s="334"/>
      <c r="E36" s="337"/>
      <c r="F36" s="334"/>
      <c r="G36" s="344"/>
      <c r="H36" s="363"/>
      <c r="I36" s="366"/>
      <c r="J36" s="372"/>
      <c r="K36" s="185">
        <f>IF(NOT(ISERROR(MATCH(J36,_xlfn.ANCHORARRAY(E47),0))),I49&amp;"Por favor no seleccionar los criterios de impacto",J36)</f>
        <v>0</v>
      </c>
      <c r="L36" s="363"/>
      <c r="M36" s="366"/>
      <c r="N36" s="369"/>
      <c r="O36" s="6">
        <v>5</v>
      </c>
      <c r="P36" s="158"/>
      <c r="Q36" s="570" t="str">
        <f t="shared" si="30"/>
        <v/>
      </c>
      <c r="R36" s="571"/>
      <c r="S36" s="571"/>
      <c r="T36" s="572" t="str">
        <f t="shared" si="25"/>
        <v/>
      </c>
      <c r="U36" s="571"/>
      <c r="V36" s="571"/>
      <c r="W36" s="571"/>
      <c r="X36" s="573" t="str">
        <f t="shared" si="31"/>
        <v/>
      </c>
      <c r="Y36" s="574" t="str">
        <f t="shared" si="26"/>
        <v/>
      </c>
      <c r="Z36" s="575" t="str">
        <f t="shared" si="27"/>
        <v/>
      </c>
      <c r="AA36" s="574" t="str">
        <f t="shared" si="28"/>
        <v/>
      </c>
      <c r="AB36" s="575" t="str">
        <f t="shared" si="32"/>
        <v/>
      </c>
      <c r="AC36" s="576" t="str">
        <f t="shared" ref="AC36:AC37" si="33">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577"/>
      <c r="AE36" s="155"/>
      <c r="AF36" s="157"/>
      <c r="AG36" s="157"/>
      <c r="AH36" s="156"/>
      <c r="AI36" s="15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67" s="3" customFormat="1" ht="18" customHeight="1" x14ac:dyDescent="0.25">
      <c r="A37" s="354"/>
      <c r="B37" s="335"/>
      <c r="C37" s="335"/>
      <c r="D37" s="335"/>
      <c r="E37" s="338"/>
      <c r="F37" s="335"/>
      <c r="G37" s="345"/>
      <c r="H37" s="364"/>
      <c r="I37" s="367"/>
      <c r="J37" s="373"/>
      <c r="K37" s="186">
        <f>IF(NOT(ISERROR(MATCH(J37,_xlfn.ANCHORARRAY(E48),0))),I50&amp;"Por favor no seleccionar los criterios de impacto",J37)</f>
        <v>0</v>
      </c>
      <c r="L37" s="364"/>
      <c r="M37" s="367"/>
      <c r="N37" s="370"/>
      <c r="O37" s="6">
        <v>6</v>
      </c>
      <c r="P37" s="158"/>
      <c r="Q37" s="570" t="str">
        <f t="shared" si="30"/>
        <v/>
      </c>
      <c r="R37" s="571"/>
      <c r="S37" s="571"/>
      <c r="T37" s="572" t="str">
        <f t="shared" si="25"/>
        <v/>
      </c>
      <c r="U37" s="571"/>
      <c r="V37" s="571"/>
      <c r="W37" s="571"/>
      <c r="X37" s="573" t="str">
        <f t="shared" si="31"/>
        <v/>
      </c>
      <c r="Y37" s="574" t="str">
        <f t="shared" si="26"/>
        <v/>
      </c>
      <c r="Z37" s="575" t="str">
        <f t="shared" si="27"/>
        <v/>
      </c>
      <c r="AA37" s="574" t="str">
        <f t="shared" si="28"/>
        <v/>
      </c>
      <c r="AB37" s="575" t="str">
        <f t="shared" si="32"/>
        <v/>
      </c>
      <c r="AC37" s="576" t="str">
        <f t="shared" si="33"/>
        <v/>
      </c>
      <c r="AD37" s="577"/>
      <c r="AE37" s="155"/>
      <c r="AF37" s="157"/>
      <c r="AG37" s="157"/>
      <c r="AH37" s="156"/>
      <c r="AI37" s="15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67" s="3" customFormat="1" ht="64.5" x14ac:dyDescent="0.25">
      <c r="A38" s="352">
        <v>5</v>
      </c>
      <c r="B38" s="333" t="s">
        <v>164</v>
      </c>
      <c r="C38" s="333" t="s">
        <v>207</v>
      </c>
      <c r="D38" s="333" t="s">
        <v>208</v>
      </c>
      <c r="E38" s="336" t="s">
        <v>209</v>
      </c>
      <c r="F38" s="333" t="s">
        <v>168</v>
      </c>
      <c r="G38" s="343">
        <v>12</v>
      </c>
      <c r="H38" s="362" t="s">
        <v>210</v>
      </c>
      <c r="I38" s="365">
        <f>IF(H38="","",IF(H38="Muy Baja",0.2,IF(H38="Baja",0.4,IF(H38="Media",0.6,IF(H38="Alta",0.8,IF(H38="Muy Alta",1,))))))</f>
        <v>0.6</v>
      </c>
      <c r="J38" s="371" t="s">
        <v>169</v>
      </c>
      <c r="K38" s="365" t="str">
        <f>IF(NOT(ISERROR(MATCH(J38,'Tabla Impacto'!$B$221:$B$223,0))),'Tabla Impacto'!$F$223&amp;"Por favor no seleccionar los criterios de impacto(Afectación Económica o presupuestal y Pérdida Reputacional)",J38)</f>
        <v xml:space="preserve">     El riesgo afecta la imagen de la entidad con algunos usuarios de relevancia frente al logro de los objetivos</v>
      </c>
      <c r="L38" s="362" t="str">
        <f>IF(OR(K38='Tabla Impacto'!$C$11,K38='Tabla Impacto'!$D$11),"Leve",IF(OR(K38='Tabla Impacto'!$C$12,K38='Tabla Impacto'!$D$12),"Menor",IF(OR(K38='Tabla Impacto'!$C$13,K38='Tabla Impacto'!$D$13),"Moderado",IF(OR(K38='Tabla Impacto'!$C$14,K38='Tabla Impacto'!$D$14),"Mayor",IF(OR(K38='Tabla Impacto'!$C$15,K38='Tabla Impacto'!$D$15),"Catastrófico","")))))</f>
        <v>Moderado</v>
      </c>
      <c r="M38" s="365">
        <f>IF(L38="","",IF(L38="Leve",0.2,IF(L38="Menor",0.4,IF(L38="Moderado",0.6,IF(L38="Mayor",0.8,IF(L38="Catastrófico",1,))))))</f>
        <v>0.6</v>
      </c>
      <c r="N38" s="368"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Moderado</v>
      </c>
      <c r="O38" s="6">
        <v>1</v>
      </c>
      <c r="P38" s="158" t="s">
        <v>211</v>
      </c>
      <c r="Q38" s="570" t="str">
        <f t="shared" si="30"/>
        <v>Probabilidad</v>
      </c>
      <c r="R38" s="571" t="s">
        <v>171</v>
      </c>
      <c r="S38" s="571" t="s">
        <v>172</v>
      </c>
      <c r="T38" s="572"/>
      <c r="U38" s="571" t="s">
        <v>173</v>
      </c>
      <c r="V38" s="571" t="s">
        <v>174</v>
      </c>
      <c r="W38" s="571" t="s">
        <v>175</v>
      </c>
      <c r="X38" s="573">
        <f>IFERROR(IF(Q38="Probabilidad",(I38-(+I38*T38)),IF(Q38="Impacto",I38,"")),"")</f>
        <v>0.6</v>
      </c>
      <c r="Y38" s="574" t="str">
        <f>IFERROR(IF(X38="","",IF(X38&lt;=0.2,"Muy Baja",IF(X38&lt;=0.4,"Baja",IF(X38&lt;=0.6,"Media",IF(X38&lt;=0.8,"Alta","Muy Alta"))))),"")</f>
        <v>Media</v>
      </c>
      <c r="Z38" s="575">
        <f>+X38</f>
        <v>0.6</v>
      </c>
      <c r="AA38" s="574" t="str">
        <f>IFERROR(IF(AB38="","",IF(AB38&lt;=0.2,"Leve",IF(AB38&lt;=0.4,"Menor",IF(AB38&lt;=0.6,"Moderado",IF(AB38&lt;=0.8,"Mayor","Catastrófico"))))),"")</f>
        <v>Moderado</v>
      </c>
      <c r="AB38" s="575">
        <f>IFERROR(IF(Q38="Impacto",(M38-(+M38*T38)),IF(Q38="Probabilidad",M38,"")),"")</f>
        <v>0.6</v>
      </c>
      <c r="AC38" s="576"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Moderado</v>
      </c>
      <c r="AD38" s="577" t="s">
        <v>176</v>
      </c>
      <c r="AE38" s="176" t="s">
        <v>212</v>
      </c>
      <c r="AF38" s="155" t="s">
        <v>178</v>
      </c>
      <c r="AG38" s="179" t="s">
        <v>213</v>
      </c>
      <c r="AH38" s="179">
        <v>45658</v>
      </c>
      <c r="AI38" s="179">
        <v>46010</v>
      </c>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row>
    <row r="39" spans="1:67" s="3" customFormat="1" ht="18" customHeight="1" x14ac:dyDescent="0.25">
      <c r="A39" s="353"/>
      <c r="B39" s="334"/>
      <c r="C39" s="334"/>
      <c r="D39" s="334"/>
      <c r="E39" s="337"/>
      <c r="F39" s="334"/>
      <c r="G39" s="344"/>
      <c r="H39" s="363"/>
      <c r="I39" s="366"/>
      <c r="J39" s="372"/>
      <c r="K39" s="366">
        <f>IF(NOT(ISERROR(MATCH(J39,_xlfn.ANCHORARRAY(E50),0))),I52&amp;"Por favor no seleccionar los criterios de impacto",J39)</f>
        <v>0</v>
      </c>
      <c r="L39" s="363"/>
      <c r="M39" s="366"/>
      <c r="N39" s="369"/>
      <c r="O39" s="6">
        <v>2</v>
      </c>
      <c r="P39" s="158"/>
      <c r="Q39" s="570" t="str">
        <f>IF(OR(R39="Preventivo",R39="Detectivo"),"Probabilidad",IF(R39="Correctivo","Impacto",""))</f>
        <v/>
      </c>
      <c r="R39" s="571"/>
      <c r="S39" s="571"/>
      <c r="T39" s="572" t="str">
        <f t="shared" ref="T39:T43" si="34">IF(AND(R39="Preventivo",S39="Automático"),"50%",IF(AND(R39="Preventivo",S39="Manual"),"40%",IF(AND(R39="Detectivo",S39="Automático"),"40%",IF(AND(R39="Detectivo",S39="Manual"),"30%",IF(AND(R39="Correctivo",S39="Automático"),"35%",IF(AND(R39="Correctivo",S39="Manual"),"25%",""))))))</f>
        <v/>
      </c>
      <c r="U39" s="571"/>
      <c r="V39" s="571"/>
      <c r="W39" s="571"/>
      <c r="X39" s="573" t="str">
        <f>IFERROR(IF(AND(Q38="Probabilidad",Q39="Probabilidad"),(Z38-(+Z38*T39)),IF(Q39="Probabilidad",(I38-(+I38*T39)),IF(Q39="Impacto",Z38,""))),"")</f>
        <v/>
      </c>
      <c r="Y39" s="574" t="str">
        <f t="shared" si="1"/>
        <v/>
      </c>
      <c r="Z39" s="575" t="str">
        <f t="shared" ref="Z39:Z43" si="35">+X39</f>
        <v/>
      </c>
      <c r="AA39" s="574" t="str">
        <f t="shared" si="3"/>
        <v/>
      </c>
      <c r="AB39" s="575" t="str">
        <f>IFERROR(IF(AND(Q38="Impacto",Q39="Impacto"),(AB38-(+AB38*T39)),IF(Q39="Impacto",(M38-(+M38*T39)),IF(Q39="Probabilidad",AB38,""))),"")</f>
        <v/>
      </c>
      <c r="AC39" s="576" t="str">
        <f t="shared" ref="AC39:AC40" si="36">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577"/>
      <c r="AE39" s="155"/>
      <c r="AF39" s="157"/>
      <c r="AG39" s="157"/>
      <c r="AH39" s="156"/>
      <c r="AI39" s="15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row>
    <row r="40" spans="1:67" s="3" customFormat="1" ht="18" customHeight="1" x14ac:dyDescent="0.25">
      <c r="A40" s="353"/>
      <c r="B40" s="334"/>
      <c r="C40" s="334"/>
      <c r="D40" s="334"/>
      <c r="E40" s="337"/>
      <c r="F40" s="334"/>
      <c r="G40" s="344"/>
      <c r="H40" s="363"/>
      <c r="I40" s="366"/>
      <c r="J40" s="372"/>
      <c r="K40" s="366">
        <f>IF(NOT(ISERROR(MATCH(J40,_xlfn.ANCHORARRAY(E51),0))),I53&amp;"Por favor no seleccionar los criterios de impacto",J40)</f>
        <v>0</v>
      </c>
      <c r="L40" s="363"/>
      <c r="M40" s="366"/>
      <c r="N40" s="369"/>
      <c r="O40" s="6">
        <v>3</v>
      </c>
      <c r="P40" s="160"/>
      <c r="Q40" s="570" t="str">
        <f>IF(OR(R40="Preventivo",R40="Detectivo"),"Probabilidad",IF(R40="Correctivo","Impacto",""))</f>
        <v/>
      </c>
      <c r="R40" s="571"/>
      <c r="S40" s="571"/>
      <c r="T40" s="572" t="str">
        <f t="shared" si="34"/>
        <v/>
      </c>
      <c r="U40" s="571"/>
      <c r="V40" s="571"/>
      <c r="W40" s="571"/>
      <c r="X40" s="573" t="str">
        <f>IFERROR(IF(AND(Q39="Probabilidad",Q40="Probabilidad"),(Z39-(+Z39*T40)),IF(AND(Q39="Impacto",Q40="Probabilidad"),(Z38-(+Z38*T40)),IF(Q40="Impacto",Z39,""))),"")</f>
        <v/>
      </c>
      <c r="Y40" s="574" t="str">
        <f t="shared" si="1"/>
        <v/>
      </c>
      <c r="Z40" s="575" t="str">
        <f t="shared" si="35"/>
        <v/>
      </c>
      <c r="AA40" s="574" t="str">
        <f t="shared" si="3"/>
        <v/>
      </c>
      <c r="AB40" s="575" t="str">
        <f>IFERROR(IF(AND(Q39="Impacto",Q40="Impacto"),(AB39-(+AB39*T40)),IF(AND(Q39="Probabilidad",Q40="Impacto"),(AB38-(+AB38*T40)),IF(Q40="Probabilidad",AB39,""))),"")</f>
        <v/>
      </c>
      <c r="AC40" s="576" t="str">
        <f t="shared" si="36"/>
        <v/>
      </c>
      <c r="AD40" s="577"/>
      <c r="AE40" s="155"/>
      <c r="AF40" s="157"/>
      <c r="AG40" s="157"/>
      <c r="AH40" s="156"/>
      <c r="AI40" s="15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row>
    <row r="41" spans="1:67" s="3" customFormat="1" ht="18" customHeight="1" x14ac:dyDescent="0.25">
      <c r="A41" s="353"/>
      <c r="B41" s="334"/>
      <c r="C41" s="334"/>
      <c r="D41" s="334"/>
      <c r="E41" s="337"/>
      <c r="F41" s="334"/>
      <c r="G41" s="344"/>
      <c r="H41" s="363"/>
      <c r="I41" s="366"/>
      <c r="J41" s="372"/>
      <c r="K41" s="366">
        <f>IF(NOT(ISERROR(MATCH(J41,_xlfn.ANCHORARRAY(E52),0))),I54&amp;"Por favor no seleccionar los criterios de impacto",J41)</f>
        <v>0</v>
      </c>
      <c r="L41" s="363"/>
      <c r="M41" s="366"/>
      <c r="N41" s="369"/>
      <c r="O41" s="6">
        <v>4</v>
      </c>
      <c r="P41" s="158"/>
      <c r="Q41" s="570" t="str">
        <f t="shared" ref="Q41:Q43" si="37">IF(OR(R41="Preventivo",R41="Detectivo"),"Probabilidad",IF(R41="Correctivo","Impacto",""))</f>
        <v/>
      </c>
      <c r="R41" s="571"/>
      <c r="S41" s="571"/>
      <c r="T41" s="572" t="str">
        <f t="shared" si="34"/>
        <v/>
      </c>
      <c r="U41" s="571"/>
      <c r="V41" s="571"/>
      <c r="W41" s="571"/>
      <c r="X41" s="573" t="str">
        <f t="shared" ref="X41:X43" si="38">IFERROR(IF(AND(Q40="Probabilidad",Q41="Probabilidad"),(Z40-(+Z40*T41)),IF(AND(Q40="Impacto",Q41="Probabilidad"),(Z39-(+Z39*T41)),IF(Q41="Impacto",Z40,""))),"")</f>
        <v/>
      </c>
      <c r="Y41" s="574" t="str">
        <f t="shared" si="1"/>
        <v/>
      </c>
      <c r="Z41" s="575" t="str">
        <f t="shared" si="35"/>
        <v/>
      </c>
      <c r="AA41" s="574" t="str">
        <f t="shared" si="3"/>
        <v/>
      </c>
      <c r="AB41" s="575" t="str">
        <f t="shared" ref="AB41:AB43" si="39">IFERROR(IF(AND(Q40="Impacto",Q41="Impacto"),(AB40-(+AB40*T41)),IF(AND(Q40="Probabilidad",Q41="Impacto"),(AB39-(+AB39*T41)),IF(Q41="Probabilidad",AB40,""))),"")</f>
        <v/>
      </c>
      <c r="AC41" s="576"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577"/>
      <c r="AE41" s="155"/>
      <c r="AF41" s="157"/>
      <c r="AG41" s="157"/>
      <c r="AH41" s="156"/>
      <c r="AI41" s="15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row>
    <row r="42" spans="1:67" s="3" customFormat="1" ht="18" customHeight="1" x14ac:dyDescent="0.25">
      <c r="A42" s="353"/>
      <c r="B42" s="334"/>
      <c r="C42" s="334"/>
      <c r="D42" s="334"/>
      <c r="E42" s="337"/>
      <c r="F42" s="334"/>
      <c r="G42" s="344"/>
      <c r="H42" s="363"/>
      <c r="I42" s="366"/>
      <c r="J42" s="372"/>
      <c r="K42" s="366">
        <f>IF(NOT(ISERROR(MATCH(J42,_xlfn.ANCHORARRAY(E53),0))),I55&amp;"Por favor no seleccionar los criterios de impacto",J42)</f>
        <v>0</v>
      </c>
      <c r="L42" s="363"/>
      <c r="M42" s="366"/>
      <c r="N42" s="369"/>
      <c r="O42" s="6">
        <v>5</v>
      </c>
      <c r="P42" s="158"/>
      <c r="Q42" s="570" t="str">
        <f t="shared" si="37"/>
        <v/>
      </c>
      <c r="R42" s="571"/>
      <c r="S42" s="571"/>
      <c r="T42" s="572" t="str">
        <f t="shared" si="34"/>
        <v/>
      </c>
      <c r="U42" s="571"/>
      <c r="V42" s="571"/>
      <c r="W42" s="571"/>
      <c r="X42" s="573" t="str">
        <f t="shared" si="38"/>
        <v/>
      </c>
      <c r="Y42" s="574" t="str">
        <f t="shared" si="1"/>
        <v/>
      </c>
      <c r="Z42" s="575" t="str">
        <f t="shared" si="35"/>
        <v/>
      </c>
      <c r="AA42" s="574" t="str">
        <f t="shared" si="3"/>
        <v/>
      </c>
      <c r="AB42" s="575" t="str">
        <f t="shared" si="39"/>
        <v/>
      </c>
      <c r="AC42" s="576" t="str">
        <f t="shared" ref="AC42:AC43" si="40">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577"/>
      <c r="AE42" s="155"/>
      <c r="AF42" s="157"/>
      <c r="AG42" s="157"/>
      <c r="AH42" s="156"/>
      <c r="AI42" s="15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row>
    <row r="43" spans="1:67" s="3" customFormat="1" ht="18" customHeight="1" x14ac:dyDescent="0.25">
      <c r="A43" s="354"/>
      <c r="B43" s="335"/>
      <c r="C43" s="335"/>
      <c r="D43" s="335"/>
      <c r="E43" s="338"/>
      <c r="F43" s="335"/>
      <c r="G43" s="345"/>
      <c r="H43" s="364"/>
      <c r="I43" s="367"/>
      <c r="J43" s="373"/>
      <c r="K43" s="367">
        <f>IF(NOT(ISERROR(MATCH(J43,_xlfn.ANCHORARRAY(E54),0))),I56&amp;"Por favor no seleccionar los criterios de impacto",J43)</f>
        <v>0</v>
      </c>
      <c r="L43" s="364"/>
      <c r="M43" s="367"/>
      <c r="N43" s="370"/>
      <c r="O43" s="6">
        <v>6</v>
      </c>
      <c r="P43" s="158"/>
      <c r="Q43" s="570" t="str">
        <f t="shared" si="37"/>
        <v/>
      </c>
      <c r="R43" s="571"/>
      <c r="S43" s="571"/>
      <c r="T43" s="572" t="str">
        <f t="shared" si="34"/>
        <v/>
      </c>
      <c r="U43" s="571"/>
      <c r="V43" s="571"/>
      <c r="W43" s="571"/>
      <c r="X43" s="573" t="str">
        <f t="shared" si="38"/>
        <v/>
      </c>
      <c r="Y43" s="574" t="str">
        <f t="shared" si="1"/>
        <v/>
      </c>
      <c r="Z43" s="575" t="str">
        <f t="shared" si="35"/>
        <v/>
      </c>
      <c r="AA43" s="574" t="str">
        <f t="shared" si="3"/>
        <v/>
      </c>
      <c r="AB43" s="575" t="str">
        <f t="shared" si="39"/>
        <v/>
      </c>
      <c r="AC43" s="576" t="str">
        <f t="shared" si="40"/>
        <v/>
      </c>
      <c r="AD43" s="577"/>
      <c r="AE43" s="155"/>
      <c r="AF43" s="157"/>
      <c r="AG43" s="157"/>
      <c r="AH43" s="156"/>
      <c r="AI43" s="15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row>
    <row r="44" spans="1:67" ht="18" hidden="1" customHeight="1" x14ac:dyDescent="0.3">
      <c r="A44" s="352">
        <v>6</v>
      </c>
      <c r="B44" s="374"/>
      <c r="C44" s="374"/>
      <c r="D44" s="374"/>
      <c r="E44" s="377"/>
      <c r="F44" s="374"/>
      <c r="G44" s="394"/>
      <c r="H44" s="391" t="str">
        <f>IF(G44&lt;=0,"",IF(G44&lt;=2,"Muy Baja",IF(G44&lt;=24,"Baja",IF(G44&lt;=500,"Media",IF(G44&lt;=5000,"Alta","Muy Alta")))))</f>
        <v/>
      </c>
      <c r="I44" s="382" t="str">
        <f>IF(H44="","",IF(H44="Muy Baja",0.2,IF(H44="Baja",0.4,IF(H44="Media",0.6,IF(H44="Alta",0.8,IF(H44="Muy Alta",1,))))))</f>
        <v/>
      </c>
      <c r="J44" s="388"/>
      <c r="K44" s="382">
        <f>IF(NOT(ISERROR(MATCH(J44,'Tabla Impacto'!$B$221:$B$223,0))),'Tabla Impacto'!$F$223&amp;"Por favor no seleccionar los criterios de impacto(Afectación Económica o presupuestal y Pérdida Reputacional)",J44)</f>
        <v>0</v>
      </c>
      <c r="L44" s="391" t="str">
        <f>IF(OR(K44='Tabla Impacto'!$C$11,K44='Tabla Impacto'!$D$11),"Leve",IF(OR(K44='Tabla Impacto'!$C$12,K44='Tabla Impacto'!$D$12),"Menor",IF(OR(K44='Tabla Impacto'!$C$13,K44='Tabla Impacto'!$D$13),"Moderado",IF(OR(K44='Tabla Impacto'!$C$14,K44='Tabla Impacto'!$D$14),"Mayor",IF(OR(K44='Tabla Impacto'!$C$15,K44='Tabla Impacto'!$D$15),"Catastrófico","")))))</f>
        <v/>
      </c>
      <c r="M44" s="382" t="str">
        <f>IF(L44="","",IF(L44="Leve",0.2,IF(L44="Menor",0.4,IF(L44="Moderado",0.6,IF(L44="Mayor",0.8,IF(L44="Catastrófico",1,))))))</f>
        <v/>
      </c>
      <c r="N44" s="385"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58"/>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54"/>
      <c r="AF44" s="115"/>
      <c r="AG44" s="115"/>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53"/>
      <c r="B45" s="375"/>
      <c r="C45" s="375"/>
      <c r="D45" s="375"/>
      <c r="E45" s="378"/>
      <c r="F45" s="375"/>
      <c r="G45" s="395"/>
      <c r="H45" s="392"/>
      <c r="I45" s="383"/>
      <c r="J45" s="389"/>
      <c r="K45" s="383">
        <f>IF(NOT(ISERROR(MATCH(J45,_xlfn.ANCHORARRAY(E56),0))),I58&amp;"Por favor no seleccionar los criterios de impacto",J45)</f>
        <v>0</v>
      </c>
      <c r="L45" s="392"/>
      <c r="M45" s="383"/>
      <c r="N45" s="386"/>
      <c r="O45" s="106">
        <v>2</v>
      </c>
      <c r="P45" s="158"/>
      <c r="Q45" s="107" t="str">
        <f>IF(OR(R45="Preventivo",R45="Detectivo"),"Probabilidad",IF(R45="Correctivo","Impacto",""))</f>
        <v/>
      </c>
      <c r="R45" s="108"/>
      <c r="S45" s="108"/>
      <c r="T45" s="109" t="str">
        <f t="shared" ref="T45:T49" si="41">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1"/>
        <v/>
      </c>
      <c r="Z45" s="112" t="str">
        <f t="shared" ref="Z45:Z49" si="42">+X45</f>
        <v/>
      </c>
      <c r="AA45" s="111" t="str">
        <f t="shared" si="3"/>
        <v/>
      </c>
      <c r="AB45" s="112" t="str">
        <f>IFERROR(IF(AND(Q44="Impacto",Q45="Impacto"),(AB44-(+AB44*T45)),IF(Q45="Impacto",(M44-(+M44*T45)),IF(Q45="Probabilidad",AB44,""))),"")</f>
        <v/>
      </c>
      <c r="AC45" s="113" t="str">
        <f t="shared" ref="AC45:AC46" si="43">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53"/>
      <c r="B46" s="375"/>
      <c r="C46" s="375"/>
      <c r="D46" s="375"/>
      <c r="E46" s="378"/>
      <c r="F46" s="375"/>
      <c r="G46" s="395"/>
      <c r="H46" s="392"/>
      <c r="I46" s="383"/>
      <c r="J46" s="389"/>
      <c r="K46" s="383">
        <f>IF(NOT(ISERROR(MATCH(J46,_xlfn.ANCHORARRAY(E57),0))),I59&amp;"Por favor no seleccionar los criterios de impacto",J46)</f>
        <v>0</v>
      </c>
      <c r="L46" s="392"/>
      <c r="M46" s="383"/>
      <c r="N46" s="386"/>
      <c r="O46" s="106">
        <v>3</v>
      </c>
      <c r="P46" s="159"/>
      <c r="Q46" s="107" t="str">
        <f>IF(OR(R46="Preventivo",R46="Detectivo"),"Probabilidad",IF(R46="Correctivo","Impacto",""))</f>
        <v/>
      </c>
      <c r="R46" s="108"/>
      <c r="S46" s="108"/>
      <c r="T46" s="109" t="str">
        <f t="shared" si="41"/>
        <v/>
      </c>
      <c r="U46" s="108"/>
      <c r="V46" s="108"/>
      <c r="W46" s="108"/>
      <c r="X46" s="110" t="str">
        <f>IFERROR(IF(AND(Q45="Probabilidad",Q46="Probabilidad"),(Z45-(+Z45*T46)),IF(AND(Q45="Impacto",Q46="Probabilidad"),(Z44-(+Z44*T46)),IF(Q46="Impacto",Z45,""))),"")</f>
        <v/>
      </c>
      <c r="Y46" s="111" t="str">
        <f t="shared" si="1"/>
        <v/>
      </c>
      <c r="Z46" s="112" t="str">
        <f t="shared" si="42"/>
        <v/>
      </c>
      <c r="AA46" s="111" t="str">
        <f t="shared" si="3"/>
        <v/>
      </c>
      <c r="AB46" s="112" t="str">
        <f>IFERROR(IF(AND(Q45="Impacto",Q46="Impacto"),(AB45-(+AB45*T46)),IF(AND(Q45="Probabilidad",Q46="Impacto"),(AB44-(+AB44*T46)),IF(Q46="Probabilidad",AB45,""))),"")</f>
        <v/>
      </c>
      <c r="AC46" s="113" t="str">
        <f t="shared" si="43"/>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53"/>
      <c r="B47" s="375"/>
      <c r="C47" s="375"/>
      <c r="D47" s="375"/>
      <c r="E47" s="378"/>
      <c r="F47" s="375"/>
      <c r="G47" s="395"/>
      <c r="H47" s="392"/>
      <c r="I47" s="383"/>
      <c r="J47" s="389"/>
      <c r="K47" s="383">
        <f>IF(NOT(ISERROR(MATCH(J47,_xlfn.ANCHORARRAY(E58),0))),I60&amp;"Por favor no seleccionar los criterios de impacto",J47)</f>
        <v>0</v>
      </c>
      <c r="L47" s="392"/>
      <c r="M47" s="383"/>
      <c r="N47" s="386"/>
      <c r="O47" s="106">
        <v>4</v>
      </c>
      <c r="P47" s="158"/>
      <c r="Q47" s="107" t="str">
        <f t="shared" ref="Q47:Q49" si="44">IF(OR(R47="Preventivo",R47="Detectivo"),"Probabilidad",IF(R47="Correctivo","Impacto",""))</f>
        <v/>
      </c>
      <c r="R47" s="108"/>
      <c r="S47" s="108"/>
      <c r="T47" s="109" t="str">
        <f t="shared" si="41"/>
        <v/>
      </c>
      <c r="U47" s="108"/>
      <c r="V47" s="108"/>
      <c r="W47" s="108"/>
      <c r="X47" s="110" t="str">
        <f t="shared" ref="X47:X49" si="45">IFERROR(IF(AND(Q46="Probabilidad",Q47="Probabilidad"),(Z46-(+Z46*T47)),IF(AND(Q46="Impacto",Q47="Probabilidad"),(Z45-(+Z45*T47)),IF(Q47="Impacto",Z46,""))),"")</f>
        <v/>
      </c>
      <c r="Y47" s="111" t="str">
        <f t="shared" si="1"/>
        <v/>
      </c>
      <c r="Z47" s="112" t="str">
        <f t="shared" si="42"/>
        <v/>
      </c>
      <c r="AA47" s="111" t="str">
        <f t="shared" si="3"/>
        <v/>
      </c>
      <c r="AB47" s="112" t="str">
        <f t="shared" ref="AB47:AB49" si="46">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53"/>
      <c r="B48" s="375"/>
      <c r="C48" s="375"/>
      <c r="D48" s="375"/>
      <c r="E48" s="378"/>
      <c r="F48" s="375"/>
      <c r="G48" s="395"/>
      <c r="H48" s="392"/>
      <c r="I48" s="383"/>
      <c r="J48" s="389"/>
      <c r="K48" s="383">
        <f>IF(NOT(ISERROR(MATCH(J48,_xlfn.ANCHORARRAY(E59),0))),I61&amp;"Por favor no seleccionar los criterios de impacto",J48)</f>
        <v>0</v>
      </c>
      <c r="L48" s="392"/>
      <c r="M48" s="383"/>
      <c r="N48" s="386"/>
      <c r="O48" s="106">
        <v>5</v>
      </c>
      <c r="P48" s="158"/>
      <c r="Q48" s="107" t="str">
        <f t="shared" si="44"/>
        <v/>
      </c>
      <c r="R48" s="108"/>
      <c r="S48" s="108"/>
      <c r="T48" s="109" t="str">
        <f t="shared" si="41"/>
        <v/>
      </c>
      <c r="U48" s="108"/>
      <c r="V48" s="108"/>
      <c r="W48" s="108"/>
      <c r="X48" s="110" t="str">
        <f t="shared" si="45"/>
        <v/>
      </c>
      <c r="Y48" s="111" t="str">
        <f t="shared" si="1"/>
        <v/>
      </c>
      <c r="Z48" s="112" t="str">
        <f t="shared" si="42"/>
        <v/>
      </c>
      <c r="AA48" s="111" t="str">
        <f t="shared" si="3"/>
        <v/>
      </c>
      <c r="AB48" s="112" t="str">
        <f t="shared" si="46"/>
        <v/>
      </c>
      <c r="AC48" s="113" t="str">
        <f t="shared" ref="AC48" si="47">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54"/>
      <c r="B49" s="376"/>
      <c r="C49" s="376"/>
      <c r="D49" s="376"/>
      <c r="E49" s="379"/>
      <c r="F49" s="376"/>
      <c r="G49" s="396"/>
      <c r="H49" s="393"/>
      <c r="I49" s="384"/>
      <c r="J49" s="390"/>
      <c r="K49" s="384">
        <f>IF(NOT(ISERROR(MATCH(J49,_xlfn.ANCHORARRAY(E60),0))),I62&amp;"Por favor no seleccionar los criterios de impacto",J49)</f>
        <v>0</v>
      </c>
      <c r="L49" s="393"/>
      <c r="M49" s="384"/>
      <c r="N49" s="387"/>
      <c r="O49" s="106">
        <v>6</v>
      </c>
      <c r="P49" s="158"/>
      <c r="Q49" s="107" t="str">
        <f t="shared" si="44"/>
        <v/>
      </c>
      <c r="R49" s="108"/>
      <c r="S49" s="108"/>
      <c r="T49" s="109" t="str">
        <f t="shared" si="41"/>
        <v/>
      </c>
      <c r="U49" s="108"/>
      <c r="V49" s="108"/>
      <c r="W49" s="108"/>
      <c r="X49" s="110" t="str">
        <f t="shared" si="45"/>
        <v/>
      </c>
      <c r="Y49" s="111" t="str">
        <f t="shared" si="1"/>
        <v/>
      </c>
      <c r="Z49" s="112" t="str">
        <f t="shared" si="42"/>
        <v/>
      </c>
      <c r="AA49" s="111" t="str">
        <f>IFERROR(IF(AB49="","",IF(AB49&lt;=0.2,"Leve",IF(AB49&lt;=0.4,"Menor",IF(AB49&lt;=0.6,"Moderado",IF(AB49&lt;=0.8,"Mayor","Catastrófico"))))),"")</f>
        <v/>
      </c>
      <c r="AB49" s="112" t="str">
        <f t="shared" si="46"/>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52">
        <v>7</v>
      </c>
      <c r="B50" s="374"/>
      <c r="C50" s="374"/>
      <c r="D50" s="374"/>
      <c r="E50" s="377"/>
      <c r="F50" s="374"/>
      <c r="G50" s="394"/>
      <c r="H50" s="391" t="str">
        <f>IF(G50&lt;=0,"",IF(G50&lt;=2,"Muy Baja",IF(G50&lt;=24,"Baja",IF(G50&lt;=500,"Media",IF(G50&lt;=5000,"Alta","Muy Alta")))))</f>
        <v/>
      </c>
      <c r="I50" s="382" t="str">
        <f>IF(H50="","",IF(H50="Muy Baja",0.2,IF(H50="Baja",0.4,IF(H50="Media",0.6,IF(H50="Alta",0.8,IF(H50="Muy Alta",1,))))))</f>
        <v/>
      </c>
      <c r="J50" s="388"/>
      <c r="K50" s="382">
        <f>IF(NOT(ISERROR(MATCH(J50,'Tabla Impacto'!$B$221:$B$223,0))),'Tabla Impacto'!$F$223&amp;"Por favor no seleccionar los criterios de impacto(Afectación Económica o presupuestal y Pérdida Reputacional)",J50)</f>
        <v>0</v>
      </c>
      <c r="L50" s="391" t="str">
        <f>IF(OR(K50='Tabla Impacto'!$C$11,K50='Tabla Impacto'!$D$11),"Leve",IF(OR(K50='Tabla Impacto'!$C$12,K50='Tabla Impacto'!$D$12),"Menor",IF(OR(K50='Tabla Impacto'!$C$13,K50='Tabla Impacto'!$D$13),"Moderado",IF(OR(K50='Tabla Impacto'!$C$14,K50='Tabla Impacto'!$D$14),"Mayor",IF(OR(K50='Tabla Impacto'!$C$15,K50='Tabla Impacto'!$D$15),"Catastrófico","")))))</f>
        <v/>
      </c>
      <c r="M50" s="382" t="str">
        <f>IF(L50="","",IF(L50="Leve",0.2,IF(L50="Menor",0.4,IF(L50="Moderado",0.6,IF(L50="Mayor",0.8,IF(L50="Catastrófico",1,))))))</f>
        <v/>
      </c>
      <c r="N50" s="385"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58"/>
      <c r="Q50" s="147" t="str">
        <f>IF(OR(R50="Preventivo",R50="Detectivo"),"Probabilidad",IF(R50="Correctivo","Impacto",""))</f>
        <v/>
      </c>
      <c r="R50" s="148"/>
      <c r="S50" s="148"/>
      <c r="T50" s="149" t="str">
        <f>IF(AND(R50="Preventivo",S50="Automático"),"50%",IF(AND(R50="Preventivo",S50="Manual"),"40%",IF(AND(R50="Detectivo",S50="Automático"),"40%",IF(AND(R50="Detectivo",S50="Manual"),"30%",IF(AND(R50="Correctivo",S50="Automático"),"35%",IF(AND(R50="Correctivo",S50="Manual"),"25%",""))))))</f>
        <v/>
      </c>
      <c r="U50" s="148"/>
      <c r="V50" s="148"/>
      <c r="W50" s="148"/>
      <c r="X50" s="146" t="str">
        <f>IFERROR(IF(Q50="Probabilidad",(I50-(+I50*T50)),IF(Q50="Impacto",I50,"")),"")</f>
        <v/>
      </c>
      <c r="Y50" s="150" t="str">
        <f>IFERROR(IF(X50="","",IF(X50&lt;=0.2,"Muy Baja",IF(X50&lt;=0.4,"Baja",IF(X50&lt;=0.6,"Media",IF(X50&lt;=0.8,"Alta","Muy Alta"))))),"")</f>
        <v/>
      </c>
      <c r="Z50" s="151" t="str">
        <f>+X50</f>
        <v/>
      </c>
      <c r="AA50" s="150" t="str">
        <f>IFERROR(IF(AB50="","",IF(AB50&lt;=0.2,"Leve",IF(AB50&lt;=0.4,"Menor",IF(AB50&lt;=0.6,"Moderado",IF(AB50&lt;=0.8,"Mayor","Catastrófico"))))),"")</f>
        <v/>
      </c>
      <c r="AB50" s="151" t="str">
        <f>IFERROR(IF(Q50="Impacto",(M50-(+M50*T50)),IF(Q50="Probabilidad",M50,"")),"")</f>
        <v/>
      </c>
      <c r="AC50" s="152"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53"/>
      <c r="AE50" s="115"/>
      <c r="AF50" s="115"/>
      <c r="AG50" s="115"/>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53"/>
      <c r="B51" s="375"/>
      <c r="C51" s="375"/>
      <c r="D51" s="375"/>
      <c r="E51" s="378"/>
      <c r="F51" s="375"/>
      <c r="G51" s="395"/>
      <c r="H51" s="392"/>
      <c r="I51" s="383"/>
      <c r="J51" s="389"/>
      <c r="K51" s="383">
        <f>IF(NOT(ISERROR(MATCH(J51,_xlfn.ANCHORARRAY(E62),0))),I64&amp;"Por favor no seleccionar los criterios de impacto",J51)</f>
        <v>0</v>
      </c>
      <c r="L51" s="392"/>
      <c r="M51" s="383"/>
      <c r="N51" s="386"/>
      <c r="O51" s="106">
        <v>2</v>
      </c>
      <c r="P51" s="158"/>
      <c r="Q51" s="147" t="str">
        <f>IF(OR(R51="Preventivo",R51="Detectivo"),"Probabilidad",IF(R51="Correctivo","Impacto",""))</f>
        <v/>
      </c>
      <c r="R51" s="148"/>
      <c r="S51" s="148"/>
      <c r="T51" s="149" t="str">
        <f t="shared" ref="T51:T55" si="48">IF(AND(R51="Preventivo",S51="Automático"),"50%",IF(AND(R51="Preventivo",S51="Manual"),"40%",IF(AND(R51="Detectivo",S51="Automático"),"40%",IF(AND(R51="Detectivo",S51="Manual"),"30%",IF(AND(R51="Correctivo",S51="Automático"),"35%",IF(AND(R51="Correctivo",S51="Manual"),"25%",""))))))</f>
        <v/>
      </c>
      <c r="U51" s="148"/>
      <c r="V51" s="148"/>
      <c r="W51" s="148"/>
      <c r="X51" s="146" t="str">
        <f>IFERROR(IF(AND(Q50="Probabilidad",Q51="Probabilidad"),(Z50-(+Z50*T51)),IF(Q51="Probabilidad",(I50-(+I50*T51)),IF(Q51="Impacto",Z50,""))),"")</f>
        <v/>
      </c>
      <c r="Y51" s="150" t="str">
        <f t="shared" si="1"/>
        <v/>
      </c>
      <c r="Z51" s="151" t="str">
        <f t="shared" ref="Z51:Z55" si="49">+X51</f>
        <v/>
      </c>
      <c r="AA51" s="150" t="str">
        <f t="shared" si="3"/>
        <v/>
      </c>
      <c r="AB51" s="151" t="str">
        <f>IFERROR(IF(AND(Q50="Impacto",Q51="Impacto"),(AB50-(+AB50*T51)),IF(Q51="Impacto",(M50-(+M50*T51)),IF(Q51="Probabilidad",AB50,""))),"")</f>
        <v/>
      </c>
      <c r="AC51" s="152" t="str">
        <f t="shared" ref="AC51:AC52" si="50">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53"/>
      <c r="AE51" s="115"/>
      <c r="AF51" s="116"/>
      <c r="AG51" s="116"/>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53"/>
      <c r="B52" s="375"/>
      <c r="C52" s="375"/>
      <c r="D52" s="375"/>
      <c r="E52" s="378"/>
      <c r="F52" s="375"/>
      <c r="G52" s="395"/>
      <c r="H52" s="392"/>
      <c r="I52" s="383"/>
      <c r="J52" s="389"/>
      <c r="K52" s="383">
        <f>IF(NOT(ISERROR(MATCH(J52,_xlfn.ANCHORARRAY(E63),0))),I65&amp;"Por favor no seleccionar los criterios de impacto",J52)</f>
        <v>0</v>
      </c>
      <c r="L52" s="392"/>
      <c r="M52" s="383"/>
      <c r="N52" s="386"/>
      <c r="O52" s="106">
        <v>3</v>
      </c>
      <c r="P52" s="159"/>
      <c r="Q52" s="107" t="str">
        <f>IF(OR(R52="Preventivo",R52="Detectivo"),"Probabilidad",IF(R52="Correctivo","Impacto",""))</f>
        <v/>
      </c>
      <c r="R52" s="108"/>
      <c r="S52" s="108"/>
      <c r="T52" s="109" t="str">
        <f t="shared" si="48"/>
        <v/>
      </c>
      <c r="U52" s="108"/>
      <c r="V52" s="108"/>
      <c r="W52" s="108"/>
      <c r="X52" s="110" t="str">
        <f>IFERROR(IF(AND(Q51="Probabilidad",Q52="Probabilidad"),(Z51-(+Z51*T52)),IF(AND(Q51="Impacto",Q52="Probabilidad"),(Z50-(+Z50*T52)),IF(Q52="Impacto",Z51,""))),"")</f>
        <v/>
      </c>
      <c r="Y52" s="111" t="str">
        <f t="shared" si="1"/>
        <v/>
      </c>
      <c r="Z52" s="112" t="str">
        <f t="shared" si="49"/>
        <v/>
      </c>
      <c r="AA52" s="111" t="str">
        <f t="shared" si="3"/>
        <v/>
      </c>
      <c r="AB52" s="112" t="str">
        <f>IFERROR(IF(AND(Q51="Impacto",Q52="Impacto"),(AB51-(+AB51*T52)),IF(AND(Q51="Probabilidad",Q52="Impacto"),(AB50-(+AB50*T52)),IF(Q52="Probabilidad",AB51,""))),"")</f>
        <v/>
      </c>
      <c r="AC52" s="113" t="str">
        <f t="shared" si="50"/>
        <v/>
      </c>
      <c r="AD52" s="114"/>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53"/>
      <c r="B53" s="375"/>
      <c r="C53" s="375"/>
      <c r="D53" s="375"/>
      <c r="E53" s="378"/>
      <c r="F53" s="375"/>
      <c r="G53" s="395"/>
      <c r="H53" s="392"/>
      <c r="I53" s="383"/>
      <c r="J53" s="389"/>
      <c r="K53" s="383">
        <f>IF(NOT(ISERROR(MATCH(J53,_xlfn.ANCHORARRAY(E64),0))),I66&amp;"Por favor no seleccionar los criterios de impacto",J53)</f>
        <v>0</v>
      </c>
      <c r="L53" s="392"/>
      <c r="M53" s="383"/>
      <c r="N53" s="386"/>
      <c r="O53" s="106">
        <v>4</v>
      </c>
      <c r="P53" s="158"/>
      <c r="Q53" s="107" t="str">
        <f t="shared" ref="Q53:Q55" si="51">IF(OR(R53="Preventivo",R53="Detectivo"),"Probabilidad",IF(R53="Correctivo","Impacto",""))</f>
        <v/>
      </c>
      <c r="R53" s="108"/>
      <c r="S53" s="108"/>
      <c r="T53" s="109" t="str">
        <f t="shared" si="48"/>
        <v/>
      </c>
      <c r="U53" s="108"/>
      <c r="V53" s="108"/>
      <c r="W53" s="108"/>
      <c r="X53" s="110" t="str">
        <f t="shared" ref="X53:X55" si="52">IFERROR(IF(AND(Q52="Probabilidad",Q53="Probabilidad"),(Z52-(+Z52*T53)),IF(AND(Q52="Impacto",Q53="Probabilidad"),(Z51-(+Z51*T53)),IF(Q53="Impacto",Z52,""))),"")</f>
        <v/>
      </c>
      <c r="Y53" s="111" t="str">
        <f t="shared" si="1"/>
        <v/>
      </c>
      <c r="Z53" s="112" t="str">
        <f t="shared" si="49"/>
        <v/>
      </c>
      <c r="AA53" s="111" t="str">
        <f t="shared" si="3"/>
        <v/>
      </c>
      <c r="AB53" s="112" t="str">
        <f t="shared" ref="AB53:AB55" si="53">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53"/>
      <c r="B54" s="375"/>
      <c r="C54" s="375"/>
      <c r="D54" s="375"/>
      <c r="E54" s="378"/>
      <c r="F54" s="375"/>
      <c r="G54" s="395"/>
      <c r="H54" s="392"/>
      <c r="I54" s="383"/>
      <c r="J54" s="389"/>
      <c r="K54" s="383">
        <f>IF(NOT(ISERROR(MATCH(J54,_xlfn.ANCHORARRAY(E65),0))),I67&amp;"Por favor no seleccionar los criterios de impacto",J54)</f>
        <v>0</v>
      </c>
      <c r="L54" s="392"/>
      <c r="M54" s="383"/>
      <c r="N54" s="386"/>
      <c r="O54" s="106">
        <v>5</v>
      </c>
      <c r="P54" s="158"/>
      <c r="Q54" s="107" t="str">
        <f t="shared" si="51"/>
        <v/>
      </c>
      <c r="R54" s="108"/>
      <c r="S54" s="108"/>
      <c r="T54" s="109" t="str">
        <f t="shared" si="48"/>
        <v/>
      </c>
      <c r="U54" s="108"/>
      <c r="V54" s="108"/>
      <c r="W54" s="108"/>
      <c r="X54" s="110" t="str">
        <f t="shared" si="52"/>
        <v/>
      </c>
      <c r="Y54" s="111" t="str">
        <f t="shared" si="1"/>
        <v/>
      </c>
      <c r="Z54" s="112" t="str">
        <f t="shared" si="49"/>
        <v/>
      </c>
      <c r="AA54" s="111" t="str">
        <f t="shared" si="3"/>
        <v/>
      </c>
      <c r="AB54" s="112" t="str">
        <f t="shared" si="53"/>
        <v/>
      </c>
      <c r="AC54" s="113" t="str">
        <f t="shared" ref="AC54:AC55" si="54">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54"/>
      <c r="B55" s="376"/>
      <c r="C55" s="376"/>
      <c r="D55" s="376"/>
      <c r="E55" s="379"/>
      <c r="F55" s="376"/>
      <c r="G55" s="396"/>
      <c r="H55" s="393"/>
      <c r="I55" s="384"/>
      <c r="J55" s="390"/>
      <c r="K55" s="384">
        <f>IF(NOT(ISERROR(MATCH(J55,_xlfn.ANCHORARRAY(E66),0))),I68&amp;"Por favor no seleccionar los criterios de impacto",J55)</f>
        <v>0</v>
      </c>
      <c r="L55" s="393"/>
      <c r="M55" s="384"/>
      <c r="N55" s="387"/>
      <c r="O55" s="106">
        <v>6</v>
      </c>
      <c r="P55" s="158"/>
      <c r="Q55" s="107" t="str">
        <f t="shared" si="51"/>
        <v/>
      </c>
      <c r="R55" s="108"/>
      <c r="S55" s="108"/>
      <c r="T55" s="109" t="str">
        <f t="shared" si="48"/>
        <v/>
      </c>
      <c r="U55" s="108"/>
      <c r="V55" s="108"/>
      <c r="W55" s="108"/>
      <c r="X55" s="110" t="str">
        <f t="shared" si="52"/>
        <v/>
      </c>
      <c r="Y55" s="111" t="str">
        <f t="shared" si="1"/>
        <v/>
      </c>
      <c r="Z55" s="112" t="str">
        <f t="shared" si="49"/>
        <v/>
      </c>
      <c r="AA55" s="111" t="str">
        <f t="shared" si="3"/>
        <v/>
      </c>
      <c r="AB55" s="112" t="str">
        <f t="shared" si="53"/>
        <v/>
      </c>
      <c r="AC55" s="113" t="str">
        <f t="shared" si="54"/>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52">
        <v>8</v>
      </c>
      <c r="B56" s="374"/>
      <c r="C56" s="374"/>
      <c r="D56" s="374"/>
      <c r="E56" s="377"/>
      <c r="F56" s="374"/>
      <c r="G56" s="394"/>
      <c r="H56" s="391" t="str">
        <f>IF(G56&lt;=0,"",IF(G56&lt;=2,"Muy Baja",IF(G56&lt;=24,"Baja",IF(G56&lt;=500,"Media",IF(G56&lt;=5000,"Alta","Muy Alta")))))</f>
        <v/>
      </c>
      <c r="I56" s="382" t="str">
        <f>IF(H56="","",IF(H56="Muy Baja",0.2,IF(H56="Baja",0.4,IF(H56="Media",0.6,IF(H56="Alta",0.8,IF(H56="Muy Alta",1,))))))</f>
        <v/>
      </c>
      <c r="J56" s="388"/>
      <c r="K56" s="382">
        <f>IF(NOT(ISERROR(MATCH(J56,'Tabla Impacto'!$B$221:$B$223,0))),'Tabla Impacto'!$F$223&amp;"Por favor no seleccionar los criterios de impacto(Afectación Económica o presupuestal y Pérdida Reputacional)",J56)</f>
        <v>0</v>
      </c>
      <c r="L56" s="391" t="str">
        <f>IF(OR(K56='Tabla Impacto'!$C$11,K56='Tabla Impacto'!$D$11),"Leve",IF(OR(K56='Tabla Impacto'!$C$12,K56='Tabla Impacto'!$D$12),"Menor",IF(OR(K56='Tabla Impacto'!$C$13,K56='Tabla Impacto'!$D$13),"Moderado",IF(OR(K56='Tabla Impacto'!$C$14,K56='Tabla Impacto'!$D$14),"Mayor",IF(OR(K56='Tabla Impacto'!$C$15,K56='Tabla Impacto'!$D$15),"Catastrófico","")))))</f>
        <v/>
      </c>
      <c r="M56" s="382" t="str">
        <f>IF(L56="","",IF(L56="Leve",0.2,IF(L56="Menor",0.4,IF(L56="Moderado",0.6,IF(L56="Mayor",0.8,IF(L56="Catastrófico",1,))))))</f>
        <v/>
      </c>
      <c r="N56" s="385"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58"/>
      <c r="Q56" s="147"/>
      <c r="R56" s="148"/>
      <c r="S56" s="148"/>
      <c r="T56" s="149" t="str">
        <f>IF(AND(R56="Preventivo",S56="Automático"),"50%",IF(AND(R56="Preventivo",S56="Manual"),"40%",IF(AND(R56="Detectivo",S56="Automático"),"40%",IF(AND(R56="Detectivo",S56="Manual"),"30%",IF(AND(R56="Correctivo",S56="Automático"),"35%",IF(AND(R56="Correctivo",S56="Manual"),"25%",""))))))</f>
        <v/>
      </c>
      <c r="U56" s="148"/>
      <c r="V56" s="148"/>
      <c r="W56" s="148"/>
      <c r="X56" s="146" t="str">
        <f>IFERROR(IF(Q56="Probabilidad",(I56-(+I56*T56)),IF(Q56="Impacto",I56,"")),"")</f>
        <v/>
      </c>
      <c r="Y56" s="150" t="str">
        <f>IFERROR(IF(X56="","",IF(X56&lt;=0.2,"Muy Baja",IF(X56&lt;=0.4,"Baja",IF(X56&lt;=0.6,"Media",IF(X56&lt;=0.8,"Alta","Muy Alta"))))),"")</f>
        <v/>
      </c>
      <c r="Z56" s="151" t="str">
        <f>+X56</f>
        <v/>
      </c>
      <c r="AA56" s="150" t="str">
        <f>IFERROR(IF(AB56="","",IF(AB56&lt;=0.2,"Leve",IF(AB56&lt;=0.4,"Menor",IF(AB56&lt;=0.6,"Moderado",IF(AB56&lt;=0.8,"Mayor","Catastrófico"))))),"")</f>
        <v/>
      </c>
      <c r="AB56" s="151" t="str">
        <f>IFERROR(IF(Q56="Impacto",(M56-(+M56*T56)),IF(Q56="Probabilidad",M56,"")),"")</f>
        <v/>
      </c>
      <c r="AC56" s="152"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53"/>
      <c r="AE56" s="115"/>
      <c r="AF56" s="115"/>
      <c r="AG56" s="115"/>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53"/>
      <c r="B57" s="375"/>
      <c r="C57" s="375"/>
      <c r="D57" s="375"/>
      <c r="E57" s="378"/>
      <c r="F57" s="375"/>
      <c r="G57" s="395"/>
      <c r="H57" s="392"/>
      <c r="I57" s="383"/>
      <c r="J57" s="389"/>
      <c r="K57" s="383">
        <f>IF(NOT(ISERROR(MATCH(J57,_xlfn.ANCHORARRAY(E68),0))),I70&amp;"Por favor no seleccionar los criterios de impacto",J57)</f>
        <v>0</v>
      </c>
      <c r="L57" s="392"/>
      <c r="M57" s="383"/>
      <c r="N57" s="386"/>
      <c r="O57" s="106">
        <v>2</v>
      </c>
      <c r="P57" s="158"/>
      <c r="Q57" s="107" t="str">
        <f>IF(OR(R57="Preventivo",R57="Detectivo"),"Probabilidad",IF(R57="Correctivo","Impacto",""))</f>
        <v/>
      </c>
      <c r="R57" s="108"/>
      <c r="S57" s="108"/>
      <c r="T57" s="109" t="str">
        <f t="shared" ref="T57:T61" si="55">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1"/>
        <v/>
      </c>
      <c r="Z57" s="112" t="str">
        <f t="shared" ref="Z57:Z61" si="56">+X57</f>
        <v/>
      </c>
      <c r="AA57" s="111" t="str">
        <f t="shared" si="3"/>
        <v/>
      </c>
      <c r="AB57" s="112" t="str">
        <f>IFERROR(IF(AND(Q56="Impacto",Q57="Impacto"),(AB56-(+AB56*T57)),IF(Q57="Impacto",(M56-(+M56*T57)),IF(Q57="Probabilidad",AB56,""))),"")</f>
        <v/>
      </c>
      <c r="AC57" s="113" t="str">
        <f t="shared" ref="AC57:AC58" si="57">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53"/>
      <c r="B58" s="375"/>
      <c r="C58" s="375"/>
      <c r="D58" s="375"/>
      <c r="E58" s="378"/>
      <c r="F58" s="375"/>
      <c r="G58" s="395"/>
      <c r="H58" s="392"/>
      <c r="I58" s="383"/>
      <c r="J58" s="389"/>
      <c r="K58" s="383">
        <f>IF(NOT(ISERROR(MATCH(J58,_xlfn.ANCHORARRAY(E69),0))),I71&amp;"Por favor no seleccionar los criterios de impacto",J58)</f>
        <v>0</v>
      </c>
      <c r="L58" s="392"/>
      <c r="M58" s="383"/>
      <c r="N58" s="386"/>
      <c r="O58" s="106">
        <v>3</v>
      </c>
      <c r="P58" s="159"/>
      <c r="Q58" s="107" t="str">
        <f>IF(OR(R58="Preventivo",R58="Detectivo"),"Probabilidad",IF(R58="Correctivo","Impacto",""))</f>
        <v/>
      </c>
      <c r="R58" s="108"/>
      <c r="S58" s="108"/>
      <c r="T58" s="109" t="str">
        <f t="shared" si="55"/>
        <v/>
      </c>
      <c r="U58" s="108"/>
      <c r="V58" s="108"/>
      <c r="W58" s="108"/>
      <c r="X58" s="110" t="str">
        <f>IFERROR(IF(AND(Q57="Probabilidad",Q58="Probabilidad"),(Z57-(+Z57*T58)),IF(AND(Q57="Impacto",Q58="Probabilidad"),(Z56-(+Z56*T58)),IF(Q58="Impacto",Z57,""))),"")</f>
        <v/>
      </c>
      <c r="Y58" s="111" t="str">
        <f t="shared" si="1"/>
        <v/>
      </c>
      <c r="Z58" s="112" t="str">
        <f t="shared" si="56"/>
        <v/>
      </c>
      <c r="AA58" s="111" t="str">
        <f t="shared" si="3"/>
        <v/>
      </c>
      <c r="AB58" s="112" t="str">
        <f>IFERROR(IF(AND(Q57="Impacto",Q58="Impacto"),(AB57-(+AB57*T58)),IF(AND(Q57="Probabilidad",Q58="Impacto"),(AB56-(+AB56*T58)),IF(Q58="Probabilidad",AB57,""))),"")</f>
        <v/>
      </c>
      <c r="AC58" s="113" t="str">
        <f t="shared" si="57"/>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53"/>
      <c r="B59" s="375"/>
      <c r="C59" s="375"/>
      <c r="D59" s="375"/>
      <c r="E59" s="378"/>
      <c r="F59" s="375"/>
      <c r="G59" s="395"/>
      <c r="H59" s="392"/>
      <c r="I59" s="383"/>
      <c r="J59" s="389"/>
      <c r="K59" s="383">
        <f>IF(NOT(ISERROR(MATCH(J59,_xlfn.ANCHORARRAY(E70),0))),I72&amp;"Por favor no seleccionar los criterios de impacto",J59)</f>
        <v>0</v>
      </c>
      <c r="L59" s="392"/>
      <c r="M59" s="383"/>
      <c r="N59" s="386"/>
      <c r="O59" s="106">
        <v>4</v>
      </c>
      <c r="P59" s="158"/>
      <c r="Q59" s="107" t="str">
        <f t="shared" ref="Q59:Q61" si="58">IF(OR(R59="Preventivo",R59="Detectivo"),"Probabilidad",IF(R59="Correctivo","Impacto",""))</f>
        <v/>
      </c>
      <c r="R59" s="108"/>
      <c r="S59" s="108"/>
      <c r="T59" s="109" t="str">
        <f t="shared" si="55"/>
        <v/>
      </c>
      <c r="U59" s="108"/>
      <c r="V59" s="108"/>
      <c r="W59" s="108"/>
      <c r="X59" s="110" t="str">
        <f t="shared" ref="X59:X61" si="59">IFERROR(IF(AND(Q58="Probabilidad",Q59="Probabilidad"),(Z58-(+Z58*T59)),IF(AND(Q58="Impacto",Q59="Probabilidad"),(Z57-(+Z57*T59)),IF(Q59="Impacto",Z58,""))),"")</f>
        <v/>
      </c>
      <c r="Y59" s="111" t="str">
        <f t="shared" si="1"/>
        <v/>
      </c>
      <c r="Z59" s="112" t="str">
        <f t="shared" si="56"/>
        <v/>
      </c>
      <c r="AA59" s="111" t="str">
        <f t="shared" si="3"/>
        <v/>
      </c>
      <c r="AB59" s="112" t="str">
        <f t="shared" ref="AB59:AB61" si="60">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53"/>
      <c r="B60" s="375"/>
      <c r="C60" s="375"/>
      <c r="D60" s="375"/>
      <c r="E60" s="378"/>
      <c r="F60" s="375"/>
      <c r="G60" s="395"/>
      <c r="H60" s="392"/>
      <c r="I60" s="383"/>
      <c r="J60" s="389"/>
      <c r="K60" s="383">
        <f>IF(NOT(ISERROR(MATCH(J60,_xlfn.ANCHORARRAY(E71),0))),I73&amp;"Por favor no seleccionar los criterios de impacto",J60)</f>
        <v>0</v>
      </c>
      <c r="L60" s="392"/>
      <c r="M60" s="383"/>
      <c r="N60" s="386"/>
      <c r="O60" s="106">
        <v>5</v>
      </c>
      <c r="P60" s="158"/>
      <c r="Q60" s="107" t="str">
        <f t="shared" si="58"/>
        <v/>
      </c>
      <c r="R60" s="108"/>
      <c r="S60" s="108"/>
      <c r="T60" s="109" t="str">
        <f t="shared" si="55"/>
        <v/>
      </c>
      <c r="U60" s="108"/>
      <c r="V60" s="108"/>
      <c r="W60" s="108"/>
      <c r="X60" s="110" t="str">
        <f t="shared" si="59"/>
        <v/>
      </c>
      <c r="Y60" s="111" t="str">
        <f t="shared" si="1"/>
        <v/>
      </c>
      <c r="Z60" s="112" t="str">
        <f t="shared" si="56"/>
        <v/>
      </c>
      <c r="AA60" s="111" t="str">
        <f t="shared" si="3"/>
        <v/>
      </c>
      <c r="AB60" s="112" t="str">
        <f t="shared" si="60"/>
        <v/>
      </c>
      <c r="AC60" s="113" t="str">
        <f t="shared" ref="AC60:AC61" si="61">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54"/>
      <c r="B61" s="376"/>
      <c r="C61" s="376"/>
      <c r="D61" s="376"/>
      <c r="E61" s="379"/>
      <c r="F61" s="376"/>
      <c r="G61" s="396"/>
      <c r="H61" s="393"/>
      <c r="I61" s="384"/>
      <c r="J61" s="390"/>
      <c r="K61" s="384">
        <f>IF(NOT(ISERROR(MATCH(J61,_xlfn.ANCHORARRAY(E72),0))),I74&amp;"Por favor no seleccionar los criterios de impacto",J61)</f>
        <v>0</v>
      </c>
      <c r="L61" s="393"/>
      <c r="M61" s="384"/>
      <c r="N61" s="387"/>
      <c r="O61" s="106">
        <v>6</v>
      </c>
      <c r="P61" s="158"/>
      <c r="Q61" s="107" t="str">
        <f t="shared" si="58"/>
        <v/>
      </c>
      <c r="R61" s="108"/>
      <c r="S61" s="108"/>
      <c r="T61" s="109" t="str">
        <f t="shared" si="55"/>
        <v/>
      </c>
      <c r="U61" s="108"/>
      <c r="V61" s="108"/>
      <c r="W61" s="108"/>
      <c r="X61" s="110" t="str">
        <f t="shared" si="59"/>
        <v/>
      </c>
      <c r="Y61" s="111" t="str">
        <f t="shared" si="1"/>
        <v/>
      </c>
      <c r="Z61" s="112" t="str">
        <f t="shared" si="56"/>
        <v/>
      </c>
      <c r="AA61" s="111" t="str">
        <f t="shared" si="3"/>
        <v/>
      </c>
      <c r="AB61" s="112" t="str">
        <f t="shared" si="60"/>
        <v/>
      </c>
      <c r="AC61" s="113" t="str">
        <f t="shared" si="61"/>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52">
        <v>9</v>
      </c>
      <c r="B62" s="374"/>
      <c r="C62" s="374"/>
      <c r="D62" s="374"/>
      <c r="E62" s="377"/>
      <c r="F62" s="374"/>
      <c r="G62" s="394"/>
      <c r="H62" s="391" t="str">
        <f>IF(G62&lt;=0,"",IF(G62&lt;=2,"Muy Baja",IF(G62&lt;=24,"Baja",IF(G62&lt;=500,"Media",IF(G62&lt;=5000,"Alta","Muy Alta")))))</f>
        <v/>
      </c>
      <c r="I62" s="382" t="str">
        <f>IF(H62="","",IF(H62="Muy Baja",0.2,IF(H62="Baja",0.4,IF(H62="Media",0.6,IF(H62="Alta",0.8,IF(H62="Muy Alta",1,))))))</f>
        <v/>
      </c>
      <c r="J62" s="388"/>
      <c r="K62" s="382">
        <f>IF(NOT(ISERROR(MATCH(J62,'Tabla Impacto'!$B$221:$B$223,0))),'Tabla Impacto'!$F$223&amp;"Por favor no seleccionar los criterios de impacto(Afectación Económica o presupuestal y Pérdida Reputacional)",J62)</f>
        <v>0</v>
      </c>
      <c r="L62" s="391" t="str">
        <f>IF(OR(K62='Tabla Impacto'!$C$11,K62='Tabla Impacto'!$D$11),"Leve",IF(OR(K62='Tabla Impacto'!$C$12,K62='Tabla Impacto'!$D$12),"Menor",IF(OR(K62='Tabla Impacto'!$C$13,K62='Tabla Impacto'!$D$13),"Moderado",IF(OR(K62='Tabla Impacto'!$C$14,K62='Tabla Impacto'!$D$14),"Mayor",IF(OR(K62='Tabla Impacto'!$C$15,K62='Tabla Impacto'!$D$15),"Catastrófico","")))))</f>
        <v/>
      </c>
      <c r="M62" s="382" t="str">
        <f>IF(L62="","",IF(L62="Leve",0.2,IF(L62="Menor",0.4,IF(L62="Moderado",0.6,IF(L62="Mayor",0.8,IF(L62="Catastrófico",1,))))))</f>
        <v/>
      </c>
      <c r="N62" s="385"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58"/>
      <c r="Q62" s="147"/>
      <c r="R62" s="148"/>
      <c r="S62" s="148"/>
      <c r="T62" s="149" t="str">
        <f>IF(AND(R62="Preventivo",S62="Automático"),"50%",IF(AND(R62="Preventivo",S62="Manual"),"40%",IF(AND(R62="Detectivo",S62="Automático"),"40%",IF(AND(R62="Detectivo",S62="Manual"),"30%",IF(AND(R62="Correctivo",S62="Automático"),"35%",IF(AND(R62="Correctivo",S62="Manual"),"25%",""))))))</f>
        <v/>
      </c>
      <c r="U62" s="148"/>
      <c r="V62" s="148"/>
      <c r="W62" s="148"/>
      <c r="X62" s="146" t="str">
        <f>IFERROR(IF(Q62="Probabilidad",(I62-(+I62*T62)),IF(Q62="Impacto",I62,"")),"")</f>
        <v/>
      </c>
      <c r="Y62" s="150" t="str">
        <f>IFERROR(IF(X62="","",IF(X62&lt;=0.2,"Muy Baja",IF(X62&lt;=0.4,"Baja",IF(X62&lt;=0.6,"Media",IF(X62&lt;=0.8,"Alta","Muy Alta"))))),"")</f>
        <v/>
      </c>
      <c r="Z62" s="151" t="str">
        <f>+X62</f>
        <v/>
      </c>
      <c r="AA62" s="150" t="str">
        <f>IFERROR(IF(AB62="","",IF(AB62&lt;=0.2,"Leve",IF(AB62&lt;=0.4,"Menor",IF(AB62&lt;=0.6,"Moderado",IF(AB62&lt;=0.8,"Mayor","Catastrófico"))))),"")</f>
        <v/>
      </c>
      <c r="AB62" s="151" t="str">
        <f>IFERROR(IF(Q62="Impacto",(M62-(+M62*T62)),IF(Q62="Probabilidad",M62,"")),"")</f>
        <v/>
      </c>
      <c r="AC62" s="152"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53"/>
      <c r="AE62" s="115"/>
      <c r="AF62" s="115"/>
      <c r="AG62" s="115"/>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53"/>
      <c r="B63" s="375"/>
      <c r="C63" s="375"/>
      <c r="D63" s="375"/>
      <c r="E63" s="378"/>
      <c r="F63" s="375"/>
      <c r="G63" s="395"/>
      <c r="H63" s="392"/>
      <c r="I63" s="383"/>
      <c r="J63" s="389"/>
      <c r="K63" s="383">
        <f>IF(NOT(ISERROR(MATCH(J63,_xlfn.ANCHORARRAY(E74),0))),I76&amp;"Por favor no seleccionar los criterios de impacto",J63)</f>
        <v>0</v>
      </c>
      <c r="L63" s="392"/>
      <c r="M63" s="383"/>
      <c r="N63" s="386"/>
      <c r="O63" s="106">
        <v>2</v>
      </c>
      <c r="P63" s="158"/>
      <c r="Q63" s="107" t="str">
        <f>IF(OR(R63="Preventivo",R63="Detectivo"),"Probabilidad",IF(R63="Correctivo","Impacto",""))</f>
        <v/>
      </c>
      <c r="R63" s="108"/>
      <c r="S63" s="108"/>
      <c r="T63" s="109" t="str">
        <f t="shared" ref="T63:T67" si="62">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1"/>
        <v/>
      </c>
      <c r="Z63" s="112" t="str">
        <f t="shared" ref="Z63:Z67" si="63">+X63</f>
        <v/>
      </c>
      <c r="AA63" s="111" t="str">
        <f t="shared" si="3"/>
        <v/>
      </c>
      <c r="AB63" s="112" t="str">
        <f>IFERROR(IF(AND(Q62="Impacto",Q63="Impacto"),(AB62-(+AB62*T63)),IF(Q63="Impacto",(M62-(+M62*T63)),IF(Q63="Probabilidad",AB62,""))),"")</f>
        <v/>
      </c>
      <c r="AC63" s="113" t="str">
        <f t="shared" ref="AC63:AC64" si="64">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53"/>
      <c r="B64" s="375"/>
      <c r="C64" s="375"/>
      <c r="D64" s="375"/>
      <c r="E64" s="378"/>
      <c r="F64" s="375"/>
      <c r="G64" s="395"/>
      <c r="H64" s="392"/>
      <c r="I64" s="383"/>
      <c r="J64" s="389"/>
      <c r="K64" s="383">
        <f>IF(NOT(ISERROR(MATCH(J64,_xlfn.ANCHORARRAY(E75),0))),I77&amp;"Por favor no seleccionar los criterios de impacto",J64)</f>
        <v>0</v>
      </c>
      <c r="L64" s="392"/>
      <c r="M64" s="383"/>
      <c r="N64" s="386"/>
      <c r="O64" s="106">
        <v>3</v>
      </c>
      <c r="P64" s="159"/>
      <c r="Q64" s="107" t="str">
        <f>IF(OR(R64="Preventivo",R64="Detectivo"),"Probabilidad",IF(R64="Correctivo","Impacto",""))</f>
        <v/>
      </c>
      <c r="R64" s="108"/>
      <c r="S64" s="108"/>
      <c r="T64" s="109" t="str">
        <f t="shared" si="62"/>
        <v/>
      </c>
      <c r="U64" s="108"/>
      <c r="V64" s="108"/>
      <c r="W64" s="108"/>
      <c r="X64" s="110" t="str">
        <f>IFERROR(IF(AND(Q63="Probabilidad",Q64="Probabilidad"),(Z63-(+Z63*T64)),IF(AND(Q63="Impacto",Q64="Probabilidad"),(Z62-(+Z62*T64)),IF(Q64="Impacto",Z63,""))),"")</f>
        <v/>
      </c>
      <c r="Y64" s="111" t="str">
        <f t="shared" si="1"/>
        <v/>
      </c>
      <c r="Z64" s="112" t="str">
        <f t="shared" si="63"/>
        <v/>
      </c>
      <c r="AA64" s="111" t="str">
        <f t="shared" si="3"/>
        <v/>
      </c>
      <c r="AB64" s="112" t="str">
        <f>IFERROR(IF(AND(Q63="Impacto",Q64="Impacto"),(AB63-(+AB63*T64)),IF(AND(Q63="Probabilidad",Q64="Impacto"),(AB62-(+AB62*T64)),IF(Q64="Probabilidad",AB63,""))),"")</f>
        <v/>
      </c>
      <c r="AC64" s="113" t="str">
        <f t="shared" si="64"/>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53"/>
      <c r="B65" s="375"/>
      <c r="C65" s="375"/>
      <c r="D65" s="375"/>
      <c r="E65" s="378"/>
      <c r="F65" s="375"/>
      <c r="G65" s="395"/>
      <c r="H65" s="392"/>
      <c r="I65" s="383"/>
      <c r="J65" s="389"/>
      <c r="K65" s="383">
        <f>IF(NOT(ISERROR(MATCH(J65,_xlfn.ANCHORARRAY(E76),0))),I78&amp;"Por favor no seleccionar los criterios de impacto",J65)</f>
        <v>0</v>
      </c>
      <c r="L65" s="392"/>
      <c r="M65" s="383"/>
      <c r="N65" s="386"/>
      <c r="O65" s="106">
        <v>4</v>
      </c>
      <c r="P65" s="158"/>
      <c r="Q65" s="107" t="str">
        <f t="shared" ref="Q65:Q67" si="65">IF(OR(R65="Preventivo",R65="Detectivo"),"Probabilidad",IF(R65="Correctivo","Impacto",""))</f>
        <v/>
      </c>
      <c r="R65" s="108"/>
      <c r="S65" s="108"/>
      <c r="T65" s="109" t="str">
        <f t="shared" si="62"/>
        <v/>
      </c>
      <c r="U65" s="108"/>
      <c r="V65" s="108"/>
      <c r="W65" s="108"/>
      <c r="X65" s="110" t="str">
        <f t="shared" ref="X65:X66" si="66">IFERROR(IF(AND(Q64="Probabilidad",Q65="Probabilidad"),(Z64-(+Z64*T65)),IF(AND(Q64="Impacto",Q65="Probabilidad"),(Z63-(+Z63*T65)),IF(Q65="Impacto",Z64,""))),"")</f>
        <v/>
      </c>
      <c r="Y65" s="111" t="str">
        <f t="shared" si="1"/>
        <v/>
      </c>
      <c r="Z65" s="112" t="str">
        <f t="shared" si="63"/>
        <v/>
      </c>
      <c r="AA65" s="111" t="str">
        <f t="shared" si="3"/>
        <v/>
      </c>
      <c r="AB65" s="112" t="str">
        <f t="shared" ref="AB65:AB66" si="67">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53"/>
      <c r="B66" s="375"/>
      <c r="C66" s="375"/>
      <c r="D66" s="375"/>
      <c r="E66" s="378"/>
      <c r="F66" s="375"/>
      <c r="G66" s="395"/>
      <c r="H66" s="392"/>
      <c r="I66" s="383"/>
      <c r="J66" s="389"/>
      <c r="K66" s="383">
        <f>IF(NOT(ISERROR(MATCH(J66,_xlfn.ANCHORARRAY(E77),0))),I79&amp;"Por favor no seleccionar los criterios de impacto",J66)</f>
        <v>0</v>
      </c>
      <c r="L66" s="392"/>
      <c r="M66" s="383"/>
      <c r="N66" s="386"/>
      <c r="O66" s="106">
        <v>5</v>
      </c>
      <c r="P66" s="158"/>
      <c r="Q66" s="107" t="str">
        <f t="shared" si="65"/>
        <v/>
      </c>
      <c r="R66" s="108"/>
      <c r="S66" s="108"/>
      <c r="T66" s="109" t="str">
        <f t="shared" si="62"/>
        <v/>
      </c>
      <c r="U66" s="108"/>
      <c r="V66" s="108"/>
      <c r="W66" s="108"/>
      <c r="X66" s="110" t="str">
        <f t="shared" si="66"/>
        <v/>
      </c>
      <c r="Y66" s="111" t="str">
        <f t="shared" si="1"/>
        <v/>
      </c>
      <c r="Z66" s="112" t="str">
        <f t="shared" si="63"/>
        <v/>
      </c>
      <c r="AA66" s="111" t="str">
        <f t="shared" si="3"/>
        <v/>
      </c>
      <c r="AB66" s="112" t="str">
        <f t="shared" si="67"/>
        <v/>
      </c>
      <c r="AC66" s="113" t="str">
        <f t="shared" ref="AC66:AC67" si="68">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54"/>
      <c r="B67" s="376"/>
      <c r="C67" s="376"/>
      <c r="D67" s="376"/>
      <c r="E67" s="379"/>
      <c r="F67" s="376"/>
      <c r="G67" s="396"/>
      <c r="H67" s="393"/>
      <c r="I67" s="384"/>
      <c r="J67" s="390"/>
      <c r="K67" s="384">
        <f>IF(NOT(ISERROR(MATCH(J67,_xlfn.ANCHORARRAY(E78),0))),I80&amp;"Por favor no seleccionar los criterios de impacto",J67)</f>
        <v>0</v>
      </c>
      <c r="L67" s="393"/>
      <c r="M67" s="384"/>
      <c r="N67" s="387"/>
      <c r="O67" s="106">
        <v>6</v>
      </c>
      <c r="P67" s="158"/>
      <c r="Q67" s="107" t="str">
        <f t="shared" si="65"/>
        <v/>
      </c>
      <c r="R67" s="108"/>
      <c r="S67" s="108"/>
      <c r="T67" s="109" t="str">
        <f t="shared" si="62"/>
        <v/>
      </c>
      <c r="U67" s="108"/>
      <c r="V67" s="108"/>
      <c r="W67" s="108"/>
      <c r="X67" s="110" t="str">
        <f>IFERROR(IF(AND(Q66="Probabilidad",Q67="Probabilidad"),(Z66-(+Z66*T67)),IF(AND(Q66="Impacto",Q67="Probabilidad"),(Z65-(+Z65*T67)),IF(Q67="Impacto",Z66,""))),"")</f>
        <v/>
      </c>
      <c r="Y67" s="111" t="str">
        <f t="shared" si="1"/>
        <v/>
      </c>
      <c r="Z67" s="112" t="str">
        <f t="shared" si="63"/>
        <v/>
      </c>
      <c r="AA67" s="111" t="str">
        <f t="shared" si="3"/>
        <v/>
      </c>
      <c r="AB67" s="112" t="str">
        <f>IFERROR(IF(AND(Q66="Impacto",Q67="Impacto"),(AB66-(+AB66*T67)),IF(AND(Q66="Probabilidad",Q67="Impacto"),(AB65-(+AB65*T67)),IF(Q67="Probabilidad",AB66,""))),"")</f>
        <v/>
      </c>
      <c r="AC67" s="113" t="str">
        <f t="shared" si="68"/>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52">
        <v>10</v>
      </c>
      <c r="B68" s="374"/>
      <c r="C68" s="374"/>
      <c r="D68" s="374"/>
      <c r="E68" s="377"/>
      <c r="F68" s="374"/>
      <c r="G68" s="394"/>
      <c r="H68" s="391" t="str">
        <f>IF(G68&lt;=0,"",IF(G68&lt;=2,"Muy Baja",IF(G68&lt;=24,"Baja",IF(G68&lt;=500,"Media",IF(G68&lt;=5000,"Alta","Muy Alta")))))</f>
        <v/>
      </c>
      <c r="I68" s="382" t="str">
        <f>IF(H68="","",IF(H68="Muy Baja",0.2,IF(H68="Baja",0.4,IF(H68="Media",0.6,IF(H68="Alta",0.8,IF(H68="Muy Alta",1,))))))</f>
        <v/>
      </c>
      <c r="J68" s="388"/>
      <c r="K68" s="382">
        <f>IF(NOT(ISERROR(MATCH(J68,'Tabla Impacto'!$B$221:$B$223,0))),'Tabla Impacto'!$F$223&amp;"Por favor no seleccionar los criterios de impacto(Afectación Económica o presupuestal y Pérdida Reputacional)",J68)</f>
        <v>0</v>
      </c>
      <c r="L68" s="391" t="str">
        <f>IF(OR(K68='Tabla Impacto'!$C$11,K68='Tabla Impacto'!$D$11),"Leve",IF(OR(K68='Tabla Impacto'!$C$12,K68='Tabla Impacto'!$D$12),"Menor",IF(OR(K68='Tabla Impacto'!$C$13,K68='Tabla Impacto'!$D$13),"Moderado",IF(OR(K68='Tabla Impacto'!$C$14,K68='Tabla Impacto'!$D$14),"Mayor",IF(OR(K68='Tabla Impacto'!$C$15,K68='Tabla Impacto'!$D$15),"Catastrófico","")))))</f>
        <v/>
      </c>
      <c r="M68" s="382" t="str">
        <f>IF(L68="","",IF(L68="Leve",0.2,IF(L68="Menor",0.4,IF(L68="Moderado",0.6,IF(L68="Mayor",0.8,IF(L68="Catastrófico",1,))))))</f>
        <v/>
      </c>
      <c r="N68" s="385"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58"/>
      <c r="Q68" s="147"/>
      <c r="R68" s="148"/>
      <c r="S68" s="148"/>
      <c r="T68" s="149" t="str">
        <f>IF(AND(R68="Preventivo",S68="Automático"),"50%",IF(AND(R68="Preventivo",S68="Manual"),"40%",IF(AND(R68="Detectivo",S68="Automático"),"40%",IF(AND(R68="Detectivo",S68="Manual"),"30%",IF(AND(R68="Correctivo",S68="Automático"),"35%",IF(AND(R68="Correctivo",S68="Manual"),"25%",""))))))</f>
        <v/>
      </c>
      <c r="U68" s="148"/>
      <c r="V68" s="148"/>
      <c r="W68" s="148"/>
      <c r="X68" s="146" t="str">
        <f>IFERROR(IF(Q68="Probabilidad",(I68-(+I68*T68)),IF(Q68="Impacto",I68,"")),"")</f>
        <v/>
      </c>
      <c r="Y68" s="150" t="str">
        <f>IFERROR(IF(X68="","",IF(X68&lt;=0.2,"Muy Baja",IF(X68&lt;=0.4,"Baja",IF(X68&lt;=0.6,"Media",IF(X68&lt;=0.8,"Alta","Muy Alta"))))),"")</f>
        <v/>
      </c>
      <c r="Z68" s="151" t="str">
        <f>+X68</f>
        <v/>
      </c>
      <c r="AA68" s="150" t="str">
        <f>IFERROR(IF(AB68="","",IF(AB68&lt;=0.2,"Leve",IF(AB68&lt;=0.4,"Menor",IF(AB68&lt;=0.6,"Moderado",IF(AB68&lt;=0.8,"Mayor","Catastrófico"))))),"")</f>
        <v/>
      </c>
      <c r="AB68" s="151" t="str">
        <f>IFERROR(IF(Q68="Impacto",(M68-(+M68*T68)),IF(Q68="Probabilidad",M68,"")),"")</f>
        <v/>
      </c>
      <c r="AC68" s="152"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53"/>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53"/>
      <c r="B69" s="375"/>
      <c r="C69" s="375"/>
      <c r="D69" s="375"/>
      <c r="E69" s="378"/>
      <c r="F69" s="375"/>
      <c r="G69" s="395"/>
      <c r="H69" s="392"/>
      <c r="I69" s="383"/>
      <c r="J69" s="389"/>
      <c r="K69" s="383">
        <f>IF(NOT(ISERROR(MATCH(J69,_xlfn.ANCHORARRAY(E80),0))),I82&amp;"Por favor no seleccionar los criterios de impacto",J69)</f>
        <v>0</v>
      </c>
      <c r="L69" s="392"/>
      <c r="M69" s="383"/>
      <c r="N69" s="386"/>
      <c r="O69" s="106">
        <v>2</v>
      </c>
      <c r="P69" s="158"/>
      <c r="Q69" s="107" t="str">
        <f>IF(OR(R69="Preventivo",R69="Detectivo"),"Probabilidad",IF(R69="Correctivo","Impacto",""))</f>
        <v/>
      </c>
      <c r="R69" s="108"/>
      <c r="S69" s="108"/>
      <c r="T69" s="109" t="str">
        <f t="shared" ref="T69:T73" si="69">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1"/>
        <v/>
      </c>
      <c r="Z69" s="112" t="str">
        <f t="shared" ref="Z69:Z73" si="70">+X69</f>
        <v/>
      </c>
      <c r="AA69" s="111" t="str">
        <f t="shared" si="3"/>
        <v/>
      </c>
      <c r="AB69" s="112" t="str">
        <f>IFERROR(IF(AND(Q68="Impacto",Q69="Impacto"),(AB68-(+AB68*T69)),IF(Q69="Impacto",(M68-(+M68*T69)),IF(Q69="Probabilidad",AB68,""))),"")</f>
        <v/>
      </c>
      <c r="AC69" s="113" t="str">
        <f t="shared" ref="AC69:AC70" si="71">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6"/>
      <c r="AH69" s="117"/>
      <c r="AI69" s="117"/>
    </row>
    <row r="70" spans="1:67" ht="18" hidden="1" customHeight="1" x14ac:dyDescent="0.3">
      <c r="A70" s="353"/>
      <c r="B70" s="375"/>
      <c r="C70" s="375"/>
      <c r="D70" s="375"/>
      <c r="E70" s="378"/>
      <c r="F70" s="375"/>
      <c r="G70" s="395"/>
      <c r="H70" s="392"/>
      <c r="I70" s="383"/>
      <c r="J70" s="389"/>
      <c r="K70" s="383">
        <f>IF(NOT(ISERROR(MATCH(J70,_xlfn.ANCHORARRAY(E81),0))),I83&amp;"Por favor no seleccionar los criterios de impacto",J70)</f>
        <v>0</v>
      </c>
      <c r="L70" s="392"/>
      <c r="M70" s="383"/>
      <c r="N70" s="386"/>
      <c r="O70" s="106">
        <v>3</v>
      </c>
      <c r="P70" s="159"/>
      <c r="Q70" s="107" t="str">
        <f>IF(OR(R70="Preventivo",R70="Detectivo"),"Probabilidad",IF(R70="Correctivo","Impacto",""))</f>
        <v/>
      </c>
      <c r="R70" s="108"/>
      <c r="S70" s="108"/>
      <c r="T70" s="109" t="str">
        <f t="shared" si="69"/>
        <v/>
      </c>
      <c r="U70" s="108"/>
      <c r="V70" s="108"/>
      <c r="W70" s="108"/>
      <c r="X70" s="110" t="str">
        <f>IFERROR(IF(AND(Q69="Probabilidad",Q70="Probabilidad"),(Z69-(+Z69*T70)),IF(AND(Q69="Impacto",Q70="Probabilidad"),(Z68-(+Z68*T70)),IF(Q70="Impacto",Z69,""))),"")</f>
        <v/>
      </c>
      <c r="Y70" s="111" t="str">
        <f t="shared" si="1"/>
        <v/>
      </c>
      <c r="Z70" s="112" t="str">
        <f t="shared" si="70"/>
        <v/>
      </c>
      <c r="AA70" s="111" t="str">
        <f t="shared" si="3"/>
        <v/>
      </c>
      <c r="AB70" s="112" t="str">
        <f>IFERROR(IF(AND(Q69="Impacto",Q70="Impacto"),(AB69-(+AB69*T70)),IF(AND(Q69="Probabilidad",Q70="Impacto"),(AB68-(+AB68*T70)),IF(Q70="Probabilidad",AB69,""))),"")</f>
        <v/>
      </c>
      <c r="AC70" s="113" t="str">
        <f t="shared" si="71"/>
        <v/>
      </c>
      <c r="AD70" s="114"/>
      <c r="AE70" s="115"/>
      <c r="AF70" s="116"/>
      <c r="AG70" s="116"/>
      <c r="AH70" s="117"/>
      <c r="AI70" s="117"/>
    </row>
    <row r="71" spans="1:67" ht="18" hidden="1" customHeight="1" x14ac:dyDescent="0.3">
      <c r="A71" s="353"/>
      <c r="B71" s="375"/>
      <c r="C71" s="375"/>
      <c r="D71" s="375"/>
      <c r="E71" s="378"/>
      <c r="F71" s="375"/>
      <c r="G71" s="395"/>
      <c r="H71" s="392"/>
      <c r="I71" s="383"/>
      <c r="J71" s="389"/>
      <c r="K71" s="383">
        <f>IF(NOT(ISERROR(MATCH(J71,_xlfn.ANCHORARRAY(E82),0))),I84&amp;"Por favor no seleccionar los criterios de impacto",J71)</f>
        <v>0</v>
      </c>
      <c r="L71" s="392"/>
      <c r="M71" s="383"/>
      <c r="N71" s="386"/>
      <c r="O71" s="106">
        <v>4</v>
      </c>
      <c r="P71" s="158"/>
      <c r="Q71" s="107" t="str">
        <f t="shared" ref="Q71:Q73" si="72">IF(OR(R71="Preventivo",R71="Detectivo"),"Probabilidad",IF(R71="Correctivo","Impacto",""))</f>
        <v/>
      </c>
      <c r="R71" s="108"/>
      <c r="S71" s="108"/>
      <c r="T71" s="109" t="str">
        <f t="shared" si="69"/>
        <v/>
      </c>
      <c r="U71" s="108"/>
      <c r="V71" s="108"/>
      <c r="W71" s="108"/>
      <c r="X71" s="110" t="str">
        <f t="shared" ref="X71:X72" si="73">IFERROR(IF(AND(Q70="Probabilidad",Q71="Probabilidad"),(Z70-(+Z70*T71)),IF(AND(Q70="Impacto",Q71="Probabilidad"),(Z69-(+Z69*T71)),IF(Q71="Impacto",Z70,""))),"")</f>
        <v/>
      </c>
      <c r="Y71" s="111" t="str">
        <f t="shared" si="1"/>
        <v/>
      </c>
      <c r="Z71" s="112" t="str">
        <f t="shared" si="70"/>
        <v/>
      </c>
      <c r="AA71" s="111" t="str">
        <f t="shared" si="3"/>
        <v/>
      </c>
      <c r="AB71" s="112" t="str">
        <f t="shared" ref="AB71:AB72" si="74">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6"/>
      <c r="AH71" s="117"/>
      <c r="AI71" s="117"/>
    </row>
    <row r="72" spans="1:67" ht="18" hidden="1" customHeight="1" x14ac:dyDescent="0.3">
      <c r="A72" s="353"/>
      <c r="B72" s="375"/>
      <c r="C72" s="375"/>
      <c r="D72" s="375"/>
      <c r="E72" s="378"/>
      <c r="F72" s="375"/>
      <c r="G72" s="395"/>
      <c r="H72" s="392"/>
      <c r="I72" s="383"/>
      <c r="J72" s="389"/>
      <c r="K72" s="383">
        <f>IF(NOT(ISERROR(MATCH(J72,_xlfn.ANCHORARRAY(E83),0))),I85&amp;"Por favor no seleccionar los criterios de impacto",J72)</f>
        <v>0</v>
      </c>
      <c r="L72" s="392"/>
      <c r="M72" s="383"/>
      <c r="N72" s="386"/>
      <c r="O72" s="106">
        <v>5</v>
      </c>
      <c r="P72" s="158"/>
      <c r="Q72" s="107" t="str">
        <f t="shared" si="72"/>
        <v/>
      </c>
      <c r="R72" s="108"/>
      <c r="S72" s="108"/>
      <c r="T72" s="109" t="str">
        <f t="shared" si="69"/>
        <v/>
      </c>
      <c r="U72" s="108"/>
      <c r="V72" s="108"/>
      <c r="W72" s="108"/>
      <c r="X72" s="110" t="str">
        <f t="shared" si="73"/>
        <v/>
      </c>
      <c r="Y72" s="111" t="str">
        <f t="shared" si="1"/>
        <v/>
      </c>
      <c r="Z72" s="112" t="str">
        <f t="shared" si="70"/>
        <v/>
      </c>
      <c r="AA72" s="111" t="str">
        <f t="shared" si="3"/>
        <v/>
      </c>
      <c r="AB72" s="112" t="str">
        <f t="shared" si="74"/>
        <v/>
      </c>
      <c r="AC72" s="113" t="str">
        <f t="shared" ref="AC72:AC73" si="75">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6"/>
      <c r="AH72" s="117"/>
      <c r="AI72" s="117"/>
    </row>
    <row r="73" spans="1:67" ht="18" hidden="1" customHeight="1" x14ac:dyDescent="0.3">
      <c r="A73" s="354"/>
      <c r="B73" s="376"/>
      <c r="C73" s="376"/>
      <c r="D73" s="376"/>
      <c r="E73" s="379"/>
      <c r="F73" s="376"/>
      <c r="G73" s="396"/>
      <c r="H73" s="393"/>
      <c r="I73" s="384"/>
      <c r="J73" s="390"/>
      <c r="K73" s="384">
        <f>IF(NOT(ISERROR(MATCH(J73,_xlfn.ANCHORARRAY(E84),0))),I86&amp;"Por favor no seleccionar los criterios de impacto",J73)</f>
        <v>0</v>
      </c>
      <c r="L73" s="393"/>
      <c r="M73" s="384"/>
      <c r="N73" s="387"/>
      <c r="O73" s="106">
        <v>6</v>
      </c>
      <c r="P73" s="158"/>
      <c r="Q73" s="107" t="str">
        <f t="shared" si="72"/>
        <v/>
      </c>
      <c r="R73" s="108"/>
      <c r="S73" s="108"/>
      <c r="T73" s="109" t="str">
        <f t="shared" si="69"/>
        <v/>
      </c>
      <c r="U73" s="108"/>
      <c r="V73" s="108"/>
      <c r="W73" s="108"/>
      <c r="X73" s="110" t="str">
        <f>IFERROR(IF(AND(Q72="Probabilidad",Q73="Probabilidad"),(Z72-(+Z72*T73)),IF(AND(Q72="Impacto",Q73="Probabilidad"),(Z71-(+Z71*T73)),IF(Q73="Impacto",Z72,""))),"")</f>
        <v/>
      </c>
      <c r="Y73" s="111" t="str">
        <f t="shared" si="1"/>
        <v/>
      </c>
      <c r="Z73" s="112" t="str">
        <f t="shared" si="70"/>
        <v/>
      </c>
      <c r="AA73" s="111" t="str">
        <f t="shared" si="3"/>
        <v/>
      </c>
      <c r="AB73" s="112" t="str">
        <f>IFERROR(IF(AND(Q72="Impacto",Q73="Impacto"),(AB72-(+AB72*T73)),IF(AND(Q72="Probabilidad",Q73="Impacto"),(AB71-(+AB71*T73)),IF(Q73="Probabilidad",AB72,""))),"")</f>
        <v/>
      </c>
      <c r="AC73" s="113" t="str">
        <f t="shared" si="75"/>
        <v/>
      </c>
      <c r="AD73" s="114"/>
      <c r="AE73" s="115"/>
      <c r="AF73" s="116"/>
      <c r="AG73" s="116"/>
      <c r="AH73" s="117"/>
      <c r="AI73" s="117"/>
    </row>
    <row r="74" spans="1:67" ht="34.5" customHeight="1" x14ac:dyDescent="0.3">
      <c r="A74" s="6"/>
      <c r="B74" s="380" t="s">
        <v>214</v>
      </c>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row>
    <row r="76" spans="1:67" x14ac:dyDescent="0.3">
      <c r="A76" s="1"/>
      <c r="B76" s="24" t="s">
        <v>215</v>
      </c>
      <c r="C76" s="1"/>
      <c r="D76" s="1"/>
      <c r="F76" s="1"/>
    </row>
  </sheetData>
  <dataConsolidate/>
  <mergeCells count="203">
    <mergeCell ref="Y30:Y32"/>
    <mergeCell ref="Z30:Z32"/>
    <mergeCell ref="AA30:AA32"/>
    <mergeCell ref="AB30:AB32"/>
    <mergeCell ref="AC30:AC32"/>
    <mergeCell ref="AD30:AD32"/>
    <mergeCell ref="O30:O32"/>
    <mergeCell ref="P30:P32"/>
    <mergeCell ref="Q30:Q32"/>
    <mergeCell ref="R30:R32"/>
    <mergeCell ref="S30:S32"/>
    <mergeCell ref="T30:T32"/>
    <mergeCell ref="U30:U32"/>
    <mergeCell ref="V30:V32"/>
    <mergeCell ref="W30:W32"/>
    <mergeCell ref="L50:L55"/>
    <mergeCell ref="J44:J49"/>
    <mergeCell ref="K44:K49"/>
    <mergeCell ref="L44:L49"/>
    <mergeCell ref="G38:G43"/>
    <mergeCell ref="H38:H43"/>
    <mergeCell ref="A38:A43"/>
    <mergeCell ref="B38:B43"/>
    <mergeCell ref="C38:C43"/>
    <mergeCell ref="A44:A49"/>
    <mergeCell ref="C44:C49"/>
    <mergeCell ref="D44:D49"/>
    <mergeCell ref="E44:E49"/>
    <mergeCell ref="F44:F49"/>
    <mergeCell ref="D38:D43"/>
    <mergeCell ref="E38:E43"/>
    <mergeCell ref="F38:F43"/>
    <mergeCell ref="A62:A67"/>
    <mergeCell ref="B62:B67"/>
    <mergeCell ref="C62:C67"/>
    <mergeCell ref="D62:D67"/>
    <mergeCell ref="E62:E67"/>
    <mergeCell ref="F62:F67"/>
    <mergeCell ref="G62:G67"/>
    <mergeCell ref="H62:H67"/>
    <mergeCell ref="I62:I67"/>
    <mergeCell ref="K68:K73"/>
    <mergeCell ref="L68:L73"/>
    <mergeCell ref="M68:M73"/>
    <mergeCell ref="N68:N73"/>
    <mergeCell ref="I68:I73"/>
    <mergeCell ref="AI10:AI11"/>
    <mergeCell ref="O6:Q6"/>
    <mergeCell ref="O9:W9"/>
    <mergeCell ref="X9:AD9"/>
    <mergeCell ref="M24:M29"/>
    <mergeCell ref="N24:N29"/>
    <mergeCell ref="J30:J37"/>
    <mergeCell ref="L30:L37"/>
    <mergeCell ref="M30:M37"/>
    <mergeCell ref="N30:N37"/>
    <mergeCell ref="K18:K23"/>
    <mergeCell ref="M38:M43"/>
    <mergeCell ref="N38:N43"/>
    <mergeCell ref="M44:M49"/>
    <mergeCell ref="AG10:AG11"/>
    <mergeCell ref="AE9:AI9"/>
    <mergeCell ref="J50:J55"/>
    <mergeCell ref="K50:K55"/>
    <mergeCell ref="N44:N49"/>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D56:D61"/>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J68:J73"/>
    <mergeCell ref="A30:A37"/>
    <mergeCell ref="B30:B37"/>
    <mergeCell ref="C30:C37"/>
    <mergeCell ref="D30:D37"/>
    <mergeCell ref="E30:E37"/>
    <mergeCell ref="F30:F37"/>
    <mergeCell ref="C50:C55"/>
    <mergeCell ref="B44:B49"/>
    <mergeCell ref="E50:E55"/>
    <mergeCell ref="D50:D55"/>
    <mergeCell ref="G30:G37"/>
    <mergeCell ref="H30:H37"/>
    <mergeCell ref="I30:I37"/>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B18:B23"/>
    <mergeCell ref="C18:C23"/>
    <mergeCell ref="D18:D23"/>
    <mergeCell ref="E18:E23"/>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A6:B6"/>
    <mergeCell ref="A12:A17"/>
    <mergeCell ref="B12:B17"/>
    <mergeCell ref="C12:C17"/>
    <mergeCell ref="D12:D17"/>
    <mergeCell ref="E12:E17"/>
    <mergeCell ref="N12:N17"/>
    <mergeCell ref="I12:I17"/>
    <mergeCell ref="J12:J17"/>
    <mergeCell ref="K12:K17"/>
    <mergeCell ref="L12:L17"/>
    <mergeCell ref="M12:M17"/>
  </mergeCells>
  <conditionalFormatting sqref="H12 H18">
    <cfRule type="cellIs" dxfId="118" priority="551" operator="equal">
      <formula>"Muy Alta"</formula>
    </cfRule>
    <cfRule type="cellIs" dxfId="117" priority="553" operator="equal">
      <formula>"Media"</formula>
    </cfRule>
    <cfRule type="cellIs" dxfId="116" priority="554" operator="equal">
      <formula>"Baja"</formula>
    </cfRule>
    <cfRule type="cellIs" dxfId="115" priority="555" operator="equal">
      <formula>"Muy Baja"</formula>
    </cfRule>
    <cfRule type="cellIs" dxfId="114" priority="552" operator="equal">
      <formula>"Alta"</formula>
    </cfRule>
  </conditionalFormatting>
  <conditionalFormatting sqref="H24">
    <cfRule type="cellIs" dxfId="113" priority="57" operator="equal">
      <formula>"Baja"</formula>
    </cfRule>
    <cfRule type="cellIs" dxfId="112" priority="56" operator="equal">
      <formula>"Media"</formula>
    </cfRule>
    <cfRule type="cellIs" dxfId="111" priority="55" operator="equal">
      <formula>"Alta"</formula>
    </cfRule>
    <cfRule type="cellIs" dxfId="110" priority="54" operator="equal">
      <formula>"Muy Alta"</formula>
    </cfRule>
    <cfRule type="cellIs" dxfId="109" priority="58" operator="equal">
      <formula>"Muy Baja"</formula>
    </cfRule>
  </conditionalFormatting>
  <conditionalFormatting sqref="H30:H32">
    <cfRule type="cellIs" dxfId="108" priority="21" operator="equal">
      <formula>"Alta"</formula>
    </cfRule>
    <cfRule type="cellIs" dxfId="107" priority="22" operator="equal">
      <formula>"Media"</formula>
    </cfRule>
    <cfRule type="cellIs" dxfId="106" priority="23" operator="equal">
      <formula>"Baja"</formula>
    </cfRule>
    <cfRule type="cellIs" dxfId="105" priority="24" operator="equal">
      <formula>"Muy Baja"</formula>
    </cfRule>
    <cfRule type="cellIs" dxfId="104" priority="20" operator="equal">
      <formula>"Muy Alta"</formula>
    </cfRule>
  </conditionalFormatting>
  <conditionalFormatting sqref="H38">
    <cfRule type="cellIs" dxfId="103" priority="401" operator="equal">
      <formula>"Muy Baja"</formula>
    </cfRule>
    <cfRule type="cellIs" dxfId="102" priority="400" operator="equal">
      <formula>"Baja"</formula>
    </cfRule>
    <cfRule type="cellIs" dxfId="101" priority="399" operator="equal">
      <formula>"Media"</formula>
    </cfRule>
    <cfRule type="cellIs" dxfId="100" priority="398" operator="equal">
      <formula>"Alta"</formula>
    </cfRule>
    <cfRule type="cellIs" dxfId="99" priority="397" operator="equal">
      <formula>"Muy Alta"</formula>
    </cfRule>
  </conditionalFormatting>
  <conditionalFormatting sqref="H44">
    <cfRule type="cellIs" dxfId="98" priority="371" operator="equal">
      <formula>"Media"</formula>
    </cfRule>
    <cfRule type="cellIs" dxfId="97" priority="370" operator="equal">
      <formula>"Alta"</formula>
    </cfRule>
    <cfRule type="cellIs" dxfId="96" priority="369" operator="equal">
      <formula>"Muy Alta"</formula>
    </cfRule>
    <cfRule type="cellIs" dxfId="95" priority="372" operator="equal">
      <formula>"Baja"</formula>
    </cfRule>
    <cfRule type="cellIs" dxfId="94" priority="373" operator="equal">
      <formula>"Muy Baja"</formula>
    </cfRule>
  </conditionalFormatting>
  <conditionalFormatting sqref="H50">
    <cfRule type="cellIs" dxfId="93" priority="343" operator="equal">
      <formula>"Media"</formula>
    </cfRule>
    <cfRule type="cellIs" dxfId="92" priority="342" operator="equal">
      <formula>"Alta"</formula>
    </cfRule>
    <cfRule type="cellIs" dxfId="91" priority="341" operator="equal">
      <formula>"Muy Alta"</formula>
    </cfRule>
    <cfRule type="cellIs" dxfId="90" priority="345" operator="equal">
      <formula>"Muy Baja"</formula>
    </cfRule>
    <cfRule type="cellIs" dxfId="89" priority="344" operator="equal">
      <formula>"Baja"</formula>
    </cfRule>
  </conditionalFormatting>
  <conditionalFormatting sqref="H56">
    <cfRule type="cellIs" dxfId="88" priority="317" operator="equal">
      <formula>"Muy Baja"</formula>
    </cfRule>
    <cfRule type="cellIs" dxfId="87" priority="316" operator="equal">
      <formula>"Baja"</formula>
    </cfRule>
    <cfRule type="cellIs" dxfId="86" priority="315" operator="equal">
      <formula>"Media"</formula>
    </cfRule>
    <cfRule type="cellIs" dxfId="85" priority="314" operator="equal">
      <formula>"Alta"</formula>
    </cfRule>
    <cfRule type="cellIs" dxfId="84" priority="313" operator="equal">
      <formula>"Muy Alta"</formula>
    </cfRule>
  </conditionalFormatting>
  <conditionalFormatting sqref="H62">
    <cfRule type="cellIs" dxfId="83" priority="285" operator="equal">
      <formula>"Muy Alta"</formula>
    </cfRule>
    <cfRule type="cellIs" dxfId="82" priority="287" operator="equal">
      <formula>"Media"</formula>
    </cfRule>
    <cfRule type="cellIs" dxfId="81" priority="288" operator="equal">
      <formula>"Baja"</formula>
    </cfRule>
    <cfRule type="cellIs" dxfId="80" priority="289" operator="equal">
      <formula>"Muy Baja"</formula>
    </cfRule>
    <cfRule type="cellIs" dxfId="79" priority="286" operator="equal">
      <formula>"Alta"</formula>
    </cfRule>
  </conditionalFormatting>
  <conditionalFormatting sqref="H68">
    <cfRule type="cellIs" dxfId="78" priority="257" operator="equal">
      <formula>"Muy Alta"</formula>
    </cfRule>
    <cfRule type="cellIs" dxfId="77" priority="259" operator="equal">
      <formula>"Media"</formula>
    </cfRule>
    <cfRule type="cellIs" dxfId="76" priority="260" operator="equal">
      <formula>"Baja"</formula>
    </cfRule>
    <cfRule type="cellIs" dxfId="75" priority="261" operator="equal">
      <formula>"Muy Baja"</formula>
    </cfRule>
    <cfRule type="cellIs" dxfId="74" priority="258" operator="equal">
      <formula>"Alta"</formula>
    </cfRule>
  </conditionalFormatting>
  <conditionalFormatting sqref="K12:K73">
    <cfRule type="containsText" dxfId="73" priority="1" operator="containsText" text="❌">
      <formula>NOT(ISERROR(SEARCH("❌",K12)))</formula>
    </cfRule>
  </conditionalFormatting>
  <conditionalFormatting sqref="L12 L18 L38 L44 L50 L56 L62 L68">
    <cfRule type="cellIs" dxfId="72" priority="550" operator="equal">
      <formula>"Leve"</formula>
    </cfRule>
    <cfRule type="cellIs" dxfId="71" priority="549" operator="equal">
      <formula>"Menor"</formula>
    </cfRule>
    <cfRule type="cellIs" dxfId="70" priority="548" operator="equal">
      <formula>"Moderado"</formula>
    </cfRule>
    <cfRule type="cellIs" dxfId="69" priority="547" operator="equal">
      <formula>"Mayor"</formula>
    </cfRule>
    <cfRule type="cellIs" dxfId="68" priority="546" operator="equal">
      <formula>"Catastrófico"</formula>
    </cfRule>
  </conditionalFormatting>
  <conditionalFormatting sqref="L24">
    <cfRule type="cellIs" dxfId="67" priority="45" operator="equal">
      <formula>"Catastrófico"</formula>
    </cfRule>
    <cfRule type="cellIs" dxfId="66" priority="46" operator="equal">
      <formula>"Mayor"</formula>
    </cfRule>
    <cfRule type="cellIs" dxfId="65" priority="47" operator="equal">
      <formula>"Moderado"</formula>
    </cfRule>
    <cfRule type="cellIs" dxfId="64" priority="48" operator="equal">
      <formula>"Menor"</formula>
    </cfRule>
    <cfRule type="cellIs" dxfId="63" priority="49" operator="equal">
      <formula>"Leve"</formula>
    </cfRule>
  </conditionalFormatting>
  <conditionalFormatting sqref="L30:L32">
    <cfRule type="cellIs" dxfId="62" priority="28" operator="equal">
      <formula>"Menor"</formula>
    </cfRule>
    <cfRule type="cellIs" dxfId="61" priority="29" operator="equal">
      <formula>"Leve"</formula>
    </cfRule>
    <cfRule type="cellIs" dxfId="60" priority="25" operator="equal">
      <formula>"Catastrófico"</formula>
    </cfRule>
    <cfRule type="cellIs" dxfId="59" priority="26" operator="equal">
      <formula>"Mayor"</formula>
    </cfRule>
    <cfRule type="cellIs" dxfId="58" priority="27" operator="equal">
      <formula>"Moderado"</formula>
    </cfRule>
  </conditionalFormatting>
  <conditionalFormatting sqref="N12">
    <cfRule type="cellIs" dxfId="57" priority="545" operator="equal">
      <formula>"Bajo"</formula>
    </cfRule>
    <cfRule type="cellIs" dxfId="56" priority="544" operator="equal">
      <formula>"Moderado"</formula>
    </cfRule>
    <cfRule type="cellIs" dxfId="55" priority="543" operator="equal">
      <formula>"Alto"</formula>
    </cfRule>
    <cfRule type="cellIs" dxfId="54" priority="542" operator="equal">
      <formula>"Extremo"</formula>
    </cfRule>
  </conditionalFormatting>
  <conditionalFormatting sqref="N18">
    <cfRule type="cellIs" dxfId="53" priority="475" operator="equal">
      <formula>"Bajo"</formula>
    </cfRule>
    <cfRule type="cellIs" dxfId="52" priority="474" operator="equal">
      <formula>"Moderado"</formula>
    </cfRule>
    <cfRule type="cellIs" dxfId="51" priority="473" operator="equal">
      <formula>"Alto"</formula>
    </cfRule>
    <cfRule type="cellIs" dxfId="50" priority="472" operator="equal">
      <formula>"Extremo"</formula>
    </cfRule>
  </conditionalFormatting>
  <conditionalFormatting sqref="N24">
    <cfRule type="cellIs" dxfId="49" priority="53" operator="equal">
      <formula>"Bajo"</formula>
    </cfRule>
    <cfRule type="cellIs" dxfId="48" priority="52" operator="equal">
      <formula>"Moderado"</formula>
    </cfRule>
    <cfRule type="cellIs" dxfId="47" priority="51" operator="equal">
      <formula>"Alto"</formula>
    </cfRule>
    <cfRule type="cellIs" dxfId="46" priority="50" operator="equal">
      <formula>"Extremo"</formula>
    </cfRule>
  </conditionalFormatting>
  <conditionalFormatting sqref="N30:N32">
    <cfRule type="cellIs" dxfId="45" priority="18" operator="equal">
      <formula>"Moderado"</formula>
    </cfRule>
    <cfRule type="cellIs" dxfId="44" priority="17" operator="equal">
      <formula>"Alto"</formula>
    </cfRule>
    <cfRule type="cellIs" dxfId="43" priority="19" operator="equal">
      <formula>"Bajo"</formula>
    </cfRule>
    <cfRule type="cellIs" dxfId="42" priority="16" operator="equal">
      <formula>"Extremo"</formula>
    </cfRule>
  </conditionalFormatting>
  <conditionalFormatting sqref="N38">
    <cfRule type="cellIs" dxfId="41" priority="389" operator="equal">
      <formula>"Alto"</formula>
    </cfRule>
    <cfRule type="cellIs" dxfId="40" priority="388" operator="equal">
      <formula>"Extremo"</formula>
    </cfRule>
    <cfRule type="cellIs" dxfId="39" priority="391" operator="equal">
      <formula>"Bajo"</formula>
    </cfRule>
    <cfRule type="cellIs" dxfId="38" priority="390" operator="equal">
      <formula>"Moderado"</formula>
    </cfRule>
  </conditionalFormatting>
  <conditionalFormatting sqref="N44">
    <cfRule type="cellIs" dxfId="37" priority="360" operator="equal">
      <formula>"Extremo"</formula>
    </cfRule>
    <cfRule type="cellIs" dxfId="36" priority="361" operator="equal">
      <formula>"Alto"</formula>
    </cfRule>
    <cfRule type="cellIs" dxfId="35" priority="362" operator="equal">
      <formula>"Moderado"</formula>
    </cfRule>
    <cfRule type="cellIs" dxfId="34" priority="363" operator="equal">
      <formula>"Bajo"</formula>
    </cfRule>
  </conditionalFormatting>
  <conditionalFormatting sqref="N50">
    <cfRule type="cellIs" dxfId="33" priority="335" operator="equal">
      <formula>"Bajo"</formula>
    </cfRule>
    <cfRule type="cellIs" dxfId="32" priority="334" operator="equal">
      <formula>"Moderado"</formula>
    </cfRule>
    <cfRule type="cellIs" dxfId="31" priority="333" operator="equal">
      <formula>"Alto"</formula>
    </cfRule>
    <cfRule type="cellIs" dxfId="30" priority="332" operator="equal">
      <formula>"Extremo"</formula>
    </cfRule>
  </conditionalFormatting>
  <conditionalFormatting sqref="N56">
    <cfRule type="cellIs" dxfId="29" priority="305" operator="equal">
      <formula>"Alto"</formula>
    </cfRule>
    <cfRule type="cellIs" dxfId="28" priority="306" operator="equal">
      <formula>"Moderado"</formula>
    </cfRule>
    <cfRule type="cellIs" dxfId="27" priority="307" operator="equal">
      <formula>"Bajo"</formula>
    </cfRule>
    <cfRule type="cellIs" dxfId="26" priority="304" operator="equal">
      <formula>"Extremo"</formula>
    </cfRule>
  </conditionalFormatting>
  <conditionalFormatting sqref="N62">
    <cfRule type="cellIs" dxfId="25" priority="276" operator="equal">
      <formula>"Extremo"</formula>
    </cfRule>
    <cfRule type="cellIs" dxfId="24" priority="279" operator="equal">
      <formula>"Bajo"</formula>
    </cfRule>
    <cfRule type="cellIs" dxfId="23" priority="278" operator="equal">
      <formula>"Moderado"</formula>
    </cfRule>
    <cfRule type="cellIs" dxfId="22" priority="277" operator="equal">
      <formula>"Alto"</formula>
    </cfRule>
  </conditionalFormatting>
  <conditionalFormatting sqref="N68">
    <cfRule type="cellIs" dxfId="21" priority="250" operator="equal">
      <formula>"Moderado"</formula>
    </cfRule>
    <cfRule type="cellIs" dxfId="20" priority="248" operator="equal">
      <formula>"Extremo"</formula>
    </cfRule>
    <cfRule type="cellIs" dxfId="19" priority="249" operator="equal">
      <formula>"Alto"</formula>
    </cfRule>
    <cfRule type="cellIs" dxfId="18" priority="251" operator="equal">
      <formula>"Bajo"</formula>
    </cfRule>
  </conditionalFormatting>
  <conditionalFormatting sqref="Y12:Y30 Y33:Y73">
    <cfRule type="cellIs" dxfId="17" priority="13" operator="equal">
      <formula>"Media"</formula>
    </cfRule>
    <cfRule type="cellIs" dxfId="16" priority="14" operator="equal">
      <formula>"Baja"</formula>
    </cfRule>
    <cfRule type="cellIs" dxfId="15" priority="15" operator="equal">
      <formula>"Muy Baja"</formula>
    </cfRule>
    <cfRule type="cellIs" dxfId="14" priority="12" operator="equal">
      <formula>"Alta"</formula>
    </cfRule>
    <cfRule type="cellIs" dxfId="13" priority="11" operator="equal">
      <formula>"Muy Alta"</formula>
    </cfRule>
  </conditionalFormatting>
  <conditionalFormatting sqref="AA12:AA30 AA33:AA73">
    <cfRule type="cellIs" dxfId="12" priority="10" operator="equal">
      <formula>"Leve"</formula>
    </cfRule>
    <cfRule type="cellIs" dxfId="11" priority="9" operator="equal">
      <formula>"Menor"</formula>
    </cfRule>
    <cfRule type="cellIs" dxfId="10" priority="8" operator="equal">
      <formula>"Moderado"</formula>
    </cfRule>
    <cfRule type="cellIs" dxfId="9" priority="7" operator="equal">
      <formula>"Mayor"</formula>
    </cfRule>
    <cfRule type="cellIs" dxfId="8" priority="6" operator="equal">
      <formula>"Catastrófico"</formula>
    </cfRule>
  </conditionalFormatting>
  <conditionalFormatting sqref="AC12:AC30 AC33:AC73">
    <cfRule type="cellIs" dxfId="7" priority="5" operator="equal">
      <formula>"Bajo"</formula>
    </cfRule>
    <cfRule type="cellIs" dxfId="6" priority="3" operator="equal">
      <formula>"Alto"</formula>
    </cfRule>
    <cfRule type="cellIs" dxfId="5" priority="2" operator="equal">
      <formula>"Extremo"</formula>
    </cfRule>
    <cfRule type="cellIs" dxfId="4" priority="4" operator="equal">
      <formula>"Moderado"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R12:R23 R38:R73</xm:sqref>
        </x14:dataValidation>
        <x14:dataValidation type="list" allowBlank="1" showInputMessage="1" showErrorMessage="1" xr:uid="{00000000-0002-0000-0200-000001000000}">
          <x14:formula1>
            <xm:f>'Tabla Valoración controles'!$D$7:$D$8</xm:f>
          </x14:formula1>
          <xm:sqref>S12:S23 S38:S73</xm:sqref>
        </x14:dataValidation>
        <x14:dataValidation type="list" allowBlank="1" showInputMessage="1" showErrorMessage="1" xr:uid="{00000000-0002-0000-0200-000002000000}">
          <x14:formula1>
            <xm:f>'Tabla Valoración controles'!$D$9:$D$10</xm:f>
          </x14:formula1>
          <xm:sqref>U12:U23 U38:U73</xm:sqref>
        </x14:dataValidation>
        <x14:dataValidation type="list" allowBlank="1" showInputMessage="1" showErrorMessage="1" xr:uid="{00000000-0002-0000-0200-000003000000}">
          <x14:formula1>
            <xm:f>'Tabla Valoración controles'!$D$11:$D$12</xm:f>
          </x14:formula1>
          <xm:sqref>V12:V23 V38:V73</xm:sqref>
        </x14:dataValidation>
        <x14:dataValidation type="list" allowBlank="1" showInputMessage="1" showErrorMessage="1" xr:uid="{00000000-0002-0000-0200-000004000000}">
          <x14:formula1>
            <xm:f>'Tabla Valoración controles'!$D$13:$D$14</xm:f>
          </x14:formula1>
          <xm:sqref>W12:W23 W38:W73</xm:sqref>
        </x14:dataValidation>
        <x14:dataValidation type="list" allowBlank="1" showInputMessage="1" showErrorMessage="1" xr:uid="{00000000-0002-0000-0200-000005000000}">
          <x14:formula1>
            <xm:f>'Opciones Tratamiento'!$B$13:$B$19</xm:f>
          </x14:formula1>
          <xm:sqref>F12:F23 F38:F73</xm:sqref>
        </x14:dataValidation>
        <x14:dataValidation type="list" allowBlank="1" showInputMessage="1" showErrorMessage="1" xr:uid="{00000000-0002-0000-0200-000006000000}">
          <x14:formula1>
            <xm:f>'Opciones Tratamiento'!$E$2:$E$4</xm:f>
          </x14:formula1>
          <xm:sqref>B12:B23 B38:B73</xm:sqref>
        </x14:dataValidation>
        <x14:dataValidation type="list" allowBlank="1" showInputMessage="1" showErrorMessage="1" xr:uid="{00000000-0002-0000-0200-000007000000}">
          <x14:formula1>
            <xm:f>'Opciones Tratamiento'!$B$2:$B$5</xm:f>
          </x14:formula1>
          <xm:sqref>AD12:AD23 AD38:AD73</xm:sqref>
        </x14:dataValidation>
        <x14:dataValidation type="list" allowBlank="1" showInputMessage="1" showErrorMessage="1" xr:uid="{00000000-0002-0000-0200-000008000000}">
          <x14:formula1>
            <xm:f>'Tabla Impacto'!$F$210:$F$221</xm:f>
          </x14:formula1>
          <xm:sqref>J12:J23 J38:J73</xm:sqref>
        </x14:dataValidation>
        <x14:dataValidation type="custom" allowBlank="1" showInputMessage="1" showErrorMessage="1" error="Recuerde que las acciones se generan bajo la medida de mitigar el riesgo" xr:uid="{00000000-0002-0000-0200-000009000000}">
          <x14:formula1>
            <xm:f>IF(OR(AD20='Opciones Tratamiento'!$B$2,AD20='Opciones Tratamiento'!$B$3,AD20='Opciones Tratamiento'!$B$4),ISBLANK(AD20),ISTEXT(AD20))</xm:f>
          </x14:formula1>
          <xm:sqref>AE20:AE23 AE38:AE73</xm:sqref>
        </x14:dataValidation>
        <x14:dataValidation type="custom" allowBlank="1" showInputMessage="1" showErrorMessage="1" error="Recuerde que las acciones se generan bajo la medida de mitigar el riesgo" xr:uid="{00000000-0002-0000-0200-00000A000000}">
          <x14:formula1>
            <xm:f>IF(OR(AD20='Opciones Tratamiento'!$B$2,AD20='Opciones Tratamiento'!$B$3,AD20='Opciones Tratamiento'!$B$4),ISBLANK(AD20),ISTEXT(AD20))</xm:f>
          </x14:formula1>
          <xm:sqref>AF20:AG23 AF39:AG73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AH20:AH23 AI12:AI23 AH39:AI73 AI38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13" t="s">
        <v>216</v>
      </c>
      <c r="C2" s="413"/>
      <c r="D2" s="413"/>
      <c r="E2" s="413"/>
      <c r="F2" s="413"/>
      <c r="G2" s="413"/>
      <c r="H2" s="413"/>
      <c r="I2" s="413"/>
      <c r="J2" s="450" t="s">
        <v>26</v>
      </c>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13"/>
      <c r="C3" s="413"/>
      <c r="D3" s="413"/>
      <c r="E3" s="413"/>
      <c r="F3" s="413"/>
      <c r="G3" s="413"/>
      <c r="H3" s="413"/>
      <c r="I3" s="413"/>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13"/>
      <c r="C4" s="413"/>
      <c r="D4" s="413"/>
      <c r="E4" s="413"/>
      <c r="F4" s="413"/>
      <c r="G4" s="413"/>
      <c r="H4" s="413"/>
      <c r="I4" s="413"/>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61" t="s">
        <v>217</v>
      </c>
      <c r="C6" s="461"/>
      <c r="D6" s="462"/>
      <c r="E6" s="451" t="s">
        <v>218</v>
      </c>
      <c r="F6" s="452"/>
      <c r="G6" s="452"/>
      <c r="H6" s="452"/>
      <c r="I6" s="453"/>
      <c r="J6" s="447" t="str">
        <f>IF(AND('Mapa de Riesgos'!$H$12="Muy Alta",'Mapa de Riesgos'!$L$12="Leve"),CONCATENATE("R",'Mapa de Riesgos'!$A$12),"")</f>
        <v/>
      </c>
      <c r="K6" s="448"/>
      <c r="L6" s="448" t="str">
        <f>IF(AND('Mapa de Riesgos'!$H$18="Muy Alta",'Mapa de Riesgos'!$L$18="Leve"),CONCATENATE("R",'Mapa de Riesgos'!$A$18),"")</f>
        <v/>
      </c>
      <c r="M6" s="448"/>
      <c r="N6" s="448" t="str">
        <f>IF(AND('Mapa de Riesgos'!$H$24="Muy Alta",'Mapa de Riesgos'!$L$24="Leve"),CONCATENATE("R",'Mapa de Riesgos'!$A$24),"")</f>
        <v/>
      </c>
      <c r="O6" s="449"/>
      <c r="P6" s="447" t="str">
        <f>IF(AND('Mapa de Riesgos'!$H$12="Muy Alta",'Mapa de Riesgos'!$L$12="Menor"),CONCATENATE("R",'Mapa de Riesgos'!$A$12),"")</f>
        <v/>
      </c>
      <c r="Q6" s="448"/>
      <c r="R6" s="448" t="str">
        <f>IF(AND('Mapa de Riesgos'!$H$18="Muy Alta",'Mapa de Riesgos'!$L$18="Menor"),CONCATENATE("R",'Mapa de Riesgos'!$A$18),"")</f>
        <v/>
      </c>
      <c r="S6" s="448"/>
      <c r="T6" s="448" t="str">
        <f>IF(AND('Mapa de Riesgos'!$H$24="Muy Alta",'Mapa de Riesgos'!$L$24="Menor"),CONCATENATE("R",'Mapa de Riesgos'!$A$24),"")</f>
        <v/>
      </c>
      <c r="U6" s="449"/>
      <c r="V6" s="447" t="str">
        <f>IF(AND('Mapa de Riesgos'!$H$12="Muy Alta",'Mapa de Riesgos'!$L$12="Moderado"),CONCATENATE("R",'Mapa de Riesgos'!$A$12),"")</f>
        <v/>
      </c>
      <c r="W6" s="448"/>
      <c r="X6" s="448" t="str">
        <f>IF(AND('Mapa de Riesgos'!$H$18="Muy Alta",'Mapa de Riesgos'!$L$18="Moderado"),CONCATENATE("R",'Mapa de Riesgos'!$A$18),"")</f>
        <v/>
      </c>
      <c r="Y6" s="448"/>
      <c r="Z6" s="448" t="str">
        <f>IF(AND('Mapa de Riesgos'!$H$24="Muy Alta",'Mapa de Riesgos'!$L$24="Moderado"),CONCATENATE("R",'Mapa de Riesgos'!$A$24),"")</f>
        <v/>
      </c>
      <c r="AA6" s="449"/>
      <c r="AB6" s="447" t="str">
        <f>IF(AND('Mapa de Riesgos'!$H$12="Muy Alta",'Mapa de Riesgos'!$L$12="Mayor"),CONCATENATE("R",'Mapa de Riesgos'!$A$12),"")</f>
        <v/>
      </c>
      <c r="AC6" s="448"/>
      <c r="AD6" s="448" t="str">
        <f>IF(AND('Mapa de Riesgos'!$H$18="Muy Alta",'Mapa de Riesgos'!$L$18="Mayor"),CONCATENATE("R",'Mapa de Riesgos'!$A$18),"")</f>
        <v/>
      </c>
      <c r="AE6" s="448"/>
      <c r="AF6" s="448" t="str">
        <f>IF(AND('Mapa de Riesgos'!$H$24="Muy Alta",'Mapa de Riesgos'!$L$24="Mayor"),CONCATENATE("R",'Mapa de Riesgos'!$A$24),"")</f>
        <v/>
      </c>
      <c r="AG6" s="449"/>
      <c r="AH6" s="438" t="str">
        <f>IF(AND('Mapa de Riesgos'!$H$12="Muy Alta",'Mapa de Riesgos'!$L$12="Catastrófico"),CONCATENATE("R",'Mapa de Riesgos'!$A$12),"")</f>
        <v/>
      </c>
      <c r="AI6" s="439"/>
      <c r="AJ6" s="439" t="str">
        <f>IF(AND('Mapa de Riesgos'!$H$18="Muy Alta",'Mapa de Riesgos'!$L$18="Catastrófico"),CONCATENATE("R",'Mapa de Riesgos'!$A$18),"")</f>
        <v/>
      </c>
      <c r="AK6" s="439"/>
      <c r="AL6" s="439" t="str">
        <f>IF(AND('Mapa de Riesgos'!$H$24="Muy Alta",'Mapa de Riesgos'!$L$24="Catastrófico"),CONCATENATE("R",'Mapa de Riesgos'!$A$24),"")</f>
        <v/>
      </c>
      <c r="AM6" s="440"/>
      <c r="AO6" s="463" t="s">
        <v>219</v>
      </c>
      <c r="AP6" s="464"/>
      <c r="AQ6" s="464"/>
      <c r="AR6" s="464"/>
      <c r="AS6" s="464"/>
      <c r="AT6" s="46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61"/>
      <c r="C7" s="461"/>
      <c r="D7" s="462"/>
      <c r="E7" s="454"/>
      <c r="F7" s="455"/>
      <c r="G7" s="455"/>
      <c r="H7" s="455"/>
      <c r="I7" s="456"/>
      <c r="J7" s="441"/>
      <c r="K7" s="442"/>
      <c r="L7" s="442"/>
      <c r="M7" s="442"/>
      <c r="N7" s="442"/>
      <c r="O7" s="443"/>
      <c r="P7" s="441"/>
      <c r="Q7" s="442"/>
      <c r="R7" s="442"/>
      <c r="S7" s="442"/>
      <c r="T7" s="442"/>
      <c r="U7" s="443"/>
      <c r="V7" s="441"/>
      <c r="W7" s="442"/>
      <c r="X7" s="442"/>
      <c r="Y7" s="442"/>
      <c r="Z7" s="442"/>
      <c r="AA7" s="443"/>
      <c r="AB7" s="441"/>
      <c r="AC7" s="442"/>
      <c r="AD7" s="442"/>
      <c r="AE7" s="442"/>
      <c r="AF7" s="442"/>
      <c r="AG7" s="443"/>
      <c r="AH7" s="432"/>
      <c r="AI7" s="433"/>
      <c r="AJ7" s="433"/>
      <c r="AK7" s="433"/>
      <c r="AL7" s="433"/>
      <c r="AM7" s="434"/>
      <c r="AN7" s="83"/>
      <c r="AO7" s="466"/>
      <c r="AP7" s="467"/>
      <c r="AQ7" s="467"/>
      <c r="AR7" s="467"/>
      <c r="AS7" s="467"/>
      <c r="AT7" s="46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61"/>
      <c r="C8" s="461"/>
      <c r="D8" s="462"/>
      <c r="E8" s="454"/>
      <c r="F8" s="455"/>
      <c r="G8" s="455"/>
      <c r="H8" s="455"/>
      <c r="I8" s="456"/>
      <c r="J8" s="441" t="str">
        <f>IF(AND('Mapa de Riesgos'!$H$30="Muy Alta",'Mapa de Riesgos'!$L$30="Leve"),CONCATENATE("R",'Mapa de Riesgos'!$A$30),"")</f>
        <v/>
      </c>
      <c r="K8" s="442"/>
      <c r="L8" s="442" t="str">
        <f>IF(AND('Mapa de Riesgos'!$H$38="Muy Alta",'Mapa de Riesgos'!$L$38="Leve"),CONCATENATE("R",'Mapa de Riesgos'!$A$38),"")</f>
        <v/>
      </c>
      <c r="M8" s="442"/>
      <c r="N8" s="442" t="str">
        <f>IF(AND('Mapa de Riesgos'!$H$44="Muy Alta",'Mapa de Riesgos'!$L$44="Leve"),CONCATENATE("R",'Mapa de Riesgos'!$A$44),"")</f>
        <v/>
      </c>
      <c r="O8" s="443"/>
      <c r="P8" s="441" t="str">
        <f>IF(AND('Mapa de Riesgos'!$H$30="Muy Alta",'Mapa de Riesgos'!$L$30="Menor"),CONCATENATE("R",'Mapa de Riesgos'!$A$30),"")</f>
        <v/>
      </c>
      <c r="Q8" s="442"/>
      <c r="R8" s="442" t="str">
        <f>IF(AND('Mapa de Riesgos'!$H$38="Muy Alta",'Mapa de Riesgos'!$L$38="Menor"),CONCATENATE("R",'Mapa de Riesgos'!$A$38),"")</f>
        <v/>
      </c>
      <c r="S8" s="442"/>
      <c r="T8" s="442" t="str">
        <f>IF(AND('Mapa de Riesgos'!$H$44="Muy Alta",'Mapa de Riesgos'!$L$44="Menor"),CONCATENATE("R",'Mapa de Riesgos'!$A$44),"")</f>
        <v/>
      </c>
      <c r="U8" s="443"/>
      <c r="V8" s="441" t="str">
        <f>IF(AND('Mapa de Riesgos'!$H$30="Muy Alta",'Mapa de Riesgos'!$L$30="Moderado"),CONCATENATE("R",'Mapa de Riesgos'!$A$30),"")</f>
        <v/>
      </c>
      <c r="W8" s="442"/>
      <c r="X8" s="442" t="str">
        <f>IF(AND('Mapa de Riesgos'!$H$38="Muy Alta",'Mapa de Riesgos'!$L$38="Moderado"),CONCATENATE("R",'Mapa de Riesgos'!$A$38),"")</f>
        <v/>
      </c>
      <c r="Y8" s="442"/>
      <c r="Z8" s="442" t="str">
        <f>IF(AND('Mapa de Riesgos'!$H$44="Muy Alta",'Mapa de Riesgos'!$L$44="Moderado"),CONCATENATE("R",'Mapa de Riesgos'!$A$44),"")</f>
        <v/>
      </c>
      <c r="AA8" s="443"/>
      <c r="AB8" s="441" t="str">
        <f>IF(AND('Mapa de Riesgos'!$H$30="Muy Alta",'Mapa de Riesgos'!$L$30="Mayor"),CONCATENATE("R",'Mapa de Riesgos'!$A$30),"")</f>
        <v/>
      </c>
      <c r="AC8" s="442"/>
      <c r="AD8" s="442" t="str">
        <f>IF(AND('Mapa de Riesgos'!$H$38="Muy Alta",'Mapa de Riesgos'!$L$38="Mayor"),CONCATENATE("R",'Mapa de Riesgos'!$A$38),"")</f>
        <v/>
      </c>
      <c r="AE8" s="442"/>
      <c r="AF8" s="442" t="str">
        <f>IF(AND('Mapa de Riesgos'!$H$44="Muy Alta",'Mapa de Riesgos'!$L$44="Mayor"),CONCATENATE("R",'Mapa de Riesgos'!$A$44),"")</f>
        <v/>
      </c>
      <c r="AG8" s="443"/>
      <c r="AH8" s="432" t="str">
        <f>IF(AND('Mapa de Riesgos'!$H$30="Muy Alta",'Mapa de Riesgos'!$L$30="Catastrófico"),CONCATENATE("R",'Mapa de Riesgos'!$A$30),"")</f>
        <v/>
      </c>
      <c r="AI8" s="433"/>
      <c r="AJ8" s="433" t="str">
        <f>IF(AND('Mapa de Riesgos'!$H$38="Muy Alta",'Mapa de Riesgos'!$L$38="Catastrófico"),CONCATENATE("R",'Mapa de Riesgos'!$A$38),"")</f>
        <v/>
      </c>
      <c r="AK8" s="433"/>
      <c r="AL8" s="433" t="str">
        <f>IF(AND('Mapa de Riesgos'!$H$44="Muy Alta",'Mapa de Riesgos'!$L$44="Catastrófico"),CONCATENATE("R",'Mapa de Riesgos'!$A$44),"")</f>
        <v/>
      </c>
      <c r="AM8" s="434"/>
      <c r="AN8" s="83"/>
      <c r="AO8" s="466"/>
      <c r="AP8" s="467"/>
      <c r="AQ8" s="467"/>
      <c r="AR8" s="467"/>
      <c r="AS8" s="467"/>
      <c r="AT8" s="46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61"/>
      <c r="C9" s="461"/>
      <c r="D9" s="462"/>
      <c r="E9" s="454"/>
      <c r="F9" s="455"/>
      <c r="G9" s="455"/>
      <c r="H9" s="455"/>
      <c r="I9" s="456"/>
      <c r="J9" s="441"/>
      <c r="K9" s="442"/>
      <c r="L9" s="442"/>
      <c r="M9" s="442"/>
      <c r="N9" s="442"/>
      <c r="O9" s="443"/>
      <c r="P9" s="441"/>
      <c r="Q9" s="442"/>
      <c r="R9" s="442"/>
      <c r="S9" s="442"/>
      <c r="T9" s="442"/>
      <c r="U9" s="443"/>
      <c r="V9" s="441"/>
      <c r="W9" s="442"/>
      <c r="X9" s="442"/>
      <c r="Y9" s="442"/>
      <c r="Z9" s="442"/>
      <c r="AA9" s="443"/>
      <c r="AB9" s="441"/>
      <c r="AC9" s="442"/>
      <c r="AD9" s="442"/>
      <c r="AE9" s="442"/>
      <c r="AF9" s="442"/>
      <c r="AG9" s="443"/>
      <c r="AH9" s="432"/>
      <c r="AI9" s="433"/>
      <c r="AJ9" s="433"/>
      <c r="AK9" s="433"/>
      <c r="AL9" s="433"/>
      <c r="AM9" s="434"/>
      <c r="AN9" s="83"/>
      <c r="AO9" s="466"/>
      <c r="AP9" s="467"/>
      <c r="AQ9" s="467"/>
      <c r="AR9" s="467"/>
      <c r="AS9" s="467"/>
      <c r="AT9" s="46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61"/>
      <c r="C10" s="461"/>
      <c r="D10" s="462"/>
      <c r="E10" s="454"/>
      <c r="F10" s="455"/>
      <c r="G10" s="455"/>
      <c r="H10" s="455"/>
      <c r="I10" s="456"/>
      <c r="J10" s="441" t="str">
        <f>IF(AND('Mapa de Riesgos'!$H$50="Muy Alta",'Mapa de Riesgos'!$L$50="Leve"),CONCATENATE("R",'Mapa de Riesgos'!$A$50),"")</f>
        <v/>
      </c>
      <c r="K10" s="442"/>
      <c r="L10" s="442" t="str">
        <f>IF(AND('Mapa de Riesgos'!$H$56="Muy Alta",'Mapa de Riesgos'!$L$56="Leve"),CONCATENATE("R",'Mapa de Riesgos'!$A$56),"")</f>
        <v/>
      </c>
      <c r="M10" s="442"/>
      <c r="N10" s="442" t="str">
        <f>IF(AND('Mapa de Riesgos'!$H$62="Muy Alta",'Mapa de Riesgos'!$L$62="Leve"),CONCATENATE("R",'Mapa de Riesgos'!$A$62),"")</f>
        <v/>
      </c>
      <c r="O10" s="443"/>
      <c r="P10" s="441" t="str">
        <f>IF(AND('Mapa de Riesgos'!$H$50="Muy Alta",'Mapa de Riesgos'!$L$50="Menor"),CONCATENATE("R",'Mapa de Riesgos'!$A$50),"")</f>
        <v/>
      </c>
      <c r="Q10" s="442"/>
      <c r="R10" s="442" t="str">
        <f>IF(AND('Mapa de Riesgos'!$H$56="Muy Alta",'Mapa de Riesgos'!$L$56="Menor"),CONCATENATE("R",'Mapa de Riesgos'!$A$56),"")</f>
        <v/>
      </c>
      <c r="S10" s="442"/>
      <c r="T10" s="442" t="str">
        <f>IF(AND('Mapa de Riesgos'!$H$62="Muy Alta",'Mapa de Riesgos'!$L$62="Menor"),CONCATENATE("R",'Mapa de Riesgos'!$A$62),"")</f>
        <v/>
      </c>
      <c r="U10" s="443"/>
      <c r="V10" s="441" t="str">
        <f>IF(AND('Mapa de Riesgos'!$H$50="Muy Alta",'Mapa de Riesgos'!$L$50="Moderado"),CONCATENATE("R",'Mapa de Riesgos'!$A$50),"")</f>
        <v/>
      </c>
      <c r="W10" s="442"/>
      <c r="X10" s="442" t="str">
        <f>IF(AND('Mapa de Riesgos'!$H$56="Muy Alta",'Mapa de Riesgos'!$L$56="Moderado"),CONCATENATE("R",'Mapa de Riesgos'!$A$56),"")</f>
        <v/>
      </c>
      <c r="Y10" s="442"/>
      <c r="Z10" s="442" t="str">
        <f>IF(AND('Mapa de Riesgos'!$H$62="Muy Alta",'Mapa de Riesgos'!$L$62="Moderado"),CONCATENATE("R",'Mapa de Riesgos'!$A$62),"")</f>
        <v/>
      </c>
      <c r="AA10" s="443"/>
      <c r="AB10" s="441" t="str">
        <f>IF(AND('Mapa de Riesgos'!$H$50="Muy Alta",'Mapa de Riesgos'!$L$50="Mayor"),CONCATENATE("R",'Mapa de Riesgos'!$A$50),"")</f>
        <v/>
      </c>
      <c r="AC10" s="442"/>
      <c r="AD10" s="442" t="str">
        <f>IF(AND('Mapa de Riesgos'!$H$56="Muy Alta",'Mapa de Riesgos'!$L$56="Mayor"),CONCATENATE("R",'Mapa de Riesgos'!$A$56),"")</f>
        <v/>
      </c>
      <c r="AE10" s="442"/>
      <c r="AF10" s="442" t="str">
        <f>IF(AND('Mapa de Riesgos'!$H$62="Muy Alta",'Mapa de Riesgos'!$L$62="Mayor"),CONCATENATE("R",'Mapa de Riesgos'!$A$62),"")</f>
        <v/>
      </c>
      <c r="AG10" s="443"/>
      <c r="AH10" s="432" t="str">
        <f>IF(AND('Mapa de Riesgos'!$H$50="Muy Alta",'Mapa de Riesgos'!$L$50="Catastrófico"),CONCATENATE("R",'Mapa de Riesgos'!$A$50),"")</f>
        <v/>
      </c>
      <c r="AI10" s="433"/>
      <c r="AJ10" s="433" t="str">
        <f>IF(AND('Mapa de Riesgos'!$H$56="Muy Alta",'Mapa de Riesgos'!$L$56="Catastrófico"),CONCATENATE("R",'Mapa de Riesgos'!$A$56),"")</f>
        <v/>
      </c>
      <c r="AK10" s="433"/>
      <c r="AL10" s="433" t="str">
        <f>IF(AND('Mapa de Riesgos'!$H$62="Muy Alta",'Mapa de Riesgos'!$L$62="Catastrófico"),CONCATENATE("R",'Mapa de Riesgos'!$A$62),"")</f>
        <v/>
      </c>
      <c r="AM10" s="434"/>
      <c r="AN10" s="83"/>
      <c r="AO10" s="466"/>
      <c r="AP10" s="467"/>
      <c r="AQ10" s="467"/>
      <c r="AR10" s="467"/>
      <c r="AS10" s="467"/>
      <c r="AT10" s="46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61"/>
      <c r="C11" s="461"/>
      <c r="D11" s="462"/>
      <c r="E11" s="454"/>
      <c r="F11" s="455"/>
      <c r="G11" s="455"/>
      <c r="H11" s="455"/>
      <c r="I11" s="456"/>
      <c r="J11" s="441"/>
      <c r="K11" s="442"/>
      <c r="L11" s="442"/>
      <c r="M11" s="442"/>
      <c r="N11" s="442"/>
      <c r="O11" s="443"/>
      <c r="P11" s="441"/>
      <c r="Q11" s="442"/>
      <c r="R11" s="442"/>
      <c r="S11" s="442"/>
      <c r="T11" s="442"/>
      <c r="U11" s="443"/>
      <c r="V11" s="441"/>
      <c r="W11" s="442"/>
      <c r="X11" s="442"/>
      <c r="Y11" s="442"/>
      <c r="Z11" s="442"/>
      <c r="AA11" s="443"/>
      <c r="AB11" s="441"/>
      <c r="AC11" s="442"/>
      <c r="AD11" s="442"/>
      <c r="AE11" s="442"/>
      <c r="AF11" s="442"/>
      <c r="AG11" s="443"/>
      <c r="AH11" s="432"/>
      <c r="AI11" s="433"/>
      <c r="AJ11" s="433"/>
      <c r="AK11" s="433"/>
      <c r="AL11" s="433"/>
      <c r="AM11" s="434"/>
      <c r="AN11" s="83"/>
      <c r="AO11" s="466"/>
      <c r="AP11" s="467"/>
      <c r="AQ11" s="467"/>
      <c r="AR11" s="467"/>
      <c r="AS11" s="467"/>
      <c r="AT11" s="46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61"/>
      <c r="C12" s="461"/>
      <c r="D12" s="462"/>
      <c r="E12" s="454"/>
      <c r="F12" s="455"/>
      <c r="G12" s="455"/>
      <c r="H12" s="455"/>
      <c r="I12" s="456"/>
      <c r="J12" s="441" t="str">
        <f>IF(AND('Mapa de Riesgos'!$H$68="Muy Alta",'Mapa de Riesgos'!$L$68="Leve"),CONCATENATE("R",'Mapa de Riesgos'!$A$68),"")</f>
        <v/>
      </c>
      <c r="K12" s="442"/>
      <c r="L12" s="442" t="str">
        <f>IF(AND('Mapa de Riesgos'!$H$74="Muy Alta",'Mapa de Riesgos'!$L$74="Leve"),CONCATENATE("R",'Mapa de Riesgos'!$A$74),"")</f>
        <v/>
      </c>
      <c r="M12" s="442"/>
      <c r="N12" s="442" t="str">
        <f>IF(AND('Mapa de Riesgos'!$H$80="Muy Alta",'Mapa de Riesgos'!$L$80="Leve"),CONCATENATE("R",'Mapa de Riesgos'!$A$80),"")</f>
        <v/>
      </c>
      <c r="O12" s="443"/>
      <c r="P12" s="441" t="str">
        <f>IF(AND('Mapa de Riesgos'!$H$68="Muy Alta",'Mapa de Riesgos'!$L$68="Menor"),CONCATENATE("R",'Mapa de Riesgos'!$A$68),"")</f>
        <v/>
      </c>
      <c r="Q12" s="442"/>
      <c r="R12" s="442" t="str">
        <f>IF(AND('Mapa de Riesgos'!$H$74="Muy Alta",'Mapa de Riesgos'!$L$74="Menor"),CONCATENATE("R",'Mapa de Riesgos'!$A$74),"")</f>
        <v/>
      </c>
      <c r="S12" s="442"/>
      <c r="T12" s="442" t="str">
        <f>IF(AND('Mapa de Riesgos'!$H$80="Muy Alta",'Mapa de Riesgos'!$L$80="Menor"),CONCATENATE("R",'Mapa de Riesgos'!$A$80),"")</f>
        <v/>
      </c>
      <c r="U12" s="443"/>
      <c r="V12" s="441" t="str">
        <f>IF(AND('Mapa de Riesgos'!$H$68="Muy Alta",'Mapa de Riesgos'!$L$68="Moderado"),CONCATENATE("R",'Mapa de Riesgos'!$A$68),"")</f>
        <v/>
      </c>
      <c r="W12" s="442"/>
      <c r="X12" s="442" t="str">
        <f>IF(AND('Mapa de Riesgos'!$H$74="Muy Alta",'Mapa de Riesgos'!$L$74="Moderado"),CONCATENATE("R",'Mapa de Riesgos'!$A$74),"")</f>
        <v/>
      </c>
      <c r="Y12" s="442"/>
      <c r="Z12" s="442" t="str">
        <f>IF(AND('Mapa de Riesgos'!$H$80="Muy Alta",'Mapa de Riesgos'!$L$80="Moderado"),CONCATENATE("R",'Mapa de Riesgos'!$A$80),"")</f>
        <v/>
      </c>
      <c r="AA12" s="443"/>
      <c r="AB12" s="441" t="str">
        <f>IF(AND('Mapa de Riesgos'!$H$68="Muy Alta",'Mapa de Riesgos'!$L$68="Mayor"),CONCATENATE("R",'Mapa de Riesgos'!$A$68),"")</f>
        <v/>
      </c>
      <c r="AC12" s="442"/>
      <c r="AD12" s="442" t="str">
        <f>IF(AND('Mapa de Riesgos'!$H$74="Muy Alta",'Mapa de Riesgos'!$L$74="Mayor"),CONCATENATE("R",'Mapa de Riesgos'!$A$74),"")</f>
        <v/>
      </c>
      <c r="AE12" s="442"/>
      <c r="AF12" s="442" t="str">
        <f>IF(AND('Mapa de Riesgos'!$H$80="Muy Alta",'Mapa de Riesgos'!$L$80="Mayor"),CONCATENATE("R",'Mapa de Riesgos'!$A$80),"")</f>
        <v/>
      </c>
      <c r="AG12" s="443"/>
      <c r="AH12" s="432" t="str">
        <f>IF(AND('Mapa de Riesgos'!$H$68="Muy Alta",'Mapa de Riesgos'!$L$68="Catastrófico"),CONCATENATE("R",'Mapa de Riesgos'!$A$68),"")</f>
        <v/>
      </c>
      <c r="AI12" s="433"/>
      <c r="AJ12" s="433" t="str">
        <f>IF(AND('Mapa de Riesgos'!$H$74="Muy Alta",'Mapa de Riesgos'!$L$74="Catastrófico"),CONCATENATE("R",'Mapa de Riesgos'!$A$74),"")</f>
        <v/>
      </c>
      <c r="AK12" s="433"/>
      <c r="AL12" s="433" t="str">
        <f>IF(AND('Mapa de Riesgos'!$H$80="Muy Alta",'Mapa de Riesgos'!$L$80="Catastrófico"),CONCATENATE("R",'Mapa de Riesgos'!$A$80),"")</f>
        <v/>
      </c>
      <c r="AM12" s="434"/>
      <c r="AN12" s="83"/>
      <c r="AO12" s="466"/>
      <c r="AP12" s="467"/>
      <c r="AQ12" s="467"/>
      <c r="AR12" s="467"/>
      <c r="AS12" s="467"/>
      <c r="AT12" s="46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61"/>
      <c r="C13" s="461"/>
      <c r="D13" s="462"/>
      <c r="E13" s="457"/>
      <c r="F13" s="458"/>
      <c r="G13" s="458"/>
      <c r="H13" s="458"/>
      <c r="I13" s="459"/>
      <c r="J13" s="441"/>
      <c r="K13" s="442"/>
      <c r="L13" s="442"/>
      <c r="M13" s="442"/>
      <c r="N13" s="442"/>
      <c r="O13" s="443"/>
      <c r="P13" s="441"/>
      <c r="Q13" s="442"/>
      <c r="R13" s="442"/>
      <c r="S13" s="442"/>
      <c r="T13" s="442"/>
      <c r="U13" s="443"/>
      <c r="V13" s="441"/>
      <c r="W13" s="442"/>
      <c r="X13" s="442"/>
      <c r="Y13" s="442"/>
      <c r="Z13" s="442"/>
      <c r="AA13" s="443"/>
      <c r="AB13" s="441"/>
      <c r="AC13" s="442"/>
      <c r="AD13" s="442"/>
      <c r="AE13" s="442"/>
      <c r="AF13" s="442"/>
      <c r="AG13" s="443"/>
      <c r="AH13" s="435"/>
      <c r="AI13" s="436"/>
      <c r="AJ13" s="436"/>
      <c r="AK13" s="436"/>
      <c r="AL13" s="436"/>
      <c r="AM13" s="437"/>
      <c r="AN13" s="83"/>
      <c r="AO13" s="469"/>
      <c r="AP13" s="470"/>
      <c r="AQ13" s="470"/>
      <c r="AR13" s="470"/>
      <c r="AS13" s="470"/>
      <c r="AT13" s="47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61"/>
      <c r="C14" s="461"/>
      <c r="D14" s="462"/>
      <c r="E14" s="451" t="s">
        <v>220</v>
      </c>
      <c r="F14" s="452"/>
      <c r="G14" s="452"/>
      <c r="H14" s="452"/>
      <c r="I14" s="452"/>
      <c r="J14" s="429" t="str">
        <f>IF(AND('Mapa de Riesgos'!$H$12="Alta",'Mapa de Riesgos'!$L$12="Leve"),CONCATENATE("R",'Mapa de Riesgos'!$A$12),"")</f>
        <v/>
      </c>
      <c r="K14" s="430"/>
      <c r="L14" s="430" t="str">
        <f>IF(AND('Mapa de Riesgos'!$H$18="Alta",'Mapa de Riesgos'!$L$18="Leve"),CONCATENATE("R",'Mapa de Riesgos'!$A$18),"")</f>
        <v/>
      </c>
      <c r="M14" s="430"/>
      <c r="N14" s="430" t="str">
        <f>IF(AND('Mapa de Riesgos'!$H$24="Alta",'Mapa de Riesgos'!$L$24="Leve"),CONCATENATE("R",'Mapa de Riesgos'!$A$24),"")</f>
        <v/>
      </c>
      <c r="O14" s="431"/>
      <c r="P14" s="429" t="str">
        <f>IF(AND('Mapa de Riesgos'!$H$12="Alta",'Mapa de Riesgos'!$L$12="Menor"),CONCATENATE("R",'Mapa de Riesgos'!$A$12),"")</f>
        <v/>
      </c>
      <c r="Q14" s="430"/>
      <c r="R14" s="430" t="str">
        <f>IF(AND('Mapa de Riesgos'!$H$18="Alta",'Mapa de Riesgos'!$L$18="Menor"),CONCATENATE("R",'Mapa de Riesgos'!$A$18),"")</f>
        <v/>
      </c>
      <c r="S14" s="430"/>
      <c r="T14" s="430" t="str">
        <f>IF(AND('Mapa de Riesgos'!$H$24="Alta",'Mapa de Riesgos'!$L$24="Menor"),CONCATENATE("R",'Mapa de Riesgos'!$A$24),"")</f>
        <v/>
      </c>
      <c r="U14" s="431"/>
      <c r="V14" s="447" t="str">
        <f>IF(AND('Mapa de Riesgos'!$H$12="Alta",'Mapa de Riesgos'!$L$12="Moderado"),CONCATENATE("R",'Mapa de Riesgos'!$A$12),"")</f>
        <v>R1</v>
      </c>
      <c r="W14" s="448"/>
      <c r="X14" s="448" t="str">
        <f>IF(AND('Mapa de Riesgos'!$H$18="Alta",'Mapa de Riesgos'!$L$18="Moderado"),CONCATENATE("R",'Mapa de Riesgos'!$A$18),"")</f>
        <v/>
      </c>
      <c r="Y14" s="448"/>
      <c r="Z14" s="448" t="str">
        <f>IF(AND('Mapa de Riesgos'!$H$24="Alta",'Mapa de Riesgos'!$L$24="Moderado"),CONCATENATE("R",'Mapa de Riesgos'!$A$24),"")</f>
        <v/>
      </c>
      <c r="AA14" s="449"/>
      <c r="AB14" s="447" t="str">
        <f>IF(AND('Mapa de Riesgos'!$H$12="Alta",'Mapa de Riesgos'!$L$12="Mayor"),CONCATENATE("R",'Mapa de Riesgos'!$A$12),"")</f>
        <v/>
      </c>
      <c r="AC14" s="448"/>
      <c r="AD14" s="448" t="str">
        <f>IF(AND('Mapa de Riesgos'!$H$18="Alta",'Mapa de Riesgos'!$L$18="Mayor"),CONCATENATE("R",'Mapa de Riesgos'!$A$18),"")</f>
        <v/>
      </c>
      <c r="AE14" s="448"/>
      <c r="AF14" s="448" t="str">
        <f>IF(AND('Mapa de Riesgos'!$H$24="Alta",'Mapa de Riesgos'!$L$24="Mayor"),CONCATENATE("R",'Mapa de Riesgos'!$A$24),"")</f>
        <v/>
      </c>
      <c r="AG14" s="449"/>
      <c r="AH14" s="438" t="str">
        <f>IF(AND('Mapa de Riesgos'!$H$12="Alta",'Mapa de Riesgos'!$L$12="Catastrófico"),CONCATENATE("R",'Mapa de Riesgos'!$A$12),"")</f>
        <v/>
      </c>
      <c r="AI14" s="439"/>
      <c r="AJ14" s="439" t="str">
        <f>IF(AND('Mapa de Riesgos'!$H$18="Alta",'Mapa de Riesgos'!$L$18="Catastrófico"),CONCATENATE("R",'Mapa de Riesgos'!$A$18),"")</f>
        <v/>
      </c>
      <c r="AK14" s="439"/>
      <c r="AL14" s="439" t="str">
        <f>IF(AND('Mapa de Riesgos'!$H$24="Alta",'Mapa de Riesgos'!$L$24="Catastrófico"),CONCATENATE("R",'Mapa de Riesgos'!$A$24),"")</f>
        <v/>
      </c>
      <c r="AM14" s="440"/>
      <c r="AN14" s="83"/>
      <c r="AO14" s="472" t="s">
        <v>221</v>
      </c>
      <c r="AP14" s="473"/>
      <c r="AQ14" s="473"/>
      <c r="AR14" s="473"/>
      <c r="AS14" s="473"/>
      <c r="AT14" s="47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61"/>
      <c r="C15" s="461"/>
      <c r="D15" s="462"/>
      <c r="E15" s="454"/>
      <c r="F15" s="455"/>
      <c r="G15" s="455"/>
      <c r="H15" s="455"/>
      <c r="I15" s="455"/>
      <c r="J15" s="423"/>
      <c r="K15" s="424"/>
      <c r="L15" s="424"/>
      <c r="M15" s="424"/>
      <c r="N15" s="424"/>
      <c r="O15" s="425"/>
      <c r="P15" s="423"/>
      <c r="Q15" s="424"/>
      <c r="R15" s="424"/>
      <c r="S15" s="424"/>
      <c r="T15" s="424"/>
      <c r="U15" s="425"/>
      <c r="V15" s="441"/>
      <c r="W15" s="442"/>
      <c r="X15" s="442"/>
      <c r="Y15" s="442"/>
      <c r="Z15" s="442"/>
      <c r="AA15" s="443"/>
      <c r="AB15" s="441"/>
      <c r="AC15" s="442"/>
      <c r="AD15" s="442"/>
      <c r="AE15" s="442"/>
      <c r="AF15" s="442"/>
      <c r="AG15" s="443"/>
      <c r="AH15" s="432"/>
      <c r="AI15" s="433"/>
      <c r="AJ15" s="433"/>
      <c r="AK15" s="433"/>
      <c r="AL15" s="433"/>
      <c r="AM15" s="434"/>
      <c r="AN15" s="83"/>
      <c r="AO15" s="475"/>
      <c r="AP15" s="476"/>
      <c r="AQ15" s="476"/>
      <c r="AR15" s="476"/>
      <c r="AS15" s="476"/>
      <c r="AT15" s="47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61"/>
      <c r="C16" s="461"/>
      <c r="D16" s="462"/>
      <c r="E16" s="454"/>
      <c r="F16" s="455"/>
      <c r="G16" s="455"/>
      <c r="H16" s="455"/>
      <c r="I16" s="455"/>
      <c r="J16" s="423" t="str">
        <f>IF(AND('Mapa de Riesgos'!$H$30="Alta",'Mapa de Riesgos'!$L$30="Leve"),CONCATENATE("R",'Mapa de Riesgos'!$A$30),"")</f>
        <v/>
      </c>
      <c r="K16" s="424"/>
      <c r="L16" s="424" t="str">
        <f>IF(AND('Mapa de Riesgos'!$H$38="Alta",'Mapa de Riesgos'!$L$38="Leve"),CONCATENATE("R",'Mapa de Riesgos'!$A$38),"")</f>
        <v/>
      </c>
      <c r="M16" s="424"/>
      <c r="N16" s="424" t="str">
        <f>IF(AND('Mapa de Riesgos'!$H$44="Alta",'Mapa de Riesgos'!$L$44="Leve"),CONCATENATE("R",'Mapa de Riesgos'!$A$44),"")</f>
        <v/>
      </c>
      <c r="O16" s="425"/>
      <c r="P16" s="423" t="str">
        <f>IF(AND('Mapa de Riesgos'!$H$30="Alta",'Mapa de Riesgos'!$L$30="Menor"),CONCATENATE("R",'Mapa de Riesgos'!$A$30),"")</f>
        <v/>
      </c>
      <c r="Q16" s="424"/>
      <c r="R16" s="424" t="str">
        <f>IF(AND('Mapa de Riesgos'!$H$38="Alta",'Mapa de Riesgos'!$L$38="Menor"),CONCATENATE("R",'Mapa de Riesgos'!$A$38),"")</f>
        <v/>
      </c>
      <c r="S16" s="424"/>
      <c r="T16" s="424" t="str">
        <f>IF(AND('Mapa de Riesgos'!$H$44="Alta",'Mapa de Riesgos'!$L$44="Menor"),CONCATENATE("R",'Mapa de Riesgos'!$A$44),"")</f>
        <v/>
      </c>
      <c r="U16" s="425"/>
      <c r="V16" s="441" t="str">
        <f>IF(AND('Mapa de Riesgos'!$H$30="Alta",'Mapa de Riesgos'!$L$30="Moderado"),CONCATENATE("R",'Mapa de Riesgos'!$A$30),"")</f>
        <v/>
      </c>
      <c r="W16" s="442"/>
      <c r="X16" s="442" t="str">
        <f>IF(AND('Mapa de Riesgos'!$H$38="Alta",'Mapa de Riesgos'!$L$38="Moderado"),CONCATENATE("R",'Mapa de Riesgos'!$A$38),"")</f>
        <v/>
      </c>
      <c r="Y16" s="442"/>
      <c r="Z16" s="442" t="str">
        <f>IF(AND('Mapa de Riesgos'!$H$44="Alta",'Mapa de Riesgos'!$L$44="Moderado"),CONCATENATE("R",'Mapa de Riesgos'!$A$44),"")</f>
        <v/>
      </c>
      <c r="AA16" s="443"/>
      <c r="AB16" s="441" t="str">
        <f>IF(AND('Mapa de Riesgos'!$H$30="Alta",'Mapa de Riesgos'!$L$30="Mayor"),CONCATENATE("R",'Mapa de Riesgos'!$A$30),"")</f>
        <v/>
      </c>
      <c r="AC16" s="442"/>
      <c r="AD16" s="442" t="str">
        <f>IF(AND('Mapa de Riesgos'!$H$38="Alta",'Mapa de Riesgos'!$L$38="Mayor"),CONCATENATE("R",'Mapa de Riesgos'!$A$38),"")</f>
        <v/>
      </c>
      <c r="AE16" s="442"/>
      <c r="AF16" s="442" t="str">
        <f>IF(AND('Mapa de Riesgos'!$H$44="Alta",'Mapa de Riesgos'!$L$44="Mayor"),CONCATENATE("R",'Mapa de Riesgos'!$A$44),"")</f>
        <v/>
      </c>
      <c r="AG16" s="443"/>
      <c r="AH16" s="432" t="str">
        <f>IF(AND('Mapa de Riesgos'!$H$30="Alta",'Mapa de Riesgos'!$L$30="Catastrófico"),CONCATENATE("R",'Mapa de Riesgos'!$A$30),"")</f>
        <v/>
      </c>
      <c r="AI16" s="433"/>
      <c r="AJ16" s="433" t="str">
        <f>IF(AND('Mapa de Riesgos'!$H$38="Alta",'Mapa de Riesgos'!$L$38="Catastrófico"),CONCATENATE("R",'Mapa de Riesgos'!$A$38),"")</f>
        <v/>
      </c>
      <c r="AK16" s="433"/>
      <c r="AL16" s="433" t="str">
        <f>IF(AND('Mapa de Riesgos'!$H$44="Alta",'Mapa de Riesgos'!$L$44="Catastrófico"),CONCATENATE("R",'Mapa de Riesgos'!$A$44),"")</f>
        <v/>
      </c>
      <c r="AM16" s="434"/>
      <c r="AN16" s="83"/>
      <c r="AO16" s="475"/>
      <c r="AP16" s="476"/>
      <c r="AQ16" s="476"/>
      <c r="AR16" s="476"/>
      <c r="AS16" s="476"/>
      <c r="AT16" s="47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61"/>
      <c r="C17" s="461"/>
      <c r="D17" s="462"/>
      <c r="E17" s="454"/>
      <c r="F17" s="455"/>
      <c r="G17" s="455"/>
      <c r="H17" s="455"/>
      <c r="I17" s="455"/>
      <c r="J17" s="423"/>
      <c r="K17" s="424"/>
      <c r="L17" s="424"/>
      <c r="M17" s="424"/>
      <c r="N17" s="424"/>
      <c r="O17" s="425"/>
      <c r="P17" s="423"/>
      <c r="Q17" s="424"/>
      <c r="R17" s="424"/>
      <c r="S17" s="424"/>
      <c r="T17" s="424"/>
      <c r="U17" s="425"/>
      <c r="V17" s="441"/>
      <c r="W17" s="442"/>
      <c r="X17" s="442"/>
      <c r="Y17" s="442"/>
      <c r="Z17" s="442"/>
      <c r="AA17" s="443"/>
      <c r="AB17" s="441"/>
      <c r="AC17" s="442"/>
      <c r="AD17" s="442"/>
      <c r="AE17" s="442"/>
      <c r="AF17" s="442"/>
      <c r="AG17" s="443"/>
      <c r="AH17" s="432"/>
      <c r="AI17" s="433"/>
      <c r="AJ17" s="433"/>
      <c r="AK17" s="433"/>
      <c r="AL17" s="433"/>
      <c r="AM17" s="434"/>
      <c r="AN17" s="83"/>
      <c r="AO17" s="475"/>
      <c r="AP17" s="476"/>
      <c r="AQ17" s="476"/>
      <c r="AR17" s="476"/>
      <c r="AS17" s="476"/>
      <c r="AT17" s="47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61"/>
      <c r="C18" s="461"/>
      <c r="D18" s="462"/>
      <c r="E18" s="454"/>
      <c r="F18" s="455"/>
      <c r="G18" s="455"/>
      <c r="H18" s="455"/>
      <c r="I18" s="455"/>
      <c r="J18" s="423" t="str">
        <f>IF(AND('Mapa de Riesgos'!$H$50="Alta",'Mapa de Riesgos'!$L$50="Leve"),CONCATENATE("R",'Mapa de Riesgos'!$A$50),"")</f>
        <v/>
      </c>
      <c r="K18" s="424"/>
      <c r="L18" s="424" t="str">
        <f>IF(AND('Mapa de Riesgos'!$H$56="Alta",'Mapa de Riesgos'!$L$56="Leve"),CONCATENATE("R",'Mapa de Riesgos'!$A$56),"")</f>
        <v/>
      </c>
      <c r="M18" s="424"/>
      <c r="N18" s="424" t="str">
        <f>IF(AND('Mapa de Riesgos'!$H$62="Alta",'Mapa de Riesgos'!$L$62="Leve"),CONCATENATE("R",'Mapa de Riesgos'!$A$62),"")</f>
        <v/>
      </c>
      <c r="O18" s="425"/>
      <c r="P18" s="423" t="str">
        <f>IF(AND('Mapa de Riesgos'!$H$50="Alta",'Mapa de Riesgos'!$L$50="Menor"),CONCATENATE("R",'Mapa de Riesgos'!$A$50),"")</f>
        <v/>
      </c>
      <c r="Q18" s="424"/>
      <c r="R18" s="424" t="str">
        <f>IF(AND('Mapa de Riesgos'!$H$56="Alta",'Mapa de Riesgos'!$L$56="Menor"),CONCATENATE("R",'Mapa de Riesgos'!$A$56),"")</f>
        <v/>
      </c>
      <c r="S18" s="424"/>
      <c r="T18" s="424" t="str">
        <f>IF(AND('Mapa de Riesgos'!$H$62="Alta",'Mapa de Riesgos'!$L$62="Menor"),CONCATENATE("R",'Mapa de Riesgos'!$A$62),"")</f>
        <v/>
      </c>
      <c r="U18" s="425"/>
      <c r="V18" s="441" t="str">
        <f>IF(AND('Mapa de Riesgos'!$H$50="Alta",'Mapa de Riesgos'!$L$50="Moderado"),CONCATENATE("R",'Mapa de Riesgos'!$A$50),"")</f>
        <v/>
      </c>
      <c r="W18" s="442"/>
      <c r="X18" s="442" t="str">
        <f>IF(AND('Mapa de Riesgos'!$H$56="Alta",'Mapa de Riesgos'!$L$56="Moderado"),CONCATENATE("R",'Mapa de Riesgos'!$A$56),"")</f>
        <v/>
      </c>
      <c r="Y18" s="442"/>
      <c r="Z18" s="442" t="str">
        <f>IF(AND('Mapa de Riesgos'!$H$62="Alta",'Mapa de Riesgos'!$L$62="Moderado"),CONCATENATE("R",'Mapa de Riesgos'!$A$62),"")</f>
        <v/>
      </c>
      <c r="AA18" s="443"/>
      <c r="AB18" s="441" t="str">
        <f>IF(AND('Mapa de Riesgos'!$H$50="Alta",'Mapa de Riesgos'!$L$50="Mayor"),CONCATENATE("R",'Mapa de Riesgos'!$A$50),"")</f>
        <v/>
      </c>
      <c r="AC18" s="442"/>
      <c r="AD18" s="442" t="str">
        <f>IF(AND('Mapa de Riesgos'!$H$56="Alta",'Mapa de Riesgos'!$L$56="Mayor"),CONCATENATE("R",'Mapa de Riesgos'!$A$56),"")</f>
        <v/>
      </c>
      <c r="AE18" s="442"/>
      <c r="AF18" s="442" t="str">
        <f>IF(AND('Mapa de Riesgos'!$H$62="Alta",'Mapa de Riesgos'!$L$62="Mayor"),CONCATENATE("R",'Mapa de Riesgos'!$A$62),"")</f>
        <v/>
      </c>
      <c r="AG18" s="443"/>
      <c r="AH18" s="432" t="str">
        <f>IF(AND('Mapa de Riesgos'!$H$50="Alta",'Mapa de Riesgos'!$L$50="Catastrófico"),CONCATENATE("R",'Mapa de Riesgos'!$A$50),"")</f>
        <v/>
      </c>
      <c r="AI18" s="433"/>
      <c r="AJ18" s="433" t="str">
        <f>IF(AND('Mapa de Riesgos'!$H$56="Alta",'Mapa de Riesgos'!$L$56="Catastrófico"),CONCATENATE("R",'Mapa de Riesgos'!$A$56),"")</f>
        <v/>
      </c>
      <c r="AK18" s="433"/>
      <c r="AL18" s="433" t="str">
        <f>IF(AND('Mapa de Riesgos'!$H$62="Alta",'Mapa de Riesgos'!$L$62="Catastrófico"),CONCATENATE("R",'Mapa de Riesgos'!$A$62),"")</f>
        <v/>
      </c>
      <c r="AM18" s="434"/>
      <c r="AN18" s="83"/>
      <c r="AO18" s="475"/>
      <c r="AP18" s="476"/>
      <c r="AQ18" s="476"/>
      <c r="AR18" s="476"/>
      <c r="AS18" s="476"/>
      <c r="AT18" s="47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61"/>
      <c r="C19" s="461"/>
      <c r="D19" s="462"/>
      <c r="E19" s="454"/>
      <c r="F19" s="455"/>
      <c r="G19" s="455"/>
      <c r="H19" s="455"/>
      <c r="I19" s="455"/>
      <c r="J19" s="423"/>
      <c r="K19" s="424"/>
      <c r="L19" s="424"/>
      <c r="M19" s="424"/>
      <c r="N19" s="424"/>
      <c r="O19" s="425"/>
      <c r="P19" s="423"/>
      <c r="Q19" s="424"/>
      <c r="R19" s="424"/>
      <c r="S19" s="424"/>
      <c r="T19" s="424"/>
      <c r="U19" s="425"/>
      <c r="V19" s="441"/>
      <c r="W19" s="442"/>
      <c r="X19" s="442"/>
      <c r="Y19" s="442"/>
      <c r="Z19" s="442"/>
      <c r="AA19" s="443"/>
      <c r="AB19" s="441"/>
      <c r="AC19" s="442"/>
      <c r="AD19" s="442"/>
      <c r="AE19" s="442"/>
      <c r="AF19" s="442"/>
      <c r="AG19" s="443"/>
      <c r="AH19" s="432"/>
      <c r="AI19" s="433"/>
      <c r="AJ19" s="433"/>
      <c r="AK19" s="433"/>
      <c r="AL19" s="433"/>
      <c r="AM19" s="434"/>
      <c r="AN19" s="83"/>
      <c r="AO19" s="475"/>
      <c r="AP19" s="476"/>
      <c r="AQ19" s="476"/>
      <c r="AR19" s="476"/>
      <c r="AS19" s="476"/>
      <c r="AT19" s="47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61"/>
      <c r="C20" s="461"/>
      <c r="D20" s="462"/>
      <c r="E20" s="454"/>
      <c r="F20" s="455"/>
      <c r="G20" s="455"/>
      <c r="H20" s="455"/>
      <c r="I20" s="455"/>
      <c r="J20" s="423" t="str">
        <f>IF(AND('Mapa de Riesgos'!$H$68="Alta",'Mapa de Riesgos'!$L$68="Leve"),CONCATENATE("R",'Mapa de Riesgos'!$A$68),"")</f>
        <v/>
      </c>
      <c r="K20" s="424"/>
      <c r="L20" s="424" t="str">
        <f>IF(AND('Mapa de Riesgos'!$H$74="Alta",'Mapa de Riesgos'!$L$74="Leve"),CONCATENATE("R",'Mapa de Riesgos'!$A$74),"")</f>
        <v/>
      </c>
      <c r="M20" s="424"/>
      <c r="N20" s="424" t="str">
        <f>IF(AND('Mapa de Riesgos'!$H$80="Alta",'Mapa de Riesgos'!$L$80="Leve"),CONCATENATE("R",'Mapa de Riesgos'!$A$80),"")</f>
        <v/>
      </c>
      <c r="O20" s="425"/>
      <c r="P20" s="423" t="str">
        <f>IF(AND('Mapa de Riesgos'!$H$68="Alta",'Mapa de Riesgos'!$L$68="Menor"),CONCATENATE("R",'Mapa de Riesgos'!$A$68),"")</f>
        <v/>
      </c>
      <c r="Q20" s="424"/>
      <c r="R20" s="424" t="str">
        <f>IF(AND('Mapa de Riesgos'!$H$74="Alta",'Mapa de Riesgos'!$L$74="Menor"),CONCATENATE("R",'Mapa de Riesgos'!$A$74),"")</f>
        <v/>
      </c>
      <c r="S20" s="424"/>
      <c r="T20" s="424" t="str">
        <f>IF(AND('Mapa de Riesgos'!$H$80="Alta",'Mapa de Riesgos'!$L$80="Menor"),CONCATENATE("R",'Mapa de Riesgos'!$A$80),"")</f>
        <v/>
      </c>
      <c r="U20" s="425"/>
      <c r="V20" s="441" t="str">
        <f>IF(AND('Mapa de Riesgos'!$H$68="Alta",'Mapa de Riesgos'!$L$68="Moderado"),CONCATENATE("R",'Mapa de Riesgos'!$A$68),"")</f>
        <v/>
      </c>
      <c r="W20" s="442"/>
      <c r="X20" s="442" t="str">
        <f>IF(AND('Mapa de Riesgos'!$H$74="Alta",'Mapa de Riesgos'!$L$74="Moderado"),CONCATENATE("R",'Mapa de Riesgos'!$A$74),"")</f>
        <v/>
      </c>
      <c r="Y20" s="442"/>
      <c r="Z20" s="442" t="str">
        <f>IF(AND('Mapa de Riesgos'!$H$80="Alta",'Mapa de Riesgos'!$L$80="Moderado"),CONCATENATE("R",'Mapa de Riesgos'!$A$80),"")</f>
        <v/>
      </c>
      <c r="AA20" s="443"/>
      <c r="AB20" s="441" t="str">
        <f>IF(AND('Mapa de Riesgos'!$H$68="Alta",'Mapa de Riesgos'!$L$68="Mayor"),CONCATENATE("R",'Mapa de Riesgos'!$A$68),"")</f>
        <v/>
      </c>
      <c r="AC20" s="442"/>
      <c r="AD20" s="442" t="str">
        <f>IF(AND('Mapa de Riesgos'!$H$74="Alta",'Mapa de Riesgos'!$L$74="Mayor"),CONCATENATE("R",'Mapa de Riesgos'!$A$74),"")</f>
        <v/>
      </c>
      <c r="AE20" s="442"/>
      <c r="AF20" s="442" t="str">
        <f>IF(AND('Mapa de Riesgos'!$H$80="Alta",'Mapa de Riesgos'!$L$80="Mayor"),CONCATENATE("R",'Mapa de Riesgos'!$A$80),"")</f>
        <v/>
      </c>
      <c r="AG20" s="443"/>
      <c r="AH20" s="432" t="str">
        <f>IF(AND('Mapa de Riesgos'!$H$68="Alta",'Mapa de Riesgos'!$L$68="Catastrófico"),CONCATENATE("R",'Mapa de Riesgos'!$A$68),"")</f>
        <v/>
      </c>
      <c r="AI20" s="433"/>
      <c r="AJ20" s="433" t="str">
        <f>IF(AND('Mapa de Riesgos'!$H$74="Alta",'Mapa de Riesgos'!$L$74="Catastrófico"),CONCATENATE("R",'Mapa de Riesgos'!$A$74),"")</f>
        <v/>
      </c>
      <c r="AK20" s="433"/>
      <c r="AL20" s="433" t="str">
        <f>IF(AND('Mapa de Riesgos'!$H$80="Alta",'Mapa de Riesgos'!$L$80="Catastrófico"),CONCATENATE("R",'Mapa de Riesgos'!$A$80),"")</f>
        <v/>
      </c>
      <c r="AM20" s="434"/>
      <c r="AN20" s="83"/>
      <c r="AO20" s="475"/>
      <c r="AP20" s="476"/>
      <c r="AQ20" s="476"/>
      <c r="AR20" s="476"/>
      <c r="AS20" s="476"/>
      <c r="AT20" s="47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61"/>
      <c r="C21" s="461"/>
      <c r="D21" s="462"/>
      <c r="E21" s="457"/>
      <c r="F21" s="458"/>
      <c r="G21" s="458"/>
      <c r="H21" s="458"/>
      <c r="I21" s="458"/>
      <c r="J21" s="426"/>
      <c r="K21" s="427"/>
      <c r="L21" s="427"/>
      <c r="M21" s="427"/>
      <c r="N21" s="427"/>
      <c r="O21" s="428"/>
      <c r="P21" s="426"/>
      <c r="Q21" s="427"/>
      <c r="R21" s="427"/>
      <c r="S21" s="427"/>
      <c r="T21" s="427"/>
      <c r="U21" s="428"/>
      <c r="V21" s="444"/>
      <c r="W21" s="445"/>
      <c r="X21" s="445"/>
      <c r="Y21" s="445"/>
      <c r="Z21" s="445"/>
      <c r="AA21" s="446"/>
      <c r="AB21" s="444"/>
      <c r="AC21" s="445"/>
      <c r="AD21" s="445"/>
      <c r="AE21" s="445"/>
      <c r="AF21" s="445"/>
      <c r="AG21" s="446"/>
      <c r="AH21" s="435"/>
      <c r="AI21" s="436"/>
      <c r="AJ21" s="436"/>
      <c r="AK21" s="436"/>
      <c r="AL21" s="436"/>
      <c r="AM21" s="437"/>
      <c r="AN21" s="83"/>
      <c r="AO21" s="478"/>
      <c r="AP21" s="479"/>
      <c r="AQ21" s="479"/>
      <c r="AR21" s="479"/>
      <c r="AS21" s="479"/>
      <c r="AT21" s="48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61"/>
      <c r="C22" s="461"/>
      <c r="D22" s="462"/>
      <c r="E22" s="451" t="s">
        <v>222</v>
      </c>
      <c r="F22" s="452"/>
      <c r="G22" s="452"/>
      <c r="H22" s="452"/>
      <c r="I22" s="453"/>
      <c r="J22" s="429" t="str">
        <f>IF(AND('Mapa de Riesgos'!$H$12="Media",'Mapa de Riesgos'!$L$12="Leve"),CONCATENATE("R",'Mapa de Riesgos'!$A$12),"")</f>
        <v/>
      </c>
      <c r="K22" s="430"/>
      <c r="L22" s="430" t="str">
        <f>IF(AND('Mapa de Riesgos'!$H$18="Media",'Mapa de Riesgos'!$L$18="Leve"),CONCATENATE("R",'Mapa de Riesgos'!$A$18),"")</f>
        <v/>
      </c>
      <c r="M22" s="430"/>
      <c r="N22" s="430" t="str">
        <f>IF(AND('Mapa de Riesgos'!$H$24="Media",'Mapa de Riesgos'!$L$24="Leve"),CONCATENATE("R",'Mapa de Riesgos'!$A$24),"")</f>
        <v/>
      </c>
      <c r="O22" s="431"/>
      <c r="P22" s="429" t="str">
        <f>IF(AND('Mapa de Riesgos'!$H$12="Media",'Mapa de Riesgos'!$L$12="Menor"),CONCATENATE("R",'Mapa de Riesgos'!$A$12),"")</f>
        <v/>
      </c>
      <c r="Q22" s="430"/>
      <c r="R22" s="430" t="str">
        <f>IF(AND('Mapa de Riesgos'!$H$18="Media",'Mapa de Riesgos'!$L$18="Menor"),CONCATENATE("R",'Mapa de Riesgos'!$A$18),"")</f>
        <v/>
      </c>
      <c r="S22" s="430"/>
      <c r="T22" s="430" t="str">
        <f>IF(AND('Mapa de Riesgos'!$H$24="Media",'Mapa de Riesgos'!$L$24="Menor"),CONCATENATE("R",'Mapa de Riesgos'!$A$24),"")</f>
        <v/>
      </c>
      <c r="U22" s="431"/>
      <c r="V22" s="429" t="str">
        <f>IF(AND('Mapa de Riesgos'!$H$12="Media",'Mapa de Riesgos'!$L$12="Moderado"),CONCATENATE("R",'Mapa de Riesgos'!$A$12),"")</f>
        <v/>
      </c>
      <c r="W22" s="430"/>
      <c r="X22" s="430" t="str">
        <f>IF(AND('Mapa de Riesgos'!$H$18="Media",'Mapa de Riesgos'!$L$18="Moderado"),CONCATENATE("R",'Mapa de Riesgos'!$A$18),"")</f>
        <v>R2</v>
      </c>
      <c r="Y22" s="430"/>
      <c r="Z22" s="430" t="str">
        <f>IF(AND('Mapa de Riesgos'!$H$24="Media",'Mapa de Riesgos'!$L$24="Moderado"),CONCATENATE("R",'Mapa de Riesgos'!$A$24),"")</f>
        <v/>
      </c>
      <c r="AA22" s="431"/>
      <c r="AB22" s="447" t="str">
        <f>IF(AND('Mapa de Riesgos'!$H$12="Media",'Mapa de Riesgos'!$L$12="Mayor"),CONCATENATE("R",'Mapa de Riesgos'!$A$12),"")</f>
        <v/>
      </c>
      <c r="AC22" s="448"/>
      <c r="AD22" s="448" t="str">
        <f>IF(AND('Mapa de Riesgos'!$H$18="Media",'Mapa de Riesgos'!$L$18="Mayor"),CONCATENATE("R",'Mapa de Riesgos'!$A$18),"")</f>
        <v/>
      </c>
      <c r="AE22" s="448"/>
      <c r="AF22" s="448" t="str">
        <f>IF(AND('Mapa de Riesgos'!$H$24="Media",'Mapa de Riesgos'!$L$24="Mayor"),CONCATENATE("R",'Mapa de Riesgos'!$A$24),"")</f>
        <v/>
      </c>
      <c r="AG22" s="449"/>
      <c r="AH22" s="438" t="str">
        <f>IF(AND('Mapa de Riesgos'!$H$12="Media",'Mapa de Riesgos'!$L$12="Catastrófico"),CONCATENATE("R",'Mapa de Riesgos'!$A$12),"")</f>
        <v/>
      </c>
      <c r="AI22" s="439"/>
      <c r="AJ22" s="439" t="str">
        <f>IF(AND('Mapa de Riesgos'!$H$18="Media",'Mapa de Riesgos'!$L$18="Catastrófico"),CONCATENATE("R",'Mapa de Riesgos'!$A$18),"")</f>
        <v/>
      </c>
      <c r="AK22" s="439"/>
      <c r="AL22" s="439" t="str">
        <f>IF(AND('Mapa de Riesgos'!$H$24="Media",'Mapa de Riesgos'!$L$24="Catastrófico"),CONCATENATE("R",'Mapa de Riesgos'!$A$24),"")</f>
        <v/>
      </c>
      <c r="AM22" s="440"/>
      <c r="AN22" s="83"/>
      <c r="AO22" s="481" t="s">
        <v>223</v>
      </c>
      <c r="AP22" s="482"/>
      <c r="AQ22" s="482"/>
      <c r="AR22" s="482"/>
      <c r="AS22" s="482"/>
      <c r="AT22" s="4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61"/>
      <c r="C23" s="461"/>
      <c r="D23" s="462"/>
      <c r="E23" s="454"/>
      <c r="F23" s="455"/>
      <c r="G23" s="455"/>
      <c r="H23" s="455"/>
      <c r="I23" s="456"/>
      <c r="J23" s="423"/>
      <c r="K23" s="424"/>
      <c r="L23" s="424"/>
      <c r="M23" s="424"/>
      <c r="N23" s="424"/>
      <c r="O23" s="425"/>
      <c r="P23" s="423"/>
      <c r="Q23" s="424"/>
      <c r="R23" s="424"/>
      <c r="S23" s="424"/>
      <c r="T23" s="424"/>
      <c r="U23" s="425"/>
      <c r="V23" s="423"/>
      <c r="W23" s="424"/>
      <c r="X23" s="424"/>
      <c r="Y23" s="424"/>
      <c r="Z23" s="424"/>
      <c r="AA23" s="425"/>
      <c r="AB23" s="441"/>
      <c r="AC23" s="442"/>
      <c r="AD23" s="442"/>
      <c r="AE23" s="442"/>
      <c r="AF23" s="442"/>
      <c r="AG23" s="443"/>
      <c r="AH23" s="432"/>
      <c r="AI23" s="433"/>
      <c r="AJ23" s="433"/>
      <c r="AK23" s="433"/>
      <c r="AL23" s="433"/>
      <c r="AM23" s="434"/>
      <c r="AN23" s="83"/>
      <c r="AO23" s="484"/>
      <c r="AP23" s="485"/>
      <c r="AQ23" s="485"/>
      <c r="AR23" s="485"/>
      <c r="AS23" s="485"/>
      <c r="AT23" s="48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61"/>
      <c r="C24" s="461"/>
      <c r="D24" s="462"/>
      <c r="E24" s="454"/>
      <c r="F24" s="455"/>
      <c r="G24" s="455"/>
      <c r="H24" s="455"/>
      <c r="I24" s="456"/>
      <c r="J24" s="423" t="str">
        <f>IF(AND('Mapa de Riesgos'!$H$30="Media",'Mapa de Riesgos'!$L$30="Leve"),CONCATENATE("R",'Mapa de Riesgos'!$A$30),"")</f>
        <v/>
      </c>
      <c r="K24" s="424"/>
      <c r="L24" s="424" t="str">
        <f>IF(AND('Mapa de Riesgos'!$H$38="Media",'Mapa de Riesgos'!$L$38="Leve"),CONCATENATE("R",'Mapa de Riesgos'!$A$38),"")</f>
        <v/>
      </c>
      <c r="M24" s="424"/>
      <c r="N24" s="424" t="str">
        <f>IF(AND('Mapa de Riesgos'!$H$44="Media",'Mapa de Riesgos'!$L$44="Leve"),CONCATENATE("R",'Mapa de Riesgos'!$A$44),"")</f>
        <v/>
      </c>
      <c r="O24" s="425"/>
      <c r="P24" s="423" t="str">
        <f>IF(AND('Mapa de Riesgos'!$H$30="Media",'Mapa de Riesgos'!$L$30="Menor"),CONCATENATE("R",'Mapa de Riesgos'!$A$30),"")</f>
        <v/>
      </c>
      <c r="Q24" s="424"/>
      <c r="R24" s="424" t="str">
        <f>IF(AND('Mapa de Riesgos'!$H$38="Media",'Mapa de Riesgos'!$L$38="Menor"),CONCATENATE("R",'Mapa de Riesgos'!$A$38),"")</f>
        <v/>
      </c>
      <c r="S24" s="424"/>
      <c r="T24" s="424" t="str">
        <f>IF(AND('Mapa de Riesgos'!$H$44="Media",'Mapa de Riesgos'!$L$44="Menor"),CONCATENATE("R",'Mapa de Riesgos'!$A$44),"")</f>
        <v/>
      </c>
      <c r="U24" s="425"/>
      <c r="V24" s="423" t="str">
        <f>IF(AND('Mapa de Riesgos'!$H$30="Media",'Mapa de Riesgos'!$L$30="Moderado"),CONCATENATE("R",'Mapa de Riesgos'!$A$30),"")</f>
        <v>R4</v>
      </c>
      <c r="W24" s="424"/>
      <c r="X24" s="424" t="str">
        <f>IF(AND('Mapa de Riesgos'!$H$38="Media",'Mapa de Riesgos'!$L$38="Moderado"),CONCATENATE("R",'Mapa de Riesgos'!$A$38),"")</f>
        <v>R5</v>
      </c>
      <c r="Y24" s="424"/>
      <c r="Z24" s="424" t="str">
        <f>IF(AND('Mapa de Riesgos'!$H$44="Media",'Mapa de Riesgos'!$L$44="Moderado"),CONCATENATE("R",'Mapa de Riesgos'!$A$44),"")</f>
        <v/>
      </c>
      <c r="AA24" s="425"/>
      <c r="AB24" s="441" t="str">
        <f>IF(AND('Mapa de Riesgos'!$H$30="Media",'Mapa de Riesgos'!$L$30="Mayor"),CONCATENATE("R",'Mapa de Riesgos'!$A$30),"")</f>
        <v/>
      </c>
      <c r="AC24" s="442"/>
      <c r="AD24" s="442" t="str">
        <f>IF(AND('Mapa de Riesgos'!$H$38="Media",'Mapa de Riesgos'!$L$38="Mayor"),CONCATENATE("R",'Mapa de Riesgos'!$A$38),"")</f>
        <v/>
      </c>
      <c r="AE24" s="442"/>
      <c r="AF24" s="442" t="str">
        <f>IF(AND('Mapa de Riesgos'!$H$44="Media",'Mapa de Riesgos'!$L$44="Mayor"),CONCATENATE("R",'Mapa de Riesgos'!$A$44),"")</f>
        <v/>
      </c>
      <c r="AG24" s="443"/>
      <c r="AH24" s="432" t="str">
        <f>IF(AND('Mapa de Riesgos'!$H$30="Media",'Mapa de Riesgos'!$L$30="Catastrófico"),CONCATENATE("R",'Mapa de Riesgos'!$A$30),"")</f>
        <v/>
      </c>
      <c r="AI24" s="433"/>
      <c r="AJ24" s="433" t="str">
        <f>IF(AND('Mapa de Riesgos'!$H$38="Media",'Mapa de Riesgos'!$L$38="Catastrófico"),CONCATENATE("R",'Mapa de Riesgos'!$A$38),"")</f>
        <v/>
      </c>
      <c r="AK24" s="433"/>
      <c r="AL24" s="433" t="str">
        <f>IF(AND('Mapa de Riesgos'!$H$44="Media",'Mapa de Riesgos'!$L$44="Catastrófico"),CONCATENATE("R",'Mapa de Riesgos'!$A$44),"")</f>
        <v/>
      </c>
      <c r="AM24" s="434"/>
      <c r="AN24" s="83"/>
      <c r="AO24" s="484"/>
      <c r="AP24" s="485"/>
      <c r="AQ24" s="485"/>
      <c r="AR24" s="485"/>
      <c r="AS24" s="485"/>
      <c r="AT24" s="48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61"/>
      <c r="C25" s="461"/>
      <c r="D25" s="462"/>
      <c r="E25" s="454"/>
      <c r="F25" s="455"/>
      <c r="G25" s="455"/>
      <c r="H25" s="455"/>
      <c r="I25" s="456"/>
      <c r="J25" s="423"/>
      <c r="K25" s="424"/>
      <c r="L25" s="424"/>
      <c r="M25" s="424"/>
      <c r="N25" s="424"/>
      <c r="O25" s="425"/>
      <c r="P25" s="423"/>
      <c r="Q25" s="424"/>
      <c r="R25" s="424"/>
      <c r="S25" s="424"/>
      <c r="T25" s="424"/>
      <c r="U25" s="425"/>
      <c r="V25" s="423"/>
      <c r="W25" s="424"/>
      <c r="X25" s="424"/>
      <c r="Y25" s="424"/>
      <c r="Z25" s="424"/>
      <c r="AA25" s="425"/>
      <c r="AB25" s="441"/>
      <c r="AC25" s="442"/>
      <c r="AD25" s="442"/>
      <c r="AE25" s="442"/>
      <c r="AF25" s="442"/>
      <c r="AG25" s="443"/>
      <c r="AH25" s="432"/>
      <c r="AI25" s="433"/>
      <c r="AJ25" s="433"/>
      <c r="AK25" s="433"/>
      <c r="AL25" s="433"/>
      <c r="AM25" s="434"/>
      <c r="AN25" s="83"/>
      <c r="AO25" s="484"/>
      <c r="AP25" s="485"/>
      <c r="AQ25" s="485"/>
      <c r="AR25" s="485"/>
      <c r="AS25" s="485"/>
      <c r="AT25" s="48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61"/>
      <c r="C26" s="461"/>
      <c r="D26" s="462"/>
      <c r="E26" s="454"/>
      <c r="F26" s="455"/>
      <c r="G26" s="455"/>
      <c r="H26" s="455"/>
      <c r="I26" s="456"/>
      <c r="J26" s="423" t="str">
        <f>IF(AND('Mapa de Riesgos'!$H$50="Media",'Mapa de Riesgos'!$L$50="Leve"),CONCATENATE("R",'Mapa de Riesgos'!$A$50),"")</f>
        <v/>
      </c>
      <c r="K26" s="424"/>
      <c r="L26" s="424" t="str">
        <f>IF(AND('Mapa de Riesgos'!$H$56="Media",'Mapa de Riesgos'!$L$56="Leve"),CONCATENATE("R",'Mapa de Riesgos'!$A$56),"")</f>
        <v/>
      </c>
      <c r="M26" s="424"/>
      <c r="N26" s="424" t="str">
        <f>IF(AND('Mapa de Riesgos'!$H$62="Media",'Mapa de Riesgos'!$L$62="Leve"),CONCATENATE("R",'Mapa de Riesgos'!$A$62),"")</f>
        <v/>
      </c>
      <c r="O26" s="425"/>
      <c r="P26" s="423" t="str">
        <f>IF(AND('Mapa de Riesgos'!$H$50="Media",'Mapa de Riesgos'!$L$50="Menor"),CONCATENATE("R",'Mapa de Riesgos'!$A$50),"")</f>
        <v/>
      </c>
      <c r="Q26" s="424"/>
      <c r="R26" s="424" t="str">
        <f>IF(AND('Mapa de Riesgos'!$H$56="Media",'Mapa de Riesgos'!$L$56="Menor"),CONCATENATE("R",'Mapa de Riesgos'!$A$56),"")</f>
        <v/>
      </c>
      <c r="S26" s="424"/>
      <c r="T26" s="424" t="str">
        <f>IF(AND('Mapa de Riesgos'!$H$62="Media",'Mapa de Riesgos'!$L$62="Menor"),CONCATENATE("R",'Mapa de Riesgos'!$A$62),"")</f>
        <v/>
      </c>
      <c r="U26" s="425"/>
      <c r="V26" s="423" t="str">
        <f>IF(AND('Mapa de Riesgos'!$H$50="Media",'Mapa de Riesgos'!$L$50="Moderado"),CONCATENATE("R",'Mapa de Riesgos'!$A$50),"")</f>
        <v/>
      </c>
      <c r="W26" s="424"/>
      <c r="X26" s="424" t="str">
        <f>IF(AND('Mapa de Riesgos'!$H$56="Media",'Mapa de Riesgos'!$L$56="Moderado"),CONCATENATE("R",'Mapa de Riesgos'!$A$56),"")</f>
        <v/>
      </c>
      <c r="Y26" s="424"/>
      <c r="Z26" s="424" t="str">
        <f>IF(AND('Mapa de Riesgos'!$H$62="Media",'Mapa de Riesgos'!$L$62="Moderado"),CONCATENATE("R",'Mapa de Riesgos'!$A$62),"")</f>
        <v/>
      </c>
      <c r="AA26" s="425"/>
      <c r="AB26" s="441" t="str">
        <f>IF(AND('Mapa de Riesgos'!$H$50="Media",'Mapa de Riesgos'!$L$50="Mayor"),CONCATENATE("R",'Mapa de Riesgos'!$A$50),"")</f>
        <v/>
      </c>
      <c r="AC26" s="442"/>
      <c r="AD26" s="442" t="str">
        <f>IF(AND('Mapa de Riesgos'!$H$56="Media",'Mapa de Riesgos'!$L$56="Mayor"),CONCATENATE("R",'Mapa de Riesgos'!$A$56),"")</f>
        <v/>
      </c>
      <c r="AE26" s="442"/>
      <c r="AF26" s="442" t="str">
        <f>IF(AND('Mapa de Riesgos'!$H$62="Media",'Mapa de Riesgos'!$L$62="Mayor"),CONCATENATE("R",'Mapa de Riesgos'!$A$62),"")</f>
        <v/>
      </c>
      <c r="AG26" s="443"/>
      <c r="AH26" s="432" t="str">
        <f>IF(AND('Mapa de Riesgos'!$H$50="Media",'Mapa de Riesgos'!$L$50="Catastrófico"),CONCATENATE("R",'Mapa de Riesgos'!$A$50),"")</f>
        <v/>
      </c>
      <c r="AI26" s="433"/>
      <c r="AJ26" s="433" t="str">
        <f>IF(AND('Mapa de Riesgos'!$H$56="Media",'Mapa de Riesgos'!$L$56="Catastrófico"),CONCATENATE("R",'Mapa de Riesgos'!$A$56),"")</f>
        <v/>
      </c>
      <c r="AK26" s="433"/>
      <c r="AL26" s="433" t="str">
        <f>IF(AND('Mapa de Riesgos'!$H$62="Media",'Mapa de Riesgos'!$L$62="Catastrófico"),CONCATENATE("R",'Mapa de Riesgos'!$A$62),"")</f>
        <v/>
      </c>
      <c r="AM26" s="434"/>
      <c r="AN26" s="83"/>
      <c r="AO26" s="484"/>
      <c r="AP26" s="485"/>
      <c r="AQ26" s="485"/>
      <c r="AR26" s="485"/>
      <c r="AS26" s="485"/>
      <c r="AT26" s="48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61"/>
      <c r="C27" s="461"/>
      <c r="D27" s="462"/>
      <c r="E27" s="454"/>
      <c r="F27" s="455"/>
      <c r="G27" s="455"/>
      <c r="H27" s="455"/>
      <c r="I27" s="456"/>
      <c r="J27" s="423"/>
      <c r="K27" s="424"/>
      <c r="L27" s="424"/>
      <c r="M27" s="424"/>
      <c r="N27" s="424"/>
      <c r="O27" s="425"/>
      <c r="P27" s="423"/>
      <c r="Q27" s="424"/>
      <c r="R27" s="424"/>
      <c r="S27" s="424"/>
      <c r="T27" s="424"/>
      <c r="U27" s="425"/>
      <c r="V27" s="423"/>
      <c r="W27" s="424"/>
      <c r="X27" s="424"/>
      <c r="Y27" s="424"/>
      <c r="Z27" s="424"/>
      <c r="AA27" s="425"/>
      <c r="AB27" s="441"/>
      <c r="AC27" s="442"/>
      <c r="AD27" s="442"/>
      <c r="AE27" s="442"/>
      <c r="AF27" s="442"/>
      <c r="AG27" s="443"/>
      <c r="AH27" s="432"/>
      <c r="AI27" s="433"/>
      <c r="AJ27" s="433"/>
      <c r="AK27" s="433"/>
      <c r="AL27" s="433"/>
      <c r="AM27" s="434"/>
      <c r="AN27" s="83"/>
      <c r="AO27" s="484"/>
      <c r="AP27" s="485"/>
      <c r="AQ27" s="485"/>
      <c r="AR27" s="485"/>
      <c r="AS27" s="485"/>
      <c r="AT27" s="48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61"/>
      <c r="C28" s="461"/>
      <c r="D28" s="462"/>
      <c r="E28" s="454"/>
      <c r="F28" s="455"/>
      <c r="G28" s="455"/>
      <c r="H28" s="455"/>
      <c r="I28" s="456"/>
      <c r="J28" s="423" t="str">
        <f>IF(AND('Mapa de Riesgos'!$H$68="Media",'Mapa de Riesgos'!$L$68="Leve"),CONCATENATE("R",'Mapa de Riesgos'!$A$68),"")</f>
        <v/>
      </c>
      <c r="K28" s="424"/>
      <c r="L28" s="424" t="str">
        <f>IF(AND('Mapa de Riesgos'!$H$74="Media",'Mapa de Riesgos'!$L$74="Leve"),CONCATENATE("R",'Mapa de Riesgos'!$A$74),"")</f>
        <v/>
      </c>
      <c r="M28" s="424"/>
      <c r="N28" s="424" t="str">
        <f>IF(AND('Mapa de Riesgos'!$H$80="Media",'Mapa de Riesgos'!$L$80="Leve"),CONCATENATE("R",'Mapa de Riesgos'!$A$80),"")</f>
        <v/>
      </c>
      <c r="O28" s="425"/>
      <c r="P28" s="423" t="str">
        <f>IF(AND('Mapa de Riesgos'!$H$68="Media",'Mapa de Riesgos'!$L$68="Menor"),CONCATENATE("R",'Mapa de Riesgos'!$A$68),"")</f>
        <v/>
      </c>
      <c r="Q28" s="424"/>
      <c r="R28" s="424" t="str">
        <f>IF(AND('Mapa de Riesgos'!$H$74="Media",'Mapa de Riesgos'!$L$74="Menor"),CONCATENATE("R",'Mapa de Riesgos'!$A$74),"")</f>
        <v/>
      </c>
      <c r="S28" s="424"/>
      <c r="T28" s="424" t="str">
        <f>IF(AND('Mapa de Riesgos'!$H$80="Media",'Mapa de Riesgos'!$L$80="Menor"),CONCATENATE("R",'Mapa de Riesgos'!$A$80),"")</f>
        <v/>
      </c>
      <c r="U28" s="425"/>
      <c r="V28" s="423" t="str">
        <f>IF(AND('Mapa de Riesgos'!$H$68="Media",'Mapa de Riesgos'!$L$68="Moderado"),CONCATENATE("R",'Mapa de Riesgos'!$A$68),"")</f>
        <v/>
      </c>
      <c r="W28" s="424"/>
      <c r="X28" s="424" t="str">
        <f>IF(AND('Mapa de Riesgos'!$H$74="Media",'Mapa de Riesgos'!$L$74="Moderado"),CONCATENATE("R",'Mapa de Riesgos'!$A$74),"")</f>
        <v/>
      </c>
      <c r="Y28" s="424"/>
      <c r="Z28" s="424" t="str">
        <f>IF(AND('Mapa de Riesgos'!$H$80="Media",'Mapa de Riesgos'!$L$80="Moderado"),CONCATENATE("R",'Mapa de Riesgos'!$A$80),"")</f>
        <v/>
      </c>
      <c r="AA28" s="425"/>
      <c r="AB28" s="441" t="str">
        <f>IF(AND('Mapa de Riesgos'!$H$68="Media",'Mapa de Riesgos'!$L$68="Mayor"),CONCATENATE("R",'Mapa de Riesgos'!$A$68),"")</f>
        <v/>
      </c>
      <c r="AC28" s="442"/>
      <c r="AD28" s="442" t="str">
        <f>IF(AND('Mapa de Riesgos'!$H$74="Media",'Mapa de Riesgos'!$L$74="Mayor"),CONCATENATE("R",'Mapa de Riesgos'!$A$74),"")</f>
        <v/>
      </c>
      <c r="AE28" s="442"/>
      <c r="AF28" s="442" t="str">
        <f>IF(AND('Mapa de Riesgos'!$H$80="Media",'Mapa de Riesgos'!$L$80="Mayor"),CONCATENATE("R",'Mapa de Riesgos'!$A$80),"")</f>
        <v/>
      </c>
      <c r="AG28" s="443"/>
      <c r="AH28" s="432" t="str">
        <f>IF(AND('Mapa de Riesgos'!$H$68="Media",'Mapa de Riesgos'!$L$68="Catastrófico"),CONCATENATE("R",'Mapa de Riesgos'!$A$68),"")</f>
        <v/>
      </c>
      <c r="AI28" s="433"/>
      <c r="AJ28" s="433" t="str">
        <f>IF(AND('Mapa de Riesgos'!$H$74="Media",'Mapa de Riesgos'!$L$74="Catastrófico"),CONCATENATE("R",'Mapa de Riesgos'!$A$74),"")</f>
        <v/>
      </c>
      <c r="AK28" s="433"/>
      <c r="AL28" s="433" t="str">
        <f>IF(AND('Mapa de Riesgos'!$H$80="Media",'Mapa de Riesgos'!$L$80="Catastrófico"),CONCATENATE("R",'Mapa de Riesgos'!$A$80),"")</f>
        <v/>
      </c>
      <c r="AM28" s="434"/>
      <c r="AN28" s="83"/>
      <c r="AO28" s="484"/>
      <c r="AP28" s="485"/>
      <c r="AQ28" s="485"/>
      <c r="AR28" s="485"/>
      <c r="AS28" s="485"/>
      <c r="AT28" s="48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61"/>
      <c r="C29" s="461"/>
      <c r="D29" s="462"/>
      <c r="E29" s="457"/>
      <c r="F29" s="458"/>
      <c r="G29" s="458"/>
      <c r="H29" s="458"/>
      <c r="I29" s="459"/>
      <c r="J29" s="423"/>
      <c r="K29" s="424"/>
      <c r="L29" s="424"/>
      <c r="M29" s="424"/>
      <c r="N29" s="424"/>
      <c r="O29" s="425"/>
      <c r="P29" s="426"/>
      <c r="Q29" s="427"/>
      <c r="R29" s="427"/>
      <c r="S29" s="427"/>
      <c r="T29" s="427"/>
      <c r="U29" s="428"/>
      <c r="V29" s="426"/>
      <c r="W29" s="427"/>
      <c r="X29" s="427"/>
      <c r="Y29" s="427"/>
      <c r="Z29" s="427"/>
      <c r="AA29" s="428"/>
      <c r="AB29" s="444"/>
      <c r="AC29" s="445"/>
      <c r="AD29" s="445"/>
      <c r="AE29" s="445"/>
      <c r="AF29" s="445"/>
      <c r="AG29" s="446"/>
      <c r="AH29" s="435"/>
      <c r="AI29" s="436"/>
      <c r="AJ29" s="436"/>
      <c r="AK29" s="436"/>
      <c r="AL29" s="436"/>
      <c r="AM29" s="437"/>
      <c r="AN29" s="83"/>
      <c r="AO29" s="487"/>
      <c r="AP29" s="488"/>
      <c r="AQ29" s="488"/>
      <c r="AR29" s="488"/>
      <c r="AS29" s="488"/>
      <c r="AT29" s="48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61"/>
      <c r="C30" s="461"/>
      <c r="D30" s="462"/>
      <c r="E30" s="451" t="s">
        <v>224</v>
      </c>
      <c r="F30" s="452"/>
      <c r="G30" s="452"/>
      <c r="H30" s="452"/>
      <c r="I30" s="452"/>
      <c r="J30" s="420" t="str">
        <f>IF(AND('Mapa de Riesgos'!$H$12="Baja",'Mapa de Riesgos'!$L$12="Leve"),CONCATENATE("R",'Mapa de Riesgos'!$A$12),"")</f>
        <v/>
      </c>
      <c r="K30" s="421"/>
      <c r="L30" s="421" t="str">
        <f>IF(AND('Mapa de Riesgos'!$H$18="Baja",'Mapa de Riesgos'!$L$18="Leve"),CONCATENATE("R",'Mapa de Riesgos'!$A$18),"")</f>
        <v/>
      </c>
      <c r="M30" s="421"/>
      <c r="N30" s="421" t="str">
        <f>IF(AND('Mapa de Riesgos'!$H$24="Baja",'Mapa de Riesgos'!$L$24="Leve"),CONCATENATE("R",'Mapa de Riesgos'!$A$24),"")</f>
        <v/>
      </c>
      <c r="O30" s="422"/>
      <c r="P30" s="430" t="str">
        <f>IF(AND('Mapa de Riesgos'!$H$12="Baja",'Mapa de Riesgos'!$L$12="Menor"),CONCATENATE("R",'Mapa de Riesgos'!$A$12),"")</f>
        <v/>
      </c>
      <c r="Q30" s="430"/>
      <c r="R30" s="430" t="str">
        <f>IF(AND('Mapa de Riesgos'!$H$18="Baja",'Mapa de Riesgos'!$L$18="Menor"),CONCATENATE("R",'Mapa de Riesgos'!$A$18),"")</f>
        <v/>
      </c>
      <c r="S30" s="430"/>
      <c r="T30" s="430" t="str">
        <f>IF(AND('Mapa de Riesgos'!$H$24="Baja",'Mapa de Riesgos'!$L$24="Menor"),CONCATENATE("R",'Mapa de Riesgos'!$A$24),"")</f>
        <v/>
      </c>
      <c r="U30" s="431"/>
      <c r="V30" s="429" t="str">
        <f>IF(AND('Mapa de Riesgos'!$H$12="Baja",'Mapa de Riesgos'!$L$12="Moderado"),CONCATENATE("R",'Mapa de Riesgos'!$A$12),"")</f>
        <v/>
      </c>
      <c r="W30" s="430"/>
      <c r="X30" s="430" t="str">
        <f>IF(AND('Mapa de Riesgos'!$H$18="Baja",'Mapa de Riesgos'!$L$18="Moderado"),CONCATENATE("R",'Mapa de Riesgos'!$A$18),"")</f>
        <v/>
      </c>
      <c r="Y30" s="430"/>
      <c r="Z30" s="430" t="str">
        <f>IF(AND('Mapa de Riesgos'!$H$24="Baja",'Mapa de Riesgos'!$L$24="Moderado"),CONCATENATE("R",'Mapa de Riesgos'!$A$24),"")</f>
        <v/>
      </c>
      <c r="AA30" s="431"/>
      <c r="AB30" s="447" t="str">
        <f>IF(AND('Mapa de Riesgos'!$H$12="Baja",'Mapa de Riesgos'!$L$12="Mayor"),CONCATENATE("R",'Mapa de Riesgos'!$A$12),"")</f>
        <v/>
      </c>
      <c r="AC30" s="448"/>
      <c r="AD30" s="448" t="str">
        <f>IF(AND('Mapa de Riesgos'!$H$18="Baja",'Mapa de Riesgos'!$L$18="Mayor"),CONCATENATE("R",'Mapa de Riesgos'!$A$18),"")</f>
        <v/>
      </c>
      <c r="AE30" s="448"/>
      <c r="AF30" s="448" t="str">
        <f>IF(AND('Mapa de Riesgos'!$H$24="Baja",'Mapa de Riesgos'!$L$24="Mayor"),CONCATENATE("R",'Mapa de Riesgos'!$A$24),"")</f>
        <v/>
      </c>
      <c r="AG30" s="449"/>
      <c r="AH30" s="438" t="str">
        <f>IF(AND('Mapa de Riesgos'!$H$12="Baja",'Mapa de Riesgos'!$L$12="Catastrófico"),CONCATENATE("R",'Mapa de Riesgos'!$A$12),"")</f>
        <v/>
      </c>
      <c r="AI30" s="439"/>
      <c r="AJ30" s="439" t="str">
        <f>IF(AND('Mapa de Riesgos'!$H$18="Baja",'Mapa de Riesgos'!$L$18="Catastrófico"),CONCATENATE("R",'Mapa de Riesgos'!$A$18),"")</f>
        <v/>
      </c>
      <c r="AK30" s="439"/>
      <c r="AL30" s="439" t="str">
        <f>IF(AND('Mapa de Riesgos'!$H$24="Baja",'Mapa de Riesgos'!$L$24="Catastrófico"),CONCATENATE("R",'Mapa de Riesgos'!$A$24),"")</f>
        <v/>
      </c>
      <c r="AM30" s="440"/>
      <c r="AN30" s="83"/>
      <c r="AO30" s="490" t="s">
        <v>225</v>
      </c>
      <c r="AP30" s="491"/>
      <c r="AQ30" s="491"/>
      <c r="AR30" s="491"/>
      <c r="AS30" s="491"/>
      <c r="AT30" s="49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61"/>
      <c r="C31" s="461"/>
      <c r="D31" s="462"/>
      <c r="E31" s="454"/>
      <c r="F31" s="455"/>
      <c r="G31" s="455"/>
      <c r="H31" s="455"/>
      <c r="I31" s="455"/>
      <c r="J31" s="414"/>
      <c r="K31" s="415"/>
      <c r="L31" s="415"/>
      <c r="M31" s="415"/>
      <c r="N31" s="415"/>
      <c r="O31" s="416"/>
      <c r="P31" s="424"/>
      <c r="Q31" s="424"/>
      <c r="R31" s="424"/>
      <c r="S31" s="424"/>
      <c r="T31" s="424"/>
      <c r="U31" s="425"/>
      <c r="V31" s="423"/>
      <c r="W31" s="424"/>
      <c r="X31" s="424"/>
      <c r="Y31" s="424"/>
      <c r="Z31" s="424"/>
      <c r="AA31" s="425"/>
      <c r="AB31" s="441"/>
      <c r="AC31" s="442"/>
      <c r="AD31" s="442"/>
      <c r="AE31" s="442"/>
      <c r="AF31" s="442"/>
      <c r="AG31" s="443"/>
      <c r="AH31" s="432"/>
      <c r="AI31" s="433"/>
      <c r="AJ31" s="433"/>
      <c r="AK31" s="433"/>
      <c r="AL31" s="433"/>
      <c r="AM31" s="434"/>
      <c r="AN31" s="83"/>
      <c r="AO31" s="493"/>
      <c r="AP31" s="494"/>
      <c r="AQ31" s="494"/>
      <c r="AR31" s="494"/>
      <c r="AS31" s="494"/>
      <c r="AT31" s="49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61"/>
      <c r="C32" s="461"/>
      <c r="D32" s="462"/>
      <c r="E32" s="454"/>
      <c r="F32" s="455"/>
      <c r="G32" s="455"/>
      <c r="H32" s="455"/>
      <c r="I32" s="455"/>
      <c r="J32" s="414" t="str">
        <f>IF(AND('Mapa de Riesgos'!$H$30="Baja",'Mapa de Riesgos'!$L$30="Leve"),CONCATENATE("R",'Mapa de Riesgos'!$A$30),"")</f>
        <v/>
      </c>
      <c r="K32" s="415"/>
      <c r="L32" s="415" t="str">
        <f>IF(AND('Mapa de Riesgos'!$H$38="Baja",'Mapa de Riesgos'!$L$38="Leve"),CONCATENATE("R",'Mapa de Riesgos'!$A$38),"")</f>
        <v/>
      </c>
      <c r="M32" s="415"/>
      <c r="N32" s="415" t="str">
        <f>IF(AND('Mapa de Riesgos'!$H$44="Baja",'Mapa de Riesgos'!$L$44="Leve"),CONCATENATE("R",'Mapa de Riesgos'!$A$44),"")</f>
        <v/>
      </c>
      <c r="O32" s="416"/>
      <c r="P32" s="424" t="str">
        <f>IF(AND('Mapa de Riesgos'!$H$30="Baja",'Mapa de Riesgos'!$L$30="Menor"),CONCATENATE("R",'Mapa de Riesgos'!$A$30),"")</f>
        <v/>
      </c>
      <c r="Q32" s="424"/>
      <c r="R32" s="424" t="str">
        <f>IF(AND('Mapa de Riesgos'!$H$38="Baja",'Mapa de Riesgos'!$L$38="Menor"),CONCATENATE("R",'Mapa de Riesgos'!$A$38),"")</f>
        <v/>
      </c>
      <c r="S32" s="424"/>
      <c r="T32" s="424" t="str">
        <f>IF(AND('Mapa de Riesgos'!$H$44="Baja",'Mapa de Riesgos'!$L$44="Menor"),CONCATENATE("R",'Mapa de Riesgos'!$A$44),"")</f>
        <v/>
      </c>
      <c r="U32" s="425"/>
      <c r="V32" s="423" t="str">
        <f>IF(AND('Mapa de Riesgos'!$H$30="Baja",'Mapa de Riesgos'!$L$30="Moderado"),CONCATENATE("R",'Mapa de Riesgos'!$A$30),"")</f>
        <v/>
      </c>
      <c r="W32" s="424"/>
      <c r="X32" s="424" t="str">
        <f>IF(AND('Mapa de Riesgos'!$H$38="Baja",'Mapa de Riesgos'!$L$38="Moderado"),CONCATENATE("R",'Mapa de Riesgos'!$A$38),"")</f>
        <v/>
      </c>
      <c r="Y32" s="424"/>
      <c r="Z32" s="424" t="str">
        <f>IF(AND('Mapa de Riesgos'!$H$44="Baja",'Mapa de Riesgos'!$L$44="Moderado"),CONCATENATE("R",'Mapa de Riesgos'!$A$44),"")</f>
        <v/>
      </c>
      <c r="AA32" s="425"/>
      <c r="AB32" s="441" t="str">
        <f>IF(AND('Mapa de Riesgos'!$H$30="Baja",'Mapa de Riesgos'!$L$30="Mayor"),CONCATENATE("R",'Mapa de Riesgos'!$A$30),"")</f>
        <v/>
      </c>
      <c r="AC32" s="442"/>
      <c r="AD32" s="442" t="str">
        <f>IF(AND('Mapa de Riesgos'!$H$38="Baja",'Mapa de Riesgos'!$L$38="Mayor"),CONCATENATE("R",'Mapa de Riesgos'!$A$38),"")</f>
        <v/>
      </c>
      <c r="AE32" s="442"/>
      <c r="AF32" s="442" t="str">
        <f>IF(AND('Mapa de Riesgos'!$H$44="Baja",'Mapa de Riesgos'!$L$44="Mayor"),CONCATENATE("R",'Mapa de Riesgos'!$A$44),"")</f>
        <v/>
      </c>
      <c r="AG32" s="443"/>
      <c r="AH32" s="432" t="str">
        <f>IF(AND('Mapa de Riesgos'!$H$30="Baja",'Mapa de Riesgos'!$L$30="Catastrófico"),CONCATENATE("R",'Mapa de Riesgos'!$A$30),"")</f>
        <v/>
      </c>
      <c r="AI32" s="433"/>
      <c r="AJ32" s="433" t="str">
        <f>IF(AND('Mapa de Riesgos'!$H$38="Baja",'Mapa de Riesgos'!$L$38="Catastrófico"),CONCATENATE("R",'Mapa de Riesgos'!$A$38),"")</f>
        <v/>
      </c>
      <c r="AK32" s="433"/>
      <c r="AL32" s="433" t="str">
        <f>IF(AND('Mapa de Riesgos'!$H$44="Baja",'Mapa de Riesgos'!$L$44="Catastrófico"),CONCATENATE("R",'Mapa de Riesgos'!$A$44),"")</f>
        <v/>
      </c>
      <c r="AM32" s="434"/>
      <c r="AN32" s="83"/>
      <c r="AO32" s="493"/>
      <c r="AP32" s="494"/>
      <c r="AQ32" s="494"/>
      <c r="AR32" s="494"/>
      <c r="AS32" s="494"/>
      <c r="AT32" s="49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61"/>
      <c r="C33" s="461"/>
      <c r="D33" s="462"/>
      <c r="E33" s="454"/>
      <c r="F33" s="455"/>
      <c r="G33" s="455"/>
      <c r="H33" s="455"/>
      <c r="I33" s="455"/>
      <c r="J33" s="414"/>
      <c r="K33" s="415"/>
      <c r="L33" s="415"/>
      <c r="M33" s="415"/>
      <c r="N33" s="415"/>
      <c r="O33" s="416"/>
      <c r="P33" s="424"/>
      <c r="Q33" s="424"/>
      <c r="R33" s="424"/>
      <c r="S33" s="424"/>
      <c r="T33" s="424"/>
      <c r="U33" s="425"/>
      <c r="V33" s="423"/>
      <c r="W33" s="424"/>
      <c r="X33" s="424"/>
      <c r="Y33" s="424"/>
      <c r="Z33" s="424"/>
      <c r="AA33" s="425"/>
      <c r="AB33" s="441"/>
      <c r="AC33" s="442"/>
      <c r="AD33" s="442"/>
      <c r="AE33" s="442"/>
      <c r="AF33" s="442"/>
      <c r="AG33" s="443"/>
      <c r="AH33" s="432"/>
      <c r="AI33" s="433"/>
      <c r="AJ33" s="433"/>
      <c r="AK33" s="433"/>
      <c r="AL33" s="433"/>
      <c r="AM33" s="434"/>
      <c r="AN33" s="83"/>
      <c r="AO33" s="493"/>
      <c r="AP33" s="494"/>
      <c r="AQ33" s="494"/>
      <c r="AR33" s="494"/>
      <c r="AS33" s="494"/>
      <c r="AT33" s="49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61"/>
      <c r="C34" s="461"/>
      <c r="D34" s="462"/>
      <c r="E34" s="454"/>
      <c r="F34" s="455"/>
      <c r="G34" s="455"/>
      <c r="H34" s="455"/>
      <c r="I34" s="455"/>
      <c r="J34" s="414" t="str">
        <f>IF(AND('Mapa de Riesgos'!$H$50="Baja",'Mapa de Riesgos'!$L$50="Leve"),CONCATENATE("R",'Mapa de Riesgos'!$A$50),"")</f>
        <v/>
      </c>
      <c r="K34" s="415"/>
      <c r="L34" s="415" t="str">
        <f>IF(AND('Mapa de Riesgos'!$H$56="Baja",'Mapa de Riesgos'!$L$56="Leve"),CONCATENATE("R",'Mapa de Riesgos'!$A$56),"")</f>
        <v/>
      </c>
      <c r="M34" s="415"/>
      <c r="N34" s="415" t="str">
        <f>IF(AND('Mapa de Riesgos'!$H$62="Baja",'Mapa de Riesgos'!$L$62="Leve"),CONCATENATE("R",'Mapa de Riesgos'!$A$62),"")</f>
        <v/>
      </c>
      <c r="O34" s="416"/>
      <c r="P34" s="424" t="str">
        <f>IF(AND('Mapa de Riesgos'!$H$50="Baja",'Mapa de Riesgos'!$L$50="Menor"),CONCATENATE("R",'Mapa de Riesgos'!$A$50),"")</f>
        <v/>
      </c>
      <c r="Q34" s="424"/>
      <c r="R34" s="424" t="str">
        <f>IF(AND('Mapa de Riesgos'!$H$56="Baja",'Mapa de Riesgos'!$L$56="Menor"),CONCATENATE("R",'Mapa de Riesgos'!$A$56),"")</f>
        <v/>
      </c>
      <c r="S34" s="424"/>
      <c r="T34" s="424" t="str">
        <f>IF(AND('Mapa de Riesgos'!$H$62="Baja",'Mapa de Riesgos'!$L$62="Menor"),CONCATENATE("R",'Mapa de Riesgos'!$A$62),"")</f>
        <v/>
      </c>
      <c r="U34" s="425"/>
      <c r="V34" s="423" t="str">
        <f>IF(AND('Mapa de Riesgos'!$H$50="Baja",'Mapa de Riesgos'!$L$50="Moderado"),CONCATENATE("R",'Mapa de Riesgos'!$A$50),"")</f>
        <v/>
      </c>
      <c r="W34" s="424"/>
      <c r="X34" s="424" t="str">
        <f>IF(AND('Mapa de Riesgos'!$H$56="Baja",'Mapa de Riesgos'!$L$56="Moderado"),CONCATENATE("R",'Mapa de Riesgos'!$A$56),"")</f>
        <v/>
      </c>
      <c r="Y34" s="424"/>
      <c r="Z34" s="424" t="str">
        <f>IF(AND('Mapa de Riesgos'!$H$62="Baja",'Mapa de Riesgos'!$L$62="Moderado"),CONCATENATE("R",'Mapa de Riesgos'!$A$62),"")</f>
        <v/>
      </c>
      <c r="AA34" s="425"/>
      <c r="AB34" s="441" t="str">
        <f>IF(AND('Mapa de Riesgos'!$H$50="Baja",'Mapa de Riesgos'!$L$50="Mayor"),CONCATENATE("R",'Mapa de Riesgos'!$A$50),"")</f>
        <v/>
      </c>
      <c r="AC34" s="442"/>
      <c r="AD34" s="442" t="str">
        <f>IF(AND('Mapa de Riesgos'!$H$56="Baja",'Mapa de Riesgos'!$L$56="Mayor"),CONCATENATE("R",'Mapa de Riesgos'!$A$56),"")</f>
        <v/>
      </c>
      <c r="AE34" s="442"/>
      <c r="AF34" s="442" t="str">
        <f>IF(AND('Mapa de Riesgos'!$H$62="Baja",'Mapa de Riesgos'!$L$62="Mayor"),CONCATENATE("R",'Mapa de Riesgos'!$A$62),"")</f>
        <v/>
      </c>
      <c r="AG34" s="443"/>
      <c r="AH34" s="432" t="str">
        <f>IF(AND('Mapa de Riesgos'!$H$50="Baja",'Mapa de Riesgos'!$L$50="Catastrófico"),CONCATENATE("R",'Mapa de Riesgos'!$A$50),"")</f>
        <v/>
      </c>
      <c r="AI34" s="433"/>
      <c r="AJ34" s="433" t="str">
        <f>IF(AND('Mapa de Riesgos'!$H$56="Baja",'Mapa de Riesgos'!$L$56="Catastrófico"),CONCATENATE("R",'Mapa de Riesgos'!$A$56),"")</f>
        <v/>
      </c>
      <c r="AK34" s="433"/>
      <c r="AL34" s="433" t="str">
        <f>IF(AND('Mapa de Riesgos'!$H$62="Baja",'Mapa de Riesgos'!$L$62="Catastrófico"),CONCATENATE("R",'Mapa de Riesgos'!$A$62),"")</f>
        <v/>
      </c>
      <c r="AM34" s="434"/>
      <c r="AN34" s="83"/>
      <c r="AO34" s="493"/>
      <c r="AP34" s="494"/>
      <c r="AQ34" s="494"/>
      <c r="AR34" s="494"/>
      <c r="AS34" s="494"/>
      <c r="AT34" s="49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61"/>
      <c r="C35" s="461"/>
      <c r="D35" s="462"/>
      <c r="E35" s="454"/>
      <c r="F35" s="455"/>
      <c r="G35" s="455"/>
      <c r="H35" s="455"/>
      <c r="I35" s="455"/>
      <c r="J35" s="414"/>
      <c r="K35" s="415"/>
      <c r="L35" s="415"/>
      <c r="M35" s="415"/>
      <c r="N35" s="415"/>
      <c r="O35" s="416"/>
      <c r="P35" s="424"/>
      <c r="Q35" s="424"/>
      <c r="R35" s="424"/>
      <c r="S35" s="424"/>
      <c r="T35" s="424"/>
      <c r="U35" s="425"/>
      <c r="V35" s="423"/>
      <c r="W35" s="424"/>
      <c r="X35" s="424"/>
      <c r="Y35" s="424"/>
      <c r="Z35" s="424"/>
      <c r="AA35" s="425"/>
      <c r="AB35" s="441"/>
      <c r="AC35" s="442"/>
      <c r="AD35" s="442"/>
      <c r="AE35" s="442"/>
      <c r="AF35" s="442"/>
      <c r="AG35" s="443"/>
      <c r="AH35" s="432"/>
      <c r="AI35" s="433"/>
      <c r="AJ35" s="433"/>
      <c r="AK35" s="433"/>
      <c r="AL35" s="433"/>
      <c r="AM35" s="434"/>
      <c r="AN35" s="83"/>
      <c r="AO35" s="493"/>
      <c r="AP35" s="494"/>
      <c r="AQ35" s="494"/>
      <c r="AR35" s="494"/>
      <c r="AS35" s="494"/>
      <c r="AT35" s="49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61"/>
      <c r="C36" s="461"/>
      <c r="D36" s="462"/>
      <c r="E36" s="454"/>
      <c r="F36" s="455"/>
      <c r="G36" s="455"/>
      <c r="H36" s="455"/>
      <c r="I36" s="455"/>
      <c r="J36" s="414" t="str">
        <f>IF(AND('Mapa de Riesgos'!$H$68="Baja",'Mapa de Riesgos'!$L$68="Leve"),CONCATENATE("R",'Mapa de Riesgos'!$A$68),"")</f>
        <v/>
      </c>
      <c r="K36" s="415"/>
      <c r="L36" s="415" t="str">
        <f>IF(AND('Mapa de Riesgos'!$H$74="Baja",'Mapa de Riesgos'!$L$74="Leve"),CONCATENATE("R",'Mapa de Riesgos'!$A$74),"")</f>
        <v/>
      </c>
      <c r="M36" s="415"/>
      <c r="N36" s="415" t="str">
        <f>IF(AND('Mapa de Riesgos'!$H$80="Baja",'Mapa de Riesgos'!$L$80="Leve"),CONCATENATE("R",'Mapa de Riesgos'!$A$80),"")</f>
        <v/>
      </c>
      <c r="O36" s="416"/>
      <c r="P36" s="424" t="str">
        <f>IF(AND('Mapa de Riesgos'!$H$68="Baja",'Mapa de Riesgos'!$L$68="Menor"),CONCATENATE("R",'Mapa de Riesgos'!$A$68),"")</f>
        <v/>
      </c>
      <c r="Q36" s="424"/>
      <c r="R36" s="424" t="str">
        <f>IF(AND('Mapa de Riesgos'!$H$74="Baja",'Mapa de Riesgos'!$L$74="Menor"),CONCATENATE("R",'Mapa de Riesgos'!$A$74),"")</f>
        <v/>
      </c>
      <c r="S36" s="424"/>
      <c r="T36" s="424" t="str">
        <f>IF(AND('Mapa de Riesgos'!$H$80="Baja",'Mapa de Riesgos'!$L$80="Menor"),CONCATENATE("R",'Mapa de Riesgos'!$A$80),"")</f>
        <v/>
      </c>
      <c r="U36" s="425"/>
      <c r="V36" s="423" t="str">
        <f>IF(AND('Mapa de Riesgos'!$H$68="Baja",'Mapa de Riesgos'!$L$68="Moderado"),CONCATENATE("R",'Mapa de Riesgos'!$A$68),"")</f>
        <v/>
      </c>
      <c r="W36" s="424"/>
      <c r="X36" s="424" t="str">
        <f>IF(AND('Mapa de Riesgos'!$H$74="Baja",'Mapa de Riesgos'!$L$74="Moderado"),CONCATENATE("R",'Mapa de Riesgos'!$A$74),"")</f>
        <v/>
      </c>
      <c r="Y36" s="424"/>
      <c r="Z36" s="424" t="str">
        <f>IF(AND('Mapa de Riesgos'!$H$80="Baja",'Mapa de Riesgos'!$L$80="Moderado"),CONCATENATE("R",'Mapa de Riesgos'!$A$80),"")</f>
        <v/>
      </c>
      <c r="AA36" s="425"/>
      <c r="AB36" s="441" t="str">
        <f>IF(AND('Mapa de Riesgos'!$H$68="Baja",'Mapa de Riesgos'!$L$68="Mayor"),CONCATENATE("R",'Mapa de Riesgos'!$A$68),"")</f>
        <v/>
      </c>
      <c r="AC36" s="442"/>
      <c r="AD36" s="442" t="str">
        <f>IF(AND('Mapa de Riesgos'!$H$74="Baja",'Mapa de Riesgos'!$L$74="Mayor"),CONCATENATE("R",'Mapa de Riesgos'!$A$74),"")</f>
        <v/>
      </c>
      <c r="AE36" s="442"/>
      <c r="AF36" s="442" t="str">
        <f>IF(AND('Mapa de Riesgos'!$H$80="Baja",'Mapa de Riesgos'!$L$80="Mayor"),CONCATENATE("R",'Mapa de Riesgos'!$A$80),"")</f>
        <v/>
      </c>
      <c r="AG36" s="443"/>
      <c r="AH36" s="432" t="str">
        <f>IF(AND('Mapa de Riesgos'!$H$68="Baja",'Mapa de Riesgos'!$L$68="Catastrófico"),CONCATENATE("R",'Mapa de Riesgos'!$A$68),"")</f>
        <v/>
      </c>
      <c r="AI36" s="433"/>
      <c r="AJ36" s="433" t="str">
        <f>IF(AND('Mapa de Riesgos'!$H$74="Baja",'Mapa de Riesgos'!$L$74="Catastrófico"),CONCATENATE("R",'Mapa de Riesgos'!$A$74),"")</f>
        <v/>
      </c>
      <c r="AK36" s="433"/>
      <c r="AL36" s="433" t="str">
        <f>IF(AND('Mapa de Riesgos'!$H$80="Baja",'Mapa de Riesgos'!$L$80="Catastrófico"),CONCATENATE("R",'Mapa de Riesgos'!$A$80),"")</f>
        <v/>
      </c>
      <c r="AM36" s="434"/>
      <c r="AN36" s="83"/>
      <c r="AO36" s="493"/>
      <c r="AP36" s="494"/>
      <c r="AQ36" s="494"/>
      <c r="AR36" s="494"/>
      <c r="AS36" s="494"/>
      <c r="AT36" s="49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61"/>
      <c r="C37" s="461"/>
      <c r="D37" s="462"/>
      <c r="E37" s="457"/>
      <c r="F37" s="458"/>
      <c r="G37" s="458"/>
      <c r="H37" s="458"/>
      <c r="I37" s="458"/>
      <c r="J37" s="417"/>
      <c r="K37" s="418"/>
      <c r="L37" s="418"/>
      <c r="M37" s="418"/>
      <c r="N37" s="418"/>
      <c r="O37" s="419"/>
      <c r="P37" s="427"/>
      <c r="Q37" s="427"/>
      <c r="R37" s="427"/>
      <c r="S37" s="427"/>
      <c r="T37" s="427"/>
      <c r="U37" s="428"/>
      <c r="V37" s="426"/>
      <c r="W37" s="427"/>
      <c r="X37" s="427"/>
      <c r="Y37" s="427"/>
      <c r="Z37" s="427"/>
      <c r="AA37" s="428"/>
      <c r="AB37" s="444"/>
      <c r="AC37" s="445"/>
      <c r="AD37" s="445"/>
      <c r="AE37" s="445"/>
      <c r="AF37" s="445"/>
      <c r="AG37" s="446"/>
      <c r="AH37" s="435"/>
      <c r="AI37" s="436"/>
      <c r="AJ37" s="436"/>
      <c r="AK37" s="436"/>
      <c r="AL37" s="436"/>
      <c r="AM37" s="437"/>
      <c r="AN37" s="83"/>
      <c r="AO37" s="496"/>
      <c r="AP37" s="497"/>
      <c r="AQ37" s="497"/>
      <c r="AR37" s="497"/>
      <c r="AS37" s="497"/>
      <c r="AT37" s="49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61"/>
      <c r="C38" s="461"/>
      <c r="D38" s="462"/>
      <c r="E38" s="451" t="s">
        <v>226</v>
      </c>
      <c r="F38" s="452"/>
      <c r="G38" s="452"/>
      <c r="H38" s="452"/>
      <c r="I38" s="453"/>
      <c r="J38" s="420" t="str">
        <f>IF(AND('Mapa de Riesgos'!$H$12="Muy Baja",'Mapa de Riesgos'!$L$12="Leve"),CONCATENATE("R",'Mapa de Riesgos'!$A$12),"")</f>
        <v/>
      </c>
      <c r="K38" s="421"/>
      <c r="L38" s="421" t="str">
        <f>IF(AND('Mapa de Riesgos'!$H$18="Muy Baja",'Mapa de Riesgos'!$L$18="Leve"),CONCATENATE("R",'Mapa de Riesgos'!$A$18),"")</f>
        <v/>
      </c>
      <c r="M38" s="421"/>
      <c r="N38" s="421" t="str">
        <f>IF(AND('Mapa de Riesgos'!$H$24="Muy Baja",'Mapa de Riesgos'!$L$24="Leve"),CONCATENATE("R",'Mapa de Riesgos'!$A$24),"")</f>
        <v/>
      </c>
      <c r="O38" s="422"/>
      <c r="P38" s="420" t="str">
        <f>IF(AND('Mapa de Riesgos'!$H$12="Muy Baja",'Mapa de Riesgos'!$L$12="Menor"),CONCATENATE("R",'Mapa de Riesgos'!$A$12),"")</f>
        <v/>
      </c>
      <c r="Q38" s="421"/>
      <c r="R38" s="421" t="str">
        <f>IF(AND('Mapa de Riesgos'!$H$18="Muy Baja",'Mapa de Riesgos'!$L$18="Menor"),CONCATENATE("R",'Mapa de Riesgos'!$A$18),"")</f>
        <v/>
      </c>
      <c r="S38" s="421"/>
      <c r="T38" s="421" t="str">
        <f>IF(AND('Mapa de Riesgos'!$H$24="Muy Baja",'Mapa de Riesgos'!$L$24="Menor"),CONCATENATE("R",'Mapa de Riesgos'!$A$24),"")</f>
        <v/>
      </c>
      <c r="U38" s="422"/>
      <c r="V38" s="429" t="str">
        <f>IF(AND('Mapa de Riesgos'!$H$12="Muy Baja",'Mapa de Riesgos'!$L$12="Moderado"),CONCATENATE("R",'Mapa de Riesgos'!$A$12),"")</f>
        <v/>
      </c>
      <c r="W38" s="430"/>
      <c r="X38" s="430" t="str">
        <f>IF(AND('Mapa de Riesgos'!$H$18="Muy Baja",'Mapa de Riesgos'!$L$18="Moderado"),CONCATENATE("R",'Mapa de Riesgos'!$A$18),"")</f>
        <v/>
      </c>
      <c r="Y38" s="430"/>
      <c r="Z38" s="430" t="str">
        <f>IF(AND('Mapa de Riesgos'!$H$24="Muy Baja",'Mapa de Riesgos'!$L$24="Moderado"),CONCATENATE("R",'Mapa de Riesgos'!$A$24),"")</f>
        <v>R3</v>
      </c>
      <c r="AA38" s="431"/>
      <c r="AB38" s="447" t="str">
        <f>IF(AND('Mapa de Riesgos'!$H$12="Muy Baja",'Mapa de Riesgos'!$L$12="Mayor"),CONCATENATE("R",'Mapa de Riesgos'!$A$12),"")</f>
        <v/>
      </c>
      <c r="AC38" s="448"/>
      <c r="AD38" s="448" t="str">
        <f>IF(AND('Mapa de Riesgos'!$H$18="Muy Baja",'Mapa de Riesgos'!$L$18="Mayor"),CONCATENATE("R",'Mapa de Riesgos'!$A$18),"")</f>
        <v/>
      </c>
      <c r="AE38" s="448"/>
      <c r="AF38" s="448" t="str">
        <f>IF(AND('Mapa de Riesgos'!$H$24="Muy Baja",'Mapa de Riesgos'!$L$24="Mayor"),CONCATENATE("R",'Mapa de Riesgos'!$A$24),"")</f>
        <v/>
      </c>
      <c r="AG38" s="449"/>
      <c r="AH38" s="438" t="str">
        <f>IF(AND('Mapa de Riesgos'!$H$12="Muy Baja",'Mapa de Riesgos'!$L$12="Catastrófico"),CONCATENATE("R",'Mapa de Riesgos'!$A$12),"")</f>
        <v/>
      </c>
      <c r="AI38" s="439"/>
      <c r="AJ38" s="439" t="str">
        <f>IF(AND('Mapa de Riesgos'!$H$18="Muy Baja",'Mapa de Riesgos'!$L$18="Catastrófico"),CONCATENATE("R",'Mapa de Riesgos'!$A$18),"")</f>
        <v/>
      </c>
      <c r="AK38" s="439"/>
      <c r="AL38" s="439" t="str">
        <f>IF(AND('Mapa de Riesgos'!$H$24="Muy Baja",'Mapa de Riesgos'!$L$24="Catastrófico"),CONCATENATE("R",'Mapa de Riesgos'!$A$24),"")</f>
        <v/>
      </c>
      <c r="AM38" s="44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61"/>
      <c r="C39" s="461"/>
      <c r="D39" s="462"/>
      <c r="E39" s="454"/>
      <c r="F39" s="455"/>
      <c r="G39" s="455"/>
      <c r="H39" s="455"/>
      <c r="I39" s="456"/>
      <c r="J39" s="414"/>
      <c r="K39" s="415"/>
      <c r="L39" s="415"/>
      <c r="M39" s="415"/>
      <c r="N39" s="415"/>
      <c r="O39" s="416"/>
      <c r="P39" s="414"/>
      <c r="Q39" s="415"/>
      <c r="R39" s="415"/>
      <c r="S39" s="415"/>
      <c r="T39" s="415"/>
      <c r="U39" s="416"/>
      <c r="V39" s="423"/>
      <c r="W39" s="424"/>
      <c r="X39" s="424"/>
      <c r="Y39" s="424"/>
      <c r="Z39" s="424"/>
      <c r="AA39" s="425"/>
      <c r="AB39" s="441"/>
      <c r="AC39" s="442"/>
      <c r="AD39" s="442"/>
      <c r="AE39" s="442"/>
      <c r="AF39" s="442"/>
      <c r="AG39" s="443"/>
      <c r="AH39" s="432"/>
      <c r="AI39" s="433"/>
      <c r="AJ39" s="433"/>
      <c r="AK39" s="433"/>
      <c r="AL39" s="433"/>
      <c r="AM39" s="43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61"/>
      <c r="C40" s="461"/>
      <c r="D40" s="462"/>
      <c r="E40" s="454"/>
      <c r="F40" s="455"/>
      <c r="G40" s="455"/>
      <c r="H40" s="455"/>
      <c r="I40" s="456"/>
      <c r="J40" s="414" t="str">
        <f>IF(AND('Mapa de Riesgos'!$H$30="Muy Baja",'Mapa de Riesgos'!$L$30="Leve"),CONCATENATE("R",'Mapa de Riesgos'!$A$30),"")</f>
        <v/>
      </c>
      <c r="K40" s="415"/>
      <c r="L40" s="415" t="str">
        <f>IF(AND('Mapa de Riesgos'!$H$38="Muy Baja",'Mapa de Riesgos'!$L$38="Leve"),CONCATENATE("R",'Mapa de Riesgos'!$A$38),"")</f>
        <v/>
      </c>
      <c r="M40" s="415"/>
      <c r="N40" s="415" t="str">
        <f>IF(AND('Mapa de Riesgos'!$H$44="Muy Baja",'Mapa de Riesgos'!$L$44="Leve"),CONCATENATE("R",'Mapa de Riesgos'!$A$44),"")</f>
        <v/>
      </c>
      <c r="O40" s="416"/>
      <c r="P40" s="414" t="str">
        <f>IF(AND('Mapa de Riesgos'!$H$30="Muy Baja",'Mapa de Riesgos'!$L$30="Menor"),CONCATENATE("R",'Mapa de Riesgos'!$A$30),"")</f>
        <v/>
      </c>
      <c r="Q40" s="415"/>
      <c r="R40" s="415" t="str">
        <f>IF(AND('Mapa de Riesgos'!$H$38="Muy Baja",'Mapa de Riesgos'!$L$38="Menor"),CONCATENATE("R",'Mapa de Riesgos'!$A$38),"")</f>
        <v/>
      </c>
      <c r="S40" s="415"/>
      <c r="T40" s="415" t="str">
        <f>IF(AND('Mapa de Riesgos'!$H$44="Muy Baja",'Mapa de Riesgos'!$L$44="Menor"),CONCATENATE("R",'Mapa de Riesgos'!$A$44),"")</f>
        <v/>
      </c>
      <c r="U40" s="416"/>
      <c r="V40" s="423" t="str">
        <f>IF(AND('Mapa de Riesgos'!$H$30="Muy Baja",'Mapa de Riesgos'!$L$30="Moderado"),CONCATENATE("R",'Mapa de Riesgos'!$A$30),"")</f>
        <v/>
      </c>
      <c r="W40" s="424"/>
      <c r="X40" s="424" t="str">
        <f>IF(AND('Mapa de Riesgos'!$H$38="Muy Baja",'Mapa de Riesgos'!$L$38="Moderado"),CONCATENATE("R",'Mapa de Riesgos'!$A$38),"")</f>
        <v/>
      </c>
      <c r="Y40" s="424"/>
      <c r="Z40" s="424" t="str">
        <f>IF(AND('Mapa de Riesgos'!$H$44="Muy Baja",'Mapa de Riesgos'!$L$44="Moderado"),CONCATENATE("R",'Mapa de Riesgos'!$A$44),"")</f>
        <v/>
      </c>
      <c r="AA40" s="425"/>
      <c r="AB40" s="441" t="str">
        <f>IF(AND('Mapa de Riesgos'!$H$30="Muy Baja",'Mapa de Riesgos'!$L$30="Mayor"),CONCATENATE("R",'Mapa de Riesgos'!$A$30),"")</f>
        <v/>
      </c>
      <c r="AC40" s="442"/>
      <c r="AD40" s="442" t="str">
        <f>IF(AND('Mapa de Riesgos'!$H$38="Muy Baja",'Mapa de Riesgos'!$L$38="Mayor"),CONCATENATE("R",'Mapa de Riesgos'!$A$38),"")</f>
        <v/>
      </c>
      <c r="AE40" s="442"/>
      <c r="AF40" s="442" t="str">
        <f>IF(AND('Mapa de Riesgos'!$H$44="Muy Baja",'Mapa de Riesgos'!$L$44="Mayor"),CONCATENATE("R",'Mapa de Riesgos'!$A$44),"")</f>
        <v/>
      </c>
      <c r="AG40" s="443"/>
      <c r="AH40" s="432" t="str">
        <f>IF(AND('Mapa de Riesgos'!$H$30="Muy Baja",'Mapa de Riesgos'!$L$30="Catastrófico"),CONCATENATE("R",'Mapa de Riesgos'!$A$30),"")</f>
        <v/>
      </c>
      <c r="AI40" s="433"/>
      <c r="AJ40" s="433" t="str">
        <f>IF(AND('Mapa de Riesgos'!$H$38="Muy Baja",'Mapa de Riesgos'!$L$38="Catastrófico"),CONCATENATE("R",'Mapa de Riesgos'!$A$38),"")</f>
        <v/>
      </c>
      <c r="AK40" s="433"/>
      <c r="AL40" s="433" t="str">
        <f>IF(AND('Mapa de Riesgos'!$H$44="Muy Baja",'Mapa de Riesgos'!$L$44="Catastrófico"),CONCATENATE("R",'Mapa de Riesgos'!$A$44),"")</f>
        <v/>
      </c>
      <c r="AM40" s="43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61"/>
      <c r="C41" s="461"/>
      <c r="D41" s="462"/>
      <c r="E41" s="454"/>
      <c r="F41" s="455"/>
      <c r="G41" s="455"/>
      <c r="H41" s="455"/>
      <c r="I41" s="456"/>
      <c r="J41" s="414"/>
      <c r="K41" s="415"/>
      <c r="L41" s="415"/>
      <c r="M41" s="415"/>
      <c r="N41" s="415"/>
      <c r="O41" s="416"/>
      <c r="P41" s="414"/>
      <c r="Q41" s="415"/>
      <c r="R41" s="415"/>
      <c r="S41" s="415"/>
      <c r="T41" s="415"/>
      <c r="U41" s="416"/>
      <c r="V41" s="423"/>
      <c r="W41" s="424"/>
      <c r="X41" s="424"/>
      <c r="Y41" s="424"/>
      <c r="Z41" s="424"/>
      <c r="AA41" s="425"/>
      <c r="AB41" s="441"/>
      <c r="AC41" s="442"/>
      <c r="AD41" s="442"/>
      <c r="AE41" s="442"/>
      <c r="AF41" s="442"/>
      <c r="AG41" s="443"/>
      <c r="AH41" s="432"/>
      <c r="AI41" s="433"/>
      <c r="AJ41" s="433"/>
      <c r="AK41" s="433"/>
      <c r="AL41" s="433"/>
      <c r="AM41" s="43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61"/>
      <c r="C42" s="461"/>
      <c r="D42" s="462"/>
      <c r="E42" s="454"/>
      <c r="F42" s="455"/>
      <c r="G42" s="455"/>
      <c r="H42" s="455"/>
      <c r="I42" s="456"/>
      <c r="J42" s="414" t="str">
        <f>IF(AND('Mapa de Riesgos'!$H$50="Muy Baja",'Mapa de Riesgos'!$L$50="Leve"),CONCATENATE("R",'Mapa de Riesgos'!$A$50),"")</f>
        <v/>
      </c>
      <c r="K42" s="415"/>
      <c r="L42" s="415" t="str">
        <f>IF(AND('Mapa de Riesgos'!$H$56="Muy Baja",'Mapa de Riesgos'!$L$56="Leve"),CONCATENATE("R",'Mapa de Riesgos'!$A$56),"")</f>
        <v/>
      </c>
      <c r="M42" s="415"/>
      <c r="N42" s="415" t="str">
        <f>IF(AND('Mapa de Riesgos'!$H$62="Muy Baja",'Mapa de Riesgos'!$L$62="Leve"),CONCATENATE("R",'Mapa de Riesgos'!$A$62),"")</f>
        <v/>
      </c>
      <c r="O42" s="416"/>
      <c r="P42" s="414" t="str">
        <f>IF(AND('Mapa de Riesgos'!$H$50="Muy Baja",'Mapa de Riesgos'!$L$50="Menor"),CONCATENATE("R",'Mapa de Riesgos'!$A$50),"")</f>
        <v/>
      </c>
      <c r="Q42" s="415"/>
      <c r="R42" s="415" t="str">
        <f>IF(AND('Mapa de Riesgos'!$H$56="Muy Baja",'Mapa de Riesgos'!$L$56="Menor"),CONCATENATE("R",'Mapa de Riesgos'!$A$56),"")</f>
        <v/>
      </c>
      <c r="S42" s="415"/>
      <c r="T42" s="415" t="str">
        <f>IF(AND('Mapa de Riesgos'!$H$62="Muy Baja",'Mapa de Riesgos'!$L$62="Menor"),CONCATENATE("R",'Mapa de Riesgos'!$A$62),"")</f>
        <v/>
      </c>
      <c r="U42" s="416"/>
      <c r="V42" s="423" t="str">
        <f>IF(AND('Mapa de Riesgos'!$H$50="Muy Baja",'Mapa de Riesgos'!$L$50="Moderado"),CONCATENATE("R",'Mapa de Riesgos'!$A$50),"")</f>
        <v/>
      </c>
      <c r="W42" s="424"/>
      <c r="X42" s="424" t="str">
        <f>IF(AND('Mapa de Riesgos'!$H$56="Muy Baja",'Mapa de Riesgos'!$L$56="Moderado"),CONCATENATE("R",'Mapa de Riesgos'!$A$56),"")</f>
        <v/>
      </c>
      <c r="Y42" s="424"/>
      <c r="Z42" s="424" t="str">
        <f>IF(AND('Mapa de Riesgos'!$H$62="Muy Baja",'Mapa de Riesgos'!$L$62="Moderado"),CONCATENATE("R",'Mapa de Riesgos'!$A$62),"")</f>
        <v/>
      </c>
      <c r="AA42" s="425"/>
      <c r="AB42" s="441" t="str">
        <f>IF(AND('Mapa de Riesgos'!$H$50="Muy Baja",'Mapa de Riesgos'!$L$50="Mayor"),CONCATENATE("R",'Mapa de Riesgos'!$A$50),"")</f>
        <v/>
      </c>
      <c r="AC42" s="442"/>
      <c r="AD42" s="442" t="str">
        <f>IF(AND('Mapa de Riesgos'!$H$56="Muy Baja",'Mapa de Riesgos'!$L$56="Mayor"),CONCATENATE("R",'Mapa de Riesgos'!$A$56),"")</f>
        <v/>
      </c>
      <c r="AE42" s="442"/>
      <c r="AF42" s="442" t="str">
        <f>IF(AND('Mapa de Riesgos'!$H$62="Muy Baja",'Mapa de Riesgos'!$L$62="Mayor"),CONCATENATE("R",'Mapa de Riesgos'!$A$62),"")</f>
        <v/>
      </c>
      <c r="AG42" s="443"/>
      <c r="AH42" s="432" t="str">
        <f>IF(AND('Mapa de Riesgos'!$H$50="Muy Baja",'Mapa de Riesgos'!$L$50="Catastrófico"),CONCATENATE("R",'Mapa de Riesgos'!$A$50),"")</f>
        <v/>
      </c>
      <c r="AI42" s="433"/>
      <c r="AJ42" s="433" t="str">
        <f>IF(AND('Mapa de Riesgos'!$H$56="Muy Baja",'Mapa de Riesgos'!$L$56="Catastrófico"),CONCATENATE("R",'Mapa de Riesgos'!$A$56),"")</f>
        <v/>
      </c>
      <c r="AK42" s="433"/>
      <c r="AL42" s="433" t="str">
        <f>IF(AND('Mapa de Riesgos'!$H$62="Muy Baja",'Mapa de Riesgos'!$L$62="Catastrófico"),CONCATENATE("R",'Mapa de Riesgos'!$A$62),"")</f>
        <v/>
      </c>
      <c r="AM42" s="43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61"/>
      <c r="C43" s="461"/>
      <c r="D43" s="462"/>
      <c r="E43" s="454"/>
      <c r="F43" s="455"/>
      <c r="G43" s="455"/>
      <c r="H43" s="455"/>
      <c r="I43" s="456"/>
      <c r="J43" s="414"/>
      <c r="K43" s="415"/>
      <c r="L43" s="415"/>
      <c r="M43" s="415"/>
      <c r="N43" s="415"/>
      <c r="O43" s="416"/>
      <c r="P43" s="414"/>
      <c r="Q43" s="415"/>
      <c r="R43" s="415"/>
      <c r="S43" s="415"/>
      <c r="T43" s="415"/>
      <c r="U43" s="416"/>
      <c r="V43" s="423"/>
      <c r="W43" s="424"/>
      <c r="X43" s="424"/>
      <c r="Y43" s="424"/>
      <c r="Z43" s="424"/>
      <c r="AA43" s="425"/>
      <c r="AB43" s="441"/>
      <c r="AC43" s="442"/>
      <c r="AD43" s="442"/>
      <c r="AE43" s="442"/>
      <c r="AF43" s="442"/>
      <c r="AG43" s="443"/>
      <c r="AH43" s="432"/>
      <c r="AI43" s="433"/>
      <c r="AJ43" s="433"/>
      <c r="AK43" s="433"/>
      <c r="AL43" s="433"/>
      <c r="AM43" s="43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61"/>
      <c r="C44" s="461"/>
      <c r="D44" s="462"/>
      <c r="E44" s="454"/>
      <c r="F44" s="455"/>
      <c r="G44" s="455"/>
      <c r="H44" s="455"/>
      <c r="I44" s="456"/>
      <c r="J44" s="414" t="str">
        <f>IF(AND('Mapa de Riesgos'!$H$68="Muy Baja",'Mapa de Riesgos'!$L$68="Leve"),CONCATENATE("R",'Mapa de Riesgos'!$A$68),"")</f>
        <v/>
      </c>
      <c r="K44" s="415"/>
      <c r="L44" s="415" t="str">
        <f>IF(AND('Mapa de Riesgos'!$H$74="Muy Baja",'Mapa de Riesgos'!$L$74="Leve"),CONCATENATE("R",'Mapa de Riesgos'!$A$74),"")</f>
        <v/>
      </c>
      <c r="M44" s="415"/>
      <c r="N44" s="415" t="str">
        <f>IF(AND('Mapa de Riesgos'!$H$80="Muy Baja",'Mapa de Riesgos'!$L$80="Leve"),CONCATENATE("R",'Mapa de Riesgos'!$A$80),"")</f>
        <v/>
      </c>
      <c r="O44" s="416"/>
      <c r="P44" s="414" t="str">
        <f>IF(AND('Mapa de Riesgos'!$H$68="Muy Baja",'Mapa de Riesgos'!$L$68="Menor"),CONCATENATE("R",'Mapa de Riesgos'!$A$68),"")</f>
        <v/>
      </c>
      <c r="Q44" s="415"/>
      <c r="R44" s="415" t="str">
        <f>IF(AND('Mapa de Riesgos'!$H$74="Muy Baja",'Mapa de Riesgos'!$L$74="Menor"),CONCATENATE("R",'Mapa de Riesgos'!$A$74),"")</f>
        <v/>
      </c>
      <c r="S44" s="415"/>
      <c r="T44" s="415" t="str">
        <f>IF(AND('Mapa de Riesgos'!$H$80="Muy Baja",'Mapa de Riesgos'!$L$80="Menor"),CONCATENATE("R",'Mapa de Riesgos'!$A$80),"")</f>
        <v/>
      </c>
      <c r="U44" s="416"/>
      <c r="V44" s="423" t="str">
        <f>IF(AND('Mapa de Riesgos'!$H$68="Muy Baja",'Mapa de Riesgos'!$L$68="Moderado"),CONCATENATE("R",'Mapa de Riesgos'!$A$68),"")</f>
        <v/>
      </c>
      <c r="W44" s="424"/>
      <c r="X44" s="424" t="str">
        <f>IF(AND('Mapa de Riesgos'!$H$74="Muy Baja",'Mapa de Riesgos'!$L$74="Moderado"),CONCATENATE("R",'Mapa de Riesgos'!$A$74),"")</f>
        <v/>
      </c>
      <c r="Y44" s="424"/>
      <c r="Z44" s="424" t="str">
        <f>IF(AND('Mapa de Riesgos'!$H$80="Muy Baja",'Mapa de Riesgos'!$L$80="Moderado"),CONCATENATE("R",'Mapa de Riesgos'!$A$80),"")</f>
        <v/>
      </c>
      <c r="AA44" s="425"/>
      <c r="AB44" s="441" t="str">
        <f>IF(AND('Mapa de Riesgos'!$H$68="Muy Baja",'Mapa de Riesgos'!$L$68="Mayor"),CONCATENATE("R",'Mapa de Riesgos'!$A$68),"")</f>
        <v/>
      </c>
      <c r="AC44" s="442"/>
      <c r="AD44" s="442" t="str">
        <f>IF(AND('Mapa de Riesgos'!$H$74="Muy Baja",'Mapa de Riesgos'!$L$74="Mayor"),CONCATENATE("R",'Mapa de Riesgos'!$A$74),"")</f>
        <v/>
      </c>
      <c r="AE44" s="442"/>
      <c r="AF44" s="442" t="str">
        <f>IF(AND('Mapa de Riesgos'!$H$80="Muy Baja",'Mapa de Riesgos'!$L$80="Mayor"),CONCATENATE("R",'Mapa de Riesgos'!$A$80),"")</f>
        <v/>
      </c>
      <c r="AG44" s="443"/>
      <c r="AH44" s="432" t="str">
        <f>IF(AND('Mapa de Riesgos'!$H$68="Muy Baja",'Mapa de Riesgos'!$L$68="Catastrófico"),CONCATENATE("R",'Mapa de Riesgos'!$A$68),"")</f>
        <v/>
      </c>
      <c r="AI44" s="433"/>
      <c r="AJ44" s="433" t="str">
        <f>IF(AND('Mapa de Riesgos'!$H$74="Muy Baja",'Mapa de Riesgos'!$L$74="Catastrófico"),CONCATENATE("R",'Mapa de Riesgos'!$A$74),"")</f>
        <v/>
      </c>
      <c r="AK44" s="433"/>
      <c r="AL44" s="433" t="str">
        <f>IF(AND('Mapa de Riesgos'!$H$80="Muy Baja",'Mapa de Riesgos'!$L$80="Catastrófico"),CONCATENATE("R",'Mapa de Riesgos'!$A$80),"")</f>
        <v/>
      </c>
      <c r="AM44" s="43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61"/>
      <c r="C45" s="461"/>
      <c r="D45" s="462"/>
      <c r="E45" s="457"/>
      <c r="F45" s="458"/>
      <c r="G45" s="458"/>
      <c r="H45" s="458"/>
      <c r="I45" s="459"/>
      <c r="J45" s="417"/>
      <c r="K45" s="418"/>
      <c r="L45" s="418"/>
      <c r="M45" s="418"/>
      <c r="N45" s="418"/>
      <c r="O45" s="419"/>
      <c r="P45" s="417"/>
      <c r="Q45" s="418"/>
      <c r="R45" s="418"/>
      <c r="S45" s="418"/>
      <c r="T45" s="418"/>
      <c r="U45" s="419"/>
      <c r="V45" s="426"/>
      <c r="W45" s="427"/>
      <c r="X45" s="427"/>
      <c r="Y45" s="427"/>
      <c r="Z45" s="427"/>
      <c r="AA45" s="428"/>
      <c r="AB45" s="444"/>
      <c r="AC45" s="445"/>
      <c r="AD45" s="445"/>
      <c r="AE45" s="445"/>
      <c r="AF45" s="445"/>
      <c r="AG45" s="446"/>
      <c r="AH45" s="435"/>
      <c r="AI45" s="436"/>
      <c r="AJ45" s="436"/>
      <c r="AK45" s="436"/>
      <c r="AL45" s="436"/>
      <c r="AM45" s="43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51" t="s">
        <v>227</v>
      </c>
      <c r="K46" s="452"/>
      <c r="L46" s="452"/>
      <c r="M46" s="452"/>
      <c r="N46" s="452"/>
      <c r="O46" s="453"/>
      <c r="P46" s="451" t="s">
        <v>228</v>
      </c>
      <c r="Q46" s="452"/>
      <c r="R46" s="452"/>
      <c r="S46" s="452"/>
      <c r="T46" s="452"/>
      <c r="U46" s="453"/>
      <c r="V46" s="451" t="s">
        <v>229</v>
      </c>
      <c r="W46" s="452"/>
      <c r="X46" s="452"/>
      <c r="Y46" s="452"/>
      <c r="Z46" s="452"/>
      <c r="AA46" s="453"/>
      <c r="AB46" s="451" t="s">
        <v>230</v>
      </c>
      <c r="AC46" s="460"/>
      <c r="AD46" s="452"/>
      <c r="AE46" s="452"/>
      <c r="AF46" s="452"/>
      <c r="AG46" s="453"/>
      <c r="AH46" s="451" t="s">
        <v>231</v>
      </c>
      <c r="AI46" s="452"/>
      <c r="AJ46" s="452"/>
      <c r="AK46" s="452"/>
      <c r="AL46" s="452"/>
      <c r="AM46" s="45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54"/>
      <c r="K47" s="455"/>
      <c r="L47" s="455"/>
      <c r="M47" s="455"/>
      <c r="N47" s="455"/>
      <c r="O47" s="456"/>
      <c r="P47" s="454"/>
      <c r="Q47" s="455"/>
      <c r="R47" s="455"/>
      <c r="S47" s="455"/>
      <c r="T47" s="455"/>
      <c r="U47" s="456"/>
      <c r="V47" s="454"/>
      <c r="W47" s="455"/>
      <c r="X47" s="455"/>
      <c r="Y47" s="455"/>
      <c r="Z47" s="455"/>
      <c r="AA47" s="456"/>
      <c r="AB47" s="454"/>
      <c r="AC47" s="455"/>
      <c r="AD47" s="455"/>
      <c r="AE47" s="455"/>
      <c r="AF47" s="455"/>
      <c r="AG47" s="456"/>
      <c r="AH47" s="454"/>
      <c r="AI47" s="455"/>
      <c r="AJ47" s="455"/>
      <c r="AK47" s="455"/>
      <c r="AL47" s="455"/>
      <c r="AM47" s="456"/>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54"/>
      <c r="K48" s="455"/>
      <c r="L48" s="455"/>
      <c r="M48" s="455"/>
      <c r="N48" s="455"/>
      <c r="O48" s="456"/>
      <c r="P48" s="454"/>
      <c r="Q48" s="455"/>
      <c r="R48" s="455"/>
      <c r="S48" s="455"/>
      <c r="T48" s="455"/>
      <c r="U48" s="456"/>
      <c r="V48" s="454"/>
      <c r="W48" s="455"/>
      <c r="X48" s="455"/>
      <c r="Y48" s="455"/>
      <c r="Z48" s="455"/>
      <c r="AA48" s="456"/>
      <c r="AB48" s="454"/>
      <c r="AC48" s="455"/>
      <c r="AD48" s="455"/>
      <c r="AE48" s="455"/>
      <c r="AF48" s="455"/>
      <c r="AG48" s="456"/>
      <c r="AH48" s="454"/>
      <c r="AI48" s="455"/>
      <c r="AJ48" s="455"/>
      <c r="AK48" s="455"/>
      <c r="AL48" s="455"/>
      <c r="AM48" s="456"/>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54"/>
      <c r="K49" s="455"/>
      <c r="L49" s="455"/>
      <c r="M49" s="455"/>
      <c r="N49" s="455"/>
      <c r="O49" s="456"/>
      <c r="P49" s="454"/>
      <c r="Q49" s="455"/>
      <c r="R49" s="455"/>
      <c r="S49" s="455"/>
      <c r="T49" s="455"/>
      <c r="U49" s="456"/>
      <c r="V49" s="454"/>
      <c r="W49" s="455"/>
      <c r="X49" s="455"/>
      <c r="Y49" s="455"/>
      <c r="Z49" s="455"/>
      <c r="AA49" s="456"/>
      <c r="AB49" s="454"/>
      <c r="AC49" s="455"/>
      <c r="AD49" s="455"/>
      <c r="AE49" s="455"/>
      <c r="AF49" s="455"/>
      <c r="AG49" s="456"/>
      <c r="AH49" s="454"/>
      <c r="AI49" s="455"/>
      <c r="AJ49" s="455"/>
      <c r="AK49" s="455"/>
      <c r="AL49" s="455"/>
      <c r="AM49" s="456"/>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54"/>
      <c r="K50" s="455"/>
      <c r="L50" s="455"/>
      <c r="M50" s="455"/>
      <c r="N50" s="455"/>
      <c r="O50" s="456"/>
      <c r="P50" s="454"/>
      <c r="Q50" s="455"/>
      <c r="R50" s="455"/>
      <c r="S50" s="455"/>
      <c r="T50" s="455"/>
      <c r="U50" s="456"/>
      <c r="V50" s="454"/>
      <c r="W50" s="455"/>
      <c r="X50" s="455"/>
      <c r="Y50" s="455"/>
      <c r="Z50" s="455"/>
      <c r="AA50" s="456"/>
      <c r="AB50" s="454"/>
      <c r="AC50" s="455"/>
      <c r="AD50" s="455"/>
      <c r="AE50" s="455"/>
      <c r="AF50" s="455"/>
      <c r="AG50" s="456"/>
      <c r="AH50" s="454"/>
      <c r="AI50" s="455"/>
      <c r="AJ50" s="455"/>
      <c r="AK50" s="455"/>
      <c r="AL50" s="455"/>
      <c r="AM50" s="456"/>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57"/>
      <c r="K51" s="458"/>
      <c r="L51" s="458"/>
      <c r="M51" s="458"/>
      <c r="N51" s="458"/>
      <c r="O51" s="459"/>
      <c r="P51" s="457"/>
      <c r="Q51" s="458"/>
      <c r="R51" s="458"/>
      <c r="S51" s="458"/>
      <c r="T51" s="458"/>
      <c r="U51" s="459"/>
      <c r="V51" s="457"/>
      <c r="W51" s="458"/>
      <c r="X51" s="458"/>
      <c r="Y51" s="458"/>
      <c r="Z51" s="458"/>
      <c r="AA51" s="459"/>
      <c r="AB51" s="457"/>
      <c r="AC51" s="458"/>
      <c r="AD51" s="458"/>
      <c r="AE51" s="458"/>
      <c r="AF51" s="458"/>
      <c r="AG51" s="459"/>
      <c r="AH51" s="457"/>
      <c r="AI51" s="458"/>
      <c r="AJ51" s="458"/>
      <c r="AK51" s="458"/>
      <c r="AL51" s="458"/>
      <c r="AM51" s="459"/>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28" t="s">
        <v>232</v>
      </c>
      <c r="C2" s="529"/>
      <c r="D2" s="529"/>
      <c r="E2" s="529"/>
      <c r="F2" s="529"/>
      <c r="G2" s="529"/>
      <c r="H2" s="529"/>
      <c r="I2" s="529"/>
      <c r="J2" s="450" t="s">
        <v>26</v>
      </c>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29"/>
      <c r="C3" s="529"/>
      <c r="D3" s="529"/>
      <c r="E3" s="529"/>
      <c r="F3" s="529"/>
      <c r="G3" s="529"/>
      <c r="H3" s="529"/>
      <c r="I3" s="529"/>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29"/>
      <c r="C4" s="529"/>
      <c r="D4" s="529"/>
      <c r="E4" s="529"/>
      <c r="F4" s="529"/>
      <c r="G4" s="529"/>
      <c r="H4" s="529"/>
      <c r="I4" s="529"/>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61" t="s">
        <v>217</v>
      </c>
      <c r="C6" s="461"/>
      <c r="D6" s="462"/>
      <c r="E6" s="499" t="s">
        <v>218</v>
      </c>
      <c r="F6" s="500"/>
      <c r="G6" s="500"/>
      <c r="H6" s="500"/>
      <c r="I6" s="501"/>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19" t="s">
        <v>219</v>
      </c>
      <c r="AP6" s="520"/>
      <c r="AQ6" s="520"/>
      <c r="AR6" s="520"/>
      <c r="AS6" s="520"/>
      <c r="AT6" s="52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61"/>
      <c r="C7" s="461"/>
      <c r="D7" s="462"/>
      <c r="E7" s="502"/>
      <c r="F7" s="503"/>
      <c r="G7" s="503"/>
      <c r="H7" s="503"/>
      <c r="I7" s="504"/>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22"/>
      <c r="AP7" s="523"/>
      <c r="AQ7" s="523"/>
      <c r="AR7" s="523"/>
      <c r="AS7" s="523"/>
      <c r="AT7" s="52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61"/>
      <c r="C8" s="461"/>
      <c r="D8" s="462"/>
      <c r="E8" s="502"/>
      <c r="F8" s="503"/>
      <c r="G8" s="503"/>
      <c r="H8" s="503"/>
      <c r="I8" s="504"/>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22"/>
      <c r="AP8" s="523"/>
      <c r="AQ8" s="523"/>
      <c r="AR8" s="523"/>
      <c r="AS8" s="523"/>
      <c r="AT8" s="52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61"/>
      <c r="C9" s="461"/>
      <c r="D9" s="462"/>
      <c r="E9" s="502"/>
      <c r="F9" s="503"/>
      <c r="G9" s="503"/>
      <c r="H9" s="503"/>
      <c r="I9" s="504"/>
      <c r="J9" s="52" t="str">
        <f>IF(AND('Mapa de Riesgos'!$Y$30="Muy Alta",'Mapa de Riesgos'!$AA$30="Leve"),CONCATENATE("R4C",'Mapa de Riesgos'!$O$30),"")</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Riesgos'!$Y$30="Muy Alta",'Mapa de Riesgos'!$AA$30="Menor"),CONCATENATE("R4C",'Mapa de Riesgos'!$O$30),"")</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Riesgos'!$Y$30="Muy Alta",'Mapa de Riesgos'!$AA$30="Moderado"),CONCATENATE("R4C",'Mapa de Riesgos'!$O$30),"")</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Riesgos'!$Y$30="Muy Alta",'Mapa de Riesgos'!$AA$30="Mayor"),CONCATENATE("R4C",'Mapa de Riesgos'!$O$30),"")</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Riesgos'!$Y$30="Muy Alta",'Mapa de Riesgos'!$AA$30="Catastrófico"),CONCATENATE("R4C",'Mapa de Riesgos'!$O$30),"")</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22"/>
      <c r="AP9" s="523"/>
      <c r="AQ9" s="523"/>
      <c r="AR9" s="523"/>
      <c r="AS9" s="523"/>
      <c r="AT9" s="52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61"/>
      <c r="C10" s="461"/>
      <c r="D10" s="462"/>
      <c r="E10" s="502"/>
      <c r="F10" s="503"/>
      <c r="G10" s="503"/>
      <c r="H10" s="503"/>
      <c r="I10" s="504"/>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22"/>
      <c r="AP10" s="523"/>
      <c r="AQ10" s="523"/>
      <c r="AR10" s="523"/>
      <c r="AS10" s="523"/>
      <c r="AT10" s="52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61"/>
      <c r="C11" s="461"/>
      <c r="D11" s="462"/>
      <c r="E11" s="502"/>
      <c r="F11" s="503"/>
      <c r="G11" s="503"/>
      <c r="H11" s="503"/>
      <c r="I11" s="504"/>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22"/>
      <c r="AP11" s="523"/>
      <c r="AQ11" s="523"/>
      <c r="AR11" s="523"/>
      <c r="AS11" s="523"/>
      <c r="AT11" s="52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61"/>
      <c r="C12" s="461"/>
      <c r="D12" s="462"/>
      <c r="E12" s="502"/>
      <c r="F12" s="503"/>
      <c r="G12" s="503"/>
      <c r="H12" s="503"/>
      <c r="I12" s="504"/>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22"/>
      <c r="AP12" s="523"/>
      <c r="AQ12" s="523"/>
      <c r="AR12" s="523"/>
      <c r="AS12" s="523"/>
      <c r="AT12" s="52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61"/>
      <c r="C13" s="461"/>
      <c r="D13" s="462"/>
      <c r="E13" s="502"/>
      <c r="F13" s="503"/>
      <c r="G13" s="503"/>
      <c r="H13" s="503"/>
      <c r="I13" s="504"/>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22"/>
      <c r="AP13" s="523"/>
      <c r="AQ13" s="523"/>
      <c r="AR13" s="523"/>
      <c r="AS13" s="523"/>
      <c r="AT13" s="52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61"/>
      <c r="C14" s="461"/>
      <c r="D14" s="462"/>
      <c r="E14" s="502"/>
      <c r="F14" s="503"/>
      <c r="G14" s="503"/>
      <c r="H14" s="503"/>
      <c r="I14" s="504"/>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22"/>
      <c r="AP14" s="523"/>
      <c r="AQ14" s="523"/>
      <c r="AR14" s="523"/>
      <c r="AS14" s="523"/>
      <c r="AT14" s="52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61"/>
      <c r="C15" s="461"/>
      <c r="D15" s="462"/>
      <c r="E15" s="505"/>
      <c r="F15" s="506"/>
      <c r="G15" s="506"/>
      <c r="H15" s="506"/>
      <c r="I15" s="507"/>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25"/>
      <c r="AP15" s="526"/>
      <c r="AQ15" s="526"/>
      <c r="AR15" s="526"/>
      <c r="AS15" s="526"/>
      <c r="AT15" s="52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61"/>
      <c r="C16" s="461"/>
      <c r="D16" s="462"/>
      <c r="E16" s="499" t="s">
        <v>220</v>
      </c>
      <c r="F16" s="500"/>
      <c r="G16" s="500"/>
      <c r="H16" s="500"/>
      <c r="I16" s="500"/>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09" t="s">
        <v>221</v>
      </c>
      <c r="AP16" s="510"/>
      <c r="AQ16" s="510"/>
      <c r="AR16" s="510"/>
      <c r="AS16" s="510"/>
      <c r="AT16" s="511"/>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61"/>
      <c r="C17" s="461"/>
      <c r="D17" s="462"/>
      <c r="E17" s="518"/>
      <c r="F17" s="503"/>
      <c r="G17" s="503"/>
      <c r="H17" s="503"/>
      <c r="I17" s="503"/>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12"/>
      <c r="AP17" s="513"/>
      <c r="AQ17" s="513"/>
      <c r="AR17" s="513"/>
      <c r="AS17" s="513"/>
      <c r="AT17" s="51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61"/>
      <c r="C18" s="461"/>
      <c r="D18" s="462"/>
      <c r="E18" s="502"/>
      <c r="F18" s="503"/>
      <c r="G18" s="503"/>
      <c r="H18" s="503"/>
      <c r="I18" s="503"/>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12"/>
      <c r="AP18" s="513"/>
      <c r="AQ18" s="513"/>
      <c r="AR18" s="513"/>
      <c r="AS18" s="513"/>
      <c r="AT18" s="51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61"/>
      <c r="C19" s="461"/>
      <c r="D19" s="462"/>
      <c r="E19" s="502"/>
      <c r="F19" s="503"/>
      <c r="G19" s="503"/>
      <c r="H19" s="503"/>
      <c r="I19" s="503"/>
      <c r="J19" s="67" t="str">
        <f>IF(AND('Mapa de Riesgos'!$Y$30="Alta",'Mapa de Riesgos'!$AA$30="Leve"),CONCATENATE("R4C",'Mapa de Riesgos'!$O$30),"")</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Riesgos'!$Y$30="Alta",'Mapa de Riesgos'!$AA$30="Menor"),CONCATENATE("R4C",'Mapa de Riesgos'!$O$30),"")</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Riesgos'!$Y$30="Alta",'Mapa de Riesgos'!$AA$30="Moderado"),CONCATENATE("R4C",'Mapa de Riesgos'!$O$30),"")</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Riesgos'!$Y$30="Alta",'Mapa de Riesgos'!$AA$30="Mayor"),CONCATENATE("R4C",'Mapa de Riesgos'!$O$30),"")</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Riesgos'!$Y$30="Alta",'Mapa de Riesgos'!$AA$30="Catastrófico"),CONCATENATE("R4C",'Mapa de Riesgos'!$O$30),"")</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512"/>
      <c r="AP19" s="513"/>
      <c r="AQ19" s="513"/>
      <c r="AR19" s="513"/>
      <c r="AS19" s="513"/>
      <c r="AT19" s="51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61"/>
      <c r="C20" s="461"/>
      <c r="D20" s="462"/>
      <c r="E20" s="502"/>
      <c r="F20" s="503"/>
      <c r="G20" s="503"/>
      <c r="H20" s="503"/>
      <c r="I20" s="503"/>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512"/>
      <c r="AP20" s="513"/>
      <c r="AQ20" s="513"/>
      <c r="AR20" s="513"/>
      <c r="AS20" s="513"/>
      <c r="AT20" s="51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61"/>
      <c r="C21" s="461"/>
      <c r="D21" s="462"/>
      <c r="E21" s="502"/>
      <c r="F21" s="503"/>
      <c r="G21" s="503"/>
      <c r="H21" s="503"/>
      <c r="I21" s="503"/>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512"/>
      <c r="AP21" s="513"/>
      <c r="AQ21" s="513"/>
      <c r="AR21" s="513"/>
      <c r="AS21" s="513"/>
      <c r="AT21" s="514"/>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61"/>
      <c r="C22" s="461"/>
      <c r="D22" s="462"/>
      <c r="E22" s="502"/>
      <c r="F22" s="503"/>
      <c r="G22" s="503"/>
      <c r="H22" s="503"/>
      <c r="I22" s="503"/>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512"/>
      <c r="AP22" s="513"/>
      <c r="AQ22" s="513"/>
      <c r="AR22" s="513"/>
      <c r="AS22" s="513"/>
      <c r="AT22" s="51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61"/>
      <c r="C23" s="461"/>
      <c r="D23" s="462"/>
      <c r="E23" s="502"/>
      <c r="F23" s="503"/>
      <c r="G23" s="503"/>
      <c r="H23" s="503"/>
      <c r="I23" s="503"/>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512"/>
      <c r="AP23" s="513"/>
      <c r="AQ23" s="513"/>
      <c r="AR23" s="513"/>
      <c r="AS23" s="513"/>
      <c r="AT23" s="51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61"/>
      <c r="C24" s="461"/>
      <c r="D24" s="462"/>
      <c r="E24" s="502"/>
      <c r="F24" s="503"/>
      <c r="G24" s="503"/>
      <c r="H24" s="503"/>
      <c r="I24" s="503"/>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512"/>
      <c r="AP24" s="513"/>
      <c r="AQ24" s="513"/>
      <c r="AR24" s="513"/>
      <c r="AS24" s="513"/>
      <c r="AT24" s="51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61"/>
      <c r="C25" s="461"/>
      <c r="D25" s="462"/>
      <c r="E25" s="505"/>
      <c r="F25" s="506"/>
      <c r="G25" s="506"/>
      <c r="H25" s="506"/>
      <c r="I25" s="506"/>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15"/>
      <c r="AP25" s="516"/>
      <c r="AQ25" s="516"/>
      <c r="AR25" s="516"/>
      <c r="AS25" s="516"/>
      <c r="AT25" s="51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61"/>
      <c r="C26" s="461"/>
      <c r="D26" s="462"/>
      <c r="E26" s="499" t="s">
        <v>222</v>
      </c>
      <c r="F26" s="500"/>
      <c r="G26" s="500"/>
      <c r="H26" s="500"/>
      <c r="I26" s="501"/>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R1C1</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39" t="s">
        <v>223</v>
      </c>
      <c r="AP26" s="540"/>
      <c r="AQ26" s="540"/>
      <c r="AR26" s="540"/>
      <c r="AS26" s="540"/>
      <c r="AT26" s="54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61"/>
      <c r="C27" s="461"/>
      <c r="D27" s="462"/>
      <c r="E27" s="518"/>
      <c r="F27" s="503"/>
      <c r="G27" s="503"/>
      <c r="H27" s="503"/>
      <c r="I27" s="504"/>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42"/>
      <c r="AP27" s="543"/>
      <c r="AQ27" s="543"/>
      <c r="AR27" s="543"/>
      <c r="AS27" s="543"/>
      <c r="AT27" s="54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61"/>
      <c r="C28" s="461"/>
      <c r="D28" s="462"/>
      <c r="E28" s="502"/>
      <c r="F28" s="503"/>
      <c r="G28" s="503"/>
      <c r="H28" s="503"/>
      <c r="I28" s="504"/>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42"/>
      <c r="AP28" s="543"/>
      <c r="AQ28" s="543"/>
      <c r="AR28" s="543"/>
      <c r="AS28" s="543"/>
      <c r="AT28" s="54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61"/>
      <c r="C29" s="461"/>
      <c r="D29" s="462"/>
      <c r="E29" s="502"/>
      <c r="F29" s="503"/>
      <c r="G29" s="503"/>
      <c r="H29" s="503"/>
      <c r="I29" s="504"/>
      <c r="J29" s="67" t="str">
        <f>IF(AND('Mapa de Riesgos'!$Y$30="Media",'Mapa de Riesgos'!$AA$30="Leve"),CONCATENATE("R4C",'Mapa de Riesgos'!$O$30),"")</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Riesgos'!$Y$30="Media",'Mapa de Riesgos'!$AA$30="Menor"),CONCATENATE("R4C",'Mapa de Riesgos'!$O$30),"")</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Riesgos'!$Y$30="Media",'Mapa de Riesgos'!$AA$30="Moderado"),CONCATENATE("R4C",'Mapa de Riesgos'!$O$30),"")</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Riesgos'!$Y$30="Media",'Mapa de Riesgos'!$AA$30="Mayor"),CONCATENATE("R4C",'Mapa de Riesgos'!$O$30),"")</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Riesgos'!$Y$30="Media",'Mapa de Riesgos'!$AA$30="Catastrófico"),CONCATENATE("R4C",'Mapa de Riesgos'!$O$30),"")</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542"/>
      <c r="AP29" s="543"/>
      <c r="AQ29" s="543"/>
      <c r="AR29" s="543"/>
      <c r="AS29" s="543"/>
      <c r="AT29" s="54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61"/>
      <c r="C30" s="461"/>
      <c r="D30" s="462"/>
      <c r="E30" s="502"/>
      <c r="F30" s="503"/>
      <c r="G30" s="503"/>
      <c r="H30" s="503"/>
      <c r="I30" s="504"/>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R5C1</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542"/>
      <c r="AP30" s="543"/>
      <c r="AQ30" s="543"/>
      <c r="AR30" s="543"/>
      <c r="AS30" s="543"/>
      <c r="AT30" s="54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61"/>
      <c r="C31" s="461"/>
      <c r="D31" s="462"/>
      <c r="E31" s="502"/>
      <c r="F31" s="503"/>
      <c r="G31" s="503"/>
      <c r="H31" s="503"/>
      <c r="I31" s="504"/>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542"/>
      <c r="AP31" s="543"/>
      <c r="AQ31" s="543"/>
      <c r="AR31" s="543"/>
      <c r="AS31" s="543"/>
      <c r="AT31" s="54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61"/>
      <c r="C32" s="461"/>
      <c r="D32" s="462"/>
      <c r="E32" s="502"/>
      <c r="F32" s="503"/>
      <c r="G32" s="503"/>
      <c r="H32" s="503"/>
      <c r="I32" s="504"/>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542"/>
      <c r="AP32" s="543"/>
      <c r="AQ32" s="543"/>
      <c r="AR32" s="543"/>
      <c r="AS32" s="543"/>
      <c r="AT32" s="54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61"/>
      <c r="C33" s="461"/>
      <c r="D33" s="462"/>
      <c r="E33" s="502"/>
      <c r="F33" s="503"/>
      <c r="G33" s="503"/>
      <c r="H33" s="503"/>
      <c r="I33" s="504"/>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542"/>
      <c r="AP33" s="543"/>
      <c r="AQ33" s="543"/>
      <c r="AR33" s="543"/>
      <c r="AS33" s="543"/>
      <c r="AT33" s="54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61"/>
      <c r="C34" s="461"/>
      <c r="D34" s="462"/>
      <c r="E34" s="502"/>
      <c r="F34" s="503"/>
      <c r="G34" s="503"/>
      <c r="H34" s="503"/>
      <c r="I34" s="504"/>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542"/>
      <c r="AP34" s="543"/>
      <c r="AQ34" s="543"/>
      <c r="AR34" s="543"/>
      <c r="AS34" s="543"/>
      <c r="AT34" s="54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61"/>
      <c r="C35" s="461"/>
      <c r="D35" s="462"/>
      <c r="E35" s="505"/>
      <c r="F35" s="506"/>
      <c r="G35" s="506"/>
      <c r="H35" s="506"/>
      <c r="I35" s="507"/>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545"/>
      <c r="AP35" s="546"/>
      <c r="AQ35" s="546"/>
      <c r="AR35" s="546"/>
      <c r="AS35" s="546"/>
      <c r="AT35" s="54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61"/>
      <c r="C36" s="461"/>
      <c r="D36" s="462"/>
      <c r="E36" s="499" t="s">
        <v>224</v>
      </c>
      <c r="F36" s="500"/>
      <c r="G36" s="500"/>
      <c r="H36" s="500"/>
      <c r="I36" s="500"/>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R1C2</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30" t="s">
        <v>225</v>
      </c>
      <c r="AP36" s="531"/>
      <c r="AQ36" s="531"/>
      <c r="AR36" s="531"/>
      <c r="AS36" s="531"/>
      <c r="AT36" s="53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61"/>
      <c r="C37" s="461"/>
      <c r="D37" s="462"/>
      <c r="E37" s="518"/>
      <c r="F37" s="503"/>
      <c r="G37" s="503"/>
      <c r="H37" s="503"/>
      <c r="I37" s="503"/>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R2C1</v>
      </c>
      <c r="W37" s="68" t="str">
        <f>IF(AND('Mapa de Riesgos'!$Y$19="Baja",'Mapa de Riesgos'!$AA$19="Moderado"),CONCATENATE("R2C",'Mapa de Riesgos'!$O$19),"")</f>
        <v>R2C2</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33"/>
      <c r="AP37" s="534"/>
      <c r="AQ37" s="534"/>
      <c r="AR37" s="534"/>
      <c r="AS37" s="534"/>
      <c r="AT37" s="53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61"/>
      <c r="C38" s="461"/>
      <c r="D38" s="462"/>
      <c r="E38" s="502"/>
      <c r="F38" s="503"/>
      <c r="G38" s="503"/>
      <c r="H38" s="503"/>
      <c r="I38" s="503"/>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33"/>
      <c r="AP38" s="534"/>
      <c r="AQ38" s="534"/>
      <c r="AR38" s="534"/>
      <c r="AS38" s="534"/>
      <c r="AT38" s="535"/>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61"/>
      <c r="C39" s="461"/>
      <c r="D39" s="462"/>
      <c r="E39" s="502"/>
      <c r="F39" s="503"/>
      <c r="G39" s="503"/>
      <c r="H39" s="503"/>
      <c r="I39" s="503"/>
      <c r="J39" s="76" t="str">
        <f>IF(AND('Mapa de Riesgos'!$Y$30="Baja",'Mapa de Riesgos'!$AA$30="Leve"),CONCATENATE("R4C",'Mapa de Riesgos'!$O$30),"")</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Riesgos'!$Y$30="Baja",'Mapa de Riesgos'!$AA$30="Menor"),CONCATENATE("R4C",'Mapa de Riesgos'!$O$30),"")</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Riesgos'!$Y$30="Baja",'Mapa de Riesgos'!$AA$30="Moderado"),CONCATENATE("R4C",'Mapa de Riesgos'!$O$30),"")</f>
        <v>R4C1</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Riesgos'!$Y$30="Baja",'Mapa de Riesgos'!$AA$30="Mayor"),CONCATENATE("R4C",'Mapa de Riesgos'!$O$30),"")</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Riesgos'!$Y$30="Baja",'Mapa de Riesgos'!$AA$30="Catastrófico"),CONCATENATE("R4C",'Mapa de Riesgos'!$O$30),"")</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33"/>
      <c r="AP39" s="534"/>
      <c r="AQ39" s="534"/>
      <c r="AR39" s="534"/>
      <c r="AS39" s="534"/>
      <c r="AT39" s="535"/>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61"/>
      <c r="C40" s="461"/>
      <c r="D40" s="462"/>
      <c r="E40" s="502"/>
      <c r="F40" s="503"/>
      <c r="G40" s="503"/>
      <c r="H40" s="503"/>
      <c r="I40" s="503"/>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33"/>
      <c r="AP40" s="534"/>
      <c r="AQ40" s="534"/>
      <c r="AR40" s="534"/>
      <c r="AS40" s="534"/>
      <c r="AT40" s="535"/>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61"/>
      <c r="C41" s="461"/>
      <c r="D41" s="462"/>
      <c r="E41" s="502"/>
      <c r="F41" s="503"/>
      <c r="G41" s="503"/>
      <c r="H41" s="503"/>
      <c r="I41" s="503"/>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33"/>
      <c r="AP41" s="534"/>
      <c r="AQ41" s="534"/>
      <c r="AR41" s="534"/>
      <c r="AS41" s="534"/>
      <c r="AT41" s="535"/>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61"/>
      <c r="C42" s="461"/>
      <c r="D42" s="462"/>
      <c r="E42" s="502"/>
      <c r="F42" s="503"/>
      <c r="G42" s="503"/>
      <c r="H42" s="503"/>
      <c r="I42" s="503"/>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33"/>
      <c r="AP42" s="534"/>
      <c r="AQ42" s="534"/>
      <c r="AR42" s="534"/>
      <c r="AS42" s="534"/>
      <c r="AT42" s="535"/>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61"/>
      <c r="C43" s="461"/>
      <c r="D43" s="462"/>
      <c r="E43" s="502"/>
      <c r="F43" s="503"/>
      <c r="G43" s="503"/>
      <c r="H43" s="503"/>
      <c r="I43" s="503"/>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33"/>
      <c r="AP43" s="534"/>
      <c r="AQ43" s="534"/>
      <c r="AR43" s="534"/>
      <c r="AS43" s="534"/>
      <c r="AT43" s="535"/>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61"/>
      <c r="C44" s="461"/>
      <c r="D44" s="462"/>
      <c r="E44" s="502"/>
      <c r="F44" s="503"/>
      <c r="G44" s="503"/>
      <c r="H44" s="503"/>
      <c r="I44" s="503"/>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33"/>
      <c r="AP44" s="534"/>
      <c r="AQ44" s="534"/>
      <c r="AR44" s="534"/>
      <c r="AS44" s="534"/>
      <c r="AT44" s="535"/>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61"/>
      <c r="C45" s="461"/>
      <c r="D45" s="462"/>
      <c r="E45" s="505"/>
      <c r="F45" s="506"/>
      <c r="G45" s="506"/>
      <c r="H45" s="506"/>
      <c r="I45" s="506"/>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36"/>
      <c r="AP45" s="537"/>
      <c r="AQ45" s="537"/>
      <c r="AR45" s="537"/>
      <c r="AS45" s="537"/>
      <c r="AT45" s="538"/>
    </row>
    <row r="46" spans="1:80" ht="46.5" customHeight="1" x14ac:dyDescent="0.35">
      <c r="A46" s="83"/>
      <c r="B46" s="461"/>
      <c r="C46" s="461"/>
      <c r="D46" s="462"/>
      <c r="E46" s="499" t="s">
        <v>226</v>
      </c>
      <c r="F46" s="500"/>
      <c r="G46" s="500"/>
      <c r="H46" s="500"/>
      <c r="I46" s="501"/>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61"/>
      <c r="C47" s="461"/>
      <c r="D47" s="462"/>
      <c r="E47" s="518"/>
      <c r="F47" s="503"/>
      <c r="G47" s="503"/>
      <c r="H47" s="503"/>
      <c r="I47" s="504"/>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61"/>
      <c r="C48" s="461"/>
      <c r="D48" s="462"/>
      <c r="E48" s="518"/>
      <c r="F48" s="503"/>
      <c r="G48" s="503"/>
      <c r="H48" s="503"/>
      <c r="I48" s="504"/>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R3C1</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61"/>
      <c r="C49" s="461"/>
      <c r="D49" s="462"/>
      <c r="E49" s="502"/>
      <c r="F49" s="503"/>
      <c r="G49" s="503"/>
      <c r="H49" s="503"/>
      <c r="I49" s="504"/>
      <c r="J49" s="76" t="str">
        <f>IF(AND('Mapa de Riesgos'!$Y$30="Muy Baja",'Mapa de Riesgos'!$AA$30="Leve"),CONCATENATE("R4C",'Mapa de Riesgos'!$O$30),"")</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Riesgos'!$Y$30="Muy Baja",'Mapa de Riesgos'!$AA$30="Menor"),CONCATENATE("R4C",'Mapa de Riesgos'!$O$30),"")</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Riesgos'!$Y$30="Muy Baja",'Mapa de Riesgos'!$AA$30="Moderado"),CONCATENATE("R4C",'Mapa de Riesgos'!$O$30),"")</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Riesgos'!$Y$30="Muy Baja",'Mapa de Riesgos'!$AA$30="Mayor"),CONCATENATE("R4C",'Mapa de Riesgos'!$O$30),"")</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Riesgos'!$Y$30="Muy Baja",'Mapa de Riesgos'!$AA$30="Catastrófico"),CONCATENATE("R4C",'Mapa de Riesgos'!$O$30),"")</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61"/>
      <c r="C50" s="461"/>
      <c r="D50" s="462"/>
      <c r="E50" s="502"/>
      <c r="F50" s="503"/>
      <c r="G50" s="503"/>
      <c r="H50" s="503"/>
      <c r="I50" s="504"/>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61"/>
      <c r="C51" s="461"/>
      <c r="D51" s="462"/>
      <c r="E51" s="502"/>
      <c r="F51" s="503"/>
      <c r="G51" s="503"/>
      <c r="H51" s="503"/>
      <c r="I51" s="504"/>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61"/>
      <c r="C52" s="461"/>
      <c r="D52" s="462"/>
      <c r="E52" s="502"/>
      <c r="F52" s="503"/>
      <c r="G52" s="503"/>
      <c r="H52" s="503"/>
      <c r="I52" s="504"/>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61"/>
      <c r="C53" s="461"/>
      <c r="D53" s="462"/>
      <c r="E53" s="502"/>
      <c r="F53" s="503"/>
      <c r="G53" s="503"/>
      <c r="H53" s="503"/>
      <c r="I53" s="504"/>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61"/>
      <c r="C54" s="461"/>
      <c r="D54" s="462"/>
      <c r="E54" s="502"/>
      <c r="F54" s="503"/>
      <c r="G54" s="503"/>
      <c r="H54" s="503"/>
      <c r="I54" s="504"/>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61"/>
      <c r="C55" s="461"/>
      <c r="D55" s="462"/>
      <c r="E55" s="505"/>
      <c r="F55" s="506"/>
      <c r="G55" s="506"/>
      <c r="H55" s="506"/>
      <c r="I55" s="507"/>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499" t="s">
        <v>227</v>
      </c>
      <c r="K56" s="500"/>
      <c r="L56" s="500"/>
      <c r="M56" s="500"/>
      <c r="N56" s="500"/>
      <c r="O56" s="501"/>
      <c r="P56" s="499" t="s">
        <v>228</v>
      </c>
      <c r="Q56" s="500"/>
      <c r="R56" s="500"/>
      <c r="S56" s="500"/>
      <c r="T56" s="500"/>
      <c r="U56" s="501"/>
      <c r="V56" s="499" t="s">
        <v>229</v>
      </c>
      <c r="W56" s="500"/>
      <c r="X56" s="500"/>
      <c r="Y56" s="500"/>
      <c r="Z56" s="500"/>
      <c r="AA56" s="501"/>
      <c r="AB56" s="499" t="s">
        <v>230</v>
      </c>
      <c r="AC56" s="508"/>
      <c r="AD56" s="500"/>
      <c r="AE56" s="500"/>
      <c r="AF56" s="500"/>
      <c r="AG56" s="501"/>
      <c r="AH56" s="499" t="s">
        <v>231</v>
      </c>
      <c r="AI56" s="500"/>
      <c r="AJ56" s="500"/>
      <c r="AK56" s="500"/>
      <c r="AL56" s="500"/>
      <c r="AM56" s="50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02"/>
      <c r="K57" s="503"/>
      <c r="L57" s="503"/>
      <c r="M57" s="503"/>
      <c r="N57" s="503"/>
      <c r="O57" s="504"/>
      <c r="P57" s="502"/>
      <c r="Q57" s="503"/>
      <c r="R57" s="503"/>
      <c r="S57" s="503"/>
      <c r="T57" s="503"/>
      <c r="U57" s="504"/>
      <c r="V57" s="502"/>
      <c r="W57" s="503"/>
      <c r="X57" s="503"/>
      <c r="Y57" s="503"/>
      <c r="Z57" s="503"/>
      <c r="AA57" s="504"/>
      <c r="AB57" s="502"/>
      <c r="AC57" s="503"/>
      <c r="AD57" s="503"/>
      <c r="AE57" s="503"/>
      <c r="AF57" s="503"/>
      <c r="AG57" s="504"/>
      <c r="AH57" s="502"/>
      <c r="AI57" s="503"/>
      <c r="AJ57" s="503"/>
      <c r="AK57" s="503"/>
      <c r="AL57" s="503"/>
      <c r="AM57" s="504"/>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02"/>
      <c r="K58" s="503"/>
      <c r="L58" s="503"/>
      <c r="M58" s="503"/>
      <c r="N58" s="503"/>
      <c r="O58" s="504"/>
      <c r="P58" s="502"/>
      <c r="Q58" s="503"/>
      <c r="R58" s="503"/>
      <c r="S58" s="503"/>
      <c r="T58" s="503"/>
      <c r="U58" s="504"/>
      <c r="V58" s="502"/>
      <c r="W58" s="503"/>
      <c r="X58" s="503"/>
      <c r="Y58" s="503"/>
      <c r="Z58" s="503"/>
      <c r="AA58" s="504"/>
      <c r="AB58" s="502"/>
      <c r="AC58" s="503"/>
      <c r="AD58" s="503"/>
      <c r="AE58" s="503"/>
      <c r="AF58" s="503"/>
      <c r="AG58" s="504"/>
      <c r="AH58" s="502"/>
      <c r="AI58" s="503"/>
      <c r="AJ58" s="503"/>
      <c r="AK58" s="503"/>
      <c r="AL58" s="503"/>
      <c r="AM58" s="504"/>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02"/>
      <c r="K59" s="503"/>
      <c r="L59" s="503"/>
      <c r="M59" s="503"/>
      <c r="N59" s="503"/>
      <c r="O59" s="504"/>
      <c r="P59" s="502"/>
      <c r="Q59" s="503"/>
      <c r="R59" s="503"/>
      <c r="S59" s="503"/>
      <c r="T59" s="503"/>
      <c r="U59" s="504"/>
      <c r="V59" s="502"/>
      <c r="W59" s="503"/>
      <c r="X59" s="503"/>
      <c r="Y59" s="503"/>
      <c r="Z59" s="503"/>
      <c r="AA59" s="504"/>
      <c r="AB59" s="502"/>
      <c r="AC59" s="503"/>
      <c r="AD59" s="503"/>
      <c r="AE59" s="503"/>
      <c r="AF59" s="503"/>
      <c r="AG59" s="504"/>
      <c r="AH59" s="502"/>
      <c r="AI59" s="503"/>
      <c r="AJ59" s="503"/>
      <c r="AK59" s="503"/>
      <c r="AL59" s="503"/>
      <c r="AM59" s="504"/>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02"/>
      <c r="K60" s="503"/>
      <c r="L60" s="503"/>
      <c r="M60" s="503"/>
      <c r="N60" s="503"/>
      <c r="O60" s="504"/>
      <c r="P60" s="502"/>
      <c r="Q60" s="503"/>
      <c r="R60" s="503"/>
      <c r="S60" s="503"/>
      <c r="T60" s="503"/>
      <c r="U60" s="504"/>
      <c r="V60" s="502"/>
      <c r="W60" s="503"/>
      <c r="X60" s="503"/>
      <c r="Y60" s="503"/>
      <c r="Z60" s="503"/>
      <c r="AA60" s="504"/>
      <c r="AB60" s="502"/>
      <c r="AC60" s="503"/>
      <c r="AD60" s="503"/>
      <c r="AE60" s="503"/>
      <c r="AF60" s="503"/>
      <c r="AG60" s="504"/>
      <c r="AH60" s="502"/>
      <c r="AI60" s="503"/>
      <c r="AJ60" s="503"/>
      <c r="AK60" s="503"/>
      <c r="AL60" s="503"/>
      <c r="AM60" s="504"/>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05"/>
      <c r="K61" s="506"/>
      <c r="L61" s="506"/>
      <c r="M61" s="506"/>
      <c r="N61" s="506"/>
      <c r="O61" s="507"/>
      <c r="P61" s="505"/>
      <c r="Q61" s="506"/>
      <c r="R61" s="506"/>
      <c r="S61" s="506"/>
      <c r="T61" s="506"/>
      <c r="U61" s="507"/>
      <c r="V61" s="505"/>
      <c r="W61" s="506"/>
      <c r="X61" s="506"/>
      <c r="Y61" s="506"/>
      <c r="Z61" s="506"/>
      <c r="AA61" s="507"/>
      <c r="AB61" s="505"/>
      <c r="AC61" s="506"/>
      <c r="AD61" s="506"/>
      <c r="AE61" s="506"/>
      <c r="AF61" s="506"/>
      <c r="AG61" s="507"/>
      <c r="AH61" s="505"/>
      <c r="AI61" s="506"/>
      <c r="AJ61" s="506"/>
      <c r="AK61" s="506"/>
      <c r="AL61" s="506"/>
      <c r="AM61" s="507"/>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48" t="s">
        <v>233</v>
      </c>
      <c r="C1" s="548"/>
      <c r="D1" s="548"/>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234</v>
      </c>
      <c r="D3" s="12" t="s">
        <v>217</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235</v>
      </c>
      <c r="C4" s="14" t="s">
        <v>236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237</v>
      </c>
      <c r="C5" s="17" t="s">
        <v>238</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210</v>
      </c>
      <c r="C6" s="17" t="s">
        <v>239</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240</v>
      </c>
      <c r="C7" s="17" t="s">
        <v>241</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242</v>
      </c>
      <c r="C8" s="17" t="s">
        <v>243</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49" t="s">
        <v>244</v>
      </c>
      <c r="C1" s="549"/>
      <c r="D1" s="549"/>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245</v>
      </c>
      <c r="D3" s="36" t="s">
        <v>246</v>
      </c>
      <c r="E3" s="83"/>
      <c r="F3" s="83"/>
      <c r="G3" s="83"/>
      <c r="H3" s="83"/>
      <c r="I3" s="83"/>
      <c r="J3" s="83"/>
      <c r="K3" s="83"/>
      <c r="L3" s="83"/>
      <c r="M3" s="83"/>
      <c r="N3" s="83"/>
      <c r="O3" s="83"/>
      <c r="P3" s="83"/>
      <c r="Q3" s="83"/>
      <c r="R3" s="83"/>
      <c r="S3" s="83"/>
      <c r="T3" s="83"/>
      <c r="U3" s="83"/>
    </row>
    <row r="4" spans="1:21" ht="33.75" x14ac:dyDescent="0.25">
      <c r="A4" s="100" t="s">
        <v>247</v>
      </c>
      <c r="B4" s="39" t="s">
        <v>248</v>
      </c>
      <c r="C4" s="44" t="s">
        <v>249</v>
      </c>
      <c r="D4" s="37" t="s">
        <v>250</v>
      </c>
      <c r="E4" s="83"/>
      <c r="F4" s="83"/>
      <c r="G4" s="83"/>
      <c r="H4" s="83"/>
      <c r="I4" s="83"/>
      <c r="J4" s="83"/>
      <c r="K4" s="83"/>
      <c r="L4" s="83"/>
      <c r="M4" s="83"/>
      <c r="N4" s="83"/>
      <c r="O4" s="83"/>
      <c r="P4" s="83"/>
      <c r="Q4" s="83"/>
      <c r="R4" s="83"/>
      <c r="S4" s="83"/>
      <c r="T4" s="83"/>
      <c r="U4" s="83"/>
    </row>
    <row r="5" spans="1:21" ht="67.5" x14ac:dyDescent="0.25">
      <c r="A5" s="100" t="s">
        <v>251</v>
      </c>
      <c r="B5" s="40" t="s">
        <v>252</v>
      </c>
      <c r="C5" s="45" t="s">
        <v>253</v>
      </c>
      <c r="D5" s="38" t="s">
        <v>254</v>
      </c>
      <c r="E5" s="83"/>
      <c r="F5" s="83"/>
      <c r="G5" s="83"/>
      <c r="H5" s="83"/>
      <c r="I5" s="83"/>
      <c r="J5" s="83"/>
      <c r="K5" s="83"/>
      <c r="L5" s="83"/>
      <c r="M5" s="83"/>
      <c r="N5" s="83"/>
      <c r="O5" s="83"/>
      <c r="P5" s="83"/>
      <c r="Q5" s="83"/>
      <c r="R5" s="83"/>
      <c r="S5" s="83"/>
      <c r="T5" s="83"/>
      <c r="U5" s="83"/>
    </row>
    <row r="6" spans="1:21" ht="67.5" x14ac:dyDescent="0.25">
      <c r="A6" s="100" t="s">
        <v>223</v>
      </c>
      <c r="B6" s="41" t="s">
        <v>255</v>
      </c>
      <c r="C6" s="45" t="s">
        <v>256</v>
      </c>
      <c r="D6" s="38" t="s">
        <v>257</v>
      </c>
      <c r="E6" s="83"/>
      <c r="F6" s="83"/>
      <c r="G6" s="83"/>
      <c r="H6" s="83"/>
      <c r="I6" s="83"/>
      <c r="J6" s="83"/>
      <c r="K6" s="83"/>
      <c r="L6" s="83"/>
      <c r="M6" s="83"/>
      <c r="N6" s="83"/>
      <c r="O6" s="83"/>
      <c r="P6" s="83"/>
      <c r="Q6" s="83"/>
      <c r="R6" s="83"/>
      <c r="S6" s="83"/>
      <c r="T6" s="83"/>
      <c r="U6" s="83"/>
    </row>
    <row r="7" spans="1:21" ht="101.25" x14ac:dyDescent="0.25">
      <c r="A7" s="100" t="s">
        <v>258</v>
      </c>
      <c r="B7" s="42" t="s">
        <v>259</v>
      </c>
      <c r="C7" s="45" t="s">
        <v>260</v>
      </c>
      <c r="D7" s="38" t="s">
        <v>261</v>
      </c>
      <c r="E7" s="83"/>
      <c r="F7" s="83"/>
      <c r="G7" s="83"/>
      <c r="H7" s="83"/>
      <c r="I7" s="83"/>
      <c r="J7" s="83"/>
      <c r="K7" s="83"/>
      <c r="L7" s="83"/>
      <c r="M7" s="83"/>
      <c r="N7" s="83"/>
      <c r="O7" s="83"/>
      <c r="P7" s="83"/>
      <c r="Q7" s="83"/>
      <c r="R7" s="83"/>
      <c r="S7" s="83"/>
      <c r="T7" s="83"/>
      <c r="U7" s="83"/>
    </row>
    <row r="8" spans="1:21" ht="67.5" x14ac:dyDescent="0.25">
      <c r="A8" s="100" t="s">
        <v>262</v>
      </c>
      <c r="B8" s="43" t="s">
        <v>263</v>
      </c>
      <c r="C8" s="45" t="s">
        <v>264</v>
      </c>
      <c r="D8" s="38" t="s">
        <v>265</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266</v>
      </c>
      <c r="C11" s="100" t="s">
        <v>267</v>
      </c>
      <c r="D11" s="100" t="s">
        <v>268</v>
      </c>
      <c r="E11" s="83"/>
      <c r="F11" s="83"/>
      <c r="G11" s="83"/>
      <c r="H11" s="83"/>
      <c r="I11" s="83"/>
      <c r="J11" s="83"/>
      <c r="K11" s="83"/>
      <c r="L11" s="83"/>
      <c r="M11" s="83"/>
      <c r="N11" s="83"/>
      <c r="O11" s="83"/>
      <c r="P11" s="83"/>
      <c r="Q11" s="83"/>
      <c r="R11" s="83"/>
      <c r="S11" s="83"/>
      <c r="T11" s="83"/>
      <c r="U11" s="83"/>
    </row>
    <row r="12" spans="1:21" x14ac:dyDescent="0.25">
      <c r="A12" s="100"/>
      <c r="B12" s="100" t="s">
        <v>269</v>
      </c>
      <c r="C12" s="100" t="s">
        <v>270</v>
      </c>
      <c r="D12" s="100" t="s">
        <v>271</v>
      </c>
      <c r="E12" s="83"/>
      <c r="F12" s="83"/>
      <c r="G12" s="83"/>
      <c r="H12" s="83"/>
      <c r="I12" s="83"/>
      <c r="J12" s="83"/>
      <c r="K12" s="83"/>
      <c r="L12" s="83"/>
      <c r="M12" s="83"/>
      <c r="N12" s="83"/>
      <c r="O12" s="83"/>
      <c r="P12" s="83"/>
      <c r="Q12" s="83"/>
      <c r="R12" s="83"/>
      <c r="S12" s="83"/>
      <c r="T12" s="83"/>
      <c r="U12" s="83"/>
    </row>
    <row r="13" spans="1:21" x14ac:dyDescent="0.25">
      <c r="A13" s="100"/>
      <c r="B13" s="100"/>
      <c r="C13" s="100" t="s">
        <v>272</v>
      </c>
      <c r="D13" s="100" t="s">
        <v>169</v>
      </c>
      <c r="E13" s="83"/>
      <c r="F13" s="83"/>
      <c r="G13" s="83"/>
      <c r="H13" s="83"/>
      <c r="I13" s="83"/>
      <c r="J13" s="83"/>
      <c r="K13" s="83"/>
      <c r="L13" s="83"/>
      <c r="M13" s="83"/>
      <c r="N13" s="83"/>
      <c r="O13" s="83"/>
      <c r="P13" s="83"/>
      <c r="Q13" s="83"/>
      <c r="R13" s="83"/>
      <c r="S13" s="83"/>
      <c r="T13" s="83"/>
      <c r="U13" s="83"/>
    </row>
    <row r="14" spans="1:21" x14ac:dyDescent="0.25">
      <c r="A14" s="100"/>
      <c r="B14" s="100"/>
      <c r="C14" s="100" t="s">
        <v>273</v>
      </c>
      <c r="D14" s="100" t="s">
        <v>274</v>
      </c>
      <c r="E14" s="83"/>
      <c r="F14" s="83"/>
      <c r="G14" s="83"/>
      <c r="H14" s="83"/>
      <c r="I14" s="83"/>
      <c r="J14" s="83"/>
      <c r="K14" s="83"/>
      <c r="L14" s="83"/>
      <c r="M14" s="83"/>
      <c r="N14" s="83"/>
      <c r="O14" s="83"/>
      <c r="P14" s="83"/>
      <c r="Q14" s="83"/>
      <c r="R14" s="83"/>
      <c r="S14" s="83"/>
      <c r="T14" s="83"/>
      <c r="U14" s="83"/>
    </row>
    <row r="15" spans="1:21" x14ac:dyDescent="0.25">
      <c r="A15" s="100"/>
      <c r="B15" s="100"/>
      <c r="C15" s="100" t="s">
        <v>275</v>
      </c>
      <c r="D15" s="100" t="s">
        <v>276</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277</v>
      </c>
      <c r="C209" s="30" t="s">
        <v>278</v>
      </c>
      <c r="D209" s="33" t="s">
        <v>277</v>
      </c>
      <c r="E209" s="33" t="s">
        <v>278</v>
      </c>
    </row>
    <row r="210" spans="1:8" ht="21" x14ac:dyDescent="0.35">
      <c r="A210" s="83"/>
      <c r="B210" s="31" t="s">
        <v>279</v>
      </c>
      <c r="C210" s="31" t="s">
        <v>280</v>
      </c>
      <c r="D210" t="s">
        <v>279</v>
      </c>
      <c r="F210" t="str">
        <f>IF(NOT(ISBLANK(D210)),D210,IF(NOT(ISBLANK(E210)),"     "&amp;E210,FALSE))</f>
        <v>Afectación Económica o presupuestal</v>
      </c>
      <c r="G210" t="s">
        <v>279</v>
      </c>
      <c r="H210" t="str">
        <f>IF(NOT(ISERROR(MATCH(G210,_xlfn.ANCHORARRAY(B221),0))),F223&amp;"Por favor no seleccionar los criterios de impacto",G210)</f>
        <v>❌Por favor no seleccionar los criterios de impacto</v>
      </c>
    </row>
    <row r="211" spans="1:8" ht="21" x14ac:dyDescent="0.35">
      <c r="A211" s="83"/>
      <c r="B211" s="31" t="s">
        <v>279</v>
      </c>
      <c r="C211" s="31" t="s">
        <v>253</v>
      </c>
      <c r="E211" t="s">
        <v>280</v>
      </c>
      <c r="F211" t="str">
        <f t="shared" ref="F211:F221" si="0">IF(NOT(ISBLANK(D211)),D211,IF(NOT(ISBLANK(E211)),"     "&amp;E211,FALSE))</f>
        <v xml:space="preserve">     Afectación menor a 10 SMLMV .</v>
      </c>
    </row>
    <row r="212" spans="1:8" ht="21" x14ac:dyDescent="0.35">
      <c r="A212" s="83"/>
      <c r="B212" s="31" t="s">
        <v>279</v>
      </c>
      <c r="C212" s="31" t="s">
        <v>256</v>
      </c>
      <c r="E212" t="s">
        <v>253</v>
      </c>
      <c r="F212" t="str">
        <f t="shared" si="0"/>
        <v xml:space="preserve">     Entre 10 y 50 SMLMV </v>
      </c>
    </row>
    <row r="213" spans="1:8" ht="21" x14ac:dyDescent="0.35">
      <c r="A213" s="83"/>
      <c r="B213" s="31" t="s">
        <v>279</v>
      </c>
      <c r="C213" s="31" t="s">
        <v>260</v>
      </c>
      <c r="E213" t="s">
        <v>256</v>
      </c>
      <c r="F213" t="str">
        <f t="shared" si="0"/>
        <v xml:space="preserve">     Entre 50 y 100 SMLMV </v>
      </c>
    </row>
    <row r="214" spans="1:8" ht="21" x14ac:dyDescent="0.35">
      <c r="A214" s="83"/>
      <c r="B214" s="31" t="s">
        <v>279</v>
      </c>
      <c r="C214" s="31" t="s">
        <v>264</v>
      </c>
      <c r="E214" t="s">
        <v>260</v>
      </c>
      <c r="F214" t="str">
        <f t="shared" si="0"/>
        <v xml:space="preserve">     Entre 100 y 500 SMLMV </v>
      </c>
    </row>
    <row r="215" spans="1:8" ht="21" x14ac:dyDescent="0.35">
      <c r="A215" s="83"/>
      <c r="B215" s="31" t="s">
        <v>246</v>
      </c>
      <c r="C215" s="31" t="s">
        <v>250</v>
      </c>
      <c r="E215" t="s">
        <v>264</v>
      </c>
      <c r="F215" t="str">
        <f t="shared" si="0"/>
        <v xml:space="preserve">     Mayor a 500 SMLMV </v>
      </c>
    </row>
    <row r="216" spans="1:8" ht="21" x14ac:dyDescent="0.35">
      <c r="A216" s="83"/>
      <c r="B216" s="31" t="s">
        <v>246</v>
      </c>
      <c r="C216" s="31" t="s">
        <v>254</v>
      </c>
      <c r="D216" t="s">
        <v>246</v>
      </c>
      <c r="F216" t="str">
        <f t="shared" si="0"/>
        <v>Pérdida Reputacional</v>
      </c>
    </row>
    <row r="217" spans="1:8" ht="21" x14ac:dyDescent="0.35">
      <c r="A217" s="83"/>
      <c r="B217" s="31" t="s">
        <v>246</v>
      </c>
      <c r="C217" s="31" t="s">
        <v>257</v>
      </c>
      <c r="E217" t="s">
        <v>250</v>
      </c>
      <c r="F217" t="str">
        <f t="shared" si="0"/>
        <v xml:space="preserve">     El riesgo afecta la imagen de alguna área de la organización</v>
      </c>
    </row>
    <row r="218" spans="1:8" ht="21" x14ac:dyDescent="0.35">
      <c r="A218" s="83"/>
      <c r="B218" s="31" t="s">
        <v>246</v>
      </c>
      <c r="C218" s="31" t="s">
        <v>261</v>
      </c>
      <c r="E218" t="s">
        <v>254</v>
      </c>
      <c r="F218" t="str">
        <f t="shared" si="0"/>
        <v xml:space="preserve">     El riesgo afecta la imagen de la entidad internamente, de conocimiento general, nivel interno, de junta dircetiva y accionistas y/o de provedores</v>
      </c>
    </row>
    <row r="219" spans="1:8" ht="21" x14ac:dyDescent="0.35">
      <c r="A219" s="83"/>
      <c r="B219" s="31" t="s">
        <v>246</v>
      </c>
      <c r="C219" s="31" t="s">
        <v>265</v>
      </c>
      <c r="E219" t="s">
        <v>257</v>
      </c>
      <c r="F219" t="str">
        <f t="shared" si="0"/>
        <v xml:space="preserve">     El riesgo afecta la imagen de la entidad con algunos usuarios de relevancia frente al logro de los objetivos</v>
      </c>
    </row>
    <row r="220" spans="1:8" x14ac:dyDescent="0.25">
      <c r="A220" s="83"/>
      <c r="B220" s="32"/>
      <c r="C220" s="32"/>
      <c r="E220" t="s">
        <v>261</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265</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281</v>
      </c>
    </row>
    <row r="224" spans="1:8" x14ac:dyDescent="0.25">
      <c r="B224" s="22"/>
      <c r="C224" s="22"/>
      <c r="F224" s="35" t="s">
        <v>282</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50" t="s">
        <v>283</v>
      </c>
      <c r="C1" s="551"/>
      <c r="D1" s="551"/>
      <c r="E1" s="551"/>
      <c r="F1" s="552"/>
    </row>
    <row r="2" spans="2:6" ht="16.5" thickBot="1" x14ac:dyDescent="0.3">
      <c r="B2" s="86"/>
      <c r="C2" s="86"/>
      <c r="D2" s="86"/>
      <c r="E2" s="86"/>
      <c r="F2" s="86"/>
    </row>
    <row r="3" spans="2:6" ht="16.5" thickBot="1" x14ac:dyDescent="0.25">
      <c r="B3" s="554" t="s">
        <v>284</v>
      </c>
      <c r="C3" s="555"/>
      <c r="D3" s="555"/>
      <c r="E3" s="98" t="s">
        <v>285</v>
      </c>
      <c r="F3" s="99" t="s">
        <v>286</v>
      </c>
    </row>
    <row r="4" spans="2:6" ht="31.5" x14ac:dyDescent="0.2">
      <c r="B4" s="556" t="s">
        <v>287</v>
      </c>
      <c r="C4" s="558" t="s">
        <v>158</v>
      </c>
      <c r="D4" s="87" t="s">
        <v>171</v>
      </c>
      <c r="E4" s="88" t="s">
        <v>288</v>
      </c>
      <c r="F4" s="89">
        <v>0.25</v>
      </c>
    </row>
    <row r="5" spans="2:6" ht="47.25" x14ac:dyDescent="0.2">
      <c r="B5" s="557"/>
      <c r="C5" s="559"/>
      <c r="D5" s="90" t="s">
        <v>289</v>
      </c>
      <c r="E5" s="91" t="s">
        <v>290</v>
      </c>
      <c r="F5" s="92">
        <v>0.15</v>
      </c>
    </row>
    <row r="6" spans="2:6" ht="47.25" x14ac:dyDescent="0.2">
      <c r="B6" s="557"/>
      <c r="C6" s="559"/>
      <c r="D6" s="90" t="s">
        <v>291</v>
      </c>
      <c r="E6" s="91" t="s">
        <v>292</v>
      </c>
      <c r="F6" s="92">
        <v>0.1</v>
      </c>
    </row>
    <row r="7" spans="2:6" ht="63" x14ac:dyDescent="0.2">
      <c r="B7" s="557"/>
      <c r="C7" s="559" t="s">
        <v>159</v>
      </c>
      <c r="D7" s="90" t="s">
        <v>293</v>
      </c>
      <c r="E7" s="91" t="s">
        <v>294</v>
      </c>
      <c r="F7" s="92">
        <v>0.25</v>
      </c>
    </row>
    <row r="8" spans="2:6" ht="31.5" x14ac:dyDescent="0.2">
      <c r="B8" s="557"/>
      <c r="C8" s="559"/>
      <c r="D8" s="90" t="s">
        <v>172</v>
      </c>
      <c r="E8" s="91" t="s">
        <v>295</v>
      </c>
      <c r="F8" s="92">
        <v>0.15</v>
      </c>
    </row>
    <row r="9" spans="2:6" ht="47.25" x14ac:dyDescent="0.2">
      <c r="B9" s="557" t="s">
        <v>296</v>
      </c>
      <c r="C9" s="559" t="s">
        <v>161</v>
      </c>
      <c r="D9" s="90" t="s">
        <v>173</v>
      </c>
      <c r="E9" s="91" t="s">
        <v>297</v>
      </c>
      <c r="F9" s="93" t="s">
        <v>298</v>
      </c>
    </row>
    <row r="10" spans="2:6" ht="63" x14ac:dyDescent="0.2">
      <c r="B10" s="557"/>
      <c r="C10" s="559"/>
      <c r="D10" s="90" t="s">
        <v>299</v>
      </c>
      <c r="E10" s="91" t="s">
        <v>300</v>
      </c>
      <c r="F10" s="93" t="s">
        <v>298</v>
      </c>
    </row>
    <row r="11" spans="2:6" ht="47.25" x14ac:dyDescent="0.2">
      <c r="B11" s="557"/>
      <c r="C11" s="559" t="s">
        <v>162</v>
      </c>
      <c r="D11" s="90" t="s">
        <v>174</v>
      </c>
      <c r="E11" s="91" t="s">
        <v>301</v>
      </c>
      <c r="F11" s="93" t="s">
        <v>298</v>
      </c>
    </row>
    <row r="12" spans="2:6" ht="47.25" x14ac:dyDescent="0.2">
      <c r="B12" s="557"/>
      <c r="C12" s="559"/>
      <c r="D12" s="90" t="s">
        <v>302</v>
      </c>
      <c r="E12" s="91" t="s">
        <v>303</v>
      </c>
      <c r="F12" s="93" t="s">
        <v>298</v>
      </c>
    </row>
    <row r="13" spans="2:6" ht="31.5" x14ac:dyDescent="0.2">
      <c r="B13" s="557"/>
      <c r="C13" s="559" t="s">
        <v>163</v>
      </c>
      <c r="D13" s="90" t="s">
        <v>175</v>
      </c>
      <c r="E13" s="91" t="s">
        <v>304</v>
      </c>
      <c r="F13" s="93" t="s">
        <v>298</v>
      </c>
    </row>
    <row r="14" spans="2:6" ht="32.25" thickBot="1" x14ac:dyDescent="0.25">
      <c r="B14" s="560"/>
      <c r="C14" s="561"/>
      <c r="D14" s="94" t="s">
        <v>305</v>
      </c>
      <c r="E14" s="95" t="s">
        <v>306</v>
      </c>
      <c r="F14" s="96" t="s">
        <v>298</v>
      </c>
    </row>
    <row r="15" spans="2:6" ht="49.5" customHeight="1" x14ac:dyDescent="0.2">
      <c r="B15" s="553" t="s">
        <v>307</v>
      </c>
      <c r="C15" s="553"/>
      <c r="D15" s="553"/>
      <c r="E15" s="553"/>
      <c r="F15" s="553"/>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308</v>
      </c>
      <c r="E2" t="s">
        <v>309</v>
      </c>
    </row>
    <row r="3" spans="2:5" x14ac:dyDescent="0.25">
      <c r="B3" t="s">
        <v>310</v>
      </c>
      <c r="E3" t="s">
        <v>191</v>
      </c>
    </row>
    <row r="4" spans="2:5" x14ac:dyDescent="0.25">
      <c r="B4" t="s">
        <v>311</v>
      </c>
      <c r="E4" t="s">
        <v>164</v>
      </c>
    </row>
    <row r="5" spans="2:5" x14ac:dyDescent="0.25">
      <c r="B5" t="s">
        <v>176</v>
      </c>
    </row>
    <row r="8" spans="2:5" x14ac:dyDescent="0.25">
      <c r="B8" t="s">
        <v>312</v>
      </c>
    </row>
    <row r="9" spans="2:5" x14ac:dyDescent="0.25">
      <c r="B9" t="s">
        <v>313</v>
      </c>
    </row>
    <row r="10" spans="2:5" x14ac:dyDescent="0.25">
      <c r="B10" t="s">
        <v>314</v>
      </c>
    </row>
    <row r="13" spans="2:5" x14ac:dyDescent="0.25">
      <c r="B13" t="s">
        <v>315</v>
      </c>
    </row>
    <row r="14" spans="2:5" x14ac:dyDescent="0.25">
      <c r="B14" t="s">
        <v>168</v>
      </c>
    </row>
    <row r="15" spans="2:5" x14ac:dyDescent="0.25">
      <c r="B15" t="s">
        <v>316</v>
      </c>
    </row>
    <row r="16" spans="2:5" x14ac:dyDescent="0.25">
      <c r="B16" t="s">
        <v>317</v>
      </c>
    </row>
    <row r="17" spans="2:2" x14ac:dyDescent="0.25">
      <c r="B17" t="s">
        <v>318</v>
      </c>
    </row>
    <row r="18" spans="2:2" x14ac:dyDescent="0.25">
      <c r="B18" t="s">
        <v>319</v>
      </c>
    </row>
    <row r="19" spans="2:2" x14ac:dyDescent="0.25">
      <c r="B19" t="s">
        <v>320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2025-04-24T21:00:29Z</dcterms:modified>
  <cp:category/>
  <cp:contentStatus/>
</cp:coreProperties>
</file>