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8328DD39-E159-4C11-9A5D-585465CB1725}"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6" i="1" l="1"/>
  <c r="Y86" i="1"/>
  <c r="T86" i="1"/>
  <c r="K86" i="1"/>
  <c r="AA85" i="1"/>
  <c r="Y85" i="1"/>
  <c r="AC85" i="1" s="1"/>
  <c r="T85" i="1"/>
  <c r="K85" i="1"/>
  <c r="AB84" i="1"/>
  <c r="AA84" i="1" s="1"/>
  <c r="Y84" i="1"/>
  <c r="T84" i="1"/>
  <c r="K84" i="1"/>
  <c r="AB83" i="1"/>
  <c r="AA83" i="1" s="1"/>
  <c r="Y83" i="1"/>
  <c r="T83" i="1"/>
  <c r="K83" i="1"/>
  <c r="AB82" i="1"/>
  <c r="AA82" i="1" s="1"/>
  <c r="Y82" i="1"/>
  <c r="T82" i="1"/>
  <c r="K82" i="1"/>
  <c r="T81" i="1"/>
  <c r="Q81" i="1"/>
  <c r="K81" i="1"/>
  <c r="L81" i="1" s="1"/>
  <c r="M81" i="1" s="1"/>
  <c r="H81" i="1"/>
  <c r="I81" i="1" s="1"/>
  <c r="X81" i="1" s="1"/>
  <c r="T75" i="1"/>
  <c r="AA79" i="1"/>
  <c r="AA80" i="1"/>
  <c r="AB76" i="1"/>
  <c r="AA76" i="1" s="1"/>
  <c r="AB77" i="1"/>
  <c r="AA77" i="1" s="1"/>
  <c r="AB78" i="1"/>
  <c r="AA78" i="1" s="1"/>
  <c r="Y76" i="1"/>
  <c r="Y77" i="1"/>
  <c r="Y78" i="1"/>
  <c r="Y79" i="1"/>
  <c r="AC79" i="1" s="1"/>
  <c r="Y80" i="1"/>
  <c r="AC80" i="1" s="1"/>
  <c r="T70" i="1"/>
  <c r="T71" i="1"/>
  <c r="T72" i="1"/>
  <c r="T73" i="1"/>
  <c r="T74" i="1"/>
  <c r="T76" i="1"/>
  <c r="T77" i="1"/>
  <c r="T78" i="1"/>
  <c r="T79" i="1"/>
  <c r="T80" i="1"/>
  <c r="Q75" i="1"/>
  <c r="Q69" i="1"/>
  <c r="K80" i="1"/>
  <c r="K79" i="1"/>
  <c r="K78" i="1"/>
  <c r="K77" i="1"/>
  <c r="K76" i="1"/>
  <c r="K75" i="1"/>
  <c r="L75" i="1" s="1"/>
  <c r="H75" i="1"/>
  <c r="I75" i="1" s="1"/>
  <c r="Q63" i="1"/>
  <c r="Q57" i="1"/>
  <c r="T41" i="1"/>
  <c r="T42" i="1"/>
  <c r="T43" i="1"/>
  <c r="Q40" i="1"/>
  <c r="Q41" i="1"/>
  <c r="Q42" i="1"/>
  <c r="Q43" i="1"/>
  <c r="K46" i="1"/>
  <c r="K47" i="1"/>
  <c r="K48" i="1"/>
  <c r="K49" i="1"/>
  <c r="K50" i="1"/>
  <c r="K32" i="1"/>
  <c r="K33" i="1"/>
  <c r="K34" i="1"/>
  <c r="K35" i="1"/>
  <c r="K36" i="1"/>
  <c r="AC84" i="1" l="1"/>
  <c r="AC86" i="1"/>
  <c r="AC78" i="1"/>
  <c r="AC77" i="1"/>
  <c r="AC76" i="1"/>
  <c r="AC83" i="1"/>
  <c r="AC82" i="1"/>
  <c r="AB81" i="1"/>
  <c r="AA81" i="1" s="1"/>
  <c r="Y81" i="1"/>
  <c r="Z81" i="1"/>
  <c r="N81" i="1"/>
  <c r="X75" i="1"/>
  <c r="Z75" i="1" s="1"/>
  <c r="M75" i="1"/>
  <c r="AB75" i="1" s="1"/>
  <c r="AA75" i="1" s="1"/>
  <c r="N75" i="1"/>
  <c r="T37" i="1"/>
  <c r="Q37" i="1"/>
  <c r="H37" i="1"/>
  <c r="H30" i="1"/>
  <c r="I30" i="1" s="1"/>
  <c r="Q30" i="1"/>
  <c r="T30" i="1"/>
  <c r="AC81" i="1" l="1"/>
  <c r="Y75" i="1"/>
  <c r="AC75" i="1" s="1"/>
  <c r="T25" i="1"/>
  <c r="T26" i="1"/>
  <c r="T27" i="1"/>
  <c r="T28" i="1"/>
  <c r="T29" i="1"/>
  <c r="Q25" i="1"/>
  <c r="AB25" i="1" s="1"/>
  <c r="Q26" i="1"/>
  <c r="AB26" i="1" s="1"/>
  <c r="Q27" i="1"/>
  <c r="AB27" i="1" s="1"/>
  <c r="Q28" i="1"/>
  <c r="AB28" i="1" s="1"/>
  <c r="Q29" i="1"/>
  <c r="AB29" i="1" s="1"/>
  <c r="Q12" i="1" l="1"/>
  <c r="H63" i="1" l="1"/>
  <c r="I63" i="1" s="1"/>
  <c r="T69" i="1"/>
  <c r="T63" i="1"/>
  <c r="K64" i="1"/>
  <c r="Q64" i="1"/>
  <c r="T64" i="1"/>
  <c r="K65" i="1"/>
  <c r="Q65" i="1"/>
  <c r="T65" i="1"/>
  <c r="K66" i="1"/>
  <c r="Q66" i="1"/>
  <c r="T66" i="1"/>
  <c r="K67" i="1"/>
  <c r="Q67" i="1"/>
  <c r="T67" i="1"/>
  <c r="K68" i="1"/>
  <c r="Q68" i="1"/>
  <c r="T68" i="1"/>
  <c r="H69" i="1"/>
  <c r="I69" i="1" s="1"/>
  <c r="K70" i="1"/>
  <c r="Q70" i="1"/>
  <c r="AB70" i="1" s="1"/>
  <c r="AA70" i="1" s="1"/>
  <c r="K71" i="1"/>
  <c r="Q71" i="1"/>
  <c r="AB71" i="1" s="1"/>
  <c r="AA71" i="1" s="1"/>
  <c r="K72" i="1"/>
  <c r="Q72" i="1"/>
  <c r="AB72" i="1" s="1"/>
  <c r="AA72" i="1" s="1"/>
  <c r="K73" i="1"/>
  <c r="Q73" i="1"/>
  <c r="AB73" i="1" s="1"/>
  <c r="AA73" i="1" s="1"/>
  <c r="K74" i="1"/>
  <c r="Q74" i="1"/>
  <c r="AB74" i="1" s="1"/>
  <c r="AA74" i="1" s="1"/>
  <c r="AB67" i="1" l="1"/>
  <c r="AA67" i="1" s="1"/>
  <c r="X71" i="1"/>
  <c r="AB66" i="1"/>
  <c r="AA66" i="1" s="1"/>
  <c r="X69" i="1"/>
  <c r="Z69" i="1" s="1"/>
  <c r="X65" i="1"/>
  <c r="Z65" i="1" s="1"/>
  <c r="X74" i="1"/>
  <c r="X70" i="1"/>
  <c r="X68" i="1"/>
  <c r="Y68" i="1" s="1"/>
  <c r="X66" i="1"/>
  <c r="Z66" i="1" s="1"/>
  <c r="X73" i="1"/>
  <c r="X67" i="1"/>
  <c r="Y67" i="1" s="1"/>
  <c r="X72" i="1"/>
  <c r="X63" i="1"/>
  <c r="AB65" i="1"/>
  <c r="AA65" i="1" s="1"/>
  <c r="AB64" i="1"/>
  <c r="AA64" i="1" s="1"/>
  <c r="AB68" i="1"/>
  <c r="AA68" i="1" s="1"/>
  <c r="X64" i="1"/>
  <c r="Z70" i="1" l="1"/>
  <c r="Y70" i="1"/>
  <c r="AC70" i="1" s="1"/>
  <c r="Y74" i="1"/>
  <c r="AC74" i="1" s="1"/>
  <c r="Z74" i="1"/>
  <c r="Y73" i="1"/>
  <c r="AC73" i="1" s="1"/>
  <c r="Z73" i="1"/>
  <c r="Z71" i="1"/>
  <c r="Y71" i="1"/>
  <c r="AC71" i="1" s="1"/>
  <c r="Y72" i="1"/>
  <c r="AC72" i="1" s="1"/>
  <c r="Z72" i="1"/>
  <c r="AC68" i="1"/>
  <c r="Y66" i="1"/>
  <c r="AC66" i="1" s="1"/>
  <c r="AC67" i="1"/>
  <c r="Y65" i="1"/>
  <c r="AC65" i="1" s="1"/>
  <c r="Z68" i="1"/>
  <c r="Y69" i="1"/>
  <c r="Z67" i="1"/>
  <c r="Y63" i="1"/>
  <c r="Z63" i="1"/>
  <c r="Y64" i="1"/>
  <c r="AC64" i="1" s="1"/>
  <c r="Z64" i="1"/>
  <c r="T24" i="1" l="1"/>
  <c r="T12" i="1" l="1"/>
  <c r="H12" i="1" l="1"/>
  <c r="I12" i="1" s="1"/>
  <c r="K62" i="1"/>
  <c r="K19" i="1"/>
  <c r="K54" i="1"/>
  <c r="K59" i="1"/>
  <c r="K41" i="1"/>
  <c r="K53" i="1"/>
  <c r="K29" i="1"/>
  <c r="K38" i="1"/>
  <c r="K52" i="1"/>
  <c r="K61" i="1"/>
  <c r="K42" i="1"/>
  <c r="K26" i="1"/>
  <c r="K55" i="1"/>
  <c r="K40" i="1"/>
  <c r="K23" i="1"/>
  <c r="K21" i="1"/>
  <c r="K60" i="1"/>
  <c r="K20" i="1"/>
  <c r="K28" i="1"/>
  <c r="K22" i="1"/>
  <c r="K39" i="1"/>
  <c r="K25" i="1"/>
  <c r="K58" i="1"/>
  <c r="K27" i="1"/>
  <c r="K56" i="1"/>
  <c r="F221" i="13" l="1"/>
  <c r="F211" i="13"/>
  <c r="F212" i="13"/>
  <c r="F213" i="13"/>
  <c r="F214" i="13"/>
  <c r="F215" i="13"/>
  <c r="F216" i="13"/>
  <c r="F217" i="13"/>
  <c r="F218" i="13"/>
  <c r="F219" i="13"/>
  <c r="F220" i="13"/>
  <c r="F210" i="13"/>
  <c r="K17" i="1"/>
  <c r="K16" i="1"/>
  <c r="K13" i="1"/>
  <c r="K14" i="1"/>
  <c r="B221" i="13" a="1"/>
  <c r="K15" i="1"/>
  <c r="B221" i="13" l="1"/>
  <c r="Q52" i="1"/>
  <c r="Q46" i="1"/>
  <c r="K63" i="1" l="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AB69" i="1" s="1"/>
  <c r="AA69" i="1" s="1"/>
  <c r="AC69" i="1" s="1"/>
  <c r="N69" i="1"/>
  <c r="N63" i="1"/>
  <c r="M63" i="1"/>
  <c r="AB63" i="1" s="1"/>
  <c r="AA63" i="1" s="1"/>
  <c r="AC63" i="1" s="1"/>
  <c r="T62" i="1"/>
  <c r="Q62" i="1"/>
  <c r="T61" i="1"/>
  <c r="Q61" i="1"/>
  <c r="T60" i="1"/>
  <c r="Q60" i="1"/>
  <c r="T59" i="1"/>
  <c r="Q59" i="1"/>
  <c r="T58" i="1"/>
  <c r="Q58" i="1"/>
  <c r="T57" i="1"/>
  <c r="H57" i="1"/>
  <c r="I57" i="1" s="1"/>
  <c r="T56" i="1"/>
  <c r="Q56" i="1"/>
  <c r="T55" i="1"/>
  <c r="Q55" i="1"/>
  <c r="T54" i="1"/>
  <c r="Q54" i="1"/>
  <c r="T53" i="1"/>
  <c r="Q53" i="1"/>
  <c r="T52" i="1"/>
  <c r="T51" i="1"/>
  <c r="Q51" i="1"/>
  <c r="H51" i="1"/>
  <c r="I51" i="1" s="1"/>
  <c r="T50" i="1"/>
  <c r="Q50" i="1"/>
  <c r="T49" i="1"/>
  <c r="Q49" i="1"/>
  <c r="T48" i="1"/>
  <c r="Q48" i="1"/>
  <c r="T47" i="1"/>
  <c r="Q47" i="1"/>
  <c r="T46" i="1"/>
  <c r="H43" i="1"/>
  <c r="I43" i="1" s="1"/>
  <c r="T40" i="1"/>
  <c r="T39" i="1"/>
  <c r="Q39" i="1"/>
  <c r="T38" i="1"/>
  <c r="Q38" i="1"/>
  <c r="I37" i="1"/>
  <c r="T36" i="1"/>
  <c r="Q36" i="1"/>
  <c r="T35" i="1"/>
  <c r="Q35" i="1"/>
  <c r="T34" i="1"/>
  <c r="Q34" i="1"/>
  <c r="T33" i="1"/>
  <c r="Q33" i="1"/>
  <c r="T32" i="1"/>
  <c r="Q32" i="1"/>
  <c r="AB32" i="1" s="1"/>
  <c r="Q24" i="1"/>
  <c r="H24" i="1"/>
  <c r="I24" i="1" s="1"/>
  <c r="H18" i="1"/>
  <c r="Q17" i="1"/>
  <c r="Q16" i="1"/>
  <c r="T23" i="1"/>
  <c r="Q23" i="1"/>
  <c r="T22" i="1"/>
  <c r="Q22" i="1"/>
  <c r="T21" i="1"/>
  <c r="Q21" i="1"/>
  <c r="T20" i="1"/>
  <c r="Q20" i="1"/>
  <c r="T19" i="1"/>
  <c r="Q19" i="1"/>
  <c r="T18" i="1"/>
  <c r="Q18" i="1"/>
  <c r="AB33" i="1" l="1"/>
  <c r="X57" i="1"/>
  <c r="X27" i="1"/>
  <c r="X39" i="1"/>
  <c r="Y39" i="1" s="1"/>
  <c r="X49" i="1"/>
  <c r="X61" i="1"/>
  <c r="X33" i="1"/>
  <c r="Y33" i="1" s="1"/>
  <c r="X29" i="1"/>
  <c r="X41" i="1"/>
  <c r="Y41" i="1" s="1"/>
  <c r="X55" i="1"/>
  <c r="X36" i="1"/>
  <c r="X35" i="1"/>
  <c r="Y35" i="1" s="1"/>
  <c r="X34" i="1"/>
  <c r="Y34" i="1" s="1"/>
  <c r="AB58" i="1"/>
  <c r="X59" i="1"/>
  <c r="X58" i="1"/>
  <c r="X31" i="1"/>
  <c r="X54" i="1"/>
  <c r="X53" i="1"/>
  <c r="X56" i="1"/>
  <c r="X60" i="1"/>
  <c r="X62" i="1"/>
  <c r="X24" i="1"/>
  <c r="X26" i="1"/>
  <c r="X28" i="1"/>
  <c r="X38" i="1"/>
  <c r="Y38" i="1" s="1"/>
  <c r="X37" i="1"/>
  <c r="X40" i="1"/>
  <c r="Y40" i="1" s="1"/>
  <c r="X42" i="1"/>
  <c r="Y42" i="1" s="1"/>
  <c r="X48" i="1"/>
  <c r="X47" i="1"/>
  <c r="X50" i="1"/>
  <c r="X46" i="1"/>
  <c r="X45" i="1"/>
  <c r="Y43" i="1" s="1"/>
  <c r="X51" i="1"/>
  <c r="AB38" i="1"/>
  <c r="AB55" i="1"/>
  <c r="AA55" i="1" s="1"/>
  <c r="AB56" i="1"/>
  <c r="AA56" i="1" s="1"/>
  <c r="I18" i="1"/>
  <c r="X18" i="1" s="1"/>
  <c r="Z30" i="1" l="1"/>
  <c r="X32" i="1" s="1"/>
  <c r="Z32" i="1" s="1"/>
  <c r="Y30" i="1"/>
  <c r="AC30" i="1" s="1"/>
  <c r="Y57" i="1"/>
  <c r="Z57" i="1"/>
  <c r="Z58" i="1" s="1"/>
  <c r="Y56" i="1"/>
  <c r="Z56" i="1"/>
  <c r="Y55" i="1"/>
  <c r="Z55" i="1"/>
  <c r="Y51" i="1"/>
  <c r="Z51" i="1"/>
  <c r="X52" i="1" s="1"/>
  <c r="Z43" i="1"/>
  <c r="Z46" i="1" s="1"/>
  <c r="Y37" i="1"/>
  <c r="Z37" i="1"/>
  <c r="Y24" i="1"/>
  <c r="Z24" i="1"/>
  <c r="Y18" i="1"/>
  <c r="Z18" i="1"/>
  <c r="X19" i="1" s="1"/>
  <c r="X25" i="1" l="1"/>
  <c r="Y25" i="1" s="1"/>
  <c r="Y58" i="1"/>
  <c r="Y46" i="1"/>
  <c r="Y32" i="1"/>
  <c r="Y47" i="1"/>
  <c r="Z47" i="1"/>
  <c r="Z59" i="1"/>
  <c r="Y59"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5" i="1"/>
  <c r="AC56" i="1"/>
  <c r="T13" i="1"/>
  <c r="T16" i="1"/>
  <c r="T17" i="1"/>
  <c r="Z25" i="1" l="1"/>
  <c r="Y26" i="1" s="1"/>
  <c r="Y60" i="1"/>
  <c r="Z60" i="1"/>
  <c r="Z26" i="1"/>
  <c r="Z27" i="1" s="1"/>
  <c r="Y53" i="1"/>
  <c r="Z53" i="1"/>
  <c r="Y52" i="1"/>
  <c r="Z52" i="1"/>
  <c r="Z38" i="1"/>
  <c r="Y19" i="1"/>
  <c r="Z19" i="1"/>
  <c r="X20" i="1" s="1"/>
  <c r="Y20" i="1" s="1"/>
  <c r="Z39" i="1" l="1"/>
  <c r="Z40" i="1" s="1"/>
  <c r="Y61" i="1"/>
  <c r="Z61" i="1"/>
  <c r="Y27" i="1"/>
  <c r="Y48" i="1"/>
  <c r="Z48" i="1"/>
  <c r="Y49" i="1" s="1"/>
  <c r="Y54" i="1"/>
  <c r="Z54" i="1"/>
  <c r="Z34" i="1"/>
  <c r="Z35" i="1"/>
  <c r="Z20" i="1"/>
  <c r="X21" i="1" s="1"/>
  <c r="Y21" i="1" s="1"/>
  <c r="Y62" i="1" l="1"/>
  <c r="Z62" i="1"/>
  <c r="Z49" i="1"/>
  <c r="Y50" i="1" s="1"/>
  <c r="Z41" i="1"/>
  <c r="Y28" i="1"/>
  <c r="Z28" i="1"/>
  <c r="Y29" i="1" s="1"/>
  <c r="Y36" i="1"/>
  <c r="Z36" i="1"/>
  <c r="Z21" i="1"/>
  <c r="X22" i="1" s="1"/>
  <c r="Z22" i="1" s="1"/>
  <c r="X23" i="1" s="1"/>
  <c r="X12" i="1"/>
  <c r="Y12" i="1" s="1"/>
  <c r="Z42" i="1" l="1"/>
  <c r="Z50" i="1"/>
  <c r="Z29" i="1"/>
  <c r="Y22" i="1"/>
  <c r="Y23" i="1"/>
  <c r="Z23" i="1"/>
  <c r="Q13" i="1"/>
  <c r="Z12" i="1" l="1"/>
  <c r="X13" i="1" s="1"/>
  <c r="Y13" i="1" l="1"/>
  <c r="Z13" i="1" l="1"/>
  <c r="X16" i="1" l="1"/>
  <c r="Y16" i="1" l="1"/>
  <c r="Z16" i="1"/>
  <c r="X17" i="1" s="1"/>
  <c r="Y17" i="1" l="1"/>
  <c r="Z17" i="1"/>
  <c r="K45" i="1" l="1"/>
  <c r="L43" i="1" s="1"/>
  <c r="K31" i="1"/>
  <c r="L30" i="1" s="1"/>
  <c r="K24" i="1"/>
  <c r="L24" i="1" s="1"/>
  <c r="K57" i="1"/>
  <c r="L57" i="1" s="1"/>
  <c r="K51" i="1"/>
  <c r="L51" i="1" s="1"/>
  <c r="K37" i="1"/>
  <c r="L37" i="1" s="1"/>
  <c r="K12" i="1"/>
  <c r="L12" i="1" s="1"/>
  <c r="K18" i="1"/>
  <c r="L18" i="1" s="1"/>
  <c r="M30" i="1" l="1"/>
  <c r="AB30" i="1" s="1"/>
  <c r="N30"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7" i="1"/>
  <c r="X32" i="18"/>
  <c r="AD32" i="18"/>
  <c r="AJ8" i="18"/>
  <c r="L16" i="18"/>
  <c r="R32" i="18"/>
  <c r="AJ32" i="18"/>
  <c r="N37"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51" i="1"/>
  <c r="AH34" i="18"/>
  <c r="AH42" i="18"/>
  <c r="AH18" i="18"/>
  <c r="AB10" i="18"/>
  <c r="J26" i="18"/>
  <c r="V18" i="18"/>
  <c r="V42" i="18"/>
  <c r="J42" i="18"/>
  <c r="P10" i="18"/>
  <c r="AB26" i="18"/>
  <c r="J34" i="18"/>
  <c r="J18" i="18"/>
  <c r="AH10" i="18"/>
  <c r="AB34" i="18"/>
  <c r="P26" i="18"/>
  <c r="P34" i="18"/>
  <c r="V34" i="18"/>
  <c r="AH26" i="18"/>
  <c r="J10" i="18"/>
  <c r="N51" i="1"/>
  <c r="P18" i="18"/>
  <c r="AB42" i="18"/>
  <c r="V10" i="18"/>
  <c r="AB18" i="18"/>
  <c r="P42" i="18"/>
  <c r="V26" i="18"/>
  <c r="Z32" i="18"/>
  <c r="N24" i="18"/>
  <c r="AL32" i="18"/>
  <c r="AL40" i="18"/>
  <c r="N8" i="18"/>
  <c r="AF24" i="18"/>
  <c r="Z40" i="18"/>
  <c r="Z16" i="18"/>
  <c r="N32" i="18"/>
  <c r="T32" i="18"/>
  <c r="N40" i="18"/>
  <c r="T8" i="18"/>
  <c r="M43" i="1"/>
  <c r="AF32" i="18"/>
  <c r="AL8" i="18"/>
  <c r="T24" i="18"/>
  <c r="N16" i="18"/>
  <c r="T16" i="18"/>
  <c r="Z24" i="18"/>
  <c r="AF16" i="18"/>
  <c r="N43" i="1"/>
  <c r="T40" i="18"/>
  <c r="AF8" i="18"/>
  <c r="AL24" i="18"/>
  <c r="Z8" i="18"/>
  <c r="AF40" i="18"/>
  <c r="AL16" i="18"/>
  <c r="AB43" i="1" l="1"/>
  <c r="AB57" i="1"/>
  <c r="AA57" i="1" s="1"/>
  <c r="AA12" i="1"/>
  <c r="AB18" i="1"/>
  <c r="AB24" i="1"/>
  <c r="AB51" i="1"/>
  <c r="AB37" i="1"/>
  <c r="AA37" i="1" s="1"/>
  <c r="AA43" i="1" l="1"/>
  <c r="AH41" i="19" s="1"/>
  <c r="AB46" i="1"/>
  <c r="AA51" i="1"/>
  <c r="V22" i="19" s="1"/>
  <c r="AB52" i="1"/>
  <c r="AA52" i="1" s="1"/>
  <c r="AA24" i="1"/>
  <c r="J28" i="19" s="1"/>
  <c r="AA25" i="1"/>
  <c r="AA18" i="1"/>
  <c r="J47" i="19" s="1"/>
  <c r="AB19" i="1"/>
  <c r="AB20" i="1" s="1"/>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AB21" i="19"/>
  <c r="J31" i="19"/>
  <c r="AB41" i="19"/>
  <c r="AC43" i="1"/>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13" i="1"/>
  <c r="AB39" i="1"/>
  <c r="AA38" i="1"/>
  <c r="AA46" i="1"/>
  <c r="AB47" i="1"/>
  <c r="AA47" i="1" s="1"/>
  <c r="AB48" i="1"/>
  <c r="AB53" i="1"/>
  <c r="AA53" i="1" s="1"/>
  <c r="AB54" i="1"/>
  <c r="AA54" i="1" s="1"/>
  <c r="AA58" i="1"/>
  <c r="AB59" i="1"/>
  <c r="AA32" i="1"/>
  <c r="P31" i="19" l="1"/>
  <c r="J21" i="19"/>
  <c r="V11" i="19"/>
  <c r="P41" i="19"/>
  <c r="J11" i="19"/>
  <c r="J38" i="19"/>
  <c r="AH28" i="19"/>
  <c r="J18" i="19"/>
  <c r="P38" i="19"/>
  <c r="J48" i="19"/>
  <c r="AB48" i="19"/>
  <c r="AB28" i="19"/>
  <c r="J8" i="19"/>
  <c r="P18" i="19"/>
  <c r="V18" i="19"/>
  <c r="AH18" i="19"/>
  <c r="AB18" i="19"/>
  <c r="AH48" i="19"/>
  <c r="AH8" i="19"/>
  <c r="P48" i="19"/>
  <c r="AC24" i="1"/>
  <c r="V48" i="19"/>
  <c r="V8" i="19"/>
  <c r="AB8" i="19"/>
  <c r="AH38" i="19"/>
  <c r="P47" i="19"/>
  <c r="V27" i="19"/>
  <c r="P7" i="19"/>
  <c r="AH17" i="19"/>
  <c r="J7" i="19"/>
  <c r="AB17" i="19"/>
  <c r="V37" i="19"/>
  <c r="V38" i="19"/>
  <c r="P8" i="19"/>
  <c r="AB38" i="19"/>
  <c r="P28" i="19"/>
  <c r="V28" i="19"/>
  <c r="P17" i="19"/>
  <c r="AH32" i="19"/>
  <c r="AB52" i="19"/>
  <c r="J32" i="19"/>
  <c r="V12" i="19"/>
  <c r="J42" i="19"/>
  <c r="J12" i="19"/>
  <c r="J22" i="19"/>
  <c r="AB12" i="19"/>
  <c r="AC51"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6"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3" i="1"/>
  <c r="AD12" i="19"/>
  <c r="AD32" i="19"/>
  <c r="AD22" i="19"/>
  <c r="X52" i="19"/>
  <c r="AD52" i="19"/>
  <c r="L42" i="19"/>
  <c r="R42" i="19"/>
  <c r="AJ21" i="19"/>
  <c r="AD31" i="19"/>
  <c r="R21" i="19"/>
  <c r="AD41" i="19"/>
  <c r="AJ11" i="19"/>
  <c r="AJ51" i="19"/>
  <c r="AC47" i="1"/>
  <c r="L41" i="19"/>
  <c r="AD11" i="19"/>
  <c r="L21" i="19"/>
  <c r="L11" i="19"/>
  <c r="X51" i="19"/>
  <c r="X21" i="19"/>
  <c r="R11" i="19"/>
  <c r="R31" i="19"/>
  <c r="AJ41" i="19"/>
  <c r="L31" i="19"/>
  <c r="R51" i="19"/>
  <c r="X31" i="19"/>
  <c r="X11" i="19"/>
  <c r="X41" i="19"/>
  <c r="AJ31" i="19"/>
  <c r="AD51" i="19"/>
  <c r="R41" i="19"/>
  <c r="AD21" i="19"/>
  <c r="L51" i="19"/>
  <c r="AB21" i="1"/>
  <c r="AA20" i="1"/>
  <c r="AA33" i="1"/>
  <c r="AB34" i="1"/>
  <c r="AA59" i="1"/>
  <c r="AB60" i="1"/>
  <c r="K42" i="19"/>
  <c r="AC32" i="19"/>
  <c r="W42" i="19"/>
  <c r="AI52" i="19"/>
  <c r="K22" i="19"/>
  <c r="Q32" i="19"/>
  <c r="AI12" i="19"/>
  <c r="AC52" i="19"/>
  <c r="Q42" i="19"/>
  <c r="AC42" i="19"/>
  <c r="K12" i="19"/>
  <c r="Q22" i="19"/>
  <c r="W52" i="19"/>
  <c r="AI42" i="19"/>
  <c r="W32" i="19"/>
  <c r="AI22" i="19"/>
  <c r="W12" i="19"/>
  <c r="AI32" i="19"/>
  <c r="AC12" i="19"/>
  <c r="Q12" i="19"/>
  <c r="Q52" i="19"/>
  <c r="AC52"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26"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AC54" i="1"/>
  <c r="M52" i="19"/>
  <c r="S12" i="19"/>
  <c r="M32" i="19"/>
  <c r="S52" i="19"/>
  <c r="Y52" i="19"/>
  <c r="Y42" i="19"/>
  <c r="AK12" i="19"/>
  <c r="S22" i="19"/>
  <c r="AE12" i="19"/>
  <c r="Y22" i="19"/>
  <c r="S32" i="19"/>
  <c r="AK52" i="19"/>
  <c r="M22" i="19"/>
  <c r="AK32" i="19"/>
  <c r="AE22" i="19"/>
  <c r="AE42" i="19"/>
  <c r="Y32" i="19"/>
  <c r="M42" i="19"/>
  <c r="Y12" i="19"/>
  <c r="AE52" i="19"/>
  <c r="AK22" i="19"/>
  <c r="S42" i="19"/>
  <c r="AA48" i="1"/>
  <c r="AB50" i="1"/>
  <c r="AA50" i="1" s="1"/>
  <c r="AB49" i="1"/>
  <c r="AA49"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A28" i="1"/>
  <c r="AA27" i="1"/>
  <c r="AA29" i="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0"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8"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61" i="1"/>
  <c r="AB62" i="1"/>
  <c r="AA62"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<sst xmlns="http://schemas.openxmlformats.org/spreadsheetml/2006/main" count="655" uniqueCount="416">
  <si>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</si>
  <si>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</si>
  <si>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</si>
  <si>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</si>
  <si>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</si>
  <si>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</si>
  <si>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</si>
  <si>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</si>
  <si>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</si>
  <si>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</si>
  <si>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</si>
  <si>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</si>
  <si>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</si>
  <si>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</si>
  <si>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</si>
  <si>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</si>
  <si>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</si>
  <si>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</si>
  <si>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</si>
  <si>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</si>
  <si>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</si>
  <si>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</si>
  <si>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</si>
  <si>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</si>
  <si>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</si>
  <si>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</si>
  <si>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</si>
  <si>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</si>
  <si>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</si>
  <si>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</si>
  <si>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</si>
  <si>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</si>
  <si>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</si>
  <si>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</si>
  <si>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</si>
  <si>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</si>
  <si>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</si>
  <si>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</si>
  <si>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</si>
  <si>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</si>
  <si>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</si>
  <si>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</si>
  <si>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</si>
  <si>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</si>
  <si>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</si>
  <si>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</si>
  <si>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</si>
  <si>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</si>
  <si>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</si>
  <si>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</si>
  <si>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</si>
  <si>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</si>
  <si>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</si>
  <si>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</si>
  <si>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</si>
  <si>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</si>
  <si>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</si>
  <si>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</si>
  <si>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</si>
  <si>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</si>
  <si>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</si>
  <si>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</si>
  <si>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</si>
  <si>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</si>
  <si>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</si>
  <si>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</si>
  <si>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</si>
  <si>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</si>
  <si>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</si>
  <si>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</si>
  <si>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</si>
  <si>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</si>
  <si>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</si>
  <si>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</si>
  <si>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</si>
  <si>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</si>
  <si>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</si>
  <si>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</si>
  <si>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</si>
  <si>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</si>
  <si>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PLANEACIÓN Y DIRECCIONAMIENTO ESTRATÉGICO</t>
  </si>
  <si>
    <t>ALCANCE:</t>
  </si>
  <si>
    <t>Inicia con la planificación de actividades referentes a: Identificación de líneas base y diagnósticos para la formulación y desarrollo de planes, programas y proyectos institucionales, el establecimiento de políticas públicas, la formulación y actualización de planes, programas y proyectos, la planificación y desarrollo del Plan de Ordenamiento Territorial-POT; continúa con la aprobación de planes parciales o de implantación, la Caracterización de la población registrada en el SISBEN, la revisión general de estratificación socioeconómica urbana y rural, la asesoría, acompañamiento, seguimiento, monitoreo y cumplimiento del Plan de Desarrollo Municipal, la emisión de conceptos de uso de suelo, expedición de permisos de intervención y certificaciones de estratificación, legalización de asentamientos humanos, y la elaboración y presentación de informes de seguimiento y su retroalimentación a todos los procesos, y finaliza con el tratamiento de Acciones Correctivas, Preventivas y de Mejora, y Planes de Mejoramiento planteados y/o actualizados</t>
  </si>
  <si>
    <t>CONTEXTO ESTRATÉGICO</t>
  </si>
  <si>
    <t>OBJETIVOS ESTRATÉGICOS</t>
  </si>
  <si>
    <t>OBJETIVO DEL PROCESO</t>
  </si>
  <si>
    <t>PLANEACIÓN INSTITUCIONAL</t>
  </si>
  <si>
    <t>PUNTOS DE RIESGO EN LA CADENA DE VALOR</t>
  </si>
  <si>
    <t>TERRITORIO SEGURO QUE PROGRESA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</si>
  <si>
    <t>Dirigir, formular, coordinar y ejecutar los planes, programas y proyectos de la Administración Municipal, acorde a los lineamientos nacionales,Departamentales y municipales y a las necesidades identificadas de la comunidad, para contribuir con el bienestar y el progreso de los ciudadanos con sostenibilidad social, económica, urbana y ambiental.</t>
  </si>
  <si>
    <t>Plan Desarrollo Municipal 
Plan de Ordenamiento Territorial
Plan Anticorrupción
Planes de trabajo del MIPG</t>
  </si>
  <si>
    <t>Formulación de planes, programas, y proyectos y seguimiento a planes institucionales.</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</si>
  <si>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</si>
  <si>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MATRIZ DOFA</t>
  </si>
  <si>
    <t>DEBILIDADES</t>
  </si>
  <si>
    <t>AMENAZAS</t>
  </si>
  <si>
    <t>Insuficiente Recurso Humano para cumplir eficientemente los procesos y procedimientos de la dependencia</t>
  </si>
  <si>
    <t>Crecimiento desproporcionado de las actividades económicas sin control del uso del suelo</t>
  </si>
  <si>
    <t>Infraestructura inadecuada en cuanto a requerimientos, condiciones y distribución de áreas para el desarrollo de labores.</t>
  </si>
  <si>
    <t>Desconocimiento de las competencias de la secretaria de planeación por parte de la ciudadanía.</t>
  </si>
  <si>
    <t>Tecnología desactualizada e insuficiente que dificulta la ejecución efectiva de las funciones.</t>
  </si>
  <si>
    <t>Incremento de la presencia de los asentamientos subnormales en zonas urbanes y rurales.</t>
  </si>
  <si>
    <t>Procesos y procedimientos desactualizados frente a las normativas que competen a la dependencia</t>
  </si>
  <si>
    <t>Desventaja respecto a las demás ciudades capitales a Nivel Nacional por la estructura administrativa de la dependencia.</t>
  </si>
  <si>
    <t>Inexistencia de un programa de formación, respecto a habilidades blandas y duras, idóneo para el personal de nuevo ingreso</t>
  </si>
  <si>
    <t>Falta de Credibilidad y confianza en la institucionalidad que conlleva en la apatía de la participación de la comunidad</t>
  </si>
  <si>
    <t>Desarticulación en la misionalidad y prospectiva de la Secretaría de Planeación</t>
  </si>
  <si>
    <t xml:space="preserve">Incumplimiento de la legalidad de la norma </t>
  </si>
  <si>
    <t>Contratación tardía y discontinua de los profesionales de equipos de apoyo (contratistas).</t>
  </si>
  <si>
    <t>Regulaciones ambientales más estrictas:</t>
  </si>
  <si>
    <t>Ausencia del enfoque basado en evidencias para la toma de decisiones</t>
  </si>
  <si>
    <t xml:space="preserve">Imagen reputacional </t>
  </si>
  <si>
    <t xml:space="preserve">Procesos ineficientes que generan altos niveles de residuos organicos einorganicos </t>
  </si>
  <si>
    <t xml:space="preserve">Desastres climáticos que dañan la infraestructura energética </t>
  </si>
  <si>
    <t>Alta inversión inicial en energías renovables.</t>
  </si>
  <si>
    <t xml:space="preserve">Disminución de los ingreses del ente territorial que impide la inversion en tecnologias sostenibles </t>
  </si>
  <si>
    <t>Riesgos asociados con la infraestructura energética vulnerable a desastres climáticos.</t>
  </si>
  <si>
    <t xml:space="preserve">Contaminacion generada por el parque automotor de propiedad del ente. </t>
  </si>
  <si>
    <t>FORTALEZAS</t>
  </si>
  <si>
    <t>OPORTUNIDADES</t>
  </si>
  <si>
    <t>Personal de planta comprometido y competente para el desarrollo de las actividades.</t>
  </si>
  <si>
    <t>Visibilidad a nivel internacional y nacional debido a las buenas prácticas de gestión</t>
  </si>
  <si>
    <t>Alto grado de calificación en el servicio ofrecido (Índice de Desempeño Institucional de ciudades capitales a nivel Nacional 2°).</t>
  </si>
  <si>
    <t>Prioridad sobre los conceptos técnicos en la toma de decisiones.</t>
  </si>
  <si>
    <t>Equipo con Experiencia en los temas que competen en la dependencia.</t>
  </si>
  <si>
    <t>Gestión de desarrollo sostenible con el fin de planear y proyectar una ciudad resiliente y más competitiva, acorde a tendencias internacionales.</t>
  </si>
  <si>
    <t>Procesos desarrollados con credibilidad y confianza de cara a la comunidad</t>
  </si>
  <si>
    <t>Gestión de proyectos ante fuentes externas a nivel nacional e internacional.</t>
  </si>
  <si>
    <t>Estrategias de habilidades blandas implementadas.</t>
  </si>
  <si>
    <t>Premios y reconocimientos de gestión a nivel nacional e internacional.</t>
  </si>
  <si>
    <t>Conocimiento de las características y potencialidades del territorio</t>
  </si>
  <si>
    <t>Zonas de  potencial desarrollo  para proyectos relacionados con los instrumentos de planificación del territorio</t>
  </si>
  <si>
    <t>Liderazgo y expertica técnica en la planeación del territorio</t>
  </si>
  <si>
    <t>Gestión de proyectos urbanísticos que benefician al municipio.</t>
  </si>
  <si>
    <t>Disponibilidad  de información para la toma de decisiones, asociado al territorio.</t>
  </si>
  <si>
    <t>Suelos no urbanizados de expansión con potencial para desarrollar.</t>
  </si>
  <si>
    <t>Implementacion  sobre el uso correcto de  punto ecologico norma Resolución 2184 del 2019</t>
  </si>
  <si>
    <t>Gestión de nuevas fuentes de generación de ingresos municipales. (Ejemplo: plusvalía)</t>
  </si>
  <si>
    <t>Programas de formación y sensibilización</t>
  </si>
  <si>
    <t>Intercambio de experiencias exitosas para el posicionamiento de la ciudad.</t>
  </si>
  <si>
    <t xml:space="preserve">Inversiones en energías renovables </t>
  </si>
  <si>
    <t>Demanda global creciente de energía renovable.</t>
  </si>
  <si>
    <t>Mejora en la eficiencia energética.</t>
  </si>
  <si>
    <t xml:space="preserve">Politica nacional para adactacion y mitigacion del cambio climatico </t>
  </si>
  <si>
    <t>Disposicion final de residuos contaminantes conforme a los requisitos establecidos en los procesos de contratación de bienes de consumo (Toneres, consumibles digitales)</t>
  </si>
  <si>
    <t>Implementacion de nuevas tecnologias para  desarrollar soluciones más eficientes para la gestión de residuos</t>
  </si>
  <si>
    <t>Alianzas con empresas tecnológicas para la transición energética.</t>
  </si>
  <si>
    <t xml:space="preserve">Repotenciación del parque automotor con energias sostenibles </t>
  </si>
  <si>
    <t xml:space="preserve">Disminución del gasto por concepto de pagos de consumo de energia convencional </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</si>
  <si>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</si>
  <si>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</si>
  <si>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</si>
  <si>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</si>
  <si>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</si>
  <si>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</si>
  <si>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</si>
  <si>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</si>
  <si>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Matriz Mapa Riesgos de Gestión 2025</t>
  </si>
  <si>
    <t>Proceso:</t>
  </si>
  <si>
    <t>Objetivo:</t>
  </si>
  <si>
    <t>Dirigir, formular, coordinar y ejecutar los planes, programas y proyectos de la administración municipal, acorde a los lineamientos nacionales, departamentales y necesidades identificadas de la comunidad, para contribuir con el bienestar y el progreso de los ciudadanos con sostenibilidad social, económica, urbana y ambiental.</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</si>
  <si>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</si>
  <si>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</si>
  <si>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</si>
  <si>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</si>
  <si>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</si>
  <si>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</si>
  <si>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</si>
  <si>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</si>
  <si>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</si>
  <si>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</si>
  <si>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</si>
  <si>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</si>
  <si>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</si>
  <si>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</si>
  <si>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</si>
  <si>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</si>
  <si>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</si>
  <si>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</si>
  <si>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</si>
  <si>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</si>
  <si>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</si>
  <si>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</si>
  <si>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</si>
  <si>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</si>
  <si>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</si>
  <si>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</si>
  <si>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</si>
  <si>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</si>
  <si>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</si>
  <si>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 xml:space="preserve">Investigaciones y sanciones  por entes de control </t>
  </si>
  <si>
    <t>Posibilidad de afectación reputacional por posibles investigaciones y sanciones disciplinarias por entes de control, debido a la falta de seguimiento al cumplimiento de metas del Plan de Desarrollo Municipal programadas para la vigencia</t>
  </si>
  <si>
    <t>Ejecucion y Administracion de procesos</t>
  </si>
  <si>
    <t xml:space="preserve">     El riesgo afecta la imagen de de la entidad con efecto publicitario sostenido a nivel de sector administrativo, nivel departamental o municipal</t>
  </si>
  <si>
    <t>El profesional especializado de la Secretaría de Planeación, realiza seguimiento al Plan de Desarrollo Municipal 2024-2027, con el objetivo de verificar el avance en el cumplimiento físico de las metas y/o ejecución de recursos financieros, siguiendo los lineamientos del orden nacional y normas vigentes.</t>
  </si>
  <si>
    <t>Preventivo</t>
  </si>
  <si>
    <t>Manual</t>
  </si>
  <si>
    <t>Documentado</t>
  </si>
  <si>
    <t>Continua</t>
  </si>
  <si>
    <t>Con Registro</t>
  </si>
  <si>
    <t>Reducir (mitigar)</t>
  </si>
  <si>
    <t>Realizar seguimiento trimestral al Plan de Desarrollo Municipal para verificar el avance en el cumplimiento físico de metas y ejecución de recursos financieros</t>
  </si>
  <si>
    <t>Secretario de Planeación
Profesional Especializado</t>
  </si>
  <si>
    <t>Informe de seguimiento (4)</t>
  </si>
  <si>
    <t>Económico</t>
  </si>
  <si>
    <t>Investigaciones disciplinarias y sanciones por entes de control</t>
  </si>
  <si>
    <t xml:space="preserve">Incumplimiento de requisitos mínimos en la presentación de proyectos de inversión por parte de las oficinas gestoras. </t>
  </si>
  <si>
    <t>Posibilidad de afectación económica por investigaciones disciplinarias y sanciones por entes de control debido al incumplimiento de requisitos mínimos en la presentación de proyectos de inversión por parte de las oficinas gestoras</t>
  </si>
  <si>
    <t xml:space="preserve">     Entre 10 y 50 SMLMV </t>
  </si>
  <si>
    <t>El profesional del Banco de Proyectos, realiza la revisión técnico - documental del proyecto de inversión, verificando el cumplimiento de los requisitos sectoriales (Ley 2056 de 2020, Decreto reglamentario 1821 de 2020, acuerdo 012 de 2024, orientaciones transitorias y demás normas) y descritos en el formato F-DPM-10100-238,37-016 Ficha de verificación de requisitos.</t>
  </si>
  <si>
    <t>Realizar una socialización sobre los lineamientos en la formulación y seguimiento en proyectos de inversión</t>
  </si>
  <si>
    <t>Profesional universitario Banco de Proyectos</t>
  </si>
  <si>
    <t>Convocatoria, control de asistencia y presentación</t>
  </si>
  <si>
    <t>El profesional con el rol de formulador, verifica los requisitos y viabilidad metodológica de proyectos en la plataforma integrada de inversión pública - PIIP</t>
  </si>
  <si>
    <t>Expedir el 100% de las certificaciones del Banco de Proyectos, una vez realizado el proceso de registros y ajustes de los proyectos de inversión radicados</t>
  </si>
  <si>
    <t>Certificación semestral de los proyectos radicados y viabilizados (2)</t>
  </si>
  <si>
    <t>El profesional con el rol de gestor de proyectos verifica la información registrada del avance (físico y financiero) del proyecto a través de la plataforma integrada de inversión pública - PIIP</t>
  </si>
  <si>
    <t>Realizar seguimiento semestral a la información registrada del avance (físico y financiero) del proyecto a través de la plataforma integrada de inversión pública - PIIP</t>
  </si>
  <si>
    <t>Profesional especializado Banco de Proyectos</t>
  </si>
  <si>
    <t>Actas de reunión semestral con todas las secretarías</t>
  </si>
  <si>
    <t>debilidades en el seguimiento y control a la  ejecución de proyectos de presupuestos participativos</t>
  </si>
  <si>
    <t>Posibilidad de afectación económica y reputacional por investigaciones disciplinarias y sanciones por entes de control debido a las debilidades en el seguimiento y control a la  ejecución de proyectos de presupuestos participativos</t>
  </si>
  <si>
    <t xml:space="preserve">     Entre 100 y 500 SMLMV </t>
  </si>
  <si>
    <t>Los profesionales del equipo facilitador de Presupuestos Participativos verifican el estado de avance físico y presupuestal a la ejecución del proyecto mediante la herramienta de seguimiento y control de la Estrategia de Presupuestos Participativos de la administración municipal</t>
  </si>
  <si>
    <t>Realizar seguimiento semestral al cumplimiento a la ejecución de la Estrategia de Presupuestos Participativos de la administración municipal de acuerdo con la herramienta elaborada por el equipo de Presupuestos Participativos</t>
  </si>
  <si>
    <t>Profesional de Presupuestos Participativos</t>
  </si>
  <si>
    <t>Matriz de seguimiento (2)</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</si>
  <si>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</si>
  <si>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El profesional del área de Estratificación revisa y actualiza la información catastral de los predios urbanos y rurales del municipio, teniendo en cuenta la información remitida por parte del ente catastral de acuerdo con la normatividad vigente</t>
  </si>
  <si>
    <t>Mayor</t>
  </si>
  <si>
    <t xml:space="preserve">Realizar y radicar una (1) solicitud semestral a la autoridad catastral sobre la necesidad de la entrega oportuna de la información actualizada de los predios urbanos y rurales del municipio </t>
  </si>
  <si>
    <t>Secretario de Planeación y Profesional Área de Estratificación</t>
  </si>
  <si>
    <t>Solicitudes radicadas (2)</t>
  </si>
  <si>
    <t>Revisar, actualizar y remitir a la Secretaría de Hacienda la base de datos de acuerdo con las novedades que se presenten</t>
  </si>
  <si>
    <t>Profesional universitario GES</t>
  </si>
  <si>
    <t>Oficio de entrega de base de datos actualizada (1)</t>
  </si>
  <si>
    <t>El profesional del área de Estratificación revisa e informa el plazo de vencimiento del programa de la licencia del aplicativo utilizado para actualizar la información catastral, a través de oficio al ordenador del gasto</t>
  </si>
  <si>
    <t>Elaborar un oficio con termino de 3 meses antes del vencimiento del proceso contractual de la licencia</t>
  </si>
  <si>
    <t>Oficio remitido (1)</t>
  </si>
  <si>
    <t>Reputacional</t>
  </si>
  <si>
    <t>inconsistencias de la información registrada en la encuesta socioeconomica del SISBEN</t>
  </si>
  <si>
    <t>falta de claridad por parte del personal del área  SISBEN en cuanto a los conceptos técnicos y normativos establecidos en el Decreto 441 de marzo de 2017 del DNP y normas que lo complementen y/o modifiquen</t>
  </si>
  <si>
    <t>Posibilidad de afectación reputacional, por inconsistencias de la información registrada en la encuesta socioeconómica del SISBEN, debido a la falta de claridad por parte del personal del área  SISBEN en cuanto a los conceptos técnicos y normativos establecidos en el Decreto 441 de marzo de 2017 del DNP y normas que lo complementen y/o modifiquen</t>
  </si>
  <si>
    <t xml:space="preserve">     El riesgo afecta la imagen de la entidad con algunos usuarios de relevancia frente al logro de los objetivos</t>
  </si>
  <si>
    <t xml:space="preserve">El profesional responsable del área SISBEN verifica que el personal adscrito, esté capacitado en cuanto a los conceptos técnicos y normativos establecidos en el Decreto 441 de marzo de 2017 del DNP y normas que lo complemente y/o modifiquen </t>
  </si>
  <si>
    <t xml:space="preserve">Realizar seguimiento semestral a las socializaciones desarrolladas al 100% del personal adscrito al SISBEN del PROCEDIMIENTO PARA ENCUESTA-ACTUALIZACIÓN-INCLUSIÓN Y RETIRO EN LA BASE DE DATOS DEL SISBEN P-DPM-10400-170-007 </t>
  </si>
  <si>
    <t>Profesional responsable Sisben</t>
  </si>
  <si>
    <t>Informe de socializaciones realizadas en el semestre (2)</t>
  </si>
  <si>
    <t xml:space="preserve"> investigaciones y sanciones disciplinarias por entes de control</t>
  </si>
  <si>
    <t xml:space="preserve">incumplimiento de la Ley 594 del 2000 en los documentos generados por la Secretaría de Planeación </t>
  </si>
  <si>
    <t xml:space="preserve">Posibilidad de afectación reputacional por posibles investigaciones y sanciones disciplinarias por entes de control, debido al incumplimiento de la Ley 594 del 2000 en los documentos generados por la Secretaría de Planeación </t>
  </si>
  <si>
    <t>El área de archivo de la Secretaría de Planeación encargada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</si>
  <si>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50% de las Transferencias documentales primarias de la Secretaría de Planeación en los tiempos establecidos en el cronograma para la vigencia que aplique la tabla de retención documental vigentes</t>
  </si>
  <si>
    <t>Servidores públicos y contratistas</t>
  </si>
  <si>
    <t>Acta de transferencia documental F-GDO-8600-238,37-022</t>
  </si>
  <si>
    <t>Organizar el 40% de los expedientes producidos por la Secretaría de Planeación</t>
  </si>
  <si>
    <t xml:space="preserve">Informe de seguimiento a la organización documental F-GDO-8600-238,37-033 </t>
  </si>
  <si>
    <t>Elaborar el 40% de los inventarios documentales de los archivos producidos por la Secretaría de Planeación</t>
  </si>
  <si>
    <t>Inventarios documentales F-GDO-8600-238,37-003</t>
  </si>
  <si>
    <t xml:space="preserve">sanciones e investigaciones disciplinarias de entes de control y deficiente inversión de los recursos en la Administración Central </t>
  </si>
  <si>
    <t>debilidades en la planeación al momento de realizar la contratación sin tener en cuenta los tiempos de la ejecución del mismo, constituyendo reservas presupuestales</t>
  </si>
  <si>
    <t>Posibilidad de afectación económica y reputacional por sanciones e investigaciones disciplinarias de entes de control y deficiente inversión de los recursos en la Administración Central debido a debilidades en la planeación al momento de realizar la contratación sin tener en cuenta los tiempos de la ejecución del mismo, constituyendo reservas presupuestales</t>
  </si>
  <si>
    <t>La Secretaria de Planeación, supervisores, el profesional líder de contratación y el profesional encargado de presupuesto en la Secretaría de Planeación,  realizaran el seguimiento al presupuesto en materia de contratación, conforme al principio de planeación con el fin de evitar la constitución de reservas presupuestales a través del sistema financiero</t>
  </si>
  <si>
    <t>Realizar reunión de trabajo trimestral de seguimiento, liderada por la Secretaria de despacho a fin de revisar el estado de saldos pendientes de pago de las reservas presupuestales emitido por la Secretaría de Hacienda</t>
  </si>
  <si>
    <t>Secretaria de Planeación</t>
  </si>
  <si>
    <t>Acta de reunión (3)</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</si>
  <si>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</si>
  <si>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</si>
  <si>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</si>
  <si>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La Secretaria de Planeación, supervisores y el profesional encargado de presupuesto de la Secretaría de Planeación, identificaran los pasivos exigibles y/o vigencias expiradas de la Secretaría de Planeación, y mediante seguimientos realizaran la respectiva acción de depuración acorde a la normatividad vigente</t>
  </si>
  <si>
    <t>Realizar reunión de trabajo trimestral de seguimiento, liderada por la Secretaria de despacho a fin de revisar el estado de los pasivos exigibles emitido por la Secretaría de Hacienda</t>
  </si>
  <si>
    <t>Secretaria de Planeación
Supervisores
Profesional encargada presupuesto</t>
  </si>
  <si>
    <t xml:space="preserve">Actas de reunión (3) </t>
  </si>
  <si>
    <t>Posibilidad de afectación reputacional por posibles investigaciones y sanciones por entes de control debido al incumplimiento legal y contractual por pago irregular de anticipos conforme al clausulado del contrato</t>
  </si>
  <si>
    <t xml:space="preserve">     Entre 50 y 100 SMLMV </t>
  </si>
  <si>
    <t>El profesional de contratación estructurará los estudios previos y pliegos de condiciones que permita la adecuada planeación de la forma de pago de dineros a titulo de anticipo pactada en el clausulado de los contratos que se celebren</t>
  </si>
  <si>
    <t>Establecer en el 100% de los estudios previos y pliego de condiciones la forma en que se entregará el pago de dineros a título de anticipo</t>
  </si>
  <si>
    <t>Secretaria de Planeación
Profesional de contratación</t>
  </si>
  <si>
    <t xml:space="preserve">Estudios previos </t>
  </si>
  <si>
    <t>Investigaciones disciplinarias por la autoridad competente</t>
  </si>
  <si>
    <t xml:space="preserve">incumplimiento de la Ley 1712 del 2014 y Resolucion 1519 de 2020 de MINTIC respecto a la obligación de publicación de información en la página web institucional </t>
  </si>
  <si>
    <t>Posibilidad de afectación reputacional por posibles investigaciones disciplinarias por la autoridad competente, debido al incumplimiento en la aplicación de la Ley 1712 del 2014 y Resolución 1519 de 2020 de MINTIC respecto a la obligación en la publicación de información en la página web institucional</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</si>
  <si>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</si>
  <si>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Secretaría de Planeación, de acuerdo con los estándares establecidos en la Resolución 1519 de 2020</t>
  </si>
  <si>
    <t>Lider de proceso y profesional asignado</t>
  </si>
  <si>
    <t>Solicitudes de publicación enviados al área TIC</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</si>
  <si>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</si>
  <si>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</si>
  <si>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 xml:space="preserve">La profesional encargada revisa las acciones correctivas establecidas y plasmadas en los Planes de Mejoramiento de auditorías internas suscritos, a través de seguimientos con los responsables de su cumplimiento </t>
  </si>
  <si>
    <t>Realizar  un seguimiento  semestral a las acciones establecidas en los Planes de Mejoramiento de auditorías internas suscritos</t>
  </si>
  <si>
    <t>Lider de proceso y
Profesional encargada</t>
  </si>
  <si>
    <t>Actas de seguimiento (2)</t>
  </si>
  <si>
    <t>pérdida de confianza y credibilidad en la entidad</t>
  </si>
  <si>
    <t>falta de conocimiento sobre el proceso de legalización de asentamientos informales en el municipio y su acompañamiento por parte de la administración</t>
  </si>
  <si>
    <t>Posibilidad de afectación reputacional por pérdida de confianza y credibilidad en la entidad, debido a la falta de conocimiento sobre el proceso de legalización de asentamientos informales en el municipio y su acompañamiento por parte de la administración</t>
  </si>
  <si>
    <t>El profesional encargado revisa las bases de datos consolidadas de los asentamientos informales ubicados en el municipio y programa mesas de trabajo a fin de brindar orientación a la comunidad sobre el proceso</t>
  </si>
  <si>
    <t xml:space="preserve">Realizar una socialización o mesa de trabajo trimestral, con las comunidades que lo solicite o que se proyecten por parte del equipo de legalización, a fin de brindar orientación a la comunidad sobre el proceso </t>
  </si>
  <si>
    <t>Actas de reunión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</si>
  <si>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</si>
  <si>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</si>
  <si>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</si>
  <si>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</si>
  <si>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</si>
  <si>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</si>
  <si>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</si>
  <si>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</si>
  <si>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</si>
  <si>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</si>
  <si>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</si>
  <si>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</si>
  <si>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</si>
  <si>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</si>
  <si>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</si>
  <si>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</si>
  <si>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</si>
  <si>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</si>
  <si>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</si>
  <si>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</si>
  <si>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</si>
  <si>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</si>
  <si>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</si>
  <si>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</si>
  <si>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</si>
  <si>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</si>
  <si>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</si>
  <si>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</si>
  <si>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</si>
  <si>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</si>
  <si>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</si>
  <si>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</si>
  <si>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</si>
  <si>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</si>
  <si>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</si>
  <si>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</si>
  <si>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</si>
  <si>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</si>
  <si>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</si>
  <si>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</si>
  <si>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</si>
  <si>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</si>
  <si>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</si>
  <si>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</si>
  <si>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</si>
  <si>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</si>
  <si>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</si>
  <si>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</si>
  <si>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</si>
  <si>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</si>
  <si>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</si>
  <si>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</si>
  <si>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</si>
  <si>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</si>
  <si>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</si>
  <si>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</si>
  <si>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</si>
  <si>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</si>
  <si>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</si>
  <si>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</si>
  <si>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</si>
  <si>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</si>
  <si>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</si>
  <si>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</si>
  <si>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</si>
  <si>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</si>
  <si>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</si>
  <si>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</si>
  <si>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</si>
  <si>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</si>
  <si>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</si>
  <si>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</si>
  <si>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</si>
  <si>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</si>
  <si>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</si>
  <si>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</si>
  <si>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</si>
  <si>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</si>
  <si>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</si>
  <si>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</si>
  <si>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</si>
  <si>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</si>
  <si>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</si>
  <si>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</si>
  <si>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</si>
  <si>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</si>
  <si>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</si>
  <si>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</si>
  <si>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</si>
  <si>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</si>
  <si>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</si>
  <si>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</si>
  <si>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</si>
  <si>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</si>
  <si>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</si>
  <si>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</si>
  <si>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</si>
  <si>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</si>
  <si>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</si>
  <si>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</si>
  <si>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</si>
  <si>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</si>
  <si>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</si>
  <si>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</si>
  <si>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</si>
  <si>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</si>
  <si>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</si>
  <si>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</si>
  <si>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</si>
  <si>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</si>
  <si>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</si>
  <si>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</si>
  <si>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incumplimiento de las acciones correctivas en los tiempos estipulados y plasmados en los Planes de Mejoramiento de auditorías internas, suscritos</t>
  </si>
  <si>
    <t>incumplimiento legal y contractual de pago irregular de anticipos conforme al clausulado del contrato</t>
  </si>
  <si>
    <t>desactualización de la información catastral básica para mantener los procesos de  actualización de estratos a nivel urbano y rural del municipio</t>
  </si>
  <si>
    <t>falta de seguimiento al cumplimiento de metas del Plan de Desarrollo Municipal programadas para la vigencia</t>
  </si>
  <si>
    <t>investigaciones y sanciones disciplinarias por entes de control</t>
  </si>
  <si>
    <t xml:space="preserve"> investigaciones disciplinarias y sanciones por entes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</si>
</sst>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color rgb="FF00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s>
  <borders count="14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style="dashed">
        <color theme="9" tint="-0.249977111117893"/>
      </top>
      <bottom/>
      <diagonal/>
    </border>
    <border>
      <left/>
      <right/>
      <top/>
      <bottom style="dashed">
        <color theme="9" tint="-0.249977111117893"/>
      </bottom>
      <diagonal/>
    </border>
    <border>
      <left/>
      <right/>
      <top style="dashed">
        <color theme="9" tint="-0.249977111117893"/>
      </top>
      <bottom style="dashed">
        <color theme="9" tint="-0.249977111117893"/>
      </bottom>
      <diagonal/>
    </border>
    <border>
      <left/>
      <right/>
      <top style="thin">
        <color indexed="64"/>
      </top>
      <bottom style="dashed">
        <color theme="9" tint="-0.249977111117893"/>
      </bottom>
      <diagonal/>
    </border>
    <border>
      <left/>
      <right style="dashed">
        <color theme="9" tint="-0.249977111117893"/>
      </right>
      <top style="thin">
        <color indexed="64"/>
      </top>
      <bottom/>
      <diagonal/>
    </border>
    <border>
      <left/>
      <right style="dashed">
        <color theme="9" tint="-0.249977111117893"/>
      </right>
      <top/>
      <bottom/>
      <diagonal/>
    </border>
    <border>
      <left/>
      <right style="dashed">
        <color theme="9" tint="-0.249977111117893"/>
      </right>
      <top/>
      <bottom style="dashed">
        <color theme="9" tint="-0.249977111117893"/>
      </bottom>
      <diagonal/>
    </border>
    <border>
      <left style="dashed">
        <color theme="9" tint="-0.249977111117893"/>
      </left>
      <right/>
      <top style="dashed">
        <color theme="9" tint="-0.249977111117893"/>
      </top>
      <bottom style="dashed">
        <color theme="9" tint="-0.249977111117893"/>
      </bottom>
      <diagonal/>
    </border>
    <border>
      <left/>
      <right style="dashed">
        <color theme="9" tint="-0.249977111117893"/>
      </right>
      <top style="dashed">
        <color theme="9" tint="-0.249977111117893"/>
      </top>
      <bottom style="dashed">
        <color theme="9" tint="-0.249977111117893"/>
      </bottom>
      <diagonal/>
    </border>
    <border>
      <left style="dashed">
        <color theme="9" tint="-0.249977111117893"/>
      </left>
      <right/>
      <top style="thin">
        <color indexed="64"/>
      </top>
      <bottom style="dashed">
        <color theme="9" tint="-0.249977111117893"/>
      </bottom>
      <diagonal/>
    </border>
    <border>
      <left/>
      <right style="dashed">
        <color theme="9" tint="-0.249977111117893"/>
      </right>
      <top style="thin">
        <color indexed="64"/>
      </top>
      <bottom style="dashed">
        <color theme="9" tint="-0.249977111117893"/>
      </bottom>
      <diagonal/>
    </border>
    <border>
      <left style="dashed">
        <color theme="9" tint="-0.249977111117893"/>
      </left>
      <right/>
      <top/>
      <bottom/>
      <diagonal/>
    </border>
    <border>
      <left style="dashed">
        <color theme="9" tint="-0.249977111117893"/>
      </left>
      <right/>
      <top style="thin">
        <color indexed="64"/>
      </top>
      <bottom/>
      <diagonal/>
    </border>
    <border>
      <left style="dashed">
        <color theme="9" tint="-0.249977111117893"/>
      </left>
      <right/>
      <top/>
      <bottom style="dashed">
        <color theme="9" tint="-0.249977111117893"/>
      </bottom>
      <diagonal/>
    </border>
    <border>
      <left style="dashed">
        <color rgb="FFE26B0A"/>
      </left>
      <right style="dashed">
        <color rgb="FFE26B0A"/>
      </right>
      <top style="dashed">
        <color rgb="FFE26B0A"/>
      </top>
      <bottom style="dashed">
        <color rgb="FFE26B0A"/>
      </bottom>
      <diagonal/>
    </border>
    <border>
      <left style="thin">
        <color indexed="64"/>
      </left>
      <right/>
      <top style="medium">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2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textRotation="90"/>
      <protection hidden="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2" fillId="0" borderId="0" xfId="0" applyFont="1"/>
    <xf numFmtId="0" fontId="67" fillId="16" borderId="0" xfId="0" applyFont="1" applyFill="1" applyAlignment="1">
      <alignment horizontal="left" vertical="top" wrapText="1"/>
    </xf>
    <xf numFmtId="0" fontId="67" fillId="16" borderId="0" xfId="0" applyFont="1" applyFill="1" applyAlignment="1">
      <alignment wrapText="1"/>
    </xf>
    <xf numFmtId="0" fontId="70" fillId="17" borderId="96" xfId="0" applyFont="1" applyFill="1" applyBorder="1" applyAlignment="1">
      <alignment horizontal="left" vertical="center" wrapText="1" indent="1"/>
    </xf>
    <xf numFmtId="0" fontId="71" fillId="17" borderId="105"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2" fillId="0" borderId="32" xfId="0" applyFont="1" applyBorder="1" applyAlignment="1">
      <alignment horizontal="center" vertical="center"/>
    </xf>
    <xf numFmtId="14" fontId="62" fillId="0" borderId="32" xfId="0" applyNumberFormat="1" applyFont="1" applyBorder="1" applyAlignment="1">
      <alignment horizontal="center" vertical="center"/>
    </xf>
    <xf numFmtId="0" fontId="62" fillId="0" borderId="32" xfId="0" applyFont="1" applyBorder="1" applyAlignment="1">
      <alignment horizontal="center" vertical="center" wrapText="1"/>
    </xf>
    <xf numFmtId="0" fontId="66" fillId="0" borderId="113" xfId="0" applyFont="1" applyBorder="1" applyAlignment="1">
      <alignment horizontal="center"/>
    </xf>
    <xf numFmtId="0" fontId="48" fillId="3" borderId="94" xfId="0" applyFont="1" applyFill="1" applyBorder="1" applyAlignment="1">
      <alignment vertical="center" wrapText="1"/>
    </xf>
    <xf numFmtId="0" fontId="70" fillId="17" borderId="40" xfId="0" applyFont="1" applyFill="1" applyBorder="1" applyAlignment="1">
      <alignment horizontal="left" vertical="center" wrapText="1" indent="1"/>
    </xf>
    <xf numFmtId="0" fontId="1" fillId="3" borderId="115" xfId="0" applyFont="1" applyFill="1" applyBorder="1"/>
    <xf numFmtId="0" fontId="1" fillId="3" borderId="126" xfId="0" applyFont="1" applyFill="1" applyBorder="1"/>
    <xf numFmtId="0" fontId="3" fillId="3" borderId="129" xfId="0" applyFont="1" applyFill="1" applyBorder="1" applyAlignment="1">
      <alignment horizontal="justify" vertical="center" wrapText="1"/>
    </xf>
    <xf numFmtId="0" fontId="50" fillId="0" borderId="2" xfId="0" applyFont="1" applyBorder="1" applyAlignment="1" applyProtection="1">
      <alignment horizontal="justify" vertical="center" wrapText="1"/>
      <protection locked="0"/>
    </xf>
    <xf numFmtId="14" fontId="50" fillId="0" borderId="2" xfId="0" applyNumberFormat="1" applyFont="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6" fillId="3" borderId="10" xfId="0" applyFont="1" applyFill="1" applyBorder="1" applyAlignment="1" applyProtection="1">
      <alignment horizontal="justify" vertical="center" wrapText="1"/>
      <protection locked="0"/>
    </xf>
    <xf numFmtId="0" fontId="6" fillId="0" borderId="10" xfId="0" applyFont="1" applyBorder="1" applyAlignment="1" applyProtection="1">
      <alignment horizontal="center" vertical="center" wrapText="1"/>
      <protection locked="0"/>
    </xf>
    <xf numFmtId="0" fontId="50" fillId="3" borderId="2" xfId="0" applyFont="1" applyFill="1" applyBorder="1" applyAlignment="1" applyProtection="1">
      <alignment horizontal="justify" vertical="center" wrapText="1"/>
      <protection locked="0"/>
    </xf>
    <xf numFmtId="0" fontId="1" fillId="0" borderId="4" xfId="0" applyFont="1" applyBorder="1" applyAlignment="1" applyProtection="1">
      <alignment horizontal="center" textRotation="90"/>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top" textRotation="90"/>
      <protection locked="0"/>
    </xf>
    <xf numFmtId="164" fontId="1" fillId="0" borderId="10" xfId="1" applyNumberFormat="1" applyFont="1" applyBorder="1" applyAlignment="1">
      <alignment horizontal="center" vertical="top"/>
    </xf>
    <xf numFmtId="9" fontId="1" fillId="0" borderId="29" xfId="0" applyNumberFormat="1" applyFont="1" applyBorder="1" applyAlignment="1" applyProtection="1">
      <alignment horizontal="center" vertical="top"/>
      <protection hidden="1"/>
    </xf>
    <xf numFmtId="0" fontId="1" fillId="0" borderId="2" xfId="0" applyFont="1" applyBorder="1" applyAlignment="1" applyProtection="1">
      <alignment horizontal="center" vertical="center" wrapText="1"/>
      <protection locked="0"/>
    </xf>
    <xf numFmtId="14" fontId="6" fillId="3" borderId="2" xfId="0" applyNumberFormat="1" applyFont="1" applyFill="1" applyBorder="1" applyAlignment="1" applyProtection="1">
      <alignment horizontal="center" vertical="center"/>
      <protection locked="0"/>
    </xf>
    <xf numFmtId="9" fontId="1" fillId="0" borderId="8" xfId="0" applyNumberFormat="1" applyFont="1" applyBorder="1" applyAlignment="1" applyProtection="1">
      <alignment horizontal="center" vertical="center" wrapText="1"/>
      <protection hidden="1"/>
    </xf>
    <xf numFmtId="14" fontId="6" fillId="3" borderId="10" xfId="0" applyNumberFormat="1" applyFont="1" applyFill="1" applyBorder="1" applyAlignment="1" applyProtection="1">
      <alignment horizontal="center" vertical="center"/>
      <protection locked="0"/>
    </xf>
    <xf numFmtId="14" fontId="6" fillId="0" borderId="2" xfId="0" applyNumberFormat="1" applyFont="1" applyBorder="1" applyAlignment="1" applyProtection="1">
      <alignment horizontal="center" vertical="top"/>
      <protection locked="0"/>
    </xf>
    <xf numFmtId="0" fontId="55" fillId="15" borderId="74"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67"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1" fillId="3" borderId="35" xfId="0" applyFont="1" applyFill="1" applyBorder="1" applyAlignment="1">
      <alignment horizontal="left" vertical="center" wrapText="1"/>
    </xf>
    <xf numFmtId="0" fontId="1" fillId="3" borderId="31" xfId="0" applyFont="1" applyFill="1" applyBorder="1" applyAlignment="1"/>
    <xf numFmtId="0" fontId="1" fillId="3" borderId="36" xfId="0" applyFont="1" applyFill="1" applyBorder="1" applyAlignment="1"/>
    <xf numFmtId="0" fontId="1" fillId="3" borderId="35" xfId="0" applyFont="1" applyFill="1" applyBorder="1" applyAlignment="1">
      <alignment horizontal="left" vertical="center"/>
    </xf>
    <xf numFmtId="0" fontId="1" fillId="3" borderId="36" xfId="0" applyFont="1" applyFill="1" applyBorder="1" applyAlignment="1">
      <alignment horizontal="left" vertical="center"/>
    </xf>
    <xf numFmtId="0" fontId="70" fillId="20" borderId="33" xfId="0" applyFont="1" applyFill="1" applyBorder="1" applyAlignment="1">
      <alignment horizontal="center" vertical="center" wrapText="1"/>
    </xf>
    <xf numFmtId="0" fontId="70" fillId="20" borderId="45" xfId="0" applyFont="1" applyFill="1" applyBorder="1" applyAlignment="1">
      <alignment horizontal="center" vertical="center" wrapText="1"/>
    </xf>
    <xf numFmtId="0" fontId="70" fillId="20" borderId="34" xfId="0" applyFont="1" applyFill="1" applyBorder="1" applyAlignment="1">
      <alignment horizontal="center" vertical="center" wrapText="1"/>
    </xf>
    <xf numFmtId="0" fontId="66" fillId="0" borderId="144" xfId="0" applyFont="1" applyBorder="1" applyAlignment="1">
      <alignment horizontal="center" vertical="center"/>
    </xf>
    <xf numFmtId="0" fontId="66" fillId="0" borderId="145" xfId="0" applyFont="1" applyBorder="1" applyAlignment="1">
      <alignment horizontal="center" vertical="center"/>
    </xf>
    <xf numFmtId="0" fontId="66" fillId="0" borderId="146" xfId="0" applyFont="1" applyBorder="1" applyAlignment="1">
      <alignment horizontal="center" vertical="center"/>
    </xf>
    <xf numFmtId="0" fontId="1" fillId="0" borderId="134" xfId="0" applyFont="1" applyBorder="1" applyAlignment="1">
      <alignment horizontal="left" vertical="center" wrapText="1"/>
    </xf>
    <xf numFmtId="0" fontId="1" fillId="0" borderId="135" xfId="0" applyFont="1" applyBorder="1" applyAlignment="1">
      <alignment horizontal="left" vertical="center" wrapText="1"/>
    </xf>
    <xf numFmtId="0" fontId="1" fillId="0" borderId="136" xfId="0" applyFont="1" applyBorder="1" applyAlignment="1">
      <alignment horizontal="left" vertical="center" wrapText="1"/>
    </xf>
    <xf numFmtId="0" fontId="75" fillId="3" borderId="100" xfId="0" applyFont="1" applyFill="1" applyBorder="1" applyAlignment="1">
      <alignment horizontal="left" vertical="top"/>
    </xf>
    <xf numFmtId="0" fontId="75" fillId="3" borderId="101" xfId="0" applyFont="1" applyFill="1" applyBorder="1" applyAlignment="1">
      <alignment horizontal="left" vertical="top"/>
    </xf>
    <xf numFmtId="0" fontId="1" fillId="21" borderId="35" xfId="0" applyFont="1" applyFill="1" applyBorder="1" applyAlignment="1">
      <alignment horizontal="left" vertical="top"/>
    </xf>
    <xf numFmtId="0" fontId="1" fillId="3" borderId="31" xfId="0" applyFont="1" applyFill="1" applyBorder="1" applyAlignment="1">
      <alignment horizontal="left" vertical="top"/>
    </xf>
    <xf numFmtId="0" fontId="1" fillId="3" borderId="36" xfId="0" applyFont="1" applyFill="1" applyBorder="1" applyAlignment="1">
      <alignment horizontal="left" vertical="top"/>
    </xf>
    <xf numFmtId="0" fontId="75" fillId="0" borderId="102" xfId="0" applyFont="1" applyBorder="1" applyAlignment="1">
      <alignment horizontal="left" vertical="center"/>
    </xf>
    <xf numFmtId="0" fontId="75" fillId="0" borderId="36" xfId="0" applyFont="1" applyBorder="1" applyAlignment="1">
      <alignment horizontal="left" vertical="center"/>
    </xf>
    <xf numFmtId="0" fontId="1" fillId="0" borderId="140" xfId="0" applyFont="1" applyBorder="1" applyAlignment="1">
      <alignment horizontal="left" vertical="center" wrapText="1"/>
    </xf>
    <xf numFmtId="0" fontId="2" fillId="0" borderId="141" xfId="0" applyFont="1" applyBorder="1" applyAlignment="1"/>
    <xf numFmtId="0" fontId="66" fillId="0" borderId="113" xfId="0" applyFont="1" applyBorder="1" applyAlignment="1">
      <alignment horizontal="center"/>
    </xf>
    <xf numFmtId="0" fontId="62" fillId="0" borderId="114" xfId="0" applyFont="1" applyBorder="1" applyAlignment="1">
      <alignment horizontal="center" vertical="center" wrapText="1"/>
    </xf>
    <xf numFmtId="0" fontId="62" fillId="0" borderId="72" xfId="0" applyFont="1" applyBorder="1" applyAlignment="1">
      <alignment horizontal="center" vertical="center" wrapText="1"/>
    </xf>
    <xf numFmtId="0" fontId="1" fillId="0" borderId="131" xfId="0" applyFont="1" applyBorder="1" applyAlignment="1">
      <alignment horizontal="left" vertical="center" wrapText="1"/>
    </xf>
    <xf numFmtId="0" fontId="2" fillId="0" borderId="132" xfId="0" applyFont="1" applyBorder="1" applyAlignment="1"/>
    <xf numFmtId="0" fontId="2" fillId="0" borderId="133" xfId="0" applyFont="1" applyBorder="1" applyAlignment="1"/>
    <xf numFmtId="0" fontId="1" fillId="0" borderId="132" xfId="0" applyFont="1" applyBorder="1" applyAlignment="1">
      <alignment horizontal="left" vertical="center" wrapText="1"/>
    </xf>
    <xf numFmtId="0" fontId="2" fillId="0" borderId="133" xfId="0" applyFont="1" applyBorder="1" applyAlignment="1">
      <alignment wrapText="1"/>
    </xf>
    <xf numFmtId="0" fontId="2" fillId="0" borderId="135" xfId="0" applyFont="1" applyBorder="1" applyAlignment="1">
      <alignment wrapText="1"/>
    </xf>
    <xf numFmtId="0" fontId="2" fillId="0" borderId="136" xfId="0" applyFont="1" applyBorder="1" applyAlignment="1">
      <alignment wrapText="1"/>
    </xf>
    <xf numFmtId="0" fontId="75" fillId="0" borderId="135" xfId="0" applyFont="1" applyBorder="1" applyAlignment="1">
      <alignment horizontal="left" vertical="center" wrapText="1"/>
    </xf>
    <xf numFmtId="0" fontId="2" fillId="0" borderId="136" xfId="0" applyFont="1" applyBorder="1" applyAlignment="1"/>
    <xf numFmtId="0" fontId="2" fillId="0" borderId="135" xfId="0" applyFont="1" applyBorder="1" applyAlignment="1"/>
    <xf numFmtId="0" fontId="69" fillId="0" borderId="92" xfId="0" applyFont="1" applyBorder="1" applyAlignment="1">
      <alignment vertical="top" wrapText="1"/>
    </xf>
    <xf numFmtId="0" fontId="69"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45" fillId="18" borderId="130"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2" fillId="18" borderId="97" xfId="0" applyFont="1" applyFill="1" applyBorder="1" applyAlignment="1">
      <alignment horizontal="justify" vertical="center" wrapText="1"/>
    </xf>
    <xf numFmtId="0" fontId="2" fillId="18" borderId="98" xfId="0" applyFont="1" applyFill="1" applyBorder="1" applyAlignment="1">
      <alignment horizontal="justify" vertical="center" wrapText="1"/>
    </xf>
    <xf numFmtId="0" fontId="2" fillId="18" borderId="99" xfId="0" applyFont="1" applyFill="1" applyBorder="1" applyAlignment="1">
      <alignment horizontal="justify" vertical="center" wrapText="1"/>
    </xf>
    <xf numFmtId="0" fontId="60" fillId="19" borderId="0" xfId="0" applyFont="1" applyFill="1" applyAlignment="1">
      <alignment horizontal="center" vertical="center" wrapText="1"/>
    </xf>
    <xf numFmtId="0" fontId="60" fillId="20" borderId="42" xfId="0" applyFont="1" applyFill="1" applyBorder="1" applyAlignment="1">
      <alignment horizontal="center" vertical="center" wrapText="1"/>
    </xf>
    <xf numFmtId="0" fontId="60" fillId="20" borderId="43" xfId="0" applyFont="1" applyFill="1" applyBorder="1" applyAlignment="1">
      <alignment horizontal="center" vertical="center" wrapText="1"/>
    </xf>
    <xf numFmtId="0" fontId="60" fillId="20" borderId="44"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9"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5" xfId="0" applyFont="1" applyFill="1" applyBorder="1" applyAlignment="1">
      <alignment horizontal="center" vertical="center" wrapText="1"/>
    </xf>
    <xf numFmtId="0" fontId="72" fillId="0" borderId="14" xfId="0" applyFont="1" applyBorder="1" applyAlignment="1">
      <alignment horizontal="left" vertical="center" wrapText="1"/>
    </xf>
    <xf numFmtId="0" fontId="72" fillId="0" borderId="15" xfId="0" applyFont="1" applyBorder="1" applyAlignment="1">
      <alignment horizontal="left" vertical="center" wrapText="1"/>
    </xf>
    <xf numFmtId="0" fontId="61" fillId="0" borderId="0" xfId="0" applyFont="1" applyAlignment="1">
      <alignment horizontal="center" vertical="center"/>
    </xf>
    <xf numFmtId="0" fontId="72" fillId="0" borderId="12" xfId="0" applyFont="1" applyBorder="1" applyAlignment="1">
      <alignment horizontal="justify" vertical="center" wrapText="1"/>
    </xf>
    <xf numFmtId="0" fontId="72" fillId="0" borderId="13" xfId="0" applyFont="1" applyBorder="1" applyAlignment="1">
      <alignment horizontal="justify" vertical="center" wrapText="1"/>
    </xf>
    <xf numFmtId="0" fontId="72" fillId="0" borderId="14" xfId="0" applyFont="1" applyBorder="1" applyAlignment="1">
      <alignment horizontal="justify" vertical="center" wrapText="1"/>
    </xf>
    <xf numFmtId="0" fontId="72" fillId="0" borderId="15" xfId="0" applyFont="1" applyBorder="1" applyAlignment="1">
      <alignment horizontal="justify" vertical="center" wrapText="1"/>
    </xf>
    <xf numFmtId="0" fontId="59" fillId="0" borderId="105" xfId="0" applyFont="1" applyBorder="1" applyAlignment="1">
      <alignment horizontal="center" vertical="center" wrapText="1"/>
    </xf>
    <xf numFmtId="0" fontId="59" fillId="0" borderId="73" xfId="0" applyFont="1" applyBorder="1" applyAlignment="1">
      <alignment horizontal="center" vertical="center" wrapText="1"/>
    </xf>
    <xf numFmtId="0" fontId="59" fillId="0" borderId="106" xfId="0" applyFont="1" applyBorder="1" applyAlignment="1">
      <alignment horizontal="center" vertical="center" wrapText="1"/>
    </xf>
    <xf numFmtId="0" fontId="59" fillId="0" borderId="107" xfId="0" applyFont="1" applyBorder="1" applyAlignment="1">
      <alignment horizontal="center" vertical="center" wrapText="1"/>
    </xf>
    <xf numFmtId="0" fontId="59" fillId="0" borderId="108" xfId="0" applyFont="1" applyBorder="1" applyAlignment="1">
      <alignment horizontal="center" vertical="center" wrapText="1"/>
    </xf>
    <xf numFmtId="0" fontId="59" fillId="0" borderId="109" xfId="0" applyFont="1" applyBorder="1" applyAlignment="1">
      <alignment horizontal="center" vertical="center" wrapText="1"/>
    </xf>
    <xf numFmtId="0" fontId="59" fillId="0" borderId="110"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112" xfId="0" applyFont="1" applyBorder="1" applyAlignment="1">
      <alignment horizontal="center" vertical="center" wrapText="1"/>
    </xf>
    <xf numFmtId="0" fontId="72" fillId="0" borderId="16" xfId="0" applyFont="1" applyBorder="1" applyAlignment="1">
      <alignment horizontal="left" vertical="center" wrapText="1"/>
    </xf>
    <xf numFmtId="0" fontId="72" fillId="0" borderId="17" xfId="0" applyFont="1" applyBorder="1" applyAlignment="1">
      <alignment horizontal="left" vertical="center" wrapText="1"/>
    </xf>
    <xf numFmtId="0" fontId="1" fillId="0" borderId="141" xfId="0" applyFont="1" applyBorder="1" applyAlignment="1">
      <alignment horizontal="left" vertical="center" wrapText="1"/>
    </xf>
    <xf numFmtId="0" fontId="75" fillId="0" borderId="140" xfId="0" applyFont="1" applyBorder="1" applyAlignment="1">
      <alignment horizontal="left" vertical="center" wrapText="1"/>
    </xf>
    <xf numFmtId="0" fontId="62" fillId="3" borderId="35" xfId="0" applyFont="1" applyFill="1" applyBorder="1" applyAlignment="1">
      <alignment horizontal="left" vertical="center"/>
    </xf>
    <xf numFmtId="0" fontId="62" fillId="3" borderId="31" xfId="0" applyFont="1" applyFill="1" applyBorder="1" applyAlignment="1">
      <alignment horizontal="left" vertical="center"/>
    </xf>
    <xf numFmtId="0" fontId="62" fillId="3" borderId="36" xfId="0" applyFont="1" applyFill="1" applyBorder="1" applyAlignment="1">
      <alignment horizontal="left" vertical="center"/>
    </xf>
    <xf numFmtId="0" fontId="73" fillId="0" borderId="100" xfId="0" applyFont="1" applyBorder="1" applyAlignment="1">
      <alignment horizontal="left" vertical="center"/>
    </xf>
    <xf numFmtId="0" fontId="73" fillId="0" borderId="101" xfId="0" applyFont="1" applyBorder="1" applyAlignment="1">
      <alignment horizontal="left" vertical="center"/>
    </xf>
    <xf numFmtId="0" fontId="62" fillId="3" borderId="37" xfId="0" applyFont="1" applyFill="1" applyBorder="1" applyAlignment="1">
      <alignment horizontal="left" vertical="center"/>
    </xf>
    <xf numFmtId="0" fontId="62" fillId="3" borderId="38" xfId="0" applyFont="1" applyFill="1" applyBorder="1" applyAlignment="1">
      <alignment horizontal="left" vertical="center"/>
    </xf>
    <xf numFmtId="0" fontId="62" fillId="3" borderId="39" xfId="0" applyFont="1" applyFill="1" applyBorder="1" applyAlignment="1">
      <alignment horizontal="left" vertical="center"/>
    </xf>
    <xf numFmtId="0" fontId="73" fillId="0" borderId="103" xfId="0" applyFont="1" applyBorder="1" applyAlignment="1">
      <alignment horizontal="left" wrapText="1"/>
    </xf>
    <xf numFmtId="0" fontId="73" fillId="0" borderId="39" xfId="0" applyFont="1" applyBorder="1" applyAlignment="1">
      <alignment horizontal="left" wrapText="1"/>
    </xf>
    <xf numFmtId="0" fontId="70" fillId="20" borderId="14" xfId="0" applyFont="1" applyFill="1" applyBorder="1" applyAlignment="1">
      <alignment horizontal="center" vertical="center" wrapText="1"/>
    </xf>
    <xf numFmtId="0" fontId="70" fillId="20" borderId="0" xfId="0" applyFont="1" applyFill="1" applyAlignment="1">
      <alignment horizontal="center" vertical="center" wrapText="1"/>
    </xf>
    <xf numFmtId="0" fontId="1" fillId="0" borderId="137" xfId="0" applyFont="1" applyBorder="1" applyAlignment="1">
      <alignment horizontal="left" vertical="center" wrapText="1"/>
    </xf>
    <xf numFmtId="0" fontId="1" fillId="0" borderId="138" xfId="0" applyFont="1" applyBorder="1" applyAlignment="1">
      <alignment horizontal="left" vertical="center" wrapText="1"/>
    </xf>
    <xf numFmtId="0" fontId="1" fillId="0" borderId="139" xfId="0" applyFont="1" applyBorder="1" applyAlignment="1">
      <alignment horizontal="left" vertical="center" wrapText="1"/>
    </xf>
    <xf numFmtId="0" fontId="75" fillId="0" borderId="137" xfId="0" applyFont="1" applyBorder="1" applyAlignment="1">
      <alignment horizontal="left" vertical="center" wrapText="1"/>
    </xf>
    <xf numFmtId="0" fontId="2" fillId="0" borderId="139" xfId="0" applyFont="1" applyBorder="1" applyAlignment="1"/>
    <xf numFmtId="0" fontId="75" fillId="0" borderId="141" xfId="0" applyFont="1" applyBorder="1" applyAlignment="1">
      <alignment horizontal="left" vertical="center" wrapText="1"/>
    </xf>
    <xf numFmtId="0" fontId="1" fillId="3" borderId="36" xfId="0" applyFont="1" applyFill="1" applyBorder="1" applyAlignment="1">
      <alignment horizontal="left" vertical="center" wrapText="1"/>
    </xf>
    <xf numFmtId="0" fontId="73" fillId="0" borderId="104" xfId="0" applyFont="1" applyBorder="1" applyAlignment="1">
      <alignment horizontal="left" vertical="center" wrapText="1"/>
    </xf>
    <xf numFmtId="0" fontId="73" fillId="0" borderId="98" xfId="0" applyFont="1" applyBorder="1" applyAlignment="1">
      <alignment horizontal="left" vertical="center" wrapText="1"/>
    </xf>
    <xf numFmtId="0" fontId="73" fillId="0" borderId="99" xfId="0" applyFont="1" applyBorder="1" applyAlignment="1">
      <alignment horizontal="left" vertical="center" wrapText="1"/>
    </xf>
    <xf numFmtId="0" fontId="62" fillId="0" borderId="104" xfId="0" applyFont="1" applyBorder="1" applyAlignment="1">
      <alignment horizontal="left"/>
    </xf>
    <xf numFmtId="0" fontId="62" fillId="0" borderId="99" xfId="0" applyFont="1" applyBorder="1" applyAlignment="1">
      <alignment horizontal="left"/>
    </xf>
    <xf numFmtId="0" fontId="62" fillId="0" borderId="100" xfId="0" applyFont="1" applyBorder="1" applyAlignment="1">
      <alignment horizontal="left"/>
    </xf>
    <xf numFmtId="0" fontId="62" fillId="0" borderId="77" xfId="0" applyFont="1" applyBorder="1" applyAlignment="1">
      <alignment horizontal="left"/>
    </xf>
    <xf numFmtId="0" fontId="62" fillId="0" borderId="101" xfId="0" applyFont="1" applyBorder="1" applyAlignment="1">
      <alignment horizontal="left"/>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100" xfId="0" applyFont="1" applyBorder="1" applyAlignment="1">
      <alignment horizontal="left"/>
    </xf>
    <xf numFmtId="0" fontId="1" fillId="0" borderId="101" xfId="0" applyFont="1" applyBorder="1" applyAlignment="1">
      <alignment horizontal="left"/>
    </xf>
    <xf numFmtId="0" fontId="1" fillId="0" borderId="142" xfId="0" applyFont="1" applyBorder="1" applyAlignment="1">
      <alignment horizontal="left" vertical="center"/>
    </xf>
    <xf numFmtId="0" fontId="2" fillId="0" borderId="143" xfId="0" applyFont="1" applyBorder="1" applyAlignment="1"/>
    <xf numFmtId="0" fontId="1" fillId="3" borderId="100" xfId="0" applyFont="1" applyFill="1" applyBorder="1" applyAlignment="1">
      <alignment horizontal="left" vertical="center" wrapText="1"/>
    </xf>
    <xf numFmtId="0" fontId="1" fillId="3" borderId="77" xfId="0" applyFont="1" applyFill="1" applyBorder="1" applyAlignment="1">
      <alignment horizontal="left" vertical="center" wrapText="1"/>
    </xf>
    <xf numFmtId="0" fontId="1" fillId="3" borderId="101" xfId="0" applyFont="1" applyFill="1" applyBorder="1" applyAlignment="1">
      <alignment horizontal="left" vertical="center" wrapText="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8" fillId="2" borderId="124" xfId="0" applyFont="1" applyFill="1" applyBorder="1" applyAlignment="1">
      <alignment horizontal="left" vertical="center" wrapText="1"/>
    </xf>
    <xf numFmtId="0" fontId="48" fillId="2" borderId="118" xfId="0" applyFont="1" applyFill="1" applyBorder="1" applyAlignment="1">
      <alignment horizontal="left" vertical="center" wrapText="1"/>
    </xf>
    <xf numFmtId="0" fontId="48" fillId="2" borderId="12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8" fillId="2" borderId="122" xfId="0" applyFont="1" applyFill="1" applyBorder="1" applyAlignment="1">
      <alignment horizontal="left" vertical="center" wrapText="1"/>
    </xf>
    <xf numFmtId="0" fontId="48" fillId="2" borderId="117" xfId="0" applyFont="1" applyFill="1" applyBorder="1" applyAlignment="1">
      <alignment horizontal="left" vertical="center" wrapText="1"/>
    </xf>
    <xf numFmtId="0" fontId="48" fillId="2" borderId="123" xfId="0" applyFont="1" applyFill="1" applyBorder="1" applyAlignment="1">
      <alignment horizontal="left" vertical="center" wrapText="1"/>
    </xf>
    <xf numFmtId="14" fontId="48" fillId="2" borderId="117" xfId="0" applyNumberFormat="1" applyFont="1" applyFill="1" applyBorder="1" applyAlignment="1">
      <alignment horizontal="left" vertical="center" wrapText="1"/>
    </xf>
    <xf numFmtId="0" fontId="63" fillId="2" borderId="127" xfId="0" applyFont="1" applyFill="1" applyBorder="1" applyAlignment="1">
      <alignment horizontal="center" vertical="center" wrapText="1"/>
    </xf>
    <xf numFmtId="0" fontId="63" fillId="2" borderId="50" xfId="0" applyFont="1" applyFill="1" applyBorder="1" applyAlignment="1">
      <alignment horizontal="center" vertical="center" wrapText="1"/>
    </xf>
    <xf numFmtId="0" fontId="63" fillId="2" borderId="119" xfId="0" applyFont="1" applyFill="1" applyBorder="1" applyAlignment="1">
      <alignment horizontal="center" vertical="center" wrapText="1"/>
    </xf>
    <xf numFmtId="0" fontId="63" fillId="2" borderId="126" xfId="0" applyFont="1" applyFill="1" applyBorder="1" applyAlignment="1">
      <alignment horizontal="center" vertical="center" wrapText="1"/>
    </xf>
    <xf numFmtId="0" fontId="63" fillId="2" borderId="0" xfId="0" applyFont="1" applyFill="1" applyAlignment="1">
      <alignment horizontal="center" vertical="center" wrapText="1"/>
    </xf>
    <xf numFmtId="0" fontId="63" fillId="2" borderId="120" xfId="0" applyFont="1" applyFill="1" applyBorder="1" applyAlignment="1">
      <alignment horizontal="center" vertical="center" wrapText="1"/>
    </xf>
    <xf numFmtId="0" fontId="63" fillId="2" borderId="128" xfId="0" applyFont="1" applyFill="1" applyBorder="1" applyAlignment="1">
      <alignment horizontal="center" vertical="center" wrapText="1"/>
    </xf>
    <xf numFmtId="0" fontId="63" fillId="2" borderId="116" xfId="0" applyFont="1" applyFill="1" applyBorder="1" applyAlignment="1">
      <alignment horizontal="center" vertical="center" wrapText="1"/>
    </xf>
    <xf numFmtId="0" fontId="63" fillId="2" borderId="121"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14" fontId="64" fillId="2" borderId="6" xfId="0" applyNumberFormat="1" applyFont="1" applyFill="1" applyBorder="1" applyAlignment="1" applyProtection="1">
      <alignment horizontal="center" vertical="center"/>
      <protection locked="0"/>
    </xf>
    <xf numFmtId="14" fontId="64" fillId="2" borderId="10" xfId="0" applyNumberFormat="1" applyFont="1" applyFill="1" applyBorder="1" applyAlignment="1" applyProtection="1">
      <alignment horizontal="center" vertical="center"/>
      <protection locked="0"/>
    </xf>
    <xf numFmtId="14" fontId="64" fillId="2" borderId="7" xfId="0" applyNumberFormat="1" applyFont="1" applyFill="1" applyBorder="1" applyAlignment="1" applyProtection="1">
      <alignment horizontal="center" vertical="center"/>
      <protection locked="0"/>
    </xf>
    <xf numFmtId="0" fontId="1" fillId="0" borderId="4" xfId="0" applyFont="1" applyBorder="1" applyAlignment="1" applyProtection="1">
      <alignment horizontal="center" vertical="top" textRotation="90"/>
      <protection locked="0"/>
    </xf>
    <xf numFmtId="0" fontId="1" fillId="0" borderId="5" xfId="0" applyFont="1" applyBorder="1" applyAlignment="1" applyProtection="1">
      <alignment horizontal="center" vertical="top" textRotation="90"/>
      <protection locked="0"/>
    </xf>
    <xf numFmtId="9" fontId="1" fillId="0" borderId="28" xfId="0" applyNumberFormat="1" applyFont="1" applyBorder="1" applyAlignment="1" applyProtection="1">
      <alignment horizontal="center" vertical="center" wrapText="1"/>
      <protection locked="0"/>
    </xf>
    <xf numFmtId="9" fontId="1" fillId="0" borderId="9" xfId="0" applyNumberFormat="1" applyFont="1" applyBorder="1" applyAlignment="1" applyProtection="1">
      <alignment horizontal="center" vertical="center" wrapText="1"/>
      <protection locked="0"/>
    </xf>
    <xf numFmtId="9" fontId="1" fillId="0" borderId="3" xfId="0" applyNumberFormat="1" applyFont="1" applyBorder="1" applyAlignment="1" applyProtection="1">
      <alignment horizontal="center"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6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514806</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09" t="s">
        <v>0</v>
      </c>
      <c r="C2" s="210"/>
      <c r="D2" s="210"/>
      <c r="E2" s="210"/>
      <c r="F2" s="210"/>
      <c r="G2" s="210"/>
      <c r="H2" s="211"/>
    </row>
    <row r="3" spans="1:8" x14ac:dyDescent="0.25">
      <c r="B3" s="119"/>
      <c r="C3" s="120"/>
      <c r="D3" s="120"/>
      <c r="E3" s="120"/>
      <c r="F3" s="120"/>
      <c r="G3" s="120"/>
      <c r="H3" s="121"/>
    </row>
    <row r="4" spans="1:8" ht="63" customHeight="1" x14ac:dyDescent="0.25">
      <c r="B4" s="212" t="s">
        <v>1</v>
      </c>
      <c r="C4" s="213"/>
      <c r="D4" s="213"/>
      <c r="E4" s="213"/>
      <c r="F4" s="213"/>
      <c r="G4" s="213"/>
      <c r="H4" s="214"/>
    </row>
    <row r="5" spans="1:8" ht="63" customHeight="1" x14ac:dyDescent="0.25">
      <c r="B5" s="215"/>
      <c r="C5" s="216"/>
      <c r="D5" s="216"/>
      <c r="E5" s="216"/>
      <c r="F5" s="216"/>
      <c r="G5" s="216"/>
      <c r="H5" s="217"/>
    </row>
    <row r="6" spans="1:8" ht="16.5" x14ac:dyDescent="0.25">
      <c r="A6" s="122"/>
      <c r="B6" s="218" t="s">
        <v>2</v>
      </c>
      <c r="C6" s="219"/>
      <c r="D6" s="219"/>
      <c r="E6" s="219"/>
      <c r="F6" s="219"/>
      <c r="G6" s="219"/>
      <c r="H6" s="220"/>
    </row>
    <row r="7" spans="1:8" ht="95.25" customHeight="1" x14ac:dyDescent="0.25">
      <c r="A7" s="122"/>
      <c r="B7" s="221" t="s">
        <v>3</v>
      </c>
      <c r="C7" s="221"/>
      <c r="D7" s="221"/>
      <c r="E7" s="221"/>
      <c r="F7" s="221"/>
      <c r="G7" s="221"/>
      <c r="H7" s="222"/>
    </row>
    <row r="8" spans="1:8" ht="16.5" x14ac:dyDescent="0.25">
      <c r="A8" s="122"/>
      <c r="B8" s="123"/>
      <c r="C8" s="124"/>
      <c r="D8" s="124"/>
      <c r="E8" s="124"/>
      <c r="F8" s="124"/>
      <c r="G8" s="124"/>
      <c r="H8" s="125"/>
    </row>
    <row r="9" spans="1:8" ht="16.5" customHeight="1" x14ac:dyDescent="0.25">
      <c r="A9" s="122"/>
      <c r="B9" s="223" t="s">
        <v>4</v>
      </c>
      <c r="C9" s="223"/>
      <c r="D9" s="223"/>
      <c r="E9" s="223"/>
      <c r="F9" s="223"/>
      <c r="G9" s="223"/>
      <c r="H9" s="224"/>
    </row>
    <row r="10" spans="1:8" ht="16.5" customHeight="1" x14ac:dyDescent="0.25">
      <c r="A10" s="122"/>
      <c r="B10" s="223"/>
      <c r="C10" s="223"/>
      <c r="D10" s="223"/>
      <c r="E10" s="223"/>
      <c r="F10" s="223"/>
      <c r="G10" s="223"/>
      <c r="H10" s="224"/>
    </row>
    <row r="11" spans="1:8" ht="11.65" customHeight="1" x14ac:dyDescent="0.25">
      <c r="A11" s="122"/>
      <c r="B11" s="223"/>
      <c r="C11" s="223"/>
      <c r="D11" s="223"/>
      <c r="E11" s="223"/>
      <c r="F11" s="223"/>
      <c r="G11" s="223"/>
      <c r="H11" s="224"/>
    </row>
    <row r="12" spans="1:8" ht="11.65" customHeight="1" thickBot="1" x14ac:dyDescent="0.3">
      <c r="A12" s="122"/>
      <c r="B12" s="126"/>
      <c r="C12" s="126"/>
      <c r="D12" s="126"/>
      <c r="E12" s="126"/>
      <c r="F12" s="126"/>
      <c r="G12" s="126"/>
      <c r="H12" s="127"/>
    </row>
    <row r="13" spans="1:8" ht="14.25" customHeight="1" thickTop="1" x14ac:dyDescent="0.25">
      <c r="A13" s="122"/>
      <c r="B13" s="126"/>
      <c r="C13" s="205" t="s">
        <v>5</v>
      </c>
      <c r="D13" s="206"/>
      <c r="E13" s="207" t="s">
        <v>6</v>
      </c>
      <c r="F13" s="208"/>
      <c r="G13" s="126"/>
      <c r="H13" s="127"/>
    </row>
    <row r="14" spans="1:8" ht="23.25" customHeight="1" x14ac:dyDescent="0.25">
      <c r="A14" s="122"/>
      <c r="B14" s="126"/>
      <c r="C14" s="225" t="s">
        <v>7</v>
      </c>
      <c r="D14" s="226"/>
      <c r="E14" s="227" t="s">
        <v>8</v>
      </c>
      <c r="F14" s="228"/>
      <c r="G14" s="126"/>
      <c r="H14" s="127"/>
    </row>
    <row r="15" spans="1:8" ht="27" customHeight="1" x14ac:dyDescent="0.25">
      <c r="A15" s="122"/>
      <c r="B15" s="126"/>
      <c r="C15" s="225" t="s">
        <v>9</v>
      </c>
      <c r="D15" s="226"/>
      <c r="E15" s="227" t="s">
        <v>10</v>
      </c>
      <c r="F15" s="228"/>
      <c r="G15" s="126"/>
      <c r="H15" s="127"/>
    </row>
    <row r="16" spans="1:8" ht="39" customHeight="1" x14ac:dyDescent="0.25">
      <c r="A16" s="122"/>
      <c r="B16" s="126"/>
      <c r="C16" s="225" t="s">
        <v>11</v>
      </c>
      <c r="D16" s="226"/>
      <c r="E16" s="227" t="s">
        <v>12</v>
      </c>
      <c r="F16" s="228"/>
      <c r="G16" s="126"/>
      <c r="H16" s="127"/>
    </row>
    <row r="17" spans="1:8" ht="24.75" customHeight="1" x14ac:dyDescent="0.25">
      <c r="A17" s="122"/>
      <c r="B17" s="126"/>
      <c r="C17" s="225" t="s">
        <v>13</v>
      </c>
      <c r="D17" s="226"/>
      <c r="E17" s="227" t="s">
        <v>14</v>
      </c>
      <c r="F17" s="228"/>
      <c r="G17" s="126"/>
      <c r="H17" s="128"/>
    </row>
    <row r="18" spans="1:8" ht="12.4" customHeight="1" x14ac:dyDescent="0.25">
      <c r="A18" s="122"/>
      <c r="B18" s="126"/>
      <c r="C18" s="225" t="s">
        <v>15</v>
      </c>
      <c r="D18" s="226"/>
      <c r="E18" s="232" t="s">
        <v>16</v>
      </c>
      <c r="F18" s="228"/>
      <c r="G18" s="126"/>
      <c r="H18" s="127"/>
    </row>
    <row r="19" spans="1:8" ht="24" customHeight="1" thickBot="1" x14ac:dyDescent="0.3">
      <c r="A19" s="122"/>
      <c r="B19" s="126"/>
      <c r="C19" s="233" t="s">
        <v>17</v>
      </c>
      <c r="D19" s="234"/>
      <c r="E19" s="235" t="s">
        <v>18</v>
      </c>
      <c r="F19" s="236"/>
      <c r="G19" s="126"/>
      <c r="H19" s="127"/>
    </row>
    <row r="20" spans="1:8" ht="11.65" customHeight="1" thickTop="1" x14ac:dyDescent="0.25">
      <c r="A20" s="122"/>
      <c r="B20" s="126"/>
      <c r="C20" s="129"/>
      <c r="D20" s="129"/>
      <c r="E20" s="129"/>
      <c r="F20" s="129"/>
      <c r="G20" s="126"/>
      <c r="H20" s="127"/>
    </row>
    <row r="21" spans="1:8" ht="27.4" customHeight="1" thickBot="1" x14ac:dyDescent="0.3">
      <c r="A21" s="122"/>
      <c r="B21" s="237" t="s">
        <v>19</v>
      </c>
      <c r="C21" s="238"/>
      <c r="D21" s="238"/>
      <c r="E21" s="238"/>
      <c r="F21" s="238"/>
      <c r="G21" s="238"/>
      <c r="H21" s="239"/>
    </row>
    <row r="22" spans="1:8" ht="15.75" thickTop="1" x14ac:dyDescent="0.25">
      <c r="A22" s="122"/>
      <c r="B22" s="130"/>
      <c r="C22" s="240" t="s">
        <v>5</v>
      </c>
      <c r="D22" s="206"/>
      <c r="E22" s="207" t="s">
        <v>6</v>
      </c>
      <c r="F22" s="208"/>
      <c r="G22" s="129"/>
      <c r="H22" s="131"/>
    </row>
    <row r="23" spans="1:8" ht="13.5" customHeight="1" x14ac:dyDescent="0.25">
      <c r="A23" s="122"/>
      <c r="B23" s="132"/>
      <c r="C23" s="241" t="s">
        <v>7</v>
      </c>
      <c r="D23" s="242"/>
      <c r="E23" s="243" t="s">
        <v>20</v>
      </c>
      <c r="F23" s="244"/>
      <c r="G23" s="133"/>
      <c r="H23" s="134"/>
    </row>
    <row r="24" spans="1:8" ht="13.5" customHeight="1" x14ac:dyDescent="0.25">
      <c r="A24" s="122"/>
      <c r="B24" s="132"/>
      <c r="C24" s="229" t="s">
        <v>21</v>
      </c>
      <c r="D24" s="230"/>
      <c r="E24" s="231" t="s">
        <v>22</v>
      </c>
      <c r="F24" s="228"/>
      <c r="G24" s="133"/>
      <c r="H24" s="134"/>
    </row>
    <row r="25" spans="1:8" ht="13.5" customHeight="1" x14ac:dyDescent="0.25">
      <c r="A25" s="122"/>
      <c r="B25" s="132"/>
      <c r="C25" s="229" t="s">
        <v>9</v>
      </c>
      <c r="D25" s="230"/>
      <c r="E25" s="231" t="s">
        <v>23</v>
      </c>
      <c r="F25" s="228"/>
      <c r="G25" s="133"/>
      <c r="H25" s="134"/>
    </row>
    <row r="26" spans="1:8" ht="22.9" customHeight="1" x14ac:dyDescent="0.25">
      <c r="A26" s="122"/>
      <c r="B26" s="132"/>
      <c r="C26" s="229" t="s">
        <v>24</v>
      </c>
      <c r="D26" s="230"/>
      <c r="E26" s="245" t="s">
        <v>25</v>
      </c>
      <c r="F26" s="246"/>
      <c r="G26" s="133"/>
      <c r="H26" s="134"/>
    </row>
    <row r="27" spans="1:8" ht="39.75" customHeight="1" x14ac:dyDescent="0.25">
      <c r="A27" s="122"/>
      <c r="B27" s="132"/>
      <c r="C27" s="247" t="s">
        <v>26</v>
      </c>
      <c r="D27" s="248"/>
      <c r="E27" s="249" t="s">
        <v>27</v>
      </c>
      <c r="F27" s="250"/>
      <c r="G27" s="133"/>
      <c r="H27" s="135"/>
    </row>
    <row r="28" spans="1:8" ht="34.5" customHeight="1" x14ac:dyDescent="0.25">
      <c r="B28" s="136"/>
      <c r="C28" s="251" t="s">
        <v>28</v>
      </c>
      <c r="D28" s="248"/>
      <c r="E28" s="249" t="s">
        <v>29</v>
      </c>
      <c r="F28" s="250"/>
      <c r="G28" s="133"/>
      <c r="H28" s="135"/>
    </row>
    <row r="29" spans="1:8" ht="27.75" customHeight="1" x14ac:dyDescent="0.25">
      <c r="B29" s="136"/>
      <c r="C29" s="251" t="s">
        <v>30</v>
      </c>
      <c r="D29" s="248"/>
      <c r="E29" s="249" t="s">
        <v>31</v>
      </c>
      <c r="F29" s="250"/>
      <c r="G29" s="133"/>
      <c r="H29" s="135"/>
    </row>
    <row r="30" spans="1:8" ht="72" customHeight="1" x14ac:dyDescent="0.25">
      <c r="B30" s="136"/>
      <c r="C30" s="251" t="s">
        <v>32</v>
      </c>
      <c r="D30" s="248"/>
      <c r="E30" s="249" t="s">
        <v>33</v>
      </c>
      <c r="F30" s="250"/>
      <c r="G30" s="133"/>
      <c r="H30" s="135"/>
    </row>
    <row r="31" spans="1:8" ht="72.75" customHeight="1" x14ac:dyDescent="0.25">
      <c r="B31" s="136"/>
      <c r="C31" s="251" t="s">
        <v>34</v>
      </c>
      <c r="D31" s="248"/>
      <c r="E31" s="249" t="s">
        <v>35</v>
      </c>
      <c r="F31" s="250"/>
      <c r="G31" s="133"/>
      <c r="H31" s="135"/>
    </row>
    <row r="32" spans="1:8" ht="64.5" customHeight="1" x14ac:dyDescent="0.25">
      <c r="B32" s="136"/>
      <c r="C32" s="251" t="s">
        <v>36</v>
      </c>
      <c r="D32" s="248"/>
      <c r="E32" s="249" t="s">
        <v>37</v>
      </c>
      <c r="F32" s="250"/>
      <c r="G32" s="133"/>
      <c r="H32" s="135"/>
    </row>
    <row r="33" spans="2:8" ht="71.25" customHeight="1" x14ac:dyDescent="0.25">
      <c r="B33" s="136"/>
      <c r="C33" s="252" t="s">
        <v>38</v>
      </c>
      <c r="D33" s="247"/>
      <c r="E33" s="249" t="s">
        <v>39</v>
      </c>
      <c r="F33" s="250"/>
      <c r="G33" s="133"/>
      <c r="H33" s="135"/>
    </row>
    <row r="34" spans="2:8" ht="55.5" customHeight="1" x14ac:dyDescent="0.25">
      <c r="B34" s="136"/>
      <c r="C34" s="252" t="s">
        <v>40</v>
      </c>
      <c r="D34" s="247"/>
      <c r="E34" s="249" t="s">
        <v>41</v>
      </c>
      <c r="F34" s="250"/>
      <c r="G34" s="133"/>
      <c r="H34" s="135"/>
    </row>
    <row r="35" spans="2:8" ht="42" customHeight="1" x14ac:dyDescent="0.25">
      <c r="B35" s="136"/>
      <c r="C35" s="252" t="s">
        <v>42</v>
      </c>
      <c r="D35" s="247"/>
      <c r="E35" s="249" t="s">
        <v>43</v>
      </c>
      <c r="F35" s="250"/>
      <c r="G35" s="133"/>
      <c r="H35" s="135"/>
    </row>
    <row r="36" spans="2:8" ht="59.25" customHeight="1" x14ac:dyDescent="0.25">
      <c r="B36" s="136"/>
      <c r="C36" s="252" t="s">
        <v>44</v>
      </c>
      <c r="D36" s="247"/>
      <c r="E36" s="249" t="s">
        <v>45</v>
      </c>
      <c r="F36" s="250"/>
      <c r="G36" s="133"/>
      <c r="H36" s="135"/>
    </row>
    <row r="37" spans="2:8" ht="23.25" customHeight="1" x14ac:dyDescent="0.25">
      <c r="B37" s="136"/>
      <c r="C37" s="252" t="s">
        <v>46</v>
      </c>
      <c r="D37" s="247"/>
      <c r="E37" s="249" t="s">
        <v>47</v>
      </c>
      <c r="F37" s="250"/>
      <c r="G37" s="133"/>
      <c r="H37" s="135"/>
    </row>
    <row r="38" spans="2:8" ht="30.75" customHeight="1" x14ac:dyDescent="0.25">
      <c r="B38" s="136"/>
      <c r="C38" s="252" t="s">
        <v>48</v>
      </c>
      <c r="D38" s="247"/>
      <c r="E38" s="249" t="s">
        <v>49</v>
      </c>
      <c r="F38" s="250"/>
      <c r="G38" s="133"/>
      <c r="H38" s="135"/>
    </row>
    <row r="39" spans="2:8" ht="35.25" customHeight="1" x14ac:dyDescent="0.25">
      <c r="B39" s="136"/>
      <c r="C39" s="252" t="s">
        <v>48</v>
      </c>
      <c r="D39" s="247"/>
      <c r="E39" s="249" t="s">
        <v>49</v>
      </c>
      <c r="F39" s="250"/>
      <c r="G39" s="133"/>
      <c r="H39" s="135"/>
    </row>
    <row r="40" spans="2:8" ht="33" customHeight="1" x14ac:dyDescent="0.25">
      <c r="B40" s="136"/>
      <c r="C40" s="252" t="s">
        <v>50</v>
      </c>
      <c r="D40" s="247"/>
      <c r="E40" s="249" t="s">
        <v>51</v>
      </c>
      <c r="F40" s="250"/>
      <c r="G40" s="133"/>
      <c r="H40" s="135"/>
    </row>
    <row r="41" spans="2:8" ht="30" customHeight="1" x14ac:dyDescent="0.25">
      <c r="B41" s="136"/>
      <c r="C41" s="252" t="s">
        <v>52</v>
      </c>
      <c r="D41" s="247"/>
      <c r="E41" s="249" t="s">
        <v>53</v>
      </c>
      <c r="F41" s="250"/>
      <c r="G41" s="133"/>
      <c r="H41" s="135"/>
    </row>
    <row r="42" spans="2:8" ht="35.25" customHeight="1" x14ac:dyDescent="0.25">
      <c r="B42" s="136"/>
      <c r="C42" s="252" t="s">
        <v>54</v>
      </c>
      <c r="D42" s="247"/>
      <c r="E42" s="249" t="s">
        <v>55</v>
      </c>
      <c r="F42" s="250"/>
      <c r="G42" s="133"/>
      <c r="H42" s="135"/>
    </row>
    <row r="43" spans="2:8" ht="31.5" customHeight="1" x14ac:dyDescent="0.25">
      <c r="B43" s="136"/>
      <c r="C43" s="252" t="s">
        <v>56</v>
      </c>
      <c r="D43" s="247"/>
      <c r="E43" s="249" t="s">
        <v>57</v>
      </c>
      <c r="F43" s="250"/>
      <c r="G43" s="133"/>
      <c r="H43" s="135"/>
    </row>
    <row r="44" spans="2:8" ht="54" customHeight="1" x14ac:dyDescent="0.25">
      <c r="B44" s="136"/>
      <c r="C44" s="252" t="s">
        <v>58</v>
      </c>
      <c r="D44" s="247"/>
      <c r="E44" s="249" t="s">
        <v>59</v>
      </c>
      <c r="F44" s="250"/>
      <c r="G44" s="133"/>
      <c r="H44" s="135"/>
    </row>
    <row r="45" spans="2:8" ht="59.25" customHeight="1" x14ac:dyDescent="0.25">
      <c r="B45" s="136"/>
      <c r="C45" s="252" t="s">
        <v>60</v>
      </c>
      <c r="D45" s="247"/>
      <c r="E45" s="249" t="s">
        <v>61</v>
      </c>
      <c r="F45" s="250"/>
      <c r="G45" s="133"/>
      <c r="H45" s="135"/>
    </row>
    <row r="46" spans="2:8" ht="84" customHeight="1" x14ac:dyDescent="0.25">
      <c r="B46" s="136"/>
      <c r="C46" s="252" t="s">
        <v>62</v>
      </c>
      <c r="D46" s="247"/>
      <c r="E46" s="249" t="s">
        <v>63</v>
      </c>
      <c r="F46" s="250"/>
      <c r="G46" s="133"/>
      <c r="H46" s="135"/>
    </row>
    <row r="47" spans="2:8" ht="46.5" customHeight="1" thickBot="1" x14ac:dyDescent="0.3">
      <c r="B47" s="136"/>
      <c r="C47" s="253"/>
      <c r="D47" s="254"/>
      <c r="E47" s="255"/>
      <c r="F47" s="256"/>
      <c r="G47" s="133"/>
      <c r="H47" s="135"/>
    </row>
    <row r="48" spans="2:8" ht="6.75" customHeight="1" thickTop="1" x14ac:dyDescent="0.25">
      <c r="B48" s="136"/>
      <c r="C48" s="137"/>
      <c r="D48" s="137"/>
      <c r="E48" s="138"/>
      <c r="F48" s="138"/>
      <c r="G48" s="133"/>
      <c r="H48" s="135"/>
    </row>
    <row r="49" spans="2:8" x14ac:dyDescent="0.25">
      <c r="B49" s="136"/>
      <c r="C49" s="139"/>
      <c r="D49" s="139"/>
      <c r="E49" s="139"/>
      <c r="F49" s="139"/>
      <c r="G49" s="133"/>
      <c r="H49" s="135"/>
    </row>
    <row r="50" spans="2:8" ht="21" customHeight="1" x14ac:dyDescent="0.25">
      <c r="B50" s="140" t="s">
        <v>64</v>
      </c>
      <c r="C50" s="139"/>
      <c r="D50" s="139"/>
      <c r="E50" s="139"/>
      <c r="F50" s="139"/>
      <c r="G50" s="139"/>
      <c r="H50" s="141"/>
    </row>
    <row r="51" spans="2:8" ht="20.25" customHeight="1" x14ac:dyDescent="0.25">
      <c r="B51" s="140" t="s">
        <v>65</v>
      </c>
      <c r="C51" s="139"/>
      <c r="D51" s="139"/>
      <c r="E51" s="139"/>
      <c r="F51" s="139"/>
      <c r="G51" s="139"/>
      <c r="H51" s="141"/>
    </row>
    <row r="52" spans="2:8" ht="20.25" customHeight="1" x14ac:dyDescent="0.25">
      <c r="B52" s="140" t="s">
        <v>66</v>
      </c>
      <c r="C52" s="139"/>
      <c r="D52" s="139"/>
      <c r="E52" s="139"/>
      <c r="F52" s="139"/>
      <c r="G52" s="139"/>
      <c r="H52" s="141"/>
    </row>
    <row r="53" spans="2:8" ht="20.25" customHeight="1" x14ac:dyDescent="0.25">
      <c r="B53" s="140" t="s">
        <v>67</v>
      </c>
      <c r="C53" s="139"/>
      <c r="D53" s="139"/>
      <c r="E53" s="139"/>
      <c r="F53" s="139"/>
      <c r="G53" s="139"/>
      <c r="H53" s="141"/>
    </row>
    <row r="54" spans="2:8" ht="14.65" customHeight="1" x14ac:dyDescent="0.25">
      <c r="B54" s="140" t="s">
        <v>68</v>
      </c>
      <c r="C54" s="139"/>
      <c r="D54" s="139"/>
      <c r="E54" s="139"/>
      <c r="F54" s="139"/>
      <c r="G54" s="139"/>
      <c r="H54" s="141"/>
    </row>
    <row r="55" spans="2:8" ht="15.75" thickBot="1" x14ac:dyDescent="0.3">
      <c r="B55" s="142"/>
      <c r="C55" s="143"/>
      <c r="D55" s="143"/>
      <c r="E55" s="143"/>
      <c r="F55" s="143"/>
      <c r="G55" s="143"/>
      <c r="H55" s="144"/>
    </row>
  </sheetData>
  <mergeCells count="72">
    <mergeCell ref="C46:D46"/>
    <mergeCell ref="E46:F46"/>
    <mergeCell ref="C47:D47"/>
    <mergeCell ref="E47:F47"/>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195</v>
      </c>
      <c r="D3" s="10" t="s">
        <v>400</v>
      </c>
    </row>
    <row r="4" spans="1:4" ht="51" x14ac:dyDescent="0.2">
      <c r="A4" s="10" t="s">
        <v>369</v>
      </c>
      <c r="D4" s="10" t="s">
        <v>401</v>
      </c>
    </row>
    <row r="5" spans="1:4" ht="51" x14ac:dyDescent="0.2">
      <c r="A5" s="10" t="s">
        <v>371</v>
      </c>
      <c r="D5" s="10" t="s">
        <v>402</v>
      </c>
    </row>
    <row r="6" spans="1:4" ht="89.25" x14ac:dyDescent="0.2">
      <c r="A6" s="10" t="s">
        <v>373</v>
      </c>
      <c r="D6" s="10" t="s">
        <v>403</v>
      </c>
    </row>
    <row r="7" spans="1:4" ht="63.75" x14ac:dyDescent="0.2">
      <c r="A7" s="10" t="s">
        <v>196</v>
      </c>
      <c r="D7" s="10" t="s">
        <v>404</v>
      </c>
    </row>
    <row r="8" spans="1:4" x14ac:dyDescent="0.2">
      <c r="A8" s="10" t="s">
        <v>197</v>
      </c>
      <c r="D8" s="10"/>
    </row>
    <row r="9" spans="1:4" x14ac:dyDescent="0.2">
      <c r="A9" s="10" t="s">
        <v>379</v>
      </c>
    </row>
    <row r="10" spans="1:4" x14ac:dyDescent="0.2">
      <c r="A10" s="10" t="s">
        <v>198</v>
      </c>
      <c r="D10" s="10" t="s">
        <v>405</v>
      </c>
    </row>
    <row r="11" spans="1:4" x14ac:dyDescent="0.2">
      <c r="A11" s="10" t="s">
        <v>382</v>
      </c>
    </row>
    <row r="12" spans="1:4" x14ac:dyDescent="0.2">
      <c r="A12" s="10" t="s">
        <v>406</v>
      </c>
      <c r="D12" s="10"/>
    </row>
    <row r="13" spans="1:4" x14ac:dyDescent="0.2">
      <c r="A13" s="10" t="s">
        <v>407</v>
      </c>
    </row>
    <row r="14" spans="1:4" x14ac:dyDescent="0.2">
      <c r="A14" s="10" t="s">
        <v>408</v>
      </c>
    </row>
    <row r="16" spans="1:4" x14ac:dyDescent="0.2">
      <c r="A16" s="10" t="s">
        <v>409</v>
      </c>
    </row>
    <row r="17" spans="1:1" x14ac:dyDescent="0.2">
      <c r="A17" s="10" t="s">
        <v>388</v>
      </c>
    </row>
    <row r="18" spans="1:1" x14ac:dyDescent="0.2">
      <c r="A18" s="10" t="s">
        <v>389</v>
      </c>
    </row>
    <row r="20" spans="1:1" x14ac:dyDescent="0.2">
      <c r="A20" s="10" t="s">
        <v>392</v>
      </c>
    </row>
    <row r="21" spans="1:1" x14ac:dyDescent="0.2">
      <c r="A21" s="10" t="s">
        <v>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58"/>
  <sheetViews>
    <sheetView showGridLines="0" topLeftCell="A19" zoomScale="91" zoomScaleNormal="91" workbookViewId="0">
      <selection activeCell="C8" sqref="C8:F8"/>
    </sheetView>
  </sheetViews>
  <sheetFormatPr baseColWidth="10" defaultColWidth="11.42578125" defaultRowHeight="14.25" x14ac:dyDescent="0.2"/>
  <cols>
    <col min="1" max="1" width="7.5703125" style="171" customWidth="1"/>
    <col min="2" max="2" width="16.7109375" style="171" customWidth="1" collapsed="1"/>
    <col min="3" max="3" width="29.7109375" style="171" customWidth="1" collapsed="1"/>
    <col min="4" max="4" width="43.7109375" style="171" customWidth="1" collapsed="1"/>
    <col min="5" max="5" width="39.28515625" style="171" customWidth="1" collapsed="1"/>
    <col min="6" max="6" width="39.28515625" style="171" customWidth="1"/>
    <col min="7" max="14" width="11.42578125" style="171"/>
    <col min="15" max="15" width="37" style="171" customWidth="1"/>
    <col min="16" max="50" width="11.42578125" style="171"/>
    <col min="51" max="51" width="6.140625" style="171" customWidth="1"/>
    <col min="52" max="52" width="130.5703125" style="171" customWidth="1"/>
    <col min="53" max="16384" width="11.42578125" style="171"/>
  </cols>
  <sheetData>
    <row r="1" spans="2:52" ht="16.5" customHeight="1" thickBot="1" x14ac:dyDescent="0.25">
      <c r="AZ1" s="172" t="s">
        <v>69</v>
      </c>
    </row>
    <row r="2" spans="2:52" ht="18" customHeight="1" thickBot="1" x14ac:dyDescent="0.25">
      <c r="B2" s="293"/>
      <c r="C2" s="295" t="s">
        <v>70</v>
      </c>
      <c r="D2" s="296"/>
      <c r="E2" s="296"/>
      <c r="F2" s="145" t="s">
        <v>71</v>
      </c>
      <c r="AZ2" s="172" t="s">
        <v>72</v>
      </c>
    </row>
    <row r="3" spans="2:52" ht="18" customHeight="1" thickBot="1" x14ac:dyDescent="0.25">
      <c r="B3" s="294"/>
      <c r="C3" s="297"/>
      <c r="D3" s="298"/>
      <c r="E3" s="298"/>
      <c r="F3" s="146" t="s">
        <v>73</v>
      </c>
      <c r="AZ3" s="172" t="s">
        <v>74</v>
      </c>
    </row>
    <row r="4" spans="2:52" ht="18" customHeight="1" thickBot="1" x14ac:dyDescent="0.25">
      <c r="B4" s="294"/>
      <c r="C4" s="297"/>
      <c r="D4" s="298"/>
      <c r="E4" s="298"/>
      <c r="F4" s="170" t="s">
        <v>75</v>
      </c>
      <c r="AZ4" s="172" t="s">
        <v>76</v>
      </c>
    </row>
    <row r="5" spans="2:52" ht="18" customHeight="1" thickBot="1" x14ac:dyDescent="0.25">
      <c r="B5" s="294"/>
      <c r="C5" s="297"/>
      <c r="D5" s="298"/>
      <c r="E5" s="298"/>
      <c r="F5" s="181" t="s">
        <v>77</v>
      </c>
      <c r="AZ5" s="173"/>
    </row>
    <row r="6" spans="2:52" ht="18" customHeight="1" thickBot="1" x14ac:dyDescent="0.25">
      <c r="B6" s="306" t="s">
        <v>78</v>
      </c>
      <c r="C6" s="307"/>
      <c r="D6" s="307"/>
      <c r="E6" s="307"/>
      <c r="F6" s="308"/>
      <c r="AZ6" s="173"/>
    </row>
    <row r="7" spans="2:52" ht="33.4" customHeight="1" x14ac:dyDescent="0.2">
      <c r="B7" s="182" t="s">
        <v>79</v>
      </c>
      <c r="C7" s="299" t="s">
        <v>80</v>
      </c>
      <c r="D7" s="300"/>
      <c r="E7" s="300"/>
      <c r="F7" s="301"/>
      <c r="AZ7" s="173"/>
    </row>
    <row r="8" spans="2:52" ht="102" customHeight="1" thickBot="1" x14ac:dyDescent="0.25">
      <c r="B8" s="174" t="s">
        <v>81</v>
      </c>
      <c r="C8" s="302" t="s">
        <v>82</v>
      </c>
      <c r="D8" s="303"/>
      <c r="E8" s="303"/>
      <c r="F8" s="304"/>
      <c r="AZ8" s="173"/>
    </row>
    <row r="9" spans="2:52" ht="16.5" thickBot="1" x14ac:dyDescent="0.25">
      <c r="B9" s="305"/>
      <c r="C9" s="305"/>
      <c r="D9" s="305"/>
      <c r="E9" s="305"/>
      <c r="F9" s="305"/>
    </row>
    <row r="10" spans="2:52" ht="15.6" customHeight="1" thickBot="1" x14ac:dyDescent="0.25">
      <c r="B10" s="309" t="s">
        <v>83</v>
      </c>
      <c r="C10" s="310"/>
      <c r="D10" s="310"/>
      <c r="E10" s="310"/>
      <c r="F10" s="311"/>
    </row>
    <row r="11" spans="2:52" ht="32.25" thickBot="1" x14ac:dyDescent="0.25">
      <c r="B11" s="312" t="s">
        <v>84</v>
      </c>
      <c r="C11" s="313"/>
      <c r="D11" s="175" t="s">
        <v>85</v>
      </c>
      <c r="E11" s="175" t="s">
        <v>86</v>
      </c>
      <c r="F11" s="176" t="s">
        <v>87</v>
      </c>
    </row>
    <row r="12" spans="2:52" ht="71.25" customHeight="1" x14ac:dyDescent="0.2">
      <c r="B12" s="317" t="s">
        <v>88</v>
      </c>
      <c r="C12" s="318"/>
      <c r="D12" s="321" t="s">
        <v>89</v>
      </c>
      <c r="E12" s="324" t="s">
        <v>90</v>
      </c>
      <c r="F12" s="327" t="s">
        <v>91</v>
      </c>
    </row>
    <row r="13" spans="2:52" ht="14.25" customHeight="1" x14ac:dyDescent="0.2">
      <c r="B13" s="314"/>
      <c r="C13" s="315"/>
      <c r="D13" s="322"/>
      <c r="E13" s="325"/>
      <c r="F13" s="328"/>
    </row>
    <row r="14" spans="2:52" ht="146.25" customHeight="1" x14ac:dyDescent="0.2">
      <c r="B14" s="319" t="s">
        <v>92</v>
      </c>
      <c r="C14" s="320"/>
      <c r="D14" s="322"/>
      <c r="E14" s="325"/>
      <c r="F14" s="328"/>
    </row>
    <row r="15" spans="2:52" ht="12" customHeight="1" x14ac:dyDescent="0.2">
      <c r="B15" s="314"/>
      <c r="C15" s="315"/>
      <c r="D15" s="322"/>
      <c r="E15" s="325"/>
      <c r="F15" s="328"/>
    </row>
    <row r="16" spans="2:52" ht="13.5" customHeight="1" x14ac:dyDescent="0.2">
      <c r="B16" s="314"/>
      <c r="C16" s="315"/>
      <c r="D16" s="322"/>
      <c r="E16" s="325"/>
      <c r="F16" s="328"/>
    </row>
    <row r="17" spans="2:6" ht="12.75" customHeight="1" thickBot="1" x14ac:dyDescent="0.25">
      <c r="B17" s="330"/>
      <c r="C17" s="331"/>
      <c r="D17" s="323"/>
      <c r="E17" s="326"/>
      <c r="F17" s="329"/>
    </row>
    <row r="18" spans="2:6" ht="18.75" thickBot="1" x14ac:dyDescent="0.25">
      <c r="B18" s="316" t="s">
        <v>93</v>
      </c>
      <c r="C18" s="316"/>
      <c r="D18" s="316"/>
      <c r="E18" s="316"/>
      <c r="F18" s="316"/>
    </row>
    <row r="19" spans="2:6" ht="16.5" thickBot="1" x14ac:dyDescent="0.25">
      <c r="B19" s="262" t="s">
        <v>94</v>
      </c>
      <c r="C19" s="264"/>
      <c r="D19" s="263"/>
      <c r="E19" s="262" t="s">
        <v>95</v>
      </c>
      <c r="F19" s="263"/>
    </row>
    <row r="20" spans="2:6" ht="15" customHeight="1" x14ac:dyDescent="0.3">
      <c r="B20" s="283" t="s">
        <v>96</v>
      </c>
      <c r="C20" s="284"/>
      <c r="D20" s="285"/>
      <c r="E20" s="286" t="s">
        <v>97</v>
      </c>
      <c r="F20" s="287"/>
    </row>
    <row r="21" spans="2:6" ht="15" customHeight="1" x14ac:dyDescent="0.3">
      <c r="B21" s="268" t="s">
        <v>98</v>
      </c>
      <c r="C21" s="288"/>
      <c r="D21" s="289"/>
      <c r="E21" s="290" t="s">
        <v>99</v>
      </c>
      <c r="F21" s="291"/>
    </row>
    <row r="22" spans="2:6" ht="15" customHeight="1" x14ac:dyDescent="0.3">
      <c r="B22" s="268" t="s">
        <v>100</v>
      </c>
      <c r="C22" s="292"/>
      <c r="D22" s="291"/>
      <c r="E22" s="290" t="s">
        <v>101</v>
      </c>
      <c r="F22" s="291"/>
    </row>
    <row r="23" spans="2:6" ht="15" customHeight="1" x14ac:dyDescent="0.3">
      <c r="B23" s="268" t="s">
        <v>102</v>
      </c>
      <c r="C23" s="292"/>
      <c r="D23" s="291"/>
      <c r="E23" s="290" t="s">
        <v>103</v>
      </c>
      <c r="F23" s="291"/>
    </row>
    <row r="24" spans="2:6" ht="30" customHeight="1" x14ac:dyDescent="0.3">
      <c r="B24" s="268" t="s">
        <v>104</v>
      </c>
      <c r="C24" s="292"/>
      <c r="D24" s="291"/>
      <c r="E24" s="290" t="s">
        <v>105</v>
      </c>
      <c r="F24" s="291"/>
    </row>
    <row r="25" spans="2:6" ht="15" customHeight="1" x14ac:dyDescent="0.3">
      <c r="B25" s="268" t="s">
        <v>106</v>
      </c>
      <c r="C25" s="292"/>
      <c r="D25" s="291"/>
      <c r="E25" s="290" t="s">
        <v>107</v>
      </c>
      <c r="F25" s="291"/>
    </row>
    <row r="26" spans="2:6" ht="15" customHeight="1" x14ac:dyDescent="0.3">
      <c r="B26" s="268" t="s">
        <v>108</v>
      </c>
      <c r="C26" s="292"/>
      <c r="D26" s="291"/>
      <c r="E26" s="271" t="s">
        <v>109</v>
      </c>
      <c r="F26" s="272"/>
    </row>
    <row r="27" spans="2:6" ht="15.75" customHeight="1" x14ac:dyDescent="0.2">
      <c r="B27" s="268" t="s">
        <v>110</v>
      </c>
      <c r="C27" s="269"/>
      <c r="D27" s="270"/>
      <c r="E27" s="271" t="s">
        <v>111</v>
      </c>
      <c r="F27" s="272"/>
    </row>
    <row r="28" spans="2:6" ht="16.5" x14ac:dyDescent="0.2">
      <c r="B28" s="273" t="s">
        <v>112</v>
      </c>
      <c r="C28" s="274"/>
      <c r="D28" s="275"/>
      <c r="E28" s="271" t="s">
        <v>113</v>
      </c>
      <c r="F28" s="272"/>
    </row>
    <row r="29" spans="2:6" ht="15" customHeight="1" x14ac:dyDescent="0.2">
      <c r="B29" s="273" t="s">
        <v>114</v>
      </c>
      <c r="C29" s="274"/>
      <c r="D29" s="275"/>
      <c r="E29" s="271" t="s">
        <v>115</v>
      </c>
      <c r="F29" s="272"/>
    </row>
    <row r="30" spans="2:6" ht="15" customHeight="1" x14ac:dyDescent="0.2">
      <c r="B30" s="273" t="s">
        <v>116</v>
      </c>
      <c r="C30" s="274"/>
      <c r="D30" s="275"/>
      <c r="E30" s="276"/>
      <c r="F30" s="277"/>
    </row>
    <row r="31" spans="2:6" ht="15" customHeight="1" x14ac:dyDescent="0.2">
      <c r="B31" s="273" t="s">
        <v>117</v>
      </c>
      <c r="C31" s="274"/>
      <c r="D31" s="275"/>
      <c r="E31" s="276"/>
      <c r="F31" s="277"/>
    </row>
    <row r="32" spans="2:6" ht="15" customHeight="1" x14ac:dyDescent="0.2">
      <c r="B32" s="334"/>
      <c r="C32" s="335"/>
      <c r="D32" s="336"/>
      <c r="E32" s="337"/>
      <c r="F32" s="338"/>
    </row>
    <row r="33" spans="2:6" ht="15" customHeight="1" thickBot="1" x14ac:dyDescent="0.25">
      <c r="B33" s="339"/>
      <c r="C33" s="340"/>
      <c r="D33" s="341"/>
      <c r="E33" s="342"/>
      <c r="F33" s="343"/>
    </row>
    <row r="34" spans="2:6" ht="15" customHeight="1" thickBot="1" x14ac:dyDescent="0.25">
      <c r="B34" s="344" t="s">
        <v>118</v>
      </c>
      <c r="C34" s="345"/>
      <c r="D34" s="345"/>
      <c r="E34" s="262" t="s">
        <v>119</v>
      </c>
      <c r="F34" s="263"/>
    </row>
    <row r="35" spans="2:6" ht="15.75" customHeight="1" x14ac:dyDescent="0.3">
      <c r="B35" s="346" t="s">
        <v>120</v>
      </c>
      <c r="C35" s="347"/>
      <c r="D35" s="348"/>
      <c r="E35" s="349" t="s">
        <v>121</v>
      </c>
      <c r="F35" s="350"/>
    </row>
    <row r="36" spans="2:6" ht="33" customHeight="1" x14ac:dyDescent="0.3">
      <c r="B36" s="278" t="s">
        <v>122</v>
      </c>
      <c r="C36" s="269"/>
      <c r="D36" s="332"/>
      <c r="E36" s="278" t="s">
        <v>123</v>
      </c>
      <c r="F36" s="279"/>
    </row>
    <row r="37" spans="2:6" ht="33" customHeight="1" x14ac:dyDescent="0.3">
      <c r="B37" s="278" t="s">
        <v>124</v>
      </c>
      <c r="C37" s="269"/>
      <c r="D37" s="332"/>
      <c r="E37" s="333" t="s">
        <v>125</v>
      </c>
      <c r="F37" s="279"/>
    </row>
    <row r="38" spans="2:6" ht="16.5" customHeight="1" x14ac:dyDescent="0.3">
      <c r="B38" s="333" t="s">
        <v>126</v>
      </c>
      <c r="C38" s="290"/>
      <c r="D38" s="351"/>
      <c r="E38" s="333" t="s">
        <v>127</v>
      </c>
      <c r="F38" s="279"/>
    </row>
    <row r="39" spans="2:6" ht="16.5" customHeight="1" x14ac:dyDescent="0.3">
      <c r="B39" s="333" t="s">
        <v>128</v>
      </c>
      <c r="C39" s="290"/>
      <c r="D39" s="351"/>
      <c r="E39" s="278" t="s">
        <v>129</v>
      </c>
      <c r="F39" s="279"/>
    </row>
    <row r="40" spans="2:6" ht="32.25" customHeight="1" x14ac:dyDescent="0.3">
      <c r="B40" s="333" t="s">
        <v>130</v>
      </c>
      <c r="C40" s="290"/>
      <c r="D40" s="351"/>
      <c r="E40" s="333" t="s">
        <v>131</v>
      </c>
      <c r="F40" s="279"/>
    </row>
    <row r="41" spans="2:6" ht="16.5" customHeight="1" x14ac:dyDescent="0.3">
      <c r="B41" s="333" t="s">
        <v>132</v>
      </c>
      <c r="C41" s="290"/>
      <c r="D41" s="351"/>
      <c r="E41" s="278" t="s">
        <v>133</v>
      </c>
      <c r="F41" s="279"/>
    </row>
    <row r="42" spans="2:6" ht="16.5" customHeight="1" x14ac:dyDescent="0.3">
      <c r="B42" s="333" t="s">
        <v>134</v>
      </c>
      <c r="C42" s="290"/>
      <c r="D42" s="351"/>
      <c r="E42" s="278" t="s">
        <v>135</v>
      </c>
      <c r="F42" s="279"/>
    </row>
    <row r="43" spans="2:6" ht="16.5" customHeight="1" x14ac:dyDescent="0.3">
      <c r="B43" s="257" t="s">
        <v>136</v>
      </c>
      <c r="C43" s="258"/>
      <c r="D43" s="259"/>
      <c r="E43" s="278" t="s">
        <v>137</v>
      </c>
      <c r="F43" s="279"/>
    </row>
    <row r="44" spans="2:6" ht="16.5" customHeight="1" x14ac:dyDescent="0.3">
      <c r="B44" s="257" t="s">
        <v>138</v>
      </c>
      <c r="C44" s="258"/>
      <c r="D44" s="259"/>
      <c r="E44" s="365" t="s">
        <v>139</v>
      </c>
      <c r="F44" s="366"/>
    </row>
    <row r="45" spans="2:6" ht="16.5" customHeight="1" x14ac:dyDescent="0.2">
      <c r="B45" s="367" t="s">
        <v>140</v>
      </c>
      <c r="C45" s="368"/>
      <c r="D45" s="369"/>
      <c r="E45" s="260" t="s">
        <v>141</v>
      </c>
      <c r="F45" s="261"/>
    </row>
    <row r="46" spans="2:6" ht="16.5" customHeight="1" x14ac:dyDescent="0.3">
      <c r="B46" s="257" t="s">
        <v>142</v>
      </c>
      <c r="C46" s="258"/>
      <c r="D46" s="259"/>
      <c r="E46" s="260" t="s">
        <v>143</v>
      </c>
      <c r="F46" s="261"/>
    </row>
    <row r="47" spans="2:6" ht="33" customHeight="1" x14ac:dyDescent="0.3">
      <c r="B47" s="257" t="s">
        <v>144</v>
      </c>
      <c r="C47" s="258"/>
      <c r="D47" s="259"/>
      <c r="E47" s="257" t="s">
        <v>145</v>
      </c>
      <c r="F47" s="352"/>
    </row>
    <row r="48" spans="2:6" ht="16.5" customHeight="1" x14ac:dyDescent="0.3">
      <c r="B48" s="257" t="s">
        <v>136</v>
      </c>
      <c r="C48" s="258"/>
      <c r="D48" s="259"/>
      <c r="E48" s="260" t="s">
        <v>146</v>
      </c>
      <c r="F48" s="261"/>
    </row>
    <row r="49" spans="2:6" ht="16.5" customHeight="1" x14ac:dyDescent="0.3">
      <c r="B49" s="257" t="s">
        <v>138</v>
      </c>
      <c r="C49" s="258"/>
      <c r="D49" s="259"/>
      <c r="E49" s="260" t="s">
        <v>147</v>
      </c>
      <c r="F49" s="261"/>
    </row>
    <row r="50" spans="2:6" ht="16.5" customHeight="1" x14ac:dyDescent="0.3">
      <c r="B50" s="257" t="s">
        <v>140</v>
      </c>
      <c r="C50" s="258"/>
      <c r="D50" s="259"/>
      <c r="E50" s="260" t="s">
        <v>148</v>
      </c>
      <c r="F50" s="261"/>
    </row>
    <row r="51" spans="2:6" ht="16.5" customHeight="1" x14ac:dyDescent="0.3">
      <c r="B51" s="257" t="s">
        <v>142</v>
      </c>
      <c r="C51" s="258"/>
      <c r="D51" s="259"/>
      <c r="E51" s="361"/>
      <c r="F51" s="362"/>
    </row>
    <row r="52" spans="2:6" ht="33" customHeight="1" x14ac:dyDescent="0.3">
      <c r="B52" s="257" t="s">
        <v>144</v>
      </c>
      <c r="C52" s="258"/>
      <c r="D52" s="259"/>
      <c r="E52" s="363"/>
      <c r="F52" s="364"/>
    </row>
    <row r="53" spans="2:6" ht="16.5" customHeight="1" x14ac:dyDescent="0.2">
      <c r="B53" s="358"/>
      <c r="C53" s="359"/>
      <c r="D53" s="360"/>
      <c r="E53" s="358"/>
      <c r="F53" s="360"/>
    </row>
    <row r="54" spans="2:6" ht="16.5" customHeight="1" thickBot="1" x14ac:dyDescent="0.25">
      <c r="B54" s="353"/>
      <c r="C54" s="354"/>
      <c r="D54" s="355"/>
      <c r="E54" s="356"/>
      <c r="F54" s="357"/>
    </row>
    <row r="55" spans="2:6" ht="16.5" customHeight="1" thickBot="1" x14ac:dyDescent="0.25"/>
    <row r="56" spans="2:6" ht="17.25" customHeight="1" thickTop="1" thickBot="1" x14ac:dyDescent="0.25">
      <c r="B56" s="265" t="s">
        <v>149</v>
      </c>
      <c r="C56" s="266"/>
      <c r="D56" s="266"/>
      <c r="E56" s="266"/>
      <c r="F56" s="267"/>
    </row>
    <row r="57" spans="2:6" ht="16.5" thickTop="1" thickBot="1" x14ac:dyDescent="0.3">
      <c r="B57" s="180" t="s">
        <v>150</v>
      </c>
      <c r="C57" s="180" t="s">
        <v>151</v>
      </c>
      <c r="D57" s="280" t="s">
        <v>152</v>
      </c>
      <c r="E57" s="280"/>
      <c r="F57" s="180" t="s">
        <v>153</v>
      </c>
    </row>
    <row r="58" spans="2:6" ht="44.25" customHeight="1" thickTop="1" x14ac:dyDescent="0.2">
      <c r="B58" s="177" t="s">
        <v>154</v>
      </c>
      <c r="C58" s="178">
        <v>45723</v>
      </c>
      <c r="D58" s="281" t="s">
        <v>155</v>
      </c>
      <c r="E58" s="282"/>
      <c r="F58" s="179" t="s">
        <v>156</v>
      </c>
    </row>
  </sheetData>
  <mergeCells count="93">
    <mergeCell ref="B54:D54"/>
    <mergeCell ref="E54:F54"/>
    <mergeCell ref="B53:D53"/>
    <mergeCell ref="E53:F53"/>
    <mergeCell ref="B39:D39"/>
    <mergeCell ref="B51:D51"/>
    <mergeCell ref="E51:F51"/>
    <mergeCell ref="B52:D52"/>
    <mergeCell ref="E52:F52"/>
    <mergeCell ref="E42:F42"/>
    <mergeCell ref="B43:D43"/>
    <mergeCell ref="E43:F43"/>
    <mergeCell ref="B44:D44"/>
    <mergeCell ref="E44:F44"/>
    <mergeCell ref="B45:D45"/>
    <mergeCell ref="E45:F45"/>
    <mergeCell ref="B38:D38"/>
    <mergeCell ref="E38:F38"/>
    <mergeCell ref="E39:F39"/>
    <mergeCell ref="B49:D49"/>
    <mergeCell ref="E49:F49"/>
    <mergeCell ref="B40:D40"/>
    <mergeCell ref="B41:D41"/>
    <mergeCell ref="B46:D46"/>
    <mergeCell ref="B47:D47"/>
    <mergeCell ref="B48:D48"/>
    <mergeCell ref="E40:F40"/>
    <mergeCell ref="E41:F41"/>
    <mergeCell ref="E46:F46"/>
    <mergeCell ref="E47:F47"/>
    <mergeCell ref="E48:F48"/>
    <mergeCell ref="B42:D42"/>
    <mergeCell ref="B37:D37"/>
    <mergeCell ref="E37:F37"/>
    <mergeCell ref="B32:D32"/>
    <mergeCell ref="E32:F32"/>
    <mergeCell ref="B33:D33"/>
    <mergeCell ref="E33:F33"/>
    <mergeCell ref="B34:D34"/>
    <mergeCell ref="E34:F34"/>
    <mergeCell ref="B35:D35"/>
    <mergeCell ref="E35:F35"/>
    <mergeCell ref="B36:D36"/>
    <mergeCell ref="B10:F10"/>
    <mergeCell ref="B11:C11"/>
    <mergeCell ref="B16:C16"/>
    <mergeCell ref="B18:F18"/>
    <mergeCell ref="B12:C12"/>
    <mergeCell ref="B13:C13"/>
    <mergeCell ref="B14:C14"/>
    <mergeCell ref="D12:D17"/>
    <mergeCell ref="E12:E17"/>
    <mergeCell ref="F12:F17"/>
    <mergeCell ref="B15:C15"/>
    <mergeCell ref="B17:C17"/>
    <mergeCell ref="B2:B5"/>
    <mergeCell ref="C2:E5"/>
    <mergeCell ref="C7:F7"/>
    <mergeCell ref="C8:F8"/>
    <mergeCell ref="B9:F9"/>
    <mergeCell ref="B6:F6"/>
    <mergeCell ref="D57:E57"/>
    <mergeCell ref="D58:E58"/>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50:D50"/>
    <mergeCell ref="E50:F50"/>
    <mergeCell ref="E19:F19"/>
    <mergeCell ref="B19:D19"/>
    <mergeCell ref="B56:F56"/>
    <mergeCell ref="B27:D27"/>
    <mergeCell ref="E27:F27"/>
    <mergeCell ref="B28:D28"/>
    <mergeCell ref="E28:F28"/>
    <mergeCell ref="B29:D29"/>
    <mergeCell ref="E29:F29"/>
    <mergeCell ref="B30:D30"/>
    <mergeCell ref="E30:F30"/>
    <mergeCell ref="B31:D31"/>
    <mergeCell ref="E31:F31"/>
    <mergeCell ref="E36:F3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89"/>
  <sheetViews>
    <sheetView tabSelected="1" zoomScale="90" zoomScaleNormal="90" workbookViewId="0">
      <selection activeCell="C8" sqref="C8:N8"/>
    </sheetView>
  </sheetViews>
  <sheetFormatPr baseColWidth="10" defaultColWidth="11.42578125" defaultRowHeight="16.5" x14ac:dyDescent="0.3"/>
  <cols>
    <col min="1" max="1" width="4" style="2" bestFit="1" customWidth="1"/>
    <col min="2" max="2" width="16.140625" style="2" customWidth="1"/>
    <col min="3" max="3" width="23.140625" style="2" customWidth="1"/>
    <col min="4" max="4" width="28.85546875" style="2" customWidth="1"/>
    <col min="5" max="5" width="42.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7" style="1" hidden="1" customWidth="1"/>
    <col min="12" max="12" width="17.5703125" style="1" customWidth="1"/>
    <col min="13" max="13" width="6.28515625" style="1" bestFit="1" customWidth="1"/>
    <col min="14" max="14" width="16" style="1" customWidth="1"/>
    <col min="15" max="15" width="5.85546875" style="1" customWidth="1"/>
    <col min="16" max="16" width="52.42578125" style="16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42578125" style="1" customWidth="1"/>
    <col min="32" max="32" width="21.7109375" style="1" customWidth="1"/>
    <col min="33" max="33" width="24.42578125" style="1" customWidth="1"/>
    <col min="34" max="34" width="15.42578125" style="1" customWidth="1"/>
    <col min="35" max="35" width="15.28515625" style="1" customWidth="1"/>
    <col min="36" max="16384" width="11.42578125" style="1"/>
  </cols>
  <sheetData>
    <row r="1" spans="1:67" ht="15" customHeight="1" x14ac:dyDescent="0.3">
      <c r="A1" s="454"/>
      <c r="B1" s="455"/>
      <c r="C1" s="455"/>
      <c r="D1" s="455"/>
      <c r="E1" s="429" t="s">
        <v>157</v>
      </c>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1"/>
      <c r="AG1" s="420" t="s">
        <v>71</v>
      </c>
      <c r="AH1" s="421"/>
      <c r="AI1" s="422"/>
    </row>
    <row r="2" spans="1:67" ht="15" customHeight="1" x14ac:dyDescent="0.3">
      <c r="A2" s="456"/>
      <c r="B2" s="457"/>
      <c r="C2" s="457"/>
      <c r="D2" s="457"/>
      <c r="E2" s="432"/>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4"/>
      <c r="AG2" s="425" t="s">
        <v>73</v>
      </c>
      <c r="AH2" s="426"/>
      <c r="AI2" s="427"/>
    </row>
    <row r="3" spans="1:67" ht="15" customHeight="1" x14ac:dyDescent="0.3">
      <c r="A3" s="456"/>
      <c r="B3" s="457"/>
      <c r="C3" s="457"/>
      <c r="D3" s="457"/>
      <c r="E3" s="432"/>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4"/>
      <c r="AG3" s="428" t="s">
        <v>75</v>
      </c>
      <c r="AH3" s="428"/>
      <c r="AI3" s="428"/>
      <c r="AJ3" s="184"/>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58"/>
      <c r="B4" s="459"/>
      <c r="C4" s="459"/>
      <c r="D4" s="459"/>
      <c r="E4" s="435"/>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7"/>
      <c r="AG4" s="425" t="s">
        <v>77</v>
      </c>
      <c r="AH4" s="426"/>
      <c r="AI4" s="427"/>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8"/>
      <c r="Q5" s="8"/>
      <c r="R5" s="8"/>
      <c r="S5" s="8"/>
      <c r="T5" s="8"/>
      <c r="U5" s="8"/>
      <c r="V5" s="8"/>
      <c r="W5" s="8"/>
      <c r="X5" s="8"/>
      <c r="Y5" s="8"/>
      <c r="Z5" s="8"/>
      <c r="AA5" s="8"/>
      <c r="AB5" s="8"/>
      <c r="AC5" s="8"/>
      <c r="AD5" s="8"/>
      <c r="AE5" s="8"/>
      <c r="AF5" s="8"/>
      <c r="AG5" s="183"/>
      <c r="AH5" s="183"/>
      <c r="AI5" s="183"/>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620" t="s">
        <v>158</v>
      </c>
      <c r="B6" s="621"/>
      <c r="C6" s="460" t="s">
        <v>80</v>
      </c>
      <c r="D6" s="461"/>
      <c r="E6" s="461"/>
      <c r="F6" s="461"/>
      <c r="G6" s="461"/>
      <c r="H6" s="461"/>
      <c r="I6" s="461"/>
      <c r="J6" s="461"/>
      <c r="K6" s="461"/>
      <c r="L6" s="461"/>
      <c r="M6" s="461"/>
      <c r="N6" s="462"/>
      <c r="O6" s="438"/>
      <c r="P6" s="438"/>
      <c r="Q6" s="43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620" t="s">
        <v>159</v>
      </c>
      <c r="B7" s="621"/>
      <c r="C7" s="448" t="s">
        <v>160</v>
      </c>
      <c r="D7" s="449"/>
      <c r="E7" s="449"/>
      <c r="F7" s="449"/>
      <c r="G7" s="449"/>
      <c r="H7" s="449"/>
      <c r="I7" s="449"/>
      <c r="J7" s="449"/>
      <c r="K7" s="449"/>
      <c r="L7" s="449"/>
      <c r="M7" s="449"/>
      <c r="N7" s="450"/>
      <c r="O7" s="8"/>
      <c r="P7" s="16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97.5" customHeight="1" x14ac:dyDescent="0.3">
      <c r="A8" s="620" t="s">
        <v>161</v>
      </c>
      <c r="B8" s="621"/>
      <c r="C8" s="448" t="s">
        <v>82</v>
      </c>
      <c r="D8" s="449"/>
      <c r="E8" s="449"/>
      <c r="F8" s="449"/>
      <c r="G8" s="449"/>
      <c r="H8" s="449"/>
      <c r="I8" s="449"/>
      <c r="J8" s="449"/>
      <c r="K8" s="449"/>
      <c r="L8" s="449"/>
      <c r="M8" s="449"/>
      <c r="N8" s="450"/>
      <c r="O8" s="8"/>
      <c r="P8" s="16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439" t="s">
        <v>162</v>
      </c>
      <c r="B9" s="440"/>
      <c r="C9" s="440"/>
      <c r="D9" s="440"/>
      <c r="E9" s="440"/>
      <c r="F9" s="440"/>
      <c r="G9" s="441"/>
      <c r="H9" s="439" t="s">
        <v>163</v>
      </c>
      <c r="I9" s="440"/>
      <c r="J9" s="440"/>
      <c r="K9" s="440"/>
      <c r="L9" s="440"/>
      <c r="M9" s="440"/>
      <c r="N9" s="441"/>
      <c r="O9" s="439" t="s">
        <v>164</v>
      </c>
      <c r="P9" s="440"/>
      <c r="Q9" s="440"/>
      <c r="R9" s="440"/>
      <c r="S9" s="440"/>
      <c r="T9" s="440"/>
      <c r="U9" s="440"/>
      <c r="V9" s="440"/>
      <c r="W9" s="441"/>
      <c r="X9" s="439" t="s">
        <v>165</v>
      </c>
      <c r="Y9" s="440"/>
      <c r="Z9" s="440"/>
      <c r="AA9" s="440"/>
      <c r="AB9" s="440"/>
      <c r="AC9" s="440"/>
      <c r="AD9" s="441"/>
      <c r="AE9" s="463" t="s">
        <v>166</v>
      </c>
      <c r="AF9" s="464"/>
      <c r="AG9" s="464"/>
      <c r="AH9" s="464"/>
      <c r="AI9" s="465"/>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42" t="s">
        <v>167</v>
      </c>
      <c r="B10" s="445" t="s">
        <v>26</v>
      </c>
      <c r="C10" s="415" t="s">
        <v>28</v>
      </c>
      <c r="D10" s="415" t="s">
        <v>30</v>
      </c>
      <c r="E10" s="444" t="s">
        <v>32</v>
      </c>
      <c r="F10" s="423" t="s">
        <v>34</v>
      </c>
      <c r="G10" s="415" t="s">
        <v>168</v>
      </c>
      <c r="H10" s="417" t="s">
        <v>169</v>
      </c>
      <c r="I10" s="418" t="s">
        <v>170</v>
      </c>
      <c r="J10" s="423" t="s">
        <v>171</v>
      </c>
      <c r="K10" s="423" t="s">
        <v>172</v>
      </c>
      <c r="L10" s="424" t="s">
        <v>173</v>
      </c>
      <c r="M10" s="418" t="s">
        <v>170</v>
      </c>
      <c r="N10" s="415" t="s">
        <v>40</v>
      </c>
      <c r="O10" s="446" t="s">
        <v>174</v>
      </c>
      <c r="P10" s="416" t="s">
        <v>42</v>
      </c>
      <c r="Q10" s="423" t="s">
        <v>44</v>
      </c>
      <c r="R10" s="416" t="s">
        <v>175</v>
      </c>
      <c r="S10" s="416"/>
      <c r="T10" s="416"/>
      <c r="U10" s="416"/>
      <c r="V10" s="416"/>
      <c r="W10" s="416"/>
      <c r="X10" s="451" t="s">
        <v>176</v>
      </c>
      <c r="Y10" s="451" t="s">
        <v>177</v>
      </c>
      <c r="Z10" s="451" t="s">
        <v>170</v>
      </c>
      <c r="AA10" s="451" t="s">
        <v>178</v>
      </c>
      <c r="AB10" s="451" t="s">
        <v>170</v>
      </c>
      <c r="AC10" s="451" t="s">
        <v>179</v>
      </c>
      <c r="AD10" s="446" t="s">
        <v>60</v>
      </c>
      <c r="AE10" s="416" t="s">
        <v>166</v>
      </c>
      <c r="AF10" s="416" t="s">
        <v>153</v>
      </c>
      <c r="AG10" s="416" t="s">
        <v>180</v>
      </c>
      <c r="AH10" s="416" t="s">
        <v>181</v>
      </c>
      <c r="AI10" s="423" t="s">
        <v>182</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43"/>
      <c r="B11" s="445"/>
      <c r="C11" s="416"/>
      <c r="D11" s="416"/>
      <c r="E11" s="445"/>
      <c r="F11" s="415"/>
      <c r="G11" s="416"/>
      <c r="H11" s="415"/>
      <c r="I11" s="419"/>
      <c r="J11" s="415"/>
      <c r="K11" s="415"/>
      <c r="L11" s="419"/>
      <c r="M11" s="419"/>
      <c r="N11" s="416"/>
      <c r="O11" s="447"/>
      <c r="P11" s="416"/>
      <c r="Q11" s="415"/>
      <c r="R11" s="7" t="s">
        <v>183</v>
      </c>
      <c r="S11" s="7" t="s">
        <v>184</v>
      </c>
      <c r="T11" s="7" t="s">
        <v>185</v>
      </c>
      <c r="U11" s="7" t="s">
        <v>186</v>
      </c>
      <c r="V11" s="7" t="s">
        <v>187</v>
      </c>
      <c r="W11" s="7" t="s">
        <v>188</v>
      </c>
      <c r="X11" s="451"/>
      <c r="Y11" s="451"/>
      <c r="Z11" s="451"/>
      <c r="AA11" s="451"/>
      <c r="AB11" s="451"/>
      <c r="AC11" s="451"/>
      <c r="AD11" s="447"/>
      <c r="AE11" s="416"/>
      <c r="AF11" s="416"/>
      <c r="AG11" s="416"/>
      <c r="AH11" s="416"/>
      <c r="AI11" s="41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83.25" customHeight="1" x14ac:dyDescent="0.25">
      <c r="A12" s="403">
        <v>1</v>
      </c>
      <c r="B12" s="406" t="s">
        <v>189</v>
      </c>
      <c r="C12" s="406" t="s">
        <v>414</v>
      </c>
      <c r="D12" s="406" t="s">
        <v>413</v>
      </c>
      <c r="E12" s="409" t="s">
        <v>191</v>
      </c>
      <c r="F12" s="406" t="s">
        <v>192</v>
      </c>
      <c r="G12" s="412">
        <v>12</v>
      </c>
      <c r="H12" s="376" t="str">
        <f>IF(G12&lt;=0,"",IF(G12&lt;=2,"Muy Baja",IF(G12&lt;=24,"Baja",IF(G12&lt;=500,"Media",IF(G12&lt;=5000,"Alta","Muy Alta")))))</f>
        <v>Baja</v>
      </c>
      <c r="I12" s="379">
        <f>IF(H12="","",IF(H12="Muy Baja",0.2,IF(H12="Baja",0.4,IF(H12="Media",0.6,IF(H12="Alta",0.8,IF(H12="Muy Alta",1,))))))</f>
        <v>0.4</v>
      </c>
      <c r="J12" s="373" t="s">
        <v>193</v>
      </c>
      <c r="K12" s="379"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76" t="str">
        <f>IF(OR(K12='Tabla Impacto'!$C$11,K12='Tabla Impacto'!$D$11),"Leve",IF(OR(K12='Tabla Impacto'!$C$12,K12='Tabla Impacto'!$D$12),"Menor",IF(OR(K12='Tabla Impacto'!$C$13,K12='Tabla Impacto'!$D$13),"Moderado",IF(OR(K12='Tabla Impacto'!$C$14,K12='Tabla Impacto'!$D$14),"Mayor",IF(OR(K12='Tabla Impacto'!$C$15,K12='Tabla Impacto'!$D$15),"Catastrófico","")))))</f>
        <v>Mayor</v>
      </c>
      <c r="M12" s="379">
        <f>IF(L12="","",IF(L12="Leve",0.2,IF(L12="Menor",0.4,IF(L12="Moderado",0.6,IF(L12="Mayor",0.8,IF(L12="Catastrófico",1,))))))</f>
        <v>0.8</v>
      </c>
      <c r="N12" s="38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91" t="s">
        <v>194</v>
      </c>
      <c r="Q12" s="152" t="str">
        <f>IF(OR(R12="Preventivo",R12="Detectivo"),"Probabilidad",IF(R12="Correctivo","Impacto",""))</f>
        <v>Probabilidad</v>
      </c>
      <c r="R12" s="147" t="s">
        <v>195</v>
      </c>
      <c r="S12" s="147" t="s">
        <v>196</v>
      </c>
      <c r="T12" s="148" t="str">
        <f>IF(AND(R12="Preventivo",S12="Automático"),"50%",IF(AND(R12="Preventivo",S12="Manual"),"40%",IF(AND(R12="Detectivo",S12="Automático"),"40%",IF(AND(R12="Detectivo",S12="Manual"),"30%",IF(AND(R12="Correctivo",S12="Automático"),"35%",IF(AND(R12="Correctivo",S12="Manual"),"25%",""))))))</f>
        <v>40%</v>
      </c>
      <c r="U12" s="147" t="s">
        <v>197</v>
      </c>
      <c r="V12" s="147" t="s">
        <v>198</v>
      </c>
      <c r="W12" s="147" t="s">
        <v>199</v>
      </c>
      <c r="X12" s="149">
        <f>IFERROR(IF(Q12="Probabilidad",(I12-(+I12*T12)),IF(Q12="Impacto",I12,"")),"")</f>
        <v>0.24</v>
      </c>
      <c r="Y12" s="150" t="str">
        <f>IFERROR(IF(X12="","",IF(X12&lt;=0.2,"Muy Baja",IF(X12&lt;=0.4,"Baja",IF(X12&lt;=0.6,"Media",IF(X12&lt;=0.8,"Alta","Muy Alta"))))),"")</f>
        <v>Baja</v>
      </c>
      <c r="Z12" s="151">
        <f>+X12</f>
        <v>0.24</v>
      </c>
      <c r="AA12" s="150" t="str">
        <f>IFERROR(IF(AB12="","",IF(AB12&lt;=0.2,"Leve",IF(AB12&lt;=0.4,"Menor",IF(AB12&lt;=0.6,"Moderado",IF(AB12&lt;=0.8,"Mayor","Catastrófico"))))),"")</f>
        <v>Mayor</v>
      </c>
      <c r="AB12" s="151">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53" t="s">
        <v>200</v>
      </c>
      <c r="AE12" s="188" t="s">
        <v>201</v>
      </c>
      <c r="AF12" s="163" t="s">
        <v>202</v>
      </c>
      <c r="AG12" s="192" t="s">
        <v>203</v>
      </c>
      <c r="AH12" s="155">
        <v>45658</v>
      </c>
      <c r="AI12" s="155">
        <v>46021</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18" customHeight="1" x14ac:dyDescent="0.3">
      <c r="A13" s="404"/>
      <c r="B13" s="407"/>
      <c r="C13" s="407"/>
      <c r="D13" s="407"/>
      <c r="E13" s="410"/>
      <c r="F13" s="407"/>
      <c r="G13" s="413"/>
      <c r="H13" s="377"/>
      <c r="I13" s="380"/>
      <c r="J13" s="374"/>
      <c r="K13" s="380">
        <f>IF(NOT(ISERROR(MATCH(J13,_xlfn.ANCHORARRAY(E24),0))),I26&amp;"Por favor no seleccionar los criterios de impacto",J13)</f>
        <v>0</v>
      </c>
      <c r="L13" s="377"/>
      <c r="M13" s="380"/>
      <c r="N13" s="383"/>
      <c r="O13" s="6">
        <v>2</v>
      </c>
      <c r="P13" s="165"/>
      <c r="Q13" s="152" t="str">
        <f>IF(OR(R13="Preventivo",R13="Detectivo"),"Probabilidad",IF(R13="Correctivo","Impacto",""))</f>
        <v/>
      </c>
      <c r="R13" s="147"/>
      <c r="S13" s="147"/>
      <c r="T13" s="148" t="str">
        <f t="shared" ref="T13:T17" si="0">IF(AND(R13="Preventivo",S13="Automático"),"50%",IF(AND(R13="Preventivo",S13="Manual"),"40%",IF(AND(R13="Detectivo",S13="Automático"),"40%",IF(AND(R13="Detectivo",S13="Manual"),"30%",IF(AND(R13="Correctivo",S13="Automático"),"35%",IF(AND(R13="Correctivo",S13="Manual"),"25%",""))))))</f>
        <v/>
      </c>
      <c r="U13" s="147"/>
      <c r="V13" s="147"/>
      <c r="W13" s="147"/>
      <c r="X13" s="149" t="str">
        <f>IFERROR(IF(AND(Q12="Probabilidad",Q13="Probabilidad"),(Z12-(+Z12*T13)),IF(Q13="Probabilidad",(I12-(+I12*T13)),IF(Q13="Impacto",Z12,""))),"")</f>
        <v/>
      </c>
      <c r="Y13" s="150" t="str">
        <f t="shared" ref="Y13:Y68" si="1">IFERROR(IF(X13="","",IF(X13&lt;=0.2,"Muy Baja",IF(X13&lt;=0.4,"Baja",IF(X13&lt;=0.6,"Media",IF(X13&lt;=0.8,"Alta","Muy Alta"))))),"")</f>
        <v/>
      </c>
      <c r="Z13" s="151" t="str">
        <f t="shared" ref="Z13:Z17" si="2">+X13</f>
        <v/>
      </c>
      <c r="AA13" s="150" t="str">
        <f t="shared" ref="AA13:AA68" si="3">IFERROR(IF(AB13="","",IF(AB13&lt;=0.2,"Leve",IF(AB13&lt;=0.4,"Menor",IF(AB13&lt;=0.6,"Moderado",IF(AB13&lt;=0.8,"Mayor","Catastrófico"))))),"")</f>
        <v/>
      </c>
      <c r="AB13" s="151" t="str">
        <f>IFERROR(IF(AND(Q12="Impacto",Q13="Impacto"),(AB12-(+AB12*T13)),IF(Q13="Impacto",(M12-(+M12*T13)),IF(Q13="Probabilidad",AB12,""))),"")</f>
        <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53"/>
      <c r="AE13" s="163"/>
      <c r="AF13" s="163"/>
      <c r="AG13" s="163"/>
      <c r="AH13" s="164"/>
      <c r="AI13" s="164"/>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404"/>
      <c r="B14" s="407"/>
      <c r="C14" s="407"/>
      <c r="D14" s="407"/>
      <c r="E14" s="410"/>
      <c r="F14" s="407"/>
      <c r="G14" s="413"/>
      <c r="H14" s="377"/>
      <c r="I14" s="380"/>
      <c r="J14" s="374"/>
      <c r="K14" s="380">
        <f>IF(NOT(ISERROR(MATCH(J14,_xlfn.ANCHORARRAY(E25),0))),I27&amp;"Por favor no seleccionar los criterios de impacto",J14)</f>
        <v>0</v>
      </c>
      <c r="L14" s="377"/>
      <c r="M14" s="380"/>
      <c r="N14" s="383"/>
      <c r="O14" s="106">
        <v>3</v>
      </c>
      <c r="P14" s="166"/>
      <c r="Q14" s="107"/>
      <c r="R14" s="108"/>
      <c r="S14" s="108"/>
      <c r="T14" s="109"/>
      <c r="U14" s="118"/>
      <c r="V14" s="118"/>
      <c r="W14" s="118"/>
      <c r="X14" s="110"/>
      <c r="Y14" s="111"/>
      <c r="Z14" s="112"/>
      <c r="AA14" s="111"/>
      <c r="AB14" s="112"/>
      <c r="AC14" s="113"/>
      <c r="AD14" s="114"/>
      <c r="AE14" s="115"/>
      <c r="AF14" s="116"/>
      <c r="AG14" s="116"/>
      <c r="AH14" s="117"/>
      <c r="AI14" s="117"/>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404"/>
      <c r="B15" s="407"/>
      <c r="C15" s="407"/>
      <c r="D15" s="407"/>
      <c r="E15" s="410"/>
      <c r="F15" s="407"/>
      <c r="G15" s="413"/>
      <c r="H15" s="377"/>
      <c r="I15" s="380"/>
      <c r="J15" s="374"/>
      <c r="K15" s="380">
        <f>IF(NOT(ISERROR(MATCH(J15,_xlfn.ANCHORARRAY(E26),0))),I28&amp;"Por favor no seleccionar los criterios de impacto",J15)</f>
        <v>0</v>
      </c>
      <c r="L15" s="377"/>
      <c r="M15" s="380"/>
      <c r="N15" s="383"/>
      <c r="O15" s="106">
        <v>4</v>
      </c>
      <c r="P15" s="165"/>
      <c r="Q15" s="107"/>
      <c r="R15" s="108"/>
      <c r="S15" s="108"/>
      <c r="T15" s="109"/>
      <c r="U15" s="108"/>
      <c r="V15" s="108"/>
      <c r="W15" s="108"/>
      <c r="X15" s="110"/>
      <c r="Y15" s="111"/>
      <c r="Z15" s="112"/>
      <c r="AA15" s="111"/>
      <c r="AB15" s="112"/>
      <c r="AC15" s="113"/>
      <c r="AD15" s="114"/>
      <c r="AE15" s="115"/>
      <c r="AF15" s="116"/>
      <c r="AG15" s="116"/>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404"/>
      <c r="B16" s="407"/>
      <c r="C16" s="407"/>
      <c r="D16" s="407"/>
      <c r="E16" s="410"/>
      <c r="F16" s="407"/>
      <c r="G16" s="413"/>
      <c r="H16" s="377"/>
      <c r="I16" s="380"/>
      <c r="J16" s="374"/>
      <c r="K16" s="380">
        <f>IF(NOT(ISERROR(MATCH(J16,_xlfn.ANCHORARRAY(E27),0))),I29&amp;"Por favor no seleccionar los criterios de impacto",J16)</f>
        <v>0</v>
      </c>
      <c r="L16" s="377"/>
      <c r="M16" s="380"/>
      <c r="N16" s="383"/>
      <c r="O16" s="106">
        <v>5</v>
      </c>
      <c r="P16" s="165"/>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6"/>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405"/>
      <c r="B17" s="408"/>
      <c r="C17" s="408"/>
      <c r="D17" s="408"/>
      <c r="E17" s="411"/>
      <c r="F17" s="408"/>
      <c r="G17" s="414"/>
      <c r="H17" s="378"/>
      <c r="I17" s="381"/>
      <c r="J17" s="375"/>
      <c r="K17" s="381">
        <f>IF(NOT(ISERROR(MATCH(J17,_xlfn.ANCHORARRAY(E28),0))),I30&amp;"Por favor no seleccionar los criterios de impacto",J17)</f>
        <v>0</v>
      </c>
      <c r="L17" s="378"/>
      <c r="M17" s="381"/>
      <c r="N17" s="384"/>
      <c r="O17" s="106">
        <v>6</v>
      </c>
      <c r="P17" s="165"/>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6"/>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96" customHeight="1" x14ac:dyDescent="0.3">
      <c r="A18" s="403">
        <v>2</v>
      </c>
      <c r="B18" s="406" t="s">
        <v>204</v>
      </c>
      <c r="C18" s="406" t="s">
        <v>415</v>
      </c>
      <c r="D18" s="406" t="s">
        <v>206</v>
      </c>
      <c r="E18" s="409" t="s">
        <v>207</v>
      </c>
      <c r="F18" s="406" t="s">
        <v>192</v>
      </c>
      <c r="G18" s="412">
        <v>327</v>
      </c>
      <c r="H18" s="376" t="str">
        <f>IF(G18&lt;=0,"",IF(G18&lt;=2,"Muy Baja",IF(G18&lt;=24,"Baja",IF(G18&lt;=500,"Media",IF(G18&lt;=5000,"Alta","Muy Alta")))))</f>
        <v>Media</v>
      </c>
      <c r="I18" s="379">
        <f>IF(H18="","",IF(H18="Muy Baja",0.2,IF(H18="Baja",0.4,IF(H18="Media",0.6,IF(H18="Alta",0.8,IF(H18="Muy Alta",1,))))))</f>
        <v>0.6</v>
      </c>
      <c r="J18" s="373" t="s">
        <v>208</v>
      </c>
      <c r="K18" s="379" t="str">
        <f>IF(NOT(ISERROR(MATCH(J18,'Tabla Impacto'!$B$221:$B$223,0))),'Tabla Impacto'!$F$223&amp;"Por favor no seleccionar los criterios de impacto(Afectación Económica o presupuestal y Pérdida Reputacional)",J18)</f>
        <v xml:space="preserve">     Entre 10 y 50 SMLMV </v>
      </c>
      <c r="L18" s="376" t="str">
        <f>IF(OR(K18='Tabla Impacto'!$C$11,K18='Tabla Impacto'!$D$11),"Leve",IF(OR(K18='Tabla Impacto'!$C$12,K18='Tabla Impacto'!$D$12),"Menor",IF(OR(K18='Tabla Impacto'!$C$13,K18='Tabla Impacto'!$D$13),"Moderado",IF(OR(K18='Tabla Impacto'!$C$14,K18='Tabla Impacto'!$D$14),"Mayor",IF(OR(K18='Tabla Impacto'!$C$15,K18='Tabla Impacto'!$D$15),"Catastrófico","")))))</f>
        <v>Menor</v>
      </c>
      <c r="M18" s="379">
        <f>IF(L18="","",IF(L18="Leve",0.2,IF(L18="Menor",0.4,IF(L18="Moderado",0.6,IF(L18="Mayor",0.8,IF(L18="Catastrófico",1,))))))</f>
        <v>0.4</v>
      </c>
      <c r="N18" s="38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6">
        <v>1</v>
      </c>
      <c r="P18" s="165" t="s">
        <v>209</v>
      </c>
      <c r="Q18" s="152" t="str">
        <f>IF(OR(R18="Preventivo",R18="Detectivo"),"Probabilidad",IF(R18="Correctivo","Impacto",""))</f>
        <v>Probabilidad</v>
      </c>
      <c r="R18" s="156" t="s">
        <v>195</v>
      </c>
      <c r="S18" s="156" t="s">
        <v>196</v>
      </c>
      <c r="T18" s="157" t="str">
        <f>IF(AND(R18="Preventivo",S18="Automático"),"50%",IF(AND(R18="Preventivo",S18="Manual"),"40%",IF(AND(R18="Detectivo",S18="Automático"),"40%",IF(AND(R18="Detectivo",S18="Manual"),"30%",IF(AND(R18="Correctivo",S18="Automático"),"35%",IF(AND(R18="Correctivo",S18="Manual"),"25%",""))))))</f>
        <v>40%</v>
      </c>
      <c r="U18" s="156" t="s">
        <v>197</v>
      </c>
      <c r="V18" s="156" t="s">
        <v>198</v>
      </c>
      <c r="W18" s="156" t="s">
        <v>199</v>
      </c>
      <c r="X18" s="149">
        <f>IFERROR(IF(Q18="Probabilidad",(I18-(+I18*T18)),IF(Q18="Impacto",I18,"")),"")</f>
        <v>0.36</v>
      </c>
      <c r="Y18" s="158" t="str">
        <f>IFERROR(IF(X18="","",IF(X18&lt;=0.2,"Muy Baja",IF(X18&lt;=0.4,"Baja",IF(X18&lt;=0.6,"Media",IF(X18&lt;=0.8,"Alta","Muy Alta"))))),"")</f>
        <v>Baja</v>
      </c>
      <c r="Z18" s="159">
        <f>+X18</f>
        <v>0.36</v>
      </c>
      <c r="AA18" s="158" t="str">
        <f>IFERROR(IF(AB18="","",IF(AB18&lt;=0.2,"Leve",IF(AB18&lt;=0.4,"Menor",IF(AB18&lt;=0.6,"Moderado",IF(AB18&lt;=0.8,"Mayor","Catastrófico"))))),"")</f>
        <v>Menor</v>
      </c>
      <c r="AB18" s="159">
        <f>IFERROR(IF(Q18="Impacto",(M18-(+M18*T18)),IF(Q18="Probabilidad",M18,"")),"")</f>
        <v>0.4</v>
      </c>
      <c r="AC18" s="160"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1" t="s">
        <v>200</v>
      </c>
      <c r="AE18" s="165" t="s">
        <v>210</v>
      </c>
      <c r="AF18" s="163" t="s">
        <v>211</v>
      </c>
      <c r="AG18" s="163" t="s">
        <v>212</v>
      </c>
      <c r="AH18" s="164">
        <v>45748</v>
      </c>
      <c r="AI18" s="164">
        <v>45868</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57.75" customHeight="1" x14ac:dyDescent="0.3">
      <c r="A19" s="404"/>
      <c r="B19" s="407"/>
      <c r="C19" s="407"/>
      <c r="D19" s="407"/>
      <c r="E19" s="410"/>
      <c r="F19" s="407"/>
      <c r="G19" s="413"/>
      <c r="H19" s="377"/>
      <c r="I19" s="380"/>
      <c r="J19" s="374"/>
      <c r="K19" s="380">
        <f>IF(NOT(ISERROR(MATCH(J19,_xlfn.ANCHORARRAY(E30),0))),I33&amp;"Por favor no seleccionar los criterios de impacto",J19)</f>
        <v>0</v>
      </c>
      <c r="L19" s="377"/>
      <c r="M19" s="380"/>
      <c r="N19" s="383"/>
      <c r="O19" s="106">
        <v>2</v>
      </c>
      <c r="P19" s="165" t="s">
        <v>213</v>
      </c>
      <c r="Q19" s="152" t="str">
        <f>IF(OR(R19="Preventivo",R19="Detectivo"),"Probabilidad",IF(R19="Correctivo","Impacto",""))</f>
        <v>Probabilidad</v>
      </c>
      <c r="R19" s="156" t="s">
        <v>195</v>
      </c>
      <c r="S19" s="156" t="s">
        <v>196</v>
      </c>
      <c r="T19" s="157" t="str">
        <f t="shared" ref="T19:T23" si="8">IF(AND(R19="Preventivo",S19="Automático"),"50%",IF(AND(R19="Preventivo",S19="Manual"),"40%",IF(AND(R19="Detectivo",S19="Automático"),"40%",IF(AND(R19="Detectivo",S19="Manual"),"30%",IF(AND(R19="Correctivo",S19="Automático"),"35%",IF(AND(R19="Correctivo",S19="Manual"),"25%",""))))))</f>
        <v>40%</v>
      </c>
      <c r="U19" s="156" t="s">
        <v>197</v>
      </c>
      <c r="V19" s="156" t="s">
        <v>198</v>
      </c>
      <c r="W19" s="156" t="s">
        <v>199</v>
      </c>
      <c r="X19" s="149">
        <f>IFERROR(IF(AND(Q18="Probabilidad",Q19="Probabilidad"),(Z18-(+Z18*T19)),IF(Q19="Probabilidad",(I18-(+I18*T19)),IF(Q19="Impacto",Z18,""))),"")</f>
        <v>0.216</v>
      </c>
      <c r="Y19" s="158" t="str">
        <f t="shared" si="1"/>
        <v>Baja</v>
      </c>
      <c r="Z19" s="159">
        <f t="shared" ref="Z19:Z23" si="9">+X19</f>
        <v>0.216</v>
      </c>
      <c r="AA19" s="158" t="str">
        <f t="shared" si="3"/>
        <v>Menor</v>
      </c>
      <c r="AB19" s="159">
        <f>IFERROR(IF(AND(Q18="Impacto",Q19="Impacto"),(AB18-(+AB18*T19)),IF(Q19="Impacto",(M18-(+M18*T19)),IF(Q19="Probabilidad",AB18,""))),"")</f>
        <v>0.4</v>
      </c>
      <c r="AC19" s="160"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61" t="s">
        <v>200</v>
      </c>
      <c r="AE19" s="165" t="s">
        <v>214</v>
      </c>
      <c r="AF19" s="163" t="s">
        <v>211</v>
      </c>
      <c r="AG19" s="163" t="s">
        <v>215</v>
      </c>
      <c r="AH19" s="164">
        <v>45658</v>
      </c>
      <c r="AI19" s="164">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58.5" customHeight="1" x14ac:dyDescent="0.3">
      <c r="A20" s="404"/>
      <c r="B20" s="407"/>
      <c r="C20" s="407"/>
      <c r="D20" s="407"/>
      <c r="E20" s="410"/>
      <c r="F20" s="407"/>
      <c r="G20" s="413"/>
      <c r="H20" s="377"/>
      <c r="I20" s="380"/>
      <c r="J20" s="374"/>
      <c r="K20" s="380">
        <f>IF(NOT(ISERROR(MATCH(J20,_xlfn.ANCHORARRAY(E32),0))),I34&amp;"Por favor no seleccionar los criterios de impacto",J20)</f>
        <v>0</v>
      </c>
      <c r="L20" s="377"/>
      <c r="M20" s="380"/>
      <c r="N20" s="383"/>
      <c r="O20" s="106">
        <v>3</v>
      </c>
      <c r="P20" s="167" t="s">
        <v>216</v>
      </c>
      <c r="Q20" s="152" t="str">
        <f>IF(OR(R20="Preventivo",R20="Detectivo"),"Probabilidad",IF(R20="Correctivo","Impacto",""))</f>
        <v>Probabilidad</v>
      </c>
      <c r="R20" s="156" t="s">
        <v>195</v>
      </c>
      <c r="S20" s="156" t="s">
        <v>196</v>
      </c>
      <c r="T20" s="157" t="str">
        <f t="shared" si="8"/>
        <v>40%</v>
      </c>
      <c r="U20" s="156" t="s">
        <v>197</v>
      </c>
      <c r="V20" s="156" t="s">
        <v>198</v>
      </c>
      <c r="W20" s="156" t="s">
        <v>199</v>
      </c>
      <c r="X20" s="149">
        <f>IFERROR(IF(AND(Q19="Probabilidad",Q20="Probabilidad"),(Z19-(+Z19*T20)),IF(AND(Q19="Impacto",Q20="Probabilidad"),(Z18-(+Z18*T20)),IF(Q20="Impacto",Z19,""))),"")</f>
        <v>0.12959999999999999</v>
      </c>
      <c r="Y20" s="158" t="str">
        <f t="shared" si="1"/>
        <v>Muy Baja</v>
      </c>
      <c r="Z20" s="159">
        <f t="shared" si="9"/>
        <v>0.12959999999999999</v>
      </c>
      <c r="AA20" s="158" t="str">
        <f t="shared" si="3"/>
        <v>Menor</v>
      </c>
      <c r="AB20" s="159">
        <f>IFERROR(IF(AND(Q19="Impacto",Q20="Impacto"),(AB19-(+AB19*T20)),IF(AND(Q19="Probabilidad",Q20="Impacto"),(AB18-(+AB18*T20)),IF(Q20="Probabilidad",AB19,""))),"")</f>
        <v>0.4</v>
      </c>
      <c r="AC20" s="160" t="str">
        <f t="shared" si="10"/>
        <v>Bajo</v>
      </c>
      <c r="AD20" s="161" t="s">
        <v>200</v>
      </c>
      <c r="AE20" s="165" t="s">
        <v>217</v>
      </c>
      <c r="AF20" s="163" t="s">
        <v>218</v>
      </c>
      <c r="AG20" s="163" t="s">
        <v>219</v>
      </c>
      <c r="AH20" s="164">
        <v>45689</v>
      </c>
      <c r="AI20" s="164">
        <v>46010</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404"/>
      <c r="B21" s="407"/>
      <c r="C21" s="407"/>
      <c r="D21" s="407"/>
      <c r="E21" s="410"/>
      <c r="F21" s="407"/>
      <c r="G21" s="413"/>
      <c r="H21" s="377"/>
      <c r="I21" s="380"/>
      <c r="J21" s="374"/>
      <c r="K21" s="380">
        <f>IF(NOT(ISERROR(MATCH(J21,_xlfn.ANCHORARRAY(E33),0))),I35&amp;"Por favor no seleccionar los criterios de impacto",J21)</f>
        <v>0</v>
      </c>
      <c r="L21" s="377"/>
      <c r="M21" s="380"/>
      <c r="N21" s="383"/>
      <c r="O21" s="106">
        <v>4</v>
      </c>
      <c r="P21" s="165"/>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6"/>
      <c r="AH21" s="117"/>
      <c r="AI21" s="117"/>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404"/>
      <c r="B22" s="407"/>
      <c r="C22" s="407"/>
      <c r="D22" s="407"/>
      <c r="E22" s="410"/>
      <c r="F22" s="407"/>
      <c r="G22" s="413"/>
      <c r="H22" s="377"/>
      <c r="I22" s="380"/>
      <c r="J22" s="374"/>
      <c r="K22" s="380">
        <f>IF(NOT(ISERROR(MATCH(J22,_xlfn.ANCHORARRAY(E34),0))),I36&amp;"Por favor no seleccionar los criterios de impacto",J22)</f>
        <v>0</v>
      </c>
      <c r="L22" s="377"/>
      <c r="M22" s="380"/>
      <c r="N22" s="383"/>
      <c r="O22" s="106">
        <v>5</v>
      </c>
      <c r="P22" s="165"/>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6"/>
      <c r="AH22" s="117"/>
      <c r="AI22" s="117"/>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405"/>
      <c r="B23" s="408"/>
      <c r="C23" s="408"/>
      <c r="D23" s="408"/>
      <c r="E23" s="411"/>
      <c r="F23" s="408"/>
      <c r="G23" s="414"/>
      <c r="H23" s="378"/>
      <c r="I23" s="381"/>
      <c r="J23" s="375"/>
      <c r="K23" s="381">
        <f>IF(NOT(ISERROR(MATCH(J23,_xlfn.ANCHORARRAY(E35),0))),I37&amp;"Por favor no seleccionar los criterios de impacto",J23)</f>
        <v>0</v>
      </c>
      <c r="L23" s="378"/>
      <c r="M23" s="381"/>
      <c r="N23" s="384"/>
      <c r="O23" s="106">
        <v>6</v>
      </c>
      <c r="P23" s="165"/>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6"/>
      <c r="AH23" s="117"/>
      <c r="AI23" s="117"/>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3.5" customHeight="1" x14ac:dyDescent="0.3">
      <c r="A24" s="403">
        <v>3</v>
      </c>
      <c r="B24" s="406" t="s">
        <v>189</v>
      </c>
      <c r="C24" s="406" t="s">
        <v>205</v>
      </c>
      <c r="D24" s="406" t="s">
        <v>220</v>
      </c>
      <c r="E24" s="409" t="s">
        <v>221</v>
      </c>
      <c r="F24" s="406" t="s">
        <v>192</v>
      </c>
      <c r="G24" s="412">
        <v>65</v>
      </c>
      <c r="H24" s="376" t="str">
        <f>IF(G24&lt;=0,"",IF(G24&lt;=2,"Muy Baja",IF(G24&lt;=24,"Baja",IF(G24&lt;=500,"Media",IF(G24&lt;=5000,"Alta","Muy Alta")))))</f>
        <v>Media</v>
      </c>
      <c r="I24" s="379">
        <f>IF(H24="","",IF(H24="Muy Baja",0.2,IF(H24="Baja",0.4,IF(H24="Media",0.6,IF(H24="Alta",0.8,IF(H24="Muy Alta",1,))))))</f>
        <v>0.6</v>
      </c>
      <c r="J24" s="373" t="s">
        <v>222</v>
      </c>
      <c r="K24" s="379" t="str">
        <f>IF(NOT(ISERROR(MATCH(J24,'Tabla Impacto'!$B$221:$B$223,0))),'Tabla Impacto'!$F$223&amp;"Por favor no seleccionar los criterios de impacto(Afectación Económica o presupuestal y Pérdida Reputacional)",J24)</f>
        <v xml:space="preserve">     Entre 100 y 500 SMLMV </v>
      </c>
      <c r="L24" s="376" t="str">
        <f>IF(OR(K24='Tabla Impacto'!$C$11,K24='Tabla Impacto'!$D$11),"Leve",IF(OR(K24='Tabla Impacto'!$C$12,K24='Tabla Impacto'!$D$12),"Menor",IF(OR(K24='Tabla Impacto'!$C$13,K24='Tabla Impacto'!$D$13),"Moderado",IF(OR(K24='Tabla Impacto'!$C$14,K24='Tabla Impacto'!$D$14),"Mayor",IF(OR(K24='Tabla Impacto'!$C$15,K24='Tabla Impacto'!$D$15),"Catastrófico","")))))</f>
        <v>Mayor</v>
      </c>
      <c r="M24" s="379">
        <f>IF(L24="","",IF(L24="Leve",0.2,IF(L24="Menor",0.4,IF(L24="Moderado",0.6,IF(L24="Mayor",0.8,IF(L24="Catastrófico",1,))))))</f>
        <v>0.8</v>
      </c>
      <c r="N24" s="38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106">
        <v>1</v>
      </c>
      <c r="P24" s="186" t="s">
        <v>223</v>
      </c>
      <c r="Q24" s="152" t="str">
        <f>IF(OR(R24="Preventivo",R24="Detectivo"),"Probabilidad",IF(R24="Correctivo","Impacto",""))</f>
        <v>Probabilidad</v>
      </c>
      <c r="R24" s="156" t="s">
        <v>195</v>
      </c>
      <c r="S24" s="156" t="s">
        <v>196</v>
      </c>
      <c r="T24" s="157" t="str">
        <f>IF(AND(R24="Preventivo",S24="Automático"),"50%",IF(AND(R24="Preventivo",S24="Manual"),"40%",IF(AND(R24="Detectivo",S24="Automático"),"40%",IF(AND(R24="Detectivo",S24="Manual"),"30%",IF(AND(R24="Correctivo",S24="Automático"),"35%",IF(AND(R24="Correctivo",S24="Manual"),"25%",""))))))</f>
        <v>40%</v>
      </c>
      <c r="U24" s="156" t="s">
        <v>197</v>
      </c>
      <c r="V24" s="156" t="s">
        <v>198</v>
      </c>
      <c r="W24" s="156" t="s">
        <v>199</v>
      </c>
      <c r="X24" s="149">
        <f>IFERROR(IF(Q24="Probabilidad",(I24-(+I24*T24)),IF(Q24="Impacto",I24,"")),"")</f>
        <v>0.36</v>
      </c>
      <c r="Y24" s="158" t="str">
        <f>IFERROR(IF(X24="","",IF(X24&lt;=0.2,"Muy Baja",IF(X24&lt;=0.4,"Baja",IF(X24&lt;=0.6,"Media",IF(X24&lt;=0.8,"Alta","Muy Alta"))))),"")</f>
        <v>Baja</v>
      </c>
      <c r="Z24" s="159">
        <f>+X24</f>
        <v>0.36</v>
      </c>
      <c r="AA24" s="158" t="str">
        <f>IFERROR(IF(AB24="","",IF(AB24&lt;=0.2,"Leve",IF(AB24&lt;=0.4,"Menor",IF(AB24&lt;=0.6,"Moderado",IF(AB24&lt;=0.8,"Mayor","Catastrófico"))))),"")</f>
        <v>Mayor</v>
      </c>
      <c r="AB24" s="159">
        <f>IFERROR(IF(Q24="Impacto",(M24-(+M24*T24)),IF(Q24="Probabilidad",M24,"")),"")</f>
        <v>0.8</v>
      </c>
      <c r="AC24" s="160"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161" t="s">
        <v>200</v>
      </c>
      <c r="AE24" s="185" t="s">
        <v>224</v>
      </c>
      <c r="AF24" s="163" t="s">
        <v>225</v>
      </c>
      <c r="AG24" s="163" t="s">
        <v>226</v>
      </c>
      <c r="AH24" s="164">
        <v>45658</v>
      </c>
      <c r="AI24" s="164">
        <v>46010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404"/>
      <c r="B25" s="407"/>
      <c r="C25" s="407"/>
      <c r="D25" s="407"/>
      <c r="E25" s="410"/>
      <c r="F25" s="407"/>
      <c r="G25" s="413"/>
      <c r="H25" s="377"/>
      <c r="I25" s="380"/>
      <c r="J25" s="374"/>
      <c r="K25" s="380">
        <f>IF(NOT(ISERROR(MATCH(J25,_xlfn.ANCHORARRAY(E37),0))),I39&amp;"Por favor no seleccionar los criterios de impacto",J25)</f>
        <v>0</v>
      </c>
      <c r="L25" s="377"/>
      <c r="M25" s="380"/>
      <c r="N25" s="383"/>
      <c r="O25" s="106">
        <v>2</v>
      </c>
      <c r="P25" s="165"/>
      <c r="Q25" s="107" t="str">
        <f>IF(OR(R25="Preventivo",R25="Detectivo"),"Probabilidad",IF(R25="Correctivo","Impacto",""))</f>
        <v/>
      </c>
      <c r="R25" s="156"/>
      <c r="S25" s="156"/>
      <c r="T25" s="157" t="str">
        <f t="shared" ref="T25:T30" si="15">IF(AND(R25="Preventivo",S25="Automático"),"50%",IF(AND(R25="Preventivo",S25="Manual"),"40%",IF(AND(R25="Detectivo",S25="Automático"),"40%",IF(AND(R25="Detectivo",S25="Manual"),"30%",IF(AND(R25="Correctivo",S25="Automático"),"35%",IF(AND(R25="Correctivo",S25="Manual"),"25%",""))))))</f>
        <v/>
      </c>
      <c r="U25" s="156"/>
      <c r="V25" s="156"/>
      <c r="W25" s="156"/>
      <c r="X25" s="149" t="str">
        <f>IFERROR(IF(AND(Q24="Probabilidad",Q25="Probabilidad"),(Z24-(+Z24*T25)),IF(Q25="Probabilidad",(I24-(+I24*T25)),IF(Q25="Impacto",Z24,""))),"")</f>
        <v/>
      </c>
      <c r="Y25" s="158" t="str">
        <f t="shared" si="1"/>
        <v/>
      </c>
      <c r="Z25" s="159" t="str">
        <f t="shared" ref="Z25:Z29" si="16">+X25</f>
        <v/>
      </c>
      <c r="AA25" s="158" t="str">
        <f t="shared" si="3"/>
        <v/>
      </c>
      <c r="AB25" s="159" t="str">
        <f t="shared" ref="AB25:AB30" si="17">IFERROR(IF(Q25="Impacto",(M25-(+M25*T25)),IF(Q25="Probabilidad",M25,"")),"")</f>
        <v/>
      </c>
      <c r="AC25" s="160" t="str">
        <f t="shared" ref="AC25:AC26" si="1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1"/>
      <c r="AE25" s="163"/>
      <c r="AF25" s="162"/>
      <c r="AG25" s="162"/>
      <c r="AH25" s="117"/>
      <c r="AI25" s="117"/>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404"/>
      <c r="B26" s="407"/>
      <c r="C26" s="407"/>
      <c r="D26" s="407"/>
      <c r="E26" s="410"/>
      <c r="F26" s="407"/>
      <c r="G26" s="413"/>
      <c r="H26" s="377"/>
      <c r="I26" s="380"/>
      <c r="J26" s="374"/>
      <c r="K26" s="380">
        <f>IF(NOT(ISERROR(MATCH(J26,_xlfn.ANCHORARRAY(E38),0))),I40&amp;"Por favor no seleccionar los criterios de impacto",J26)</f>
        <v>0</v>
      </c>
      <c r="L26" s="377"/>
      <c r="M26" s="380"/>
      <c r="N26" s="383"/>
      <c r="O26" s="106">
        <v>3</v>
      </c>
      <c r="P26" s="166"/>
      <c r="Q26" s="107" t="str">
        <f>IF(OR(R26="Preventivo",R26="Detectivo"),"Probabilidad",IF(R26="Correctivo","Impacto",""))</f>
        <v/>
      </c>
      <c r="R26" s="108"/>
      <c r="S26" s="108"/>
      <c r="T26" s="157" t="str">
        <f t="shared" si="15"/>
        <v/>
      </c>
      <c r="U26" s="108"/>
      <c r="V26" s="108"/>
      <c r="W26" s="108"/>
      <c r="X26" s="110" t="str">
        <f>IFERROR(IF(AND(Q25="Probabilidad",Q26="Probabilidad"),(Z25-(+Z25*T26)),IF(AND(Q25="Impacto",Q26="Probabilidad"),(Z24-(+Z24*T26)),IF(Q26="Impacto",Z25,""))),"")</f>
        <v/>
      </c>
      <c r="Y26" s="111" t="str">
        <f t="shared" si="1"/>
        <v/>
      </c>
      <c r="Z26" s="112" t="str">
        <f t="shared" si="16"/>
        <v/>
      </c>
      <c r="AA26" s="111" t="str">
        <f t="shared" si="3"/>
        <v/>
      </c>
      <c r="AB26" s="159" t="str">
        <f t="shared" si="17"/>
        <v/>
      </c>
      <c r="AC26" s="113" t="str">
        <f t="shared" si="18"/>
        <v/>
      </c>
      <c r="AD26" s="114"/>
      <c r="AE26" s="115"/>
      <c r="AF26" s="116"/>
      <c r="AG26" s="116"/>
      <c r="AH26" s="117"/>
      <c r="AI26" s="117"/>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404"/>
      <c r="B27" s="407"/>
      <c r="C27" s="407"/>
      <c r="D27" s="407"/>
      <c r="E27" s="410"/>
      <c r="F27" s="407"/>
      <c r="G27" s="413"/>
      <c r="H27" s="377"/>
      <c r="I27" s="380"/>
      <c r="J27" s="374"/>
      <c r="K27" s="380">
        <f>IF(NOT(ISERROR(MATCH(J27,_xlfn.ANCHORARRAY(E39),0))),I41&amp;"Por favor no seleccionar los criterios de impacto",J27)</f>
        <v>0</v>
      </c>
      <c r="L27" s="377"/>
      <c r="M27" s="380"/>
      <c r="N27" s="383"/>
      <c r="O27" s="106">
        <v>4</v>
      </c>
      <c r="P27" s="165"/>
      <c r="Q27" s="107" t="str">
        <f t="shared" ref="Q27:Q29" si="19">IF(OR(R27="Preventivo",R27="Detectivo"),"Probabilidad",IF(R27="Correctivo","Impacto",""))</f>
        <v/>
      </c>
      <c r="R27" s="108"/>
      <c r="S27" s="108"/>
      <c r="T27" s="157" t="str">
        <f t="shared" si="15"/>
        <v/>
      </c>
      <c r="U27" s="108"/>
      <c r="V27" s="108"/>
      <c r="W27" s="108"/>
      <c r="X27" s="110" t="str">
        <f t="shared" ref="X27:X29" si="20">IFERROR(IF(AND(Q26="Probabilidad",Q27="Probabilidad"),(Z26-(+Z26*T27)),IF(AND(Q26="Impacto",Q27="Probabilidad"),(Z25-(+Z25*T27)),IF(Q27="Impacto",Z26,""))),"")</f>
        <v/>
      </c>
      <c r="Y27" s="111" t="str">
        <f t="shared" si="1"/>
        <v/>
      </c>
      <c r="Z27" s="112" t="str">
        <f t="shared" si="16"/>
        <v/>
      </c>
      <c r="AA27" s="111" t="str">
        <f t="shared" si="3"/>
        <v/>
      </c>
      <c r="AB27" s="159" t="str">
        <f t="shared" si="17"/>
        <v/>
      </c>
      <c r="AC27" s="11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6"/>
      <c r="AH27" s="117"/>
      <c r="AI27" s="117"/>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404"/>
      <c r="B28" s="407"/>
      <c r="C28" s="407"/>
      <c r="D28" s="407"/>
      <c r="E28" s="410"/>
      <c r="F28" s="407"/>
      <c r="G28" s="413"/>
      <c r="H28" s="377"/>
      <c r="I28" s="380"/>
      <c r="J28" s="374"/>
      <c r="K28" s="380">
        <f>IF(NOT(ISERROR(MATCH(J28,_xlfn.ANCHORARRAY(E40),0))),I42&amp;"Por favor no seleccionar los criterios de impacto",J28)</f>
        <v>0</v>
      </c>
      <c r="L28" s="377"/>
      <c r="M28" s="380"/>
      <c r="N28" s="383"/>
      <c r="O28" s="106">
        <v>5</v>
      </c>
      <c r="P28" s="165"/>
      <c r="Q28" s="107" t="str">
        <f t="shared" si="19"/>
        <v/>
      </c>
      <c r="R28" s="108"/>
      <c r="S28" s="108"/>
      <c r="T28" s="157" t="str">
        <f t="shared" si="15"/>
        <v/>
      </c>
      <c r="U28" s="108"/>
      <c r="V28" s="108"/>
      <c r="W28" s="108"/>
      <c r="X28" s="110" t="str">
        <f t="shared" si="20"/>
        <v/>
      </c>
      <c r="Y28" s="111" t="str">
        <f t="shared" si="1"/>
        <v/>
      </c>
      <c r="Z28" s="112" t="str">
        <f t="shared" si="16"/>
        <v/>
      </c>
      <c r="AA28" s="111" t="str">
        <f t="shared" si="3"/>
        <v/>
      </c>
      <c r="AB28" s="159" t="str">
        <f t="shared" si="17"/>
        <v/>
      </c>
      <c r="AC28" s="113"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6"/>
      <c r="AH28" s="117"/>
      <c r="AI28" s="117"/>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405"/>
      <c r="B29" s="408"/>
      <c r="C29" s="408"/>
      <c r="D29" s="408"/>
      <c r="E29" s="411"/>
      <c r="F29" s="408"/>
      <c r="G29" s="414"/>
      <c r="H29" s="378"/>
      <c r="I29" s="381"/>
      <c r="J29" s="375"/>
      <c r="K29" s="381">
        <f>IF(NOT(ISERROR(MATCH(J29,_xlfn.ANCHORARRAY(E41),0))),I43&amp;"Por favor no seleccionar los criterios de impacto",J29)</f>
        <v>0</v>
      </c>
      <c r="L29" s="378"/>
      <c r="M29" s="381"/>
      <c r="N29" s="384"/>
      <c r="O29" s="106">
        <v>6</v>
      </c>
      <c r="P29" s="165"/>
      <c r="Q29" s="107" t="str">
        <f t="shared" si="19"/>
        <v/>
      </c>
      <c r="R29" s="108"/>
      <c r="S29" s="108"/>
      <c r="T29" s="157" t="str">
        <f t="shared" si="15"/>
        <v/>
      </c>
      <c r="U29" s="108"/>
      <c r="V29" s="108"/>
      <c r="W29" s="108"/>
      <c r="X29" s="110" t="str">
        <f t="shared" si="20"/>
        <v/>
      </c>
      <c r="Y29" s="111" t="str">
        <f t="shared" si="1"/>
        <v/>
      </c>
      <c r="Z29" s="112" t="str">
        <f t="shared" si="16"/>
        <v/>
      </c>
      <c r="AA29" s="111" t="str">
        <f t="shared" si="3"/>
        <v/>
      </c>
      <c r="AB29" s="159" t="str">
        <f t="shared" si="17"/>
        <v/>
      </c>
      <c r="AC29" s="113" t="str">
        <f t="shared" si="21"/>
        <v/>
      </c>
      <c r="AD29" s="114"/>
      <c r="AE29" s="115"/>
      <c r="AF29" s="116"/>
      <c r="AG29" s="116"/>
      <c r="AH29" s="117"/>
      <c r="AI29" s="117"/>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51" customHeight="1" x14ac:dyDescent="0.3">
      <c r="A30" s="403">
        <v>4</v>
      </c>
      <c r="B30" s="406" t="s">
        <v>189</v>
      </c>
      <c r="C30" s="406" t="s">
        <v>205</v>
      </c>
      <c r="D30" s="406" t="s">
        <v>412</v>
      </c>
      <c r="E30" s="409" t="s">
        <v>227</v>
      </c>
      <c r="F30" s="406" t="s">
        <v>192</v>
      </c>
      <c r="G30" s="412">
        <v>265000</v>
      </c>
      <c r="H30" s="376" t="str">
        <f>IF(G30&lt;=0,"",IF(G30&lt;=2,"Muy Baja",IF(G30&lt;=24,"Baja",IF(G30&lt;=500,"Media",IF(G30&lt;=5000,"Alta","Muy Alta")))))</f>
        <v>Muy Alta</v>
      </c>
      <c r="I30" s="379">
        <f>IF(H30="","",IF(H30="Muy Baja",0.2,IF(H30="Baja",0.4,IF(H30="Media",0.6,IF(H30="Alta",0.8,IF(H30="Muy Alta",1,))))))</f>
        <v>1</v>
      </c>
      <c r="J30" s="373" t="s">
        <v>193</v>
      </c>
      <c r="K30" s="202"/>
      <c r="L30" s="376" t="str">
        <f>IF(OR(K31='Tabla Impacto'!$C$11,K31='Tabla Impacto'!$D$11),"Leve",IF(OR(K31='Tabla Impacto'!$C$12,K31='Tabla Impacto'!$D$12),"Menor",IF(OR(K31='Tabla Impacto'!$C$13,K31='Tabla Impacto'!$D$13),"Moderado",IF(OR(K31='Tabla Impacto'!$C$14,K31='Tabla Impacto'!$D$14),"Mayor",IF(OR(K31='Tabla Impacto'!$C$15,K31='Tabla Impacto'!$D$15),"Catastrófico","")))))</f>
        <v>Mayor</v>
      </c>
      <c r="M30" s="379">
        <f>IF(L30="","",IF(L30="Leve",0.2,IF(L30="Menor",0.4,IF(L30="Moderado",0.6,IF(L30="Mayor",0.8,IF(L30="Catastrófico",1,))))))</f>
        <v>0.8</v>
      </c>
      <c r="N30" s="38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Alto</v>
      </c>
      <c r="O30" s="388">
        <v>1</v>
      </c>
      <c r="P30" s="391" t="s">
        <v>228</v>
      </c>
      <c r="Q30" s="400" t="str">
        <f>IF(OR(R30="Preventivo",R30="Detectivo"),"Probabilidad",IF(R30="Correctivo","Impacto",""))</f>
        <v>Probabilidad</v>
      </c>
      <c r="R30" s="370" t="s">
        <v>195</v>
      </c>
      <c r="S30" s="370" t="s">
        <v>196</v>
      </c>
      <c r="T30" s="394" t="str">
        <f t="shared" si="15"/>
        <v>40%</v>
      </c>
      <c r="U30" s="370" t="s">
        <v>197</v>
      </c>
      <c r="V30" s="370" t="s">
        <v>198</v>
      </c>
      <c r="W30" s="370" t="s">
        <v>199</v>
      </c>
      <c r="X30" s="110"/>
      <c r="Y30" s="397" t="str">
        <f>IFERROR(IF(X31="","",IF(X31&lt;=0.2,"Muy Baja",IF(X31&lt;=0.4,"Baja",IF(X31&lt;=0.6,"Media",IF(X31&lt;=0.8,"Alta","Muy Alta"))))),"")</f>
        <v>Muy Alta</v>
      </c>
      <c r="Z30" s="394">
        <f>+X31</f>
        <v>1</v>
      </c>
      <c r="AA30" s="397" t="s">
        <v>229</v>
      </c>
      <c r="AB30" s="394">
        <f t="shared" si="17"/>
        <v>0.8</v>
      </c>
      <c r="AC30" s="385"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466" t="s">
        <v>200</v>
      </c>
      <c r="AE30" s="165" t="s">
        <v>230</v>
      </c>
      <c r="AF30" s="163" t="s">
        <v>231</v>
      </c>
      <c r="AG30" s="163" t="s">
        <v>232</v>
      </c>
      <c r="AH30" s="187">
        <v>45748</v>
      </c>
      <c r="AI30" s="187">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41.25" customHeight="1" x14ac:dyDescent="0.3">
      <c r="A31" s="404"/>
      <c r="B31" s="407"/>
      <c r="C31" s="407"/>
      <c r="D31" s="407"/>
      <c r="E31" s="410"/>
      <c r="F31" s="407"/>
      <c r="G31" s="413"/>
      <c r="H31" s="377"/>
      <c r="I31" s="380"/>
      <c r="J31" s="374"/>
      <c r="K31" s="379" t="str">
        <f>IF(NOT(ISERROR(MATCH(J30,'Tabla Impacto'!$B$221:$B$223,0))),'Tabla Impacto'!$F$223&amp;"Por favor no seleccionar los criterios de impacto(Afectación Económica o presupuestal y Pérdida Reputacional)",J30)</f>
        <v xml:space="preserve">     El riesgo afecta la imagen de de la entidad con efecto publicitario sostenido a nivel de sector administrativo, nivel departamental o municipal</v>
      </c>
      <c r="L31" s="377"/>
      <c r="M31" s="380"/>
      <c r="N31" s="383"/>
      <c r="O31" s="390"/>
      <c r="P31" s="393"/>
      <c r="Q31" s="402"/>
      <c r="R31" s="372"/>
      <c r="S31" s="372"/>
      <c r="T31" s="396"/>
      <c r="U31" s="372"/>
      <c r="V31" s="372"/>
      <c r="W31" s="372"/>
      <c r="X31" s="149">
        <f>IFERROR(IF(Q30="Probabilidad",(I30-(+I30*T31)),IF(Q30="Impacto",I30,"")),"")</f>
        <v>1</v>
      </c>
      <c r="Y31" s="399"/>
      <c r="Z31" s="396"/>
      <c r="AA31" s="399"/>
      <c r="AB31" s="396"/>
      <c r="AC31" s="387"/>
      <c r="AD31" s="467"/>
      <c r="AE31" s="186" t="s">
        <v>233</v>
      </c>
      <c r="AF31" s="163" t="s">
        <v>234</v>
      </c>
      <c r="AG31" s="163" t="s">
        <v>235</v>
      </c>
      <c r="AH31" s="164">
        <v>45809</v>
      </c>
      <c r="AI31" s="164">
        <v>46021</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58.5" customHeight="1" x14ac:dyDescent="0.3">
      <c r="A32" s="404"/>
      <c r="B32" s="407"/>
      <c r="C32" s="407"/>
      <c r="D32" s="407"/>
      <c r="E32" s="410"/>
      <c r="F32" s="407"/>
      <c r="G32" s="413"/>
      <c r="H32" s="377"/>
      <c r="I32" s="380"/>
      <c r="J32" s="374"/>
      <c r="K32" s="380">
        <f>IF(NOT(ISERROR(MATCH(J32,_xlfn.ANCHORARRAY(E43),0))),I47&amp;"Por favor no seleccionar los criterios de impacto",J32)</f>
        <v>0</v>
      </c>
      <c r="L32" s="377"/>
      <c r="M32" s="380"/>
      <c r="N32" s="383"/>
      <c r="O32" s="106">
        <v>2</v>
      </c>
      <c r="P32" s="188" t="s">
        <v>236</v>
      </c>
      <c r="Q32" s="152" t="str">
        <f>IF(OR(R32="Preventivo",R32="Detectivo"),"Probabilidad",IF(R32="Correctivo","Impacto",""))</f>
        <v>Probabilidad</v>
      </c>
      <c r="R32" s="156" t="s">
        <v>195</v>
      </c>
      <c r="S32" s="156" t="s">
        <v>196</v>
      </c>
      <c r="T32" s="157" t="str">
        <f t="shared" ref="T32:T37" si="22">IF(AND(R32="Preventivo",S32="Automático"),"50%",IF(AND(R32="Preventivo",S32="Manual"),"40%",IF(AND(R32="Detectivo",S32="Automático"),"40%",IF(AND(R32="Detectivo",S32="Manual"),"30%",IF(AND(R32="Correctivo",S32="Automático"),"35%",IF(AND(R32="Correctivo",S32="Manual"),"25%",""))))))</f>
        <v>40%</v>
      </c>
      <c r="U32" s="156" t="s">
        <v>197</v>
      </c>
      <c r="V32" s="156" t="s">
        <v>198</v>
      </c>
      <c r="W32" s="156" t="s">
        <v>199</v>
      </c>
      <c r="X32" s="149">
        <f>IFERROR(IF(AND(Q30="Probabilidad",Q32="Probabilidad"),(Z30-(+Z30*T32)),IF(Q32="Probabilidad",(I30-(+I30*T32)),IF(Q32="Impacto",Z30,""))),"")</f>
        <v>0.6</v>
      </c>
      <c r="Y32" s="158" t="str">
        <f t="shared" si="1"/>
        <v>Media</v>
      </c>
      <c r="Z32" s="159">
        <f t="shared" ref="Z32:Z36" si="23">+X32</f>
        <v>0.6</v>
      </c>
      <c r="AA32" s="158" t="str">
        <f t="shared" si="3"/>
        <v>Leve</v>
      </c>
      <c r="AB32" s="159">
        <f>IFERROR(IF(AND(Q31="Impacto",Q32="Impacto"),(AB31-(+AB31*T32)),IF(AND(Q31="Probabilidad",Q32="Impacto"),(AB30-(+AB30*T32)),IF(Q32="Probabilidad",AB31,""))),"")</f>
        <v>0</v>
      </c>
      <c r="AC32" s="160"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61" t="s">
        <v>200</v>
      </c>
      <c r="AE32" s="188" t="s">
        <v>237</v>
      </c>
      <c r="AF32" s="189" t="s">
        <v>234</v>
      </c>
      <c r="AG32" s="190" t="s">
        <v>238</v>
      </c>
      <c r="AH32" s="164">
        <v>45809</v>
      </c>
      <c r="AI32" s="164">
        <v>46021</v>
      </c>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404"/>
      <c r="B33" s="407"/>
      <c r="C33" s="407"/>
      <c r="D33" s="407"/>
      <c r="E33" s="410"/>
      <c r="F33" s="407"/>
      <c r="G33" s="413"/>
      <c r="H33" s="377"/>
      <c r="I33" s="380"/>
      <c r="J33" s="374"/>
      <c r="K33" s="380">
        <f>IF(NOT(ISERROR(MATCH(J33,_xlfn.ANCHORARRAY(E46),0))),I48&amp;"Por favor no seleccionar los criterios de impacto",J33)</f>
        <v>0</v>
      </c>
      <c r="L33" s="377"/>
      <c r="M33" s="380"/>
      <c r="N33" s="383"/>
      <c r="O33" s="106">
        <v>3</v>
      </c>
      <c r="P33" s="166"/>
      <c r="Q33" s="107" t="str">
        <f>IF(OR(R33="Preventivo",R33="Detectivo"),"Probabilidad",IF(R33="Correctivo","Impacto",""))</f>
        <v/>
      </c>
      <c r="R33" s="108"/>
      <c r="S33" s="108"/>
      <c r="T33" s="109" t="str">
        <f t="shared" si="22"/>
        <v/>
      </c>
      <c r="U33" s="108"/>
      <c r="V33" s="108"/>
      <c r="W33" s="108"/>
      <c r="X33" s="110" t="str">
        <f>IFERROR(IF(AND(Q32="Probabilidad",Q33="Probabilidad"),(Z32-(+Z32*T33)),IF(AND(Q32="Impacto",Q33="Probabilidad"),(Z30-(+Z30*T33)),IF(Q33="Impacto",Z32,""))),"")</f>
        <v/>
      </c>
      <c r="Y33" s="158" t="str">
        <f t="shared" si="1"/>
        <v/>
      </c>
      <c r="Z33" s="112" t="str">
        <f t="shared" si="23"/>
        <v/>
      </c>
      <c r="AA33" s="111" t="str">
        <f t="shared" si="3"/>
        <v/>
      </c>
      <c r="AB33" s="112" t="str">
        <f>IFERROR(IF(AND(Q32="Impacto",Q33="Impacto"),(AB32-(+AB32*T33)),IF(AND(Q32="Probabilidad",Q33="Impacto"),(AB31-(+AB31*T33)),IF(Q33="Probabilidad",AB32,""))),"")</f>
        <v/>
      </c>
      <c r="AC33" s="113" t="str">
        <f t="shared" si="24"/>
        <v/>
      </c>
      <c r="AD33" s="114"/>
      <c r="AE33" s="115"/>
      <c r="AF33" s="116"/>
      <c r="AG33" s="116"/>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404"/>
      <c r="B34" s="407"/>
      <c r="C34" s="407"/>
      <c r="D34" s="407"/>
      <c r="E34" s="410"/>
      <c r="F34" s="407"/>
      <c r="G34" s="413"/>
      <c r="H34" s="377"/>
      <c r="I34" s="380"/>
      <c r="J34" s="374"/>
      <c r="K34" s="380">
        <f>IF(NOT(ISERROR(MATCH(J34,_xlfn.ANCHORARRAY(E47),0))),I49&amp;"Por favor no seleccionar los criterios de impacto",J34)</f>
        <v>0</v>
      </c>
      <c r="L34" s="377"/>
      <c r="M34" s="380"/>
      <c r="N34" s="383"/>
      <c r="O34" s="106">
        <v>4</v>
      </c>
      <c r="P34" s="165"/>
      <c r="Q34" s="107" t="str">
        <f t="shared" ref="Q34:Q37" si="25">IF(OR(R34="Preventivo",R34="Detectivo"),"Probabilidad",IF(R34="Correctivo","Impacto",""))</f>
        <v/>
      </c>
      <c r="R34" s="108"/>
      <c r="S34" s="108"/>
      <c r="T34" s="109" t="str">
        <f t="shared" si="22"/>
        <v/>
      </c>
      <c r="U34" s="108"/>
      <c r="V34" s="108"/>
      <c r="W34" s="108"/>
      <c r="X34" s="110" t="str">
        <f>IFERROR(IF(AND(Q33="Probabilidad",Q34="Probabilidad"),(Z33-(+Z33*T34)),IF(AND(Q33="Impacto",Q34="Probabilidad"),(Z32-(+Z32*T34)),IF(Q34="Impacto",Z33,""))),"")</f>
        <v/>
      </c>
      <c r="Y34" s="158" t="str">
        <f t="shared" si="1"/>
        <v/>
      </c>
      <c r="Z34" s="112" t="str">
        <f t="shared" si="23"/>
        <v/>
      </c>
      <c r="AA34" s="111" t="str">
        <f t="shared" si="3"/>
        <v/>
      </c>
      <c r="AB34" s="112" t="str">
        <f>IFERROR(IF(AND(Q33="Impacto",Q34="Impacto"),(AB33-(+AB33*T34)),IF(AND(Q33="Probabilidad",Q34="Impacto"),(AB32-(+AB32*T34)),IF(Q34="Probabilidad",AB33,""))),"")</f>
        <v/>
      </c>
      <c r="AC34" s="11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6"/>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404"/>
      <c r="B35" s="407"/>
      <c r="C35" s="407"/>
      <c r="D35" s="407"/>
      <c r="E35" s="410"/>
      <c r="F35" s="407"/>
      <c r="G35" s="413"/>
      <c r="H35" s="377"/>
      <c r="I35" s="380"/>
      <c r="J35" s="374"/>
      <c r="K35" s="380">
        <f>IF(NOT(ISERROR(MATCH(J35,_xlfn.ANCHORARRAY(E48),0))),I50&amp;"Por favor no seleccionar los criterios de impacto",J35)</f>
        <v>0</v>
      </c>
      <c r="L35" s="377"/>
      <c r="M35" s="380"/>
      <c r="N35" s="383"/>
      <c r="O35" s="106">
        <v>5</v>
      </c>
      <c r="P35" s="188"/>
      <c r="Q35" s="107" t="str">
        <f t="shared" si="25"/>
        <v/>
      </c>
      <c r="R35" s="108"/>
      <c r="S35" s="108"/>
      <c r="T35" s="109" t="str">
        <f t="shared" si="22"/>
        <v/>
      </c>
      <c r="U35" s="108"/>
      <c r="V35" s="108"/>
      <c r="W35" s="108"/>
      <c r="X35" s="110" t="str">
        <f t="shared" ref="X35:X36" si="26">IFERROR(IF(AND(Q34="Probabilidad",Q35="Probabilidad"),(Z34-(+Z34*T35)),IF(AND(Q34="Impacto",Q35="Probabilidad"),(Z33-(+Z33*T35)),IF(Q35="Impacto",Z34,""))),"")</f>
        <v/>
      </c>
      <c r="Y35" s="158" t="str">
        <f t="shared" si="1"/>
        <v/>
      </c>
      <c r="Z35" s="112" t="str">
        <f t="shared" si="23"/>
        <v/>
      </c>
      <c r="AA35" s="111" t="str">
        <f t="shared" si="3"/>
        <v/>
      </c>
      <c r="AB35" s="112" t="str">
        <f t="shared" ref="AB35:AB36" si="27">IFERROR(IF(AND(Q34="Impacto",Q35="Impacto"),(AB34-(+AB34*T35)),IF(AND(Q34="Probabilidad",Q35="Impacto"),(AB33-(+AB33*T35)),IF(Q35="Probabilidad",AB34,""))),"")</f>
        <v/>
      </c>
      <c r="AC35" s="113"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16"/>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405"/>
      <c r="B36" s="408"/>
      <c r="C36" s="408"/>
      <c r="D36" s="408"/>
      <c r="E36" s="411"/>
      <c r="F36" s="408"/>
      <c r="G36" s="414"/>
      <c r="H36" s="378"/>
      <c r="I36" s="381"/>
      <c r="J36" s="375"/>
      <c r="K36" s="381">
        <f>IF(NOT(ISERROR(MATCH(J36,_xlfn.ANCHORARRAY(E49),0))),I51&amp;"Por favor no seleccionar los criterios de impacto",J36)</f>
        <v>0</v>
      </c>
      <c r="L36" s="378"/>
      <c r="M36" s="381"/>
      <c r="N36" s="384"/>
      <c r="O36" s="106">
        <v>6</v>
      </c>
      <c r="P36" s="165"/>
      <c r="Q36" s="107" t="str">
        <f t="shared" si="25"/>
        <v/>
      </c>
      <c r="R36" s="108"/>
      <c r="S36" s="108"/>
      <c r="T36" s="109" t="str">
        <f t="shared" si="22"/>
        <v/>
      </c>
      <c r="U36" s="108"/>
      <c r="V36" s="108"/>
      <c r="W36" s="108"/>
      <c r="X36" s="110" t="str">
        <f t="shared" si="26"/>
        <v/>
      </c>
      <c r="Y36" s="111" t="str">
        <f t="shared" si="1"/>
        <v/>
      </c>
      <c r="Z36" s="112" t="str">
        <f t="shared" si="23"/>
        <v/>
      </c>
      <c r="AA36" s="111" t="str">
        <f t="shared" si="3"/>
        <v/>
      </c>
      <c r="AB36" s="112" t="str">
        <f t="shared" si="27"/>
        <v/>
      </c>
      <c r="AC36" s="113" t="str">
        <f t="shared" si="28"/>
        <v/>
      </c>
      <c r="AD36" s="114"/>
      <c r="AE36" s="115"/>
      <c r="AF36" s="116"/>
      <c r="AG36" s="116"/>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78" customHeight="1" x14ac:dyDescent="0.3">
      <c r="A37" s="403">
        <v>5</v>
      </c>
      <c r="B37" s="406" t="s">
        <v>239</v>
      </c>
      <c r="C37" s="406" t="s">
        <v>240</v>
      </c>
      <c r="D37" s="406" t="s">
        <v>241</v>
      </c>
      <c r="E37" s="409" t="s">
        <v>242</v>
      </c>
      <c r="F37" s="406" t="s">
        <v>192</v>
      </c>
      <c r="G37" s="412">
        <v>50</v>
      </c>
      <c r="H37" s="376" t="str">
        <f>IF(G37&lt;=0,"",IF(G37&lt;=2,"Muy Baja",IF(G37&lt;=24,"Baja",IF(G37&lt;=500,"Media",IF(G37&lt;=5000,"Alta","Muy Alta")))))</f>
        <v>Media</v>
      </c>
      <c r="I37" s="379">
        <f>IF(H37="","",IF(H37="Muy Baja",0.2,IF(H37="Baja",0.4,IF(H37="Media",0.6,IF(H37="Alta",0.8,IF(H37="Muy Alta",1,))))))</f>
        <v>0.6</v>
      </c>
      <c r="J37" s="373" t="s">
        <v>243</v>
      </c>
      <c r="K37" s="379"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376" t="str">
        <f>IF(OR(K37='Tabla Impacto'!$C$11,K37='Tabla Impacto'!$D$11),"Leve",IF(OR(K37='Tabla Impacto'!$C$12,K37='Tabla Impacto'!$D$12),"Menor",IF(OR(K37='Tabla Impacto'!$C$13,K37='Tabla Impacto'!$D$13),"Moderado",IF(OR(K37='Tabla Impacto'!$C$14,K37='Tabla Impacto'!$D$14),"Mayor",IF(OR(K37='Tabla Impacto'!$C$15,K37='Tabla Impacto'!$D$15),"Catastrófico","")))))</f>
        <v>Moderado</v>
      </c>
      <c r="M37" s="379">
        <f>IF(L37="","",IF(L37="Leve",0.2,IF(L37="Menor",0.4,IF(L37="Moderado",0.6,IF(L37="Mayor",0.8,IF(L37="Catastrófico",1,))))))</f>
        <v>0.6</v>
      </c>
      <c r="N37" s="382"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106">
        <v>1</v>
      </c>
      <c r="P37" s="165" t="s">
        <v>244</v>
      </c>
      <c r="Q37" s="152" t="str">
        <f t="shared" si="25"/>
        <v>Probabilidad</v>
      </c>
      <c r="R37" s="156" t="s">
        <v>195</v>
      </c>
      <c r="S37" s="156" t="s">
        <v>196</v>
      </c>
      <c r="T37" s="157" t="str">
        <f t="shared" si="22"/>
        <v>40%</v>
      </c>
      <c r="U37" s="156" t="s">
        <v>197</v>
      </c>
      <c r="V37" s="156" t="s">
        <v>198</v>
      </c>
      <c r="W37" s="156" t="s">
        <v>199</v>
      </c>
      <c r="X37" s="149">
        <f>IFERROR(IF(Q37="Probabilidad",(I37-(+I37*T37)),IF(Q37="Impacto",I37,"")),"")</f>
        <v>0.36</v>
      </c>
      <c r="Y37" s="158" t="str">
        <f>IFERROR(IF(X37="","",IF(X37&lt;=0.2,"Muy Baja",IF(X37&lt;=0.4,"Baja",IF(X37&lt;=0.6,"Media",IF(X37&lt;=0.8,"Alta","Muy Alta"))))),"")</f>
        <v>Baja</v>
      </c>
      <c r="Z37" s="159">
        <f>+X37</f>
        <v>0.36</v>
      </c>
      <c r="AA37" s="158" t="str">
        <f>IFERROR(IF(AB37="","",IF(AB37&lt;=0.2,"Leve",IF(AB37&lt;=0.4,"Menor",IF(AB37&lt;=0.6,"Moderado",IF(AB37&lt;=0.8,"Mayor","Catastrófico"))))),"")</f>
        <v>Moderado</v>
      </c>
      <c r="AB37" s="159">
        <f>IFERROR(IF(Q37="Impacto",(M37-(+M37*T37)),IF(Q37="Probabilidad",M37,"")),"")</f>
        <v>0.6</v>
      </c>
      <c r="AC37" s="16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Moderado</v>
      </c>
      <c r="AD37" s="194" t="s">
        <v>200</v>
      </c>
      <c r="AE37" s="193" t="s">
        <v>245</v>
      </c>
      <c r="AF37" s="189" t="s">
        <v>246</v>
      </c>
      <c r="AG37" s="189" t="s">
        <v>247</v>
      </c>
      <c r="AH37" s="187">
        <v>45689</v>
      </c>
      <c r="AI37" s="187">
        <v>46010</v>
      </c>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404"/>
      <c r="B38" s="407"/>
      <c r="C38" s="407"/>
      <c r="D38" s="407"/>
      <c r="E38" s="410"/>
      <c r="F38" s="407"/>
      <c r="G38" s="413"/>
      <c r="H38" s="377"/>
      <c r="I38" s="380"/>
      <c r="J38" s="374"/>
      <c r="K38" s="380">
        <f>IF(NOT(ISERROR(MATCH(J38,_xlfn.ANCHORARRAY(E51),0))),I53&amp;"Por favor no seleccionar los criterios de impacto",J38)</f>
        <v>0</v>
      </c>
      <c r="L38" s="377"/>
      <c r="M38" s="380"/>
      <c r="N38" s="383"/>
      <c r="O38" s="106">
        <v>2</v>
      </c>
      <c r="P38" s="165"/>
      <c r="Q38" s="107" t="str">
        <f>IF(OR(R38="Preventivo",R38="Detectivo"),"Probabilidad",IF(R38="Correctivo","Impacto",""))</f>
        <v/>
      </c>
      <c r="R38" s="108"/>
      <c r="S38" s="108"/>
      <c r="T38" s="109" t="str">
        <f t="shared" ref="T38:T42" si="29">IF(AND(R38="Preventivo",S38="Automático"),"50%",IF(AND(R38="Preventivo",S38="Manual"),"40%",IF(AND(R38="Detectivo",S38="Automático"),"40%",IF(AND(R38="Detectivo",S38="Manual"),"30%",IF(AND(R38="Correctivo",S38="Automático"),"35%",IF(AND(R38="Correctivo",S38="Manual"),"25%",""))))))</f>
        <v/>
      </c>
      <c r="U38" s="108"/>
      <c r="V38" s="108"/>
      <c r="W38" s="108"/>
      <c r="X38" s="110" t="str">
        <f>IFERROR(IF(AND(Q37="Probabilidad",Q38="Probabilidad"),(Z37-(+Z37*T38)),IF(Q38="Probabilidad",(I37-(+I37*T38)),IF(Q38="Impacto",Z37,""))),"")</f>
        <v/>
      </c>
      <c r="Y38" s="111" t="str">
        <f t="shared" si="1"/>
        <v/>
      </c>
      <c r="Z38" s="112" t="str">
        <f t="shared" ref="Z38:Z42" si="30">+X38</f>
        <v/>
      </c>
      <c r="AA38" s="111" t="str">
        <f t="shared" si="3"/>
        <v/>
      </c>
      <c r="AB38" s="112" t="str">
        <f>IFERROR(IF(AND(Q37="Impacto",Q38="Impacto"),(AB37-(+AB37*T38)),IF(Q38="Impacto",(M37-(+M37*T38)),IF(Q38="Probabilidad",AB37,""))),"")</f>
        <v/>
      </c>
      <c r="AC38" s="113"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4"/>
      <c r="AE38" s="115"/>
      <c r="AF38" s="116"/>
      <c r="AG38" s="116"/>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404"/>
      <c r="B39" s="407"/>
      <c r="C39" s="407"/>
      <c r="D39" s="407"/>
      <c r="E39" s="410"/>
      <c r="F39" s="407"/>
      <c r="G39" s="413"/>
      <c r="H39" s="377"/>
      <c r="I39" s="380"/>
      <c r="J39" s="374"/>
      <c r="K39" s="380">
        <f>IF(NOT(ISERROR(MATCH(J39,_xlfn.ANCHORARRAY(E52),0))),I54&amp;"Por favor no seleccionar los criterios de impacto",J39)</f>
        <v>0</v>
      </c>
      <c r="L39" s="377"/>
      <c r="M39" s="380"/>
      <c r="N39" s="383"/>
      <c r="O39" s="106">
        <v>3</v>
      </c>
      <c r="P39" s="166"/>
      <c r="Q39" s="107" t="str">
        <f>IF(OR(R39="Preventivo",R39="Detectivo"),"Probabilidad",IF(R39="Correctivo","Impacto",""))</f>
        <v/>
      </c>
      <c r="R39" s="108"/>
      <c r="S39" s="108"/>
      <c r="T39" s="109" t="str">
        <f t="shared" si="29"/>
        <v/>
      </c>
      <c r="U39" s="108"/>
      <c r="V39" s="108"/>
      <c r="W39" s="108"/>
      <c r="X39" s="110" t="str">
        <f>IFERROR(IF(AND(Q38="Probabilidad",Q39="Probabilidad"),(Z38-(+Z38*T39)),IF(AND(Q38="Impacto",Q39="Probabilidad"),(Z37-(+Z37*T39)),IF(Q39="Impacto",Z38,""))),"")</f>
        <v/>
      </c>
      <c r="Y39" s="111" t="str">
        <f t="shared" si="1"/>
        <v/>
      </c>
      <c r="Z39" s="112" t="str">
        <f t="shared" si="30"/>
        <v/>
      </c>
      <c r="AA39" s="111" t="str">
        <f t="shared" si="3"/>
        <v/>
      </c>
      <c r="AB39" s="112" t="str">
        <f>IFERROR(IF(AND(Q38="Impacto",Q39="Impacto"),(AB38-(+AB38*T39)),IF(AND(Q38="Probabilidad",Q39="Impacto"),(AB37-(+AB37*T39)),IF(Q39="Probabilidad",AB38,""))),"")</f>
        <v/>
      </c>
      <c r="AC39" s="113" t="str">
        <f t="shared" si="31"/>
        <v/>
      </c>
      <c r="AD39" s="114"/>
      <c r="AE39" s="115"/>
      <c r="AF39" s="116"/>
      <c r="AG39" s="116"/>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404"/>
      <c r="B40" s="407"/>
      <c r="C40" s="407"/>
      <c r="D40" s="407"/>
      <c r="E40" s="410"/>
      <c r="F40" s="407"/>
      <c r="G40" s="413"/>
      <c r="H40" s="377"/>
      <c r="I40" s="380"/>
      <c r="J40" s="374"/>
      <c r="K40" s="380">
        <f>IF(NOT(ISERROR(MATCH(J40,_xlfn.ANCHORARRAY(E53),0))),I55&amp;"Por favor no seleccionar los criterios de impacto",J40)</f>
        <v>0</v>
      </c>
      <c r="L40" s="377"/>
      <c r="M40" s="380"/>
      <c r="N40" s="383"/>
      <c r="O40" s="106">
        <v>4</v>
      </c>
      <c r="P40" s="165"/>
      <c r="Q40" s="107" t="str">
        <f t="shared" ref="Q40:Q42" si="32">IF(OR(R40="Preventivo",R40="Detectivo"),"Probabilidad",IF(R40="Correctivo","Impacto",""))</f>
        <v/>
      </c>
      <c r="R40" s="108"/>
      <c r="S40" s="108"/>
      <c r="T40" s="109" t="str">
        <f t="shared" si="29"/>
        <v/>
      </c>
      <c r="U40" s="108"/>
      <c r="V40" s="108"/>
      <c r="W40" s="108"/>
      <c r="X40" s="110" t="str">
        <f t="shared" ref="X40:X42" si="33">IFERROR(IF(AND(Q39="Probabilidad",Q40="Probabilidad"),(Z39-(+Z39*T40)),IF(AND(Q39="Impacto",Q40="Probabilidad"),(Z38-(+Z38*T40)),IF(Q40="Impacto",Z39,""))),"")</f>
        <v/>
      </c>
      <c r="Y40" s="111" t="str">
        <f t="shared" si="1"/>
        <v/>
      </c>
      <c r="Z40" s="112" t="str">
        <f t="shared" si="30"/>
        <v/>
      </c>
      <c r="AA40" s="111" t="str">
        <f t="shared" si="3"/>
        <v/>
      </c>
      <c r="AB40" s="112" t="str">
        <f t="shared" ref="AB40:AB42" si="34">IFERROR(IF(AND(Q39="Impacto",Q40="Impacto"),(AB39-(+AB39*T40)),IF(AND(Q39="Probabilidad",Q40="Impacto"),(AB38-(+AB38*T40)),IF(Q40="Probabilidad",AB39,""))),"")</f>
        <v/>
      </c>
      <c r="AC40" s="11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6"/>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404"/>
      <c r="B41" s="407"/>
      <c r="C41" s="407"/>
      <c r="D41" s="407"/>
      <c r="E41" s="410"/>
      <c r="F41" s="407"/>
      <c r="G41" s="413"/>
      <c r="H41" s="377"/>
      <c r="I41" s="380"/>
      <c r="J41" s="374"/>
      <c r="K41" s="380">
        <f>IF(NOT(ISERROR(MATCH(J41,_xlfn.ANCHORARRAY(E54),0))),I56&amp;"Por favor no seleccionar los criterios de impacto",J41)</f>
        <v>0</v>
      </c>
      <c r="L41" s="377"/>
      <c r="M41" s="380"/>
      <c r="N41" s="383"/>
      <c r="O41" s="106">
        <v>5</v>
      </c>
      <c r="P41" s="165"/>
      <c r="Q41" s="107" t="str">
        <f t="shared" si="32"/>
        <v/>
      </c>
      <c r="R41" s="108"/>
      <c r="S41" s="108"/>
      <c r="T41" s="109" t="str">
        <f t="shared" si="29"/>
        <v/>
      </c>
      <c r="U41" s="108"/>
      <c r="V41" s="108"/>
      <c r="W41" s="108"/>
      <c r="X41" s="110" t="str">
        <f t="shared" si="33"/>
        <v/>
      </c>
      <c r="Y41" s="111" t="str">
        <f t="shared" si="1"/>
        <v/>
      </c>
      <c r="Z41" s="112" t="str">
        <f t="shared" si="30"/>
        <v/>
      </c>
      <c r="AA41" s="111" t="str">
        <f t="shared" si="3"/>
        <v/>
      </c>
      <c r="AB41" s="112" t="str">
        <f t="shared" si="34"/>
        <v/>
      </c>
      <c r="AC41" s="113"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16"/>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405"/>
      <c r="B42" s="408"/>
      <c r="C42" s="408"/>
      <c r="D42" s="408"/>
      <c r="E42" s="411"/>
      <c r="F42" s="408"/>
      <c r="G42" s="414"/>
      <c r="H42" s="378"/>
      <c r="I42" s="381"/>
      <c r="J42" s="375"/>
      <c r="K42" s="381">
        <f>IF(NOT(ISERROR(MATCH(J42,_xlfn.ANCHORARRAY(E55),0))),I57&amp;"Por favor no seleccionar los criterios de impacto",J42)</f>
        <v>0</v>
      </c>
      <c r="L42" s="378"/>
      <c r="M42" s="381"/>
      <c r="N42" s="384"/>
      <c r="O42" s="106">
        <v>6</v>
      </c>
      <c r="P42" s="165"/>
      <c r="Q42" s="107" t="str">
        <f t="shared" si="32"/>
        <v/>
      </c>
      <c r="R42" s="108"/>
      <c r="S42" s="108"/>
      <c r="T42" s="109" t="str">
        <f t="shared" si="29"/>
        <v/>
      </c>
      <c r="U42" s="108"/>
      <c r="V42" s="108"/>
      <c r="W42" s="108"/>
      <c r="X42" s="110" t="str">
        <f t="shared" si="33"/>
        <v/>
      </c>
      <c r="Y42" s="111" t="str">
        <f t="shared" si="1"/>
        <v/>
      </c>
      <c r="Z42" s="112" t="str">
        <f t="shared" si="30"/>
        <v/>
      </c>
      <c r="AA42" s="111" t="str">
        <f t="shared" si="3"/>
        <v/>
      </c>
      <c r="AB42" s="112" t="str">
        <f t="shared" si="34"/>
        <v/>
      </c>
      <c r="AC42" s="113" t="str">
        <f t="shared" si="35"/>
        <v/>
      </c>
      <c r="AD42" s="114"/>
      <c r="AE42" s="115"/>
      <c r="AF42" s="116"/>
      <c r="AG42" s="116"/>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70.5" customHeight="1" x14ac:dyDescent="0.3">
      <c r="A43" s="403">
        <v>6</v>
      </c>
      <c r="B43" s="406" t="s">
        <v>239</v>
      </c>
      <c r="C43" s="406" t="s">
        <v>248</v>
      </c>
      <c r="D43" s="406" t="s">
        <v>249</v>
      </c>
      <c r="E43" s="409" t="s">
        <v>250</v>
      </c>
      <c r="F43" s="406" t="s">
        <v>192</v>
      </c>
      <c r="G43" s="412">
        <v>360</v>
      </c>
      <c r="H43" s="376" t="str">
        <f>IF(G43&lt;=0,"",IF(G43&lt;=2,"Muy Baja",IF(G43&lt;=24,"Baja",IF(G43&lt;=500,"Media",IF(G43&lt;=5000,"Alta","Muy Alta")))))</f>
        <v>Media</v>
      </c>
      <c r="I43" s="379">
        <f>IF(H43="","",IF(H43="Muy Baja",0.2,IF(H43="Baja",0.4,IF(H43="Media",0.6,IF(H43="Alta",0.8,IF(H43="Muy Alta",1,))))))</f>
        <v>0.6</v>
      </c>
      <c r="J43" s="373" t="s">
        <v>243</v>
      </c>
      <c r="K43" s="202"/>
      <c r="L43" s="376" t="str">
        <f>IF(OR(K45='Tabla Impacto'!$C$11,K45='Tabla Impacto'!$D$11),"Leve",IF(OR(K45='Tabla Impacto'!$C$12,K45='Tabla Impacto'!$D$12),"Menor",IF(OR(K45='Tabla Impacto'!$C$13,K45='Tabla Impacto'!$D$13),"Moderado",IF(OR(K45='Tabla Impacto'!$C$14,K45='Tabla Impacto'!$D$14),"Mayor",IF(OR(K45='Tabla Impacto'!$C$15,K45='Tabla Impacto'!$D$15),"Catastrófico","")))))</f>
        <v>Moderado</v>
      </c>
      <c r="M43" s="379">
        <f>IF(L43="","",IF(L43="Leve",0.2,IF(L43="Menor",0.4,IF(L43="Moderado",0.6,IF(L43="Mayor",0.8,IF(L43="Catastrófico",1,))))))</f>
        <v>0.6</v>
      </c>
      <c r="N43" s="382"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388">
        <v>1</v>
      </c>
      <c r="P43" s="391" t="s">
        <v>251</v>
      </c>
      <c r="Q43" s="400" t="str">
        <f>IF(OR(R43="Preventivo",R43="Detectivo"),"Probabilidad",IF(R43="Correctivo","Impacto",""))</f>
        <v>Probabilidad</v>
      </c>
      <c r="R43" s="370" t="s">
        <v>195</v>
      </c>
      <c r="S43" s="370" t="s">
        <v>196</v>
      </c>
      <c r="T43" s="394" t="str">
        <f>IF(AND(R43="Preventivo",S43="Automático"),"50%",IF(AND(R43="Preventivo",S43="Manual"),"40%",IF(AND(R43="Detectivo",S43="Automático"),"40%",IF(AND(R43="Detectivo",S43="Manual"),"30%",IF(AND(R43="Correctivo",S43="Automático"),"35%",IF(AND(R43="Correctivo",S43="Manual"),"25%",""))))))</f>
        <v>40%</v>
      </c>
      <c r="U43" s="370" t="s">
        <v>197</v>
      </c>
      <c r="V43" s="370" t="s">
        <v>198</v>
      </c>
      <c r="W43" s="370" t="s">
        <v>199</v>
      </c>
      <c r="X43" s="149"/>
      <c r="Y43" s="397" t="str">
        <f>IFERROR(IF(X45="","",IF(X45&lt;=0.2,"Muy Baja",IF(X45&lt;=0.4,"Baja",IF(X45&lt;=0.6,"Media",IF(X45&lt;=0.8,"Alta","Muy Alta"))))),"")</f>
        <v>Baja</v>
      </c>
      <c r="Z43" s="394">
        <f>+X45</f>
        <v>0.36</v>
      </c>
      <c r="AA43" s="397" t="str">
        <f>IFERROR(IF(AB43="","",IF(AB43&lt;=0.2,"Leve",IF(AB43&lt;=0.4,"Menor",IF(AB43&lt;=0.6,"Moderado",IF(AB43&lt;=0.8,"Mayor","Catastrófico"))))),"")</f>
        <v>Moderado</v>
      </c>
      <c r="AB43" s="394">
        <f>IFERROR(IF(Q43="Impacto",(M43-(+M43*T43)),IF(Q43="Probabilidad",M43,"")),"")</f>
        <v>0.6</v>
      </c>
      <c r="AC43" s="385"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370" t="s">
        <v>200</v>
      </c>
      <c r="AE43" s="188" t="s">
        <v>252</v>
      </c>
      <c r="AF43" s="195" t="s">
        <v>253</v>
      </c>
      <c r="AG43" s="196" t="s">
        <v>254</v>
      </c>
      <c r="AH43" s="164">
        <v>45658</v>
      </c>
      <c r="AI43" s="201">
        <v>45777</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57" customHeight="1" x14ac:dyDescent="0.3">
      <c r="A44" s="404"/>
      <c r="B44" s="407"/>
      <c r="C44" s="407"/>
      <c r="D44" s="407"/>
      <c r="E44" s="410"/>
      <c r="F44" s="407"/>
      <c r="G44" s="413"/>
      <c r="H44" s="377"/>
      <c r="I44" s="380"/>
      <c r="J44" s="374"/>
      <c r="K44" s="202"/>
      <c r="L44" s="377"/>
      <c r="M44" s="380"/>
      <c r="N44" s="383"/>
      <c r="O44" s="389"/>
      <c r="P44" s="392"/>
      <c r="Q44" s="401"/>
      <c r="R44" s="371"/>
      <c r="S44" s="371"/>
      <c r="T44" s="395"/>
      <c r="U44" s="371"/>
      <c r="V44" s="371"/>
      <c r="W44" s="371"/>
      <c r="X44" s="149"/>
      <c r="Y44" s="398"/>
      <c r="Z44" s="395"/>
      <c r="AA44" s="398"/>
      <c r="AB44" s="395"/>
      <c r="AC44" s="386"/>
      <c r="AD44" s="371"/>
      <c r="AE44" s="188" t="s">
        <v>255</v>
      </c>
      <c r="AF44" s="195" t="s">
        <v>253</v>
      </c>
      <c r="AG44" s="196" t="s">
        <v>256</v>
      </c>
      <c r="AH44" s="164">
        <v>45658</v>
      </c>
      <c r="AI44" s="164">
        <v>46021</v>
      </c>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63.75" customHeight="1" x14ac:dyDescent="0.3">
      <c r="A45" s="404"/>
      <c r="B45" s="407"/>
      <c r="C45" s="407"/>
      <c r="D45" s="407"/>
      <c r="E45" s="410"/>
      <c r="F45" s="407"/>
      <c r="G45" s="413"/>
      <c r="H45" s="377"/>
      <c r="I45" s="380"/>
      <c r="J45" s="374"/>
      <c r="K45" s="379"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5" s="377"/>
      <c r="M45" s="380"/>
      <c r="N45" s="383"/>
      <c r="O45" s="390"/>
      <c r="P45" s="393"/>
      <c r="Q45" s="402"/>
      <c r="R45" s="372"/>
      <c r="S45" s="372"/>
      <c r="T45" s="396"/>
      <c r="U45" s="372"/>
      <c r="V45" s="372"/>
      <c r="W45" s="372"/>
      <c r="X45" s="149">
        <f>IFERROR(IF(Q43="Probabilidad",(I43-(+I43*T43)),IF(Q43="Impacto",I43,"")),"")</f>
        <v>0.36</v>
      </c>
      <c r="Y45" s="399"/>
      <c r="Z45" s="396"/>
      <c r="AA45" s="399"/>
      <c r="AB45" s="396"/>
      <c r="AC45" s="387"/>
      <c r="AD45" s="372"/>
      <c r="AE45" s="188" t="s">
        <v>257</v>
      </c>
      <c r="AF45" s="195" t="s">
        <v>253</v>
      </c>
      <c r="AG45" s="196" t="s">
        <v>258</v>
      </c>
      <c r="AH45" s="164">
        <v>45658</v>
      </c>
      <c r="AI45" s="164">
        <v>46021</v>
      </c>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404"/>
      <c r="B46" s="407"/>
      <c r="C46" s="407"/>
      <c r="D46" s="407"/>
      <c r="E46" s="410"/>
      <c r="F46" s="407"/>
      <c r="G46" s="413"/>
      <c r="H46" s="377"/>
      <c r="I46" s="380"/>
      <c r="J46" s="374"/>
      <c r="K46" s="380">
        <f>IF(NOT(ISERROR(MATCH(J46,_xlfn.ANCHORARRAY(E57),0))),I59&amp;"Por favor no seleccionar los criterios de impacto",J46)</f>
        <v>0</v>
      </c>
      <c r="L46" s="377"/>
      <c r="M46" s="380"/>
      <c r="N46" s="383"/>
      <c r="O46" s="106">
        <v>2</v>
      </c>
      <c r="P46" s="165"/>
      <c r="Q46" s="107" t="str">
        <f>IF(OR(R46="Preventivo",R46="Detectivo"),"Probabilidad",IF(R46="Correctivo","Impacto",""))</f>
        <v/>
      </c>
      <c r="R46" s="108"/>
      <c r="S46" s="108"/>
      <c r="T46" s="109" t="str">
        <f t="shared" ref="T46:T50" si="36">IF(AND(R46="Preventivo",S46="Automático"),"50%",IF(AND(R46="Preventivo",S46="Manual"),"40%",IF(AND(R46="Detectivo",S46="Automático"),"40%",IF(AND(R46="Detectivo",S46="Manual"),"30%",IF(AND(R46="Correctivo",S46="Automático"),"35%",IF(AND(R46="Correctivo",S46="Manual"),"25%",""))))))</f>
        <v/>
      </c>
      <c r="U46" s="108"/>
      <c r="V46" s="108"/>
      <c r="W46" s="108"/>
      <c r="X46" s="110" t="str">
        <f>IFERROR(IF(AND(Q43="Probabilidad",Q46="Probabilidad"),(Z43-(+Z43*T46)),IF(Q46="Probabilidad",(I43-(+I43*T46)),IF(Q46="Impacto",Z43,""))),"")</f>
        <v/>
      </c>
      <c r="Y46" s="111" t="str">
        <f t="shared" si="1"/>
        <v/>
      </c>
      <c r="Z46" s="112" t="str">
        <f t="shared" ref="Z46:Z50" si="37">+X46</f>
        <v/>
      </c>
      <c r="AA46" s="111" t="str">
        <f t="shared" si="3"/>
        <v/>
      </c>
      <c r="AB46" s="112" t="str">
        <f>IFERROR(IF(AND(Q43="Impacto",Q46="Impacto"),(AB43-(+AB43*T46)),IF(Q46="Impacto",(M43-(+M43*T46)),IF(Q46="Probabilidad",AB43,""))),"")</f>
        <v/>
      </c>
      <c r="AC46" s="113" t="str">
        <f t="shared" ref="AC46:AC47" si="38">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6"/>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404"/>
      <c r="B47" s="407"/>
      <c r="C47" s="407"/>
      <c r="D47" s="407"/>
      <c r="E47" s="410"/>
      <c r="F47" s="407"/>
      <c r="G47" s="413"/>
      <c r="H47" s="377"/>
      <c r="I47" s="380"/>
      <c r="J47" s="374"/>
      <c r="K47" s="380">
        <f>IF(NOT(ISERROR(MATCH(J47,_xlfn.ANCHORARRAY(E58),0))),I60&amp;"Por favor no seleccionar los criterios de impacto",J47)</f>
        <v>0</v>
      </c>
      <c r="L47" s="377"/>
      <c r="M47" s="380"/>
      <c r="N47" s="383"/>
      <c r="O47" s="106">
        <v>3</v>
      </c>
      <c r="P47" s="166"/>
      <c r="Q47" s="107" t="str">
        <f>IF(OR(R47="Preventivo",R47="Detectivo"),"Probabilidad",IF(R47="Correctivo","Impacto",""))</f>
        <v/>
      </c>
      <c r="R47" s="108"/>
      <c r="S47" s="108"/>
      <c r="T47" s="109" t="str">
        <f t="shared" si="36"/>
        <v/>
      </c>
      <c r="U47" s="108"/>
      <c r="V47" s="108"/>
      <c r="W47" s="108"/>
      <c r="X47" s="110" t="str">
        <f>IFERROR(IF(AND(Q46="Probabilidad",Q47="Probabilidad"),(Z46-(+Z46*T47)),IF(AND(Q46="Impacto",Q47="Probabilidad"),(Z43-(+Z43*T47)),IF(Q47="Impacto",Z46,""))),"")</f>
        <v/>
      </c>
      <c r="Y47" s="111" t="str">
        <f t="shared" si="1"/>
        <v/>
      </c>
      <c r="Z47" s="112" t="str">
        <f t="shared" si="37"/>
        <v/>
      </c>
      <c r="AA47" s="111" t="str">
        <f t="shared" si="3"/>
        <v/>
      </c>
      <c r="AB47" s="112" t="str">
        <f>IFERROR(IF(AND(Q46="Impacto",Q47="Impacto"),(AB46-(+AB46*T47)),IF(AND(Q46="Probabilidad",Q47="Impacto"),(AB43-(+AB43*T47)),IF(Q47="Probabilidad",AB46,""))),"")</f>
        <v/>
      </c>
      <c r="AC47" s="113" t="str">
        <f t="shared" si="38"/>
        <v/>
      </c>
      <c r="AD47" s="114"/>
      <c r="AE47" s="115"/>
      <c r="AF47" s="116"/>
      <c r="AG47" s="116"/>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404"/>
      <c r="B48" s="407"/>
      <c r="C48" s="407"/>
      <c r="D48" s="407"/>
      <c r="E48" s="410"/>
      <c r="F48" s="407"/>
      <c r="G48" s="413"/>
      <c r="H48" s="377"/>
      <c r="I48" s="380"/>
      <c r="J48" s="374"/>
      <c r="K48" s="380">
        <f>IF(NOT(ISERROR(MATCH(J48,_xlfn.ANCHORARRAY(E59),0))),I61&amp;"Por favor no seleccionar los criterios de impacto",J48)</f>
        <v>0</v>
      </c>
      <c r="L48" s="377"/>
      <c r="M48" s="380"/>
      <c r="N48" s="383"/>
      <c r="O48" s="106">
        <v>4</v>
      </c>
      <c r="P48" s="165"/>
      <c r="Q48" s="107" t="str">
        <f t="shared" ref="Q48:Q50" si="39">IF(OR(R48="Preventivo",R48="Detectivo"),"Probabilidad",IF(R48="Correctivo","Impacto",""))</f>
        <v/>
      </c>
      <c r="R48" s="108"/>
      <c r="S48" s="108"/>
      <c r="T48" s="109" t="str">
        <f t="shared" si="36"/>
        <v/>
      </c>
      <c r="U48" s="108"/>
      <c r="V48" s="108"/>
      <c r="W48" s="108"/>
      <c r="X48" s="110" t="str">
        <f t="shared" ref="X48:X50" si="40">IFERROR(IF(AND(Q47="Probabilidad",Q48="Probabilidad"),(Z47-(+Z47*T48)),IF(AND(Q47="Impacto",Q48="Probabilidad"),(Z46-(+Z46*T48)),IF(Q48="Impacto",Z47,""))),"")</f>
        <v/>
      </c>
      <c r="Y48" s="111" t="str">
        <f t="shared" si="1"/>
        <v/>
      </c>
      <c r="Z48" s="112" t="str">
        <f t="shared" si="37"/>
        <v/>
      </c>
      <c r="AA48" s="111" t="str">
        <f t="shared" si="3"/>
        <v/>
      </c>
      <c r="AB48" s="112" t="str">
        <f t="shared" ref="AB48:AB50" si="41">IFERROR(IF(AND(Q47="Impacto",Q48="Impacto"),(AB47-(+AB47*T48)),IF(AND(Q47="Probabilidad",Q48="Impacto"),(AB46-(+AB46*T48)),IF(Q48="Probabilidad",AB47,""))),"")</f>
        <v/>
      </c>
      <c r="AC48" s="11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16"/>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404"/>
      <c r="B49" s="407"/>
      <c r="C49" s="407"/>
      <c r="D49" s="407"/>
      <c r="E49" s="410"/>
      <c r="F49" s="407"/>
      <c r="G49" s="413"/>
      <c r="H49" s="377"/>
      <c r="I49" s="380"/>
      <c r="J49" s="374"/>
      <c r="K49" s="380">
        <f>IF(NOT(ISERROR(MATCH(J49,_xlfn.ANCHORARRAY(E60),0))),I62&amp;"Por favor no seleccionar los criterios de impacto",J49)</f>
        <v>0</v>
      </c>
      <c r="L49" s="377"/>
      <c r="M49" s="380"/>
      <c r="N49" s="383"/>
      <c r="O49" s="106">
        <v>5</v>
      </c>
      <c r="P49" s="165"/>
      <c r="Q49" s="107" t="str">
        <f t="shared" si="39"/>
        <v/>
      </c>
      <c r="R49" s="108"/>
      <c r="S49" s="108"/>
      <c r="T49" s="109" t="str">
        <f t="shared" si="36"/>
        <v/>
      </c>
      <c r="U49" s="108"/>
      <c r="V49" s="108"/>
      <c r="W49" s="108"/>
      <c r="X49" s="110" t="str">
        <f t="shared" si="40"/>
        <v/>
      </c>
      <c r="Y49" s="111" t="str">
        <f t="shared" si="1"/>
        <v/>
      </c>
      <c r="Z49" s="112" t="str">
        <f t="shared" si="37"/>
        <v/>
      </c>
      <c r="AA49" s="111" t="str">
        <f t="shared" si="3"/>
        <v/>
      </c>
      <c r="AB49" s="112" t="str">
        <f t="shared" si="41"/>
        <v/>
      </c>
      <c r="AC49" s="113" t="str">
        <f t="shared" ref="AC49" si="42">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6"/>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405"/>
      <c r="B50" s="408"/>
      <c r="C50" s="408"/>
      <c r="D50" s="408"/>
      <c r="E50" s="411"/>
      <c r="F50" s="408"/>
      <c r="G50" s="414"/>
      <c r="H50" s="378"/>
      <c r="I50" s="381"/>
      <c r="J50" s="375"/>
      <c r="K50" s="381">
        <f>IF(NOT(ISERROR(MATCH(J50,_xlfn.ANCHORARRAY(E61),0))),I63&amp;"Por favor no seleccionar los criterios de impacto",J50)</f>
        <v>0</v>
      </c>
      <c r="L50" s="378"/>
      <c r="M50" s="381"/>
      <c r="N50" s="384"/>
      <c r="O50" s="106">
        <v>6</v>
      </c>
      <c r="P50" s="165"/>
      <c r="Q50" s="107" t="str">
        <f t="shared" si="39"/>
        <v/>
      </c>
      <c r="R50" s="108"/>
      <c r="S50" s="108"/>
      <c r="T50" s="109" t="str">
        <f t="shared" si="36"/>
        <v/>
      </c>
      <c r="U50" s="108"/>
      <c r="V50" s="108"/>
      <c r="W50" s="108"/>
      <c r="X50" s="110" t="str">
        <f t="shared" si="40"/>
        <v/>
      </c>
      <c r="Y50" s="111" t="str">
        <f t="shared" si="1"/>
        <v/>
      </c>
      <c r="Z50" s="112" t="str">
        <f t="shared" si="37"/>
        <v/>
      </c>
      <c r="AA50" s="111" t="str">
        <f>IFERROR(IF(AB50="","",IF(AB50&lt;=0.2,"Leve",IF(AB50&lt;=0.4,"Menor",IF(AB50&lt;=0.6,"Moderado",IF(AB50&lt;=0.8,"Mayor","Catastrófico"))))),"")</f>
        <v/>
      </c>
      <c r="AB50" s="112" t="str">
        <f t="shared" si="41"/>
        <v/>
      </c>
      <c r="AC50" s="113"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6"/>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79.5" customHeight="1" x14ac:dyDescent="0.3">
      <c r="A51" s="403">
        <v>7</v>
      </c>
      <c r="B51" s="406" t="s">
        <v>189</v>
      </c>
      <c r="C51" s="406" t="s">
        <v>259</v>
      </c>
      <c r="D51" s="406" t="s">
        <v>260</v>
      </c>
      <c r="E51" s="409" t="s">
        <v>261</v>
      </c>
      <c r="F51" s="406" t="s">
        <v>192</v>
      </c>
      <c r="G51" s="412">
        <v>369</v>
      </c>
      <c r="H51" s="376" t="str">
        <f>IF(G51&lt;=0,"",IF(G51&lt;=2,"Muy Baja",IF(G51&lt;=24,"Baja",IF(G51&lt;=500,"Media",IF(G51&lt;=5000,"Alta","Muy Alta")))))</f>
        <v>Media</v>
      </c>
      <c r="I51" s="379">
        <f>IF(H51="","",IF(H51="Muy Baja",0.2,IF(H51="Baja",0.4,IF(H51="Media",0.6,IF(H51="Alta",0.8,IF(H51="Muy Alta",1,))))))</f>
        <v>0.6</v>
      </c>
      <c r="J51" s="373" t="s">
        <v>243</v>
      </c>
      <c r="K51" s="379" t="str">
        <f>IF(NOT(ISERROR(MATCH(J51,'Tabla Impacto'!$B$221:$B$223,0))),'Tabla Impacto'!$F$223&amp;"Por favor no seleccionar los criterios de impacto(Afectación Económica o presupuestal y Pérdida Reputacional)",J51)</f>
        <v xml:space="preserve">     El riesgo afecta la imagen de la entidad con algunos usuarios de relevancia frente al logro de los objetivos</v>
      </c>
      <c r="L51" s="376" t="str">
        <f>IF(OR(K51='Tabla Impacto'!$C$11,K51='Tabla Impacto'!$D$11),"Leve",IF(OR(K51='Tabla Impacto'!$C$12,K51='Tabla Impacto'!$D$12),"Menor",IF(OR(K51='Tabla Impacto'!$C$13,K51='Tabla Impacto'!$D$13),"Moderado",IF(OR(K51='Tabla Impacto'!$C$14,K51='Tabla Impacto'!$D$14),"Mayor",IF(OR(K51='Tabla Impacto'!$C$15,K51='Tabla Impacto'!$D$15),"Catastrófico","")))))</f>
        <v>Moderado</v>
      </c>
      <c r="M51" s="379">
        <f>IF(L51="","",IF(L51="Leve",0.2,IF(L51="Menor",0.4,IF(L51="Moderado",0.6,IF(L51="Mayor",0.8,IF(L51="Catastrófico",1,))))))</f>
        <v>0.6</v>
      </c>
      <c r="N51" s="382"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106">
        <v>1</v>
      </c>
      <c r="P51" s="193" t="s">
        <v>262</v>
      </c>
      <c r="Q51" s="152" t="str">
        <f>IF(OR(R51="Preventivo",R51="Detectivo"),"Probabilidad",IF(R51="Correctivo","Impacto",""))</f>
        <v>Probabilidad</v>
      </c>
      <c r="R51" s="156" t="s">
        <v>195</v>
      </c>
      <c r="S51" s="156" t="s">
        <v>196</v>
      </c>
      <c r="T51" s="157" t="str">
        <f>IF(AND(R51="Preventivo",S51="Automático"),"50%",IF(AND(R51="Preventivo",S51="Manual"),"40%",IF(AND(R51="Detectivo",S51="Automático"),"40%",IF(AND(R51="Detectivo",S51="Manual"),"30%",IF(AND(R51="Correctivo",S51="Automático"),"35%",IF(AND(R51="Correctivo",S51="Manual"),"25%",""))))))</f>
        <v>40%</v>
      </c>
      <c r="U51" s="156" t="s">
        <v>197</v>
      </c>
      <c r="V51" s="156" t="s">
        <v>198</v>
      </c>
      <c r="W51" s="156" t="s">
        <v>199</v>
      </c>
      <c r="X51" s="149">
        <f>IFERROR(IF(Q51="Probabilidad",(I51-(+I51*T51)),IF(Q51="Impacto",I51,"")),"")</f>
        <v>0.36</v>
      </c>
      <c r="Y51" s="158" t="str">
        <f>IFERROR(IF(X51="","",IF(X51&lt;=0.2,"Muy Baja",IF(X51&lt;=0.4,"Baja",IF(X51&lt;=0.6,"Media",IF(X51&lt;=0.8,"Alta","Muy Alta"))))),"")</f>
        <v>Baja</v>
      </c>
      <c r="Z51" s="159">
        <f>+X51</f>
        <v>0.36</v>
      </c>
      <c r="AA51" s="158" t="str">
        <f>IFERROR(IF(AB51="","",IF(AB51&lt;=0.2,"Leve",IF(AB51&lt;=0.4,"Menor",IF(AB51&lt;=0.6,"Moderado",IF(AB51&lt;=0.8,"Mayor","Catastrófico"))))),"")</f>
        <v>Moderado</v>
      </c>
      <c r="AB51" s="159">
        <f>IFERROR(IF(Q51="Impacto",(M51-(+M51*T51)),IF(Q51="Probabilidad",M51,"")),"")</f>
        <v>0.6</v>
      </c>
      <c r="AC51" s="160"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161" t="s">
        <v>200</v>
      </c>
      <c r="AE51" s="193" t="s">
        <v>263</v>
      </c>
      <c r="AF51" s="189" t="s">
        <v>264</v>
      </c>
      <c r="AG51" s="189" t="s">
        <v>265</v>
      </c>
      <c r="AH51" s="201">
        <v>45689</v>
      </c>
      <c r="AI51" s="201">
        <v>46010</v>
      </c>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404"/>
      <c r="B52" s="407"/>
      <c r="C52" s="407"/>
      <c r="D52" s="407"/>
      <c r="E52" s="410"/>
      <c r="F52" s="407"/>
      <c r="G52" s="413"/>
      <c r="H52" s="377"/>
      <c r="I52" s="380"/>
      <c r="J52" s="374"/>
      <c r="K52" s="380">
        <f>IF(NOT(ISERROR(MATCH(J52,_xlfn.ANCHORARRAY(E63),0))),I65&amp;"Por favor no seleccionar los criterios de impacto",J52)</f>
        <v>0</v>
      </c>
      <c r="L52" s="377"/>
      <c r="M52" s="380"/>
      <c r="N52" s="383"/>
      <c r="O52" s="106">
        <v>2</v>
      </c>
      <c r="P52" s="165"/>
      <c r="Q52" s="152" t="str">
        <f>IF(OR(R52="Preventivo",R52="Detectivo"),"Probabilidad",IF(R52="Correctivo","Impacto",""))</f>
        <v/>
      </c>
      <c r="R52" s="156"/>
      <c r="S52" s="156"/>
      <c r="T52" s="157" t="str">
        <f t="shared" ref="T52:T56" si="43">IF(AND(R52="Preventivo",S52="Automático"),"50%",IF(AND(R52="Preventivo",S52="Manual"),"40%",IF(AND(R52="Detectivo",S52="Automático"),"40%",IF(AND(R52="Detectivo",S52="Manual"),"30%",IF(AND(R52="Correctivo",S52="Automático"),"35%",IF(AND(R52="Correctivo",S52="Manual"),"25%",""))))))</f>
        <v/>
      </c>
      <c r="U52" s="156"/>
      <c r="V52" s="156"/>
      <c r="W52" s="156"/>
      <c r="X52" s="149" t="str">
        <f>IFERROR(IF(AND(Q51="Probabilidad",Q52="Probabilidad"),(Z51-(+Z51*T52)),IF(Q52="Probabilidad",(I51-(+I51*T52)),IF(Q52="Impacto",Z51,""))),"")</f>
        <v/>
      </c>
      <c r="Y52" s="158" t="str">
        <f t="shared" si="1"/>
        <v/>
      </c>
      <c r="Z52" s="159" t="str">
        <f t="shared" ref="Z52:Z56" si="44">+X52</f>
        <v/>
      </c>
      <c r="AA52" s="158" t="str">
        <f t="shared" si="3"/>
        <v/>
      </c>
      <c r="AB52" s="159" t="str">
        <f>IFERROR(IF(AND(Q51="Impacto",Q52="Impacto"),(AB51-(+AB51*T52)),IF(Q52="Impacto",(M51-(+M51*T52)),IF(Q52="Probabilidad",AB51,""))),"")</f>
        <v/>
      </c>
      <c r="AC52" s="160" t="str">
        <f t="shared" ref="AC52:AC53" si="45">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61"/>
      <c r="AE52" s="115"/>
      <c r="AF52" s="116"/>
      <c r="AG52" s="116"/>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404"/>
      <c r="B53" s="407"/>
      <c r="C53" s="407"/>
      <c r="D53" s="407"/>
      <c r="E53" s="410"/>
      <c r="F53" s="407"/>
      <c r="G53" s="413"/>
      <c r="H53" s="377"/>
      <c r="I53" s="380"/>
      <c r="J53" s="374"/>
      <c r="K53" s="380">
        <f>IF(NOT(ISERROR(MATCH(J53,_xlfn.ANCHORARRAY(E64),0))),I66&amp;"Por favor no seleccionar los criterios de impacto",J53)</f>
        <v>0</v>
      </c>
      <c r="L53" s="377"/>
      <c r="M53" s="380"/>
      <c r="N53" s="383"/>
      <c r="O53" s="106">
        <v>3</v>
      </c>
      <c r="P53" s="166"/>
      <c r="Q53" s="107" t="str">
        <f>IF(OR(R53="Preventivo",R53="Detectivo"),"Probabilidad",IF(R53="Correctivo","Impacto",""))</f>
        <v/>
      </c>
      <c r="R53" s="108"/>
      <c r="S53" s="108"/>
      <c r="T53" s="109" t="str">
        <f t="shared" si="43"/>
        <v/>
      </c>
      <c r="U53" s="108"/>
      <c r="V53" s="108"/>
      <c r="W53" s="108"/>
      <c r="X53" s="110" t="str">
        <f>IFERROR(IF(AND(Q52="Probabilidad",Q53="Probabilidad"),(Z52-(+Z52*T53)),IF(AND(Q52="Impacto",Q53="Probabilidad"),(Z51-(+Z51*T53)),IF(Q53="Impacto",Z52,""))),"")</f>
        <v/>
      </c>
      <c r="Y53" s="111" t="str">
        <f t="shared" si="1"/>
        <v/>
      </c>
      <c r="Z53" s="112" t="str">
        <f t="shared" si="44"/>
        <v/>
      </c>
      <c r="AA53" s="111" t="str">
        <f t="shared" si="3"/>
        <v/>
      </c>
      <c r="AB53" s="112" t="str">
        <f>IFERROR(IF(AND(Q52="Impacto",Q53="Impacto"),(AB52-(+AB52*T53)),IF(AND(Q52="Probabilidad",Q53="Impacto"),(AB51-(+AB51*T53)),IF(Q53="Probabilidad",AB52,""))),"")</f>
        <v/>
      </c>
      <c r="AC53" s="113" t="str">
        <f t="shared" si="45"/>
        <v/>
      </c>
      <c r="AD53" s="114"/>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customHeight="1" x14ac:dyDescent="0.3">
      <c r="A54" s="404"/>
      <c r="B54" s="407"/>
      <c r="C54" s="407"/>
      <c r="D54" s="407"/>
      <c r="E54" s="410"/>
      <c r="F54" s="407"/>
      <c r="G54" s="413"/>
      <c r="H54" s="377"/>
      <c r="I54" s="380"/>
      <c r="J54" s="374"/>
      <c r="K54" s="380">
        <f>IF(NOT(ISERROR(MATCH(J54,_xlfn.ANCHORARRAY(E65),0))),I67&amp;"Por favor no seleccionar los criterios de impacto",J54)</f>
        <v>0</v>
      </c>
      <c r="L54" s="377"/>
      <c r="M54" s="380"/>
      <c r="N54" s="383"/>
      <c r="O54" s="106">
        <v>4</v>
      </c>
      <c r="P54" s="165"/>
      <c r="Q54" s="107" t="str">
        <f t="shared" ref="Q54:Q57" si="46">IF(OR(R54="Preventivo",R54="Detectivo"),"Probabilidad",IF(R54="Correctivo","Impacto",""))</f>
        <v/>
      </c>
      <c r="R54" s="108"/>
      <c r="S54" s="108"/>
      <c r="T54" s="109" t="str">
        <f t="shared" si="43"/>
        <v/>
      </c>
      <c r="U54" s="108"/>
      <c r="V54" s="108"/>
      <c r="W54" s="108"/>
      <c r="X54" s="110" t="str">
        <f t="shared" ref="X54:X56" si="47">IFERROR(IF(AND(Q53="Probabilidad",Q54="Probabilidad"),(Z53-(+Z53*T54)),IF(AND(Q53="Impacto",Q54="Probabilidad"),(Z52-(+Z52*T54)),IF(Q54="Impacto",Z53,""))),"")</f>
        <v/>
      </c>
      <c r="Y54" s="111" t="str">
        <f t="shared" si="1"/>
        <v/>
      </c>
      <c r="Z54" s="112" t="str">
        <f t="shared" si="44"/>
        <v/>
      </c>
      <c r="AA54" s="111" t="str">
        <f t="shared" si="3"/>
        <v/>
      </c>
      <c r="AB54" s="112" t="str">
        <f t="shared" ref="AB54:AB56" si="48">IFERROR(IF(AND(Q53="Impacto",Q54="Impacto"),(AB53-(+AB53*T54)),IF(AND(Q53="Probabilidad",Q54="Impacto"),(AB52-(+AB52*T54)),IF(Q54="Probabilidad",AB53,""))),"")</f>
        <v/>
      </c>
      <c r="AC54" s="11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customHeight="1" x14ac:dyDescent="0.3">
      <c r="A55" s="404"/>
      <c r="B55" s="407"/>
      <c r="C55" s="407"/>
      <c r="D55" s="407"/>
      <c r="E55" s="410"/>
      <c r="F55" s="407"/>
      <c r="G55" s="413"/>
      <c r="H55" s="377"/>
      <c r="I55" s="380"/>
      <c r="J55" s="374"/>
      <c r="K55" s="380">
        <f>IF(NOT(ISERROR(MATCH(J55,_xlfn.ANCHORARRAY(E66),0))),I68&amp;"Por favor no seleccionar los criterios de impacto",J55)</f>
        <v>0</v>
      </c>
      <c r="L55" s="377"/>
      <c r="M55" s="380"/>
      <c r="N55" s="383"/>
      <c r="O55" s="106">
        <v>5</v>
      </c>
      <c r="P55" s="165"/>
      <c r="Q55" s="107" t="str">
        <f t="shared" si="46"/>
        <v/>
      </c>
      <c r="R55" s="108"/>
      <c r="S55" s="108"/>
      <c r="T55" s="109" t="str">
        <f t="shared" si="43"/>
        <v/>
      </c>
      <c r="U55" s="108"/>
      <c r="V55" s="108"/>
      <c r="W55" s="108"/>
      <c r="X55" s="110" t="str">
        <f t="shared" si="47"/>
        <v/>
      </c>
      <c r="Y55" s="111" t="str">
        <f t="shared" si="1"/>
        <v/>
      </c>
      <c r="Z55" s="112" t="str">
        <f t="shared" si="44"/>
        <v/>
      </c>
      <c r="AA55" s="111" t="str">
        <f t="shared" si="3"/>
        <v/>
      </c>
      <c r="AB55" s="112" t="str">
        <f t="shared" si="48"/>
        <v/>
      </c>
      <c r="AC55" s="113" t="str">
        <f t="shared" ref="AC55:AC56" si="49">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405"/>
      <c r="B56" s="408"/>
      <c r="C56" s="408"/>
      <c r="D56" s="408"/>
      <c r="E56" s="411"/>
      <c r="F56" s="408"/>
      <c r="G56" s="414"/>
      <c r="H56" s="378"/>
      <c r="I56" s="381"/>
      <c r="J56" s="375"/>
      <c r="K56" s="381">
        <f>IF(NOT(ISERROR(MATCH(J56,_xlfn.ANCHORARRAY(E67),0))),I69&amp;"Por favor no seleccionar los criterios de impacto",J56)</f>
        <v>0</v>
      </c>
      <c r="L56" s="378"/>
      <c r="M56" s="381"/>
      <c r="N56" s="384"/>
      <c r="O56" s="106">
        <v>6</v>
      </c>
      <c r="P56" s="165"/>
      <c r="Q56" s="107" t="str">
        <f t="shared" si="46"/>
        <v/>
      </c>
      <c r="R56" s="108"/>
      <c r="S56" s="108"/>
      <c r="T56" s="109" t="str">
        <f t="shared" si="43"/>
        <v/>
      </c>
      <c r="U56" s="108"/>
      <c r="V56" s="108"/>
      <c r="W56" s="108"/>
      <c r="X56" s="110" t="str">
        <f t="shared" si="47"/>
        <v/>
      </c>
      <c r="Y56" s="111" t="str">
        <f t="shared" si="1"/>
        <v/>
      </c>
      <c r="Z56" s="112" t="str">
        <f t="shared" si="44"/>
        <v/>
      </c>
      <c r="AA56" s="111" t="str">
        <f t="shared" si="3"/>
        <v/>
      </c>
      <c r="AB56" s="112" t="str">
        <f t="shared" si="48"/>
        <v/>
      </c>
      <c r="AC56" s="113" t="str">
        <f t="shared" si="49"/>
        <v/>
      </c>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74.25" customHeight="1" x14ac:dyDescent="0.3">
      <c r="A57" s="403">
        <v>8</v>
      </c>
      <c r="B57" s="406" t="s">
        <v>189</v>
      </c>
      <c r="C57" s="406" t="s">
        <v>266</v>
      </c>
      <c r="D57" s="406" t="s">
        <v>267</v>
      </c>
      <c r="E57" s="409" t="s">
        <v>268</v>
      </c>
      <c r="F57" s="406" t="s">
        <v>192</v>
      </c>
      <c r="G57" s="412">
        <v>369</v>
      </c>
      <c r="H57" s="376" t="str">
        <f>IF(G57&lt;=0,"",IF(G57&lt;=2,"Muy Baja",IF(G57&lt;=24,"Baja",IF(G57&lt;=500,"Media",IF(G57&lt;=5000,"Alta","Muy Alta")))))</f>
        <v>Media</v>
      </c>
      <c r="I57" s="379">
        <f>IF(H57="","",IF(H57="Muy Baja",0.2,IF(H57="Baja",0.4,IF(H57="Media",0.6,IF(H57="Alta",0.8,IF(H57="Muy Alta",1,))))))</f>
        <v>0.6</v>
      </c>
      <c r="J57" s="373" t="s">
        <v>243</v>
      </c>
      <c r="K57" s="379" t="str">
        <f>IF(NOT(ISERROR(MATCH(J57,'Tabla Impacto'!$B$221:$B$223,0))),'Tabla Impacto'!$F$223&amp;"Por favor no seleccionar los criterios de impacto(Afectación Económica o presupuestal y Pérdida Reputacional)",J57)</f>
        <v xml:space="preserve">     El riesgo afecta la imagen de la entidad con algunos usuarios de relevancia frente al logro de los objetivos</v>
      </c>
      <c r="L57" s="376" t="str">
        <f>IF(OR(K57='Tabla Impacto'!$C$11,K57='Tabla Impacto'!$D$11),"Leve",IF(OR(K57='Tabla Impacto'!$C$12,K57='Tabla Impacto'!$D$12),"Menor",IF(OR(K57='Tabla Impacto'!$C$13,K57='Tabla Impacto'!$D$13),"Moderado",IF(OR(K57='Tabla Impacto'!$C$14,K57='Tabla Impacto'!$D$14),"Mayor",IF(OR(K57='Tabla Impacto'!$C$15,K57='Tabla Impacto'!$D$15),"Catastrófico","")))))</f>
        <v>Moderado</v>
      </c>
      <c r="M57" s="379">
        <f>IF(L57="","",IF(L57="Leve",0.2,IF(L57="Menor",0.4,IF(L57="Moderado",0.6,IF(L57="Mayor",0.8,IF(L57="Catastrófico",1,))))))</f>
        <v>0.6</v>
      </c>
      <c r="N57" s="382"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Moderado</v>
      </c>
      <c r="O57" s="106">
        <v>1</v>
      </c>
      <c r="P57" s="165" t="s">
        <v>269</v>
      </c>
      <c r="Q57" s="152" t="str">
        <f t="shared" si="46"/>
        <v>Probabilidad</v>
      </c>
      <c r="R57" s="156" t="s">
        <v>195</v>
      </c>
      <c r="S57" s="156" t="s">
        <v>196</v>
      </c>
      <c r="T57" s="157" t="str">
        <f>IF(AND(R57="Preventivo",S57="Automático"),"50%",IF(AND(R57="Preventivo",S57="Manual"),"40%",IF(AND(R57="Detectivo",S57="Automático"),"40%",IF(AND(R57="Detectivo",S57="Manual"),"30%",IF(AND(R57="Correctivo",S57="Automático"),"35%",IF(AND(R57="Correctivo",S57="Manual"),"25%",""))))))</f>
        <v>40%</v>
      </c>
      <c r="U57" s="156" t="s">
        <v>197</v>
      </c>
      <c r="V57" s="156" t="s">
        <v>198</v>
      </c>
      <c r="W57" s="156" t="s">
        <v>199</v>
      </c>
      <c r="X57" s="149">
        <f>IFERROR(IF(Q57="Probabilidad",(I57-(+I57*T57)),IF(Q57="Impacto",I57,"")),"")</f>
        <v>0.36</v>
      </c>
      <c r="Y57" s="158" t="str">
        <f>IFERROR(IF(X57="","",IF(X57&lt;=0.2,"Muy Baja",IF(X57&lt;=0.4,"Baja",IF(X57&lt;=0.6,"Media",IF(X57&lt;=0.8,"Alta","Muy Alta"))))),"")</f>
        <v>Baja</v>
      </c>
      <c r="Z57" s="159">
        <f>+X57</f>
        <v>0.36</v>
      </c>
      <c r="AA57" s="158" t="str">
        <f>IFERROR(IF(AB57="","",IF(AB57&lt;=0.2,"Leve",IF(AB57&lt;=0.4,"Menor",IF(AB57&lt;=0.6,"Moderado",IF(AB57&lt;=0.8,"Mayor","Catastrófico"))))),"")</f>
        <v>Moderado</v>
      </c>
      <c r="AB57" s="159">
        <f>IFERROR(IF(Q57="Impacto",(M57-(+M57*T57)),IF(Q57="Probabilidad",M57,"")),"")</f>
        <v>0.6</v>
      </c>
      <c r="AC57" s="160"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Moderado</v>
      </c>
      <c r="AD57" s="161" t="s">
        <v>200</v>
      </c>
      <c r="AE57" s="188" t="s">
        <v>270</v>
      </c>
      <c r="AF57" s="189" t="s">
        <v>271</v>
      </c>
      <c r="AG57" s="189" t="s">
        <v>272</v>
      </c>
      <c r="AH57" s="201">
        <v>45689</v>
      </c>
      <c r="AI57" s="201">
        <v>46010</v>
      </c>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404"/>
      <c r="B58" s="407"/>
      <c r="C58" s="407"/>
      <c r="D58" s="407"/>
      <c r="E58" s="410"/>
      <c r="F58" s="407"/>
      <c r="G58" s="413"/>
      <c r="H58" s="377"/>
      <c r="I58" s="380"/>
      <c r="J58" s="374"/>
      <c r="K58" s="380">
        <f>IF(NOT(ISERROR(MATCH(J58,_xlfn.ANCHORARRAY(E69),0))),I71&amp;"Por favor no seleccionar los criterios de impacto",J58)</f>
        <v>0</v>
      </c>
      <c r="L58" s="377"/>
      <c r="M58" s="380"/>
      <c r="N58" s="383"/>
      <c r="O58" s="106">
        <v>2</v>
      </c>
      <c r="P58" s="165"/>
      <c r="Q58" s="107" t="str">
        <f>IF(OR(R58="Preventivo",R58="Detectivo"),"Probabilidad",IF(R58="Correctivo","Impacto",""))</f>
        <v/>
      </c>
      <c r="R58" s="108"/>
      <c r="S58" s="108"/>
      <c r="T58" s="109" t="str">
        <f t="shared" ref="T58:T62" si="50">IF(AND(R58="Preventivo",S58="Automático"),"50%",IF(AND(R58="Preventivo",S58="Manual"),"40%",IF(AND(R58="Detectivo",S58="Automático"),"40%",IF(AND(R58="Detectivo",S58="Manual"),"30%",IF(AND(R58="Correctivo",S58="Automático"),"35%",IF(AND(R58="Correctivo",S58="Manual"),"25%",""))))))</f>
        <v/>
      </c>
      <c r="U58" s="108"/>
      <c r="V58" s="108"/>
      <c r="W58" s="108"/>
      <c r="X58" s="110" t="str">
        <f>IFERROR(IF(AND(Q57="Probabilidad",Q58="Probabilidad"),(Z57-(+Z57*T58)),IF(Q58="Probabilidad",(I57-(+I57*T58)),IF(Q58="Impacto",Z57,""))),"")</f>
        <v/>
      </c>
      <c r="Y58" s="111" t="str">
        <f t="shared" si="1"/>
        <v/>
      </c>
      <c r="Z58" s="112" t="str">
        <f t="shared" ref="Z58:Z62" si="51">+X58</f>
        <v/>
      </c>
      <c r="AA58" s="111" t="str">
        <f t="shared" si="3"/>
        <v/>
      </c>
      <c r="AB58" s="112" t="str">
        <f>IFERROR(IF(AND(Q57="Impacto",Q58="Impacto"),(AB57-(+AB57*T58)),IF(Q58="Impacto",(M57-(+M57*T58)),IF(Q58="Probabilidad",AB57,""))),"")</f>
        <v/>
      </c>
      <c r="AC58" s="113" t="str">
        <f t="shared" ref="AC58:AC59" si="5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6"/>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404"/>
      <c r="B59" s="407"/>
      <c r="C59" s="407"/>
      <c r="D59" s="407"/>
      <c r="E59" s="410"/>
      <c r="F59" s="407"/>
      <c r="G59" s="413"/>
      <c r="H59" s="377"/>
      <c r="I59" s="380"/>
      <c r="J59" s="374"/>
      <c r="K59" s="380">
        <f>IF(NOT(ISERROR(MATCH(J59,_xlfn.ANCHORARRAY(E70),0))),I72&amp;"Por favor no seleccionar los criterios de impacto",J59)</f>
        <v>0</v>
      </c>
      <c r="L59" s="377"/>
      <c r="M59" s="380"/>
      <c r="N59" s="383"/>
      <c r="O59" s="106">
        <v>3</v>
      </c>
      <c r="P59" s="166"/>
      <c r="Q59" s="107" t="str">
        <f>IF(OR(R59="Preventivo",R59="Detectivo"),"Probabilidad",IF(R59="Correctivo","Impacto",""))</f>
        <v/>
      </c>
      <c r="R59" s="108"/>
      <c r="S59" s="108"/>
      <c r="T59" s="109" t="str">
        <f t="shared" si="50"/>
        <v/>
      </c>
      <c r="U59" s="108"/>
      <c r="V59" s="108"/>
      <c r="W59" s="108"/>
      <c r="X59" s="110" t="str">
        <f>IFERROR(IF(AND(Q58="Probabilidad",Q59="Probabilidad"),(Z58-(+Z58*T59)),IF(AND(Q58="Impacto",Q59="Probabilidad"),(Z57-(+Z57*T59)),IF(Q59="Impacto",Z58,""))),"")</f>
        <v/>
      </c>
      <c r="Y59" s="111" t="str">
        <f t="shared" si="1"/>
        <v/>
      </c>
      <c r="Z59" s="112" t="str">
        <f t="shared" si="51"/>
        <v/>
      </c>
      <c r="AA59" s="111" t="str">
        <f t="shared" si="3"/>
        <v/>
      </c>
      <c r="AB59" s="112" t="str">
        <f>IFERROR(IF(AND(Q58="Impacto",Q59="Impacto"),(AB58-(+AB58*T59)),IF(AND(Q58="Probabilidad",Q59="Impacto"),(AB57-(+AB57*T59)),IF(Q59="Probabilidad",AB58,""))),"")</f>
        <v/>
      </c>
      <c r="AC59" s="113" t="str">
        <f t="shared" si="52"/>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404"/>
      <c r="B60" s="407"/>
      <c r="C60" s="407"/>
      <c r="D60" s="407"/>
      <c r="E60" s="410"/>
      <c r="F60" s="407"/>
      <c r="G60" s="413"/>
      <c r="H60" s="377"/>
      <c r="I60" s="380"/>
      <c r="J60" s="374"/>
      <c r="K60" s="380">
        <f>IF(NOT(ISERROR(MATCH(J60,_xlfn.ANCHORARRAY(E71),0))),I73&amp;"Por favor no seleccionar los criterios de impacto",J60)</f>
        <v>0</v>
      </c>
      <c r="L60" s="377"/>
      <c r="M60" s="380"/>
      <c r="N60" s="383"/>
      <c r="O60" s="106">
        <v>4</v>
      </c>
      <c r="P60" s="165"/>
      <c r="Q60" s="107" t="str">
        <f t="shared" ref="Q60:Q63" si="53">IF(OR(R60="Preventivo",R60="Detectivo"),"Probabilidad",IF(R60="Correctivo","Impacto",""))</f>
        <v/>
      </c>
      <c r="R60" s="108"/>
      <c r="S60" s="108"/>
      <c r="T60" s="109" t="str">
        <f t="shared" si="50"/>
        <v/>
      </c>
      <c r="U60" s="108"/>
      <c r="V60" s="108"/>
      <c r="W60" s="108"/>
      <c r="X60" s="110" t="str">
        <f t="shared" ref="X60:X62" si="54">IFERROR(IF(AND(Q59="Probabilidad",Q60="Probabilidad"),(Z59-(+Z59*T60)),IF(AND(Q59="Impacto",Q60="Probabilidad"),(Z58-(+Z58*T60)),IF(Q60="Impacto",Z59,""))),"")</f>
        <v/>
      </c>
      <c r="Y60" s="111" t="str">
        <f t="shared" si="1"/>
        <v/>
      </c>
      <c r="Z60" s="112" t="str">
        <f t="shared" si="51"/>
        <v/>
      </c>
      <c r="AA60" s="111" t="str">
        <f t="shared" si="3"/>
        <v/>
      </c>
      <c r="AB60" s="112" t="str">
        <f t="shared" ref="AB60:AB62" si="55">IFERROR(IF(AND(Q59="Impacto",Q60="Impacto"),(AB59-(+AB59*T60)),IF(AND(Q59="Probabilidad",Q60="Impacto"),(AB58-(+AB58*T60)),IF(Q60="Probabilidad",AB59,""))),"")</f>
        <v/>
      </c>
      <c r="AC60" s="11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customHeight="1" x14ac:dyDescent="0.3">
      <c r="A61" s="404"/>
      <c r="B61" s="407"/>
      <c r="C61" s="407"/>
      <c r="D61" s="407"/>
      <c r="E61" s="410"/>
      <c r="F61" s="407"/>
      <c r="G61" s="413"/>
      <c r="H61" s="377"/>
      <c r="I61" s="380"/>
      <c r="J61" s="374"/>
      <c r="K61" s="380">
        <f>IF(NOT(ISERROR(MATCH(J61,_xlfn.ANCHORARRAY(E72),0))),I74&amp;"Por favor no seleccionar los criterios de impacto",J61)</f>
        <v>0</v>
      </c>
      <c r="L61" s="377"/>
      <c r="M61" s="380"/>
      <c r="N61" s="383"/>
      <c r="O61" s="106">
        <v>5</v>
      </c>
      <c r="P61" s="165"/>
      <c r="Q61" s="107" t="str">
        <f t="shared" si="53"/>
        <v/>
      </c>
      <c r="R61" s="108"/>
      <c r="S61" s="108"/>
      <c r="T61" s="109" t="str">
        <f t="shared" si="50"/>
        <v/>
      </c>
      <c r="U61" s="108"/>
      <c r="V61" s="108"/>
      <c r="W61" s="108"/>
      <c r="X61" s="110" t="str">
        <f t="shared" si="54"/>
        <v/>
      </c>
      <c r="Y61" s="111" t="str">
        <f t="shared" si="1"/>
        <v/>
      </c>
      <c r="Z61" s="112" t="str">
        <f t="shared" si="51"/>
        <v/>
      </c>
      <c r="AA61" s="111" t="str">
        <f t="shared" si="3"/>
        <v/>
      </c>
      <c r="AB61" s="112" t="str">
        <f t="shared" si="55"/>
        <v/>
      </c>
      <c r="AC61" s="113" t="str">
        <f t="shared" ref="AC61:AC62" si="5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405"/>
      <c r="B62" s="408"/>
      <c r="C62" s="408"/>
      <c r="D62" s="408"/>
      <c r="E62" s="411"/>
      <c r="F62" s="408"/>
      <c r="G62" s="414"/>
      <c r="H62" s="378"/>
      <c r="I62" s="381"/>
      <c r="J62" s="375"/>
      <c r="K62" s="381">
        <f>IF(NOT(ISERROR(MATCH(J62,_xlfn.ANCHORARRAY(E73),0))),I87&amp;"Por favor no seleccionar los criterios de impacto",J62)</f>
        <v>0</v>
      </c>
      <c r="L62" s="378"/>
      <c r="M62" s="381"/>
      <c r="N62" s="384"/>
      <c r="O62" s="106">
        <v>6</v>
      </c>
      <c r="P62" s="165"/>
      <c r="Q62" s="107" t="str">
        <f t="shared" si="53"/>
        <v/>
      </c>
      <c r="R62" s="108"/>
      <c r="S62" s="108"/>
      <c r="T62" s="109" t="str">
        <f t="shared" si="50"/>
        <v/>
      </c>
      <c r="U62" s="108"/>
      <c r="V62" s="108"/>
      <c r="W62" s="108"/>
      <c r="X62" s="110" t="str">
        <f t="shared" si="54"/>
        <v/>
      </c>
      <c r="Y62" s="111" t="str">
        <f t="shared" si="1"/>
        <v/>
      </c>
      <c r="Z62" s="112" t="str">
        <f t="shared" si="51"/>
        <v/>
      </c>
      <c r="AA62" s="111" t="str">
        <f t="shared" si="3"/>
        <v/>
      </c>
      <c r="AB62" s="112" t="str">
        <f t="shared" si="55"/>
        <v/>
      </c>
      <c r="AC62" s="113" t="str">
        <f t="shared" si="56"/>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63.75" customHeight="1" x14ac:dyDescent="0.3">
      <c r="A63" s="403">
        <v>9</v>
      </c>
      <c r="B63" s="406" t="s">
        <v>189</v>
      </c>
      <c r="C63" s="373" t="s">
        <v>190</v>
      </c>
      <c r="D63" s="373" t="s">
        <v>411</v>
      </c>
      <c r="E63" s="409" t="s">
        <v>273</v>
      </c>
      <c r="F63" s="406" t="s">
        <v>192</v>
      </c>
      <c r="G63" s="412">
        <v>5</v>
      </c>
      <c r="H63" s="376" t="str">
        <f>IF(G63&lt;=0,"",IF(G63&lt;=2,"Muy Baja",IF(G63&lt;=24,"Baja",IF(G63&lt;=500,"Media",IF(G63&lt;=5000,"Alta","Muy Alta")))))</f>
        <v>Baja</v>
      </c>
      <c r="I63" s="379">
        <f>IF(H63="","",IF(H63="Muy Baja",0.2,IF(H63="Baja",0.4,IF(H63="Media",0.6,IF(H63="Alta",0.8,IF(H63="Muy Alta",1,))))))</f>
        <v>0.4</v>
      </c>
      <c r="J63" s="373" t="s">
        <v>274</v>
      </c>
      <c r="K63" s="379" t="str">
        <f>IF(NOT(ISERROR(MATCH(J63,'Tabla Impacto'!$B$221:$B$223,0))),'Tabla Impacto'!$F$223&amp;"Por favor no seleccionar los criterios de impacto(Afectación Económica o presupuestal y Pérdida Reputacional)",J63)</f>
        <v xml:space="preserve">     Entre 50 y 100 SMLMV </v>
      </c>
      <c r="L63" s="376" t="str">
        <f>IF(OR(K63='Tabla Impacto'!$C$11,K63='Tabla Impacto'!$D$11),"Leve",IF(OR(K63='Tabla Impacto'!$C$12,K63='Tabla Impacto'!$D$12),"Menor",IF(OR(K63='Tabla Impacto'!$C$13,K63='Tabla Impacto'!$D$13),"Moderado",IF(OR(K63='Tabla Impacto'!$C$14,K63='Tabla Impacto'!$D$14),"Mayor",IF(OR(K63='Tabla Impacto'!$C$15,K63='Tabla Impacto'!$D$15),"Catastrófico","")))))</f>
        <v>Moderado</v>
      </c>
      <c r="M63" s="379">
        <f>IF(L63="","",IF(L63="Leve",0.2,IF(L63="Menor",0.4,IF(L63="Moderado",0.6,IF(L63="Mayor",0.8,IF(L63="Catastrófico",1,))))))</f>
        <v>0.6</v>
      </c>
      <c r="N63" s="382"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Moderado</v>
      </c>
      <c r="O63" s="106">
        <v>1</v>
      </c>
      <c r="P63" s="165" t="s">
        <v>275</v>
      </c>
      <c r="Q63" s="152" t="str">
        <f t="shared" si="53"/>
        <v>Probabilidad</v>
      </c>
      <c r="R63" s="156" t="s">
        <v>195</v>
      </c>
      <c r="S63" s="156" t="s">
        <v>196</v>
      </c>
      <c r="T63" s="157" t="str">
        <f>IF(AND(R63="Preventivo",S63="Automático"),"50%",IF(AND(R63="Preventivo",S63="Manual"),"40%",IF(AND(R63="Detectivo",S63="Automático"),"40%",IF(AND(R63="Detectivo",S63="Manual"),"30%",IF(AND(R63="Correctivo",S63="Automático"),"35%",IF(AND(R63="Correctivo",S63="Manual"),"25%",""))))))</f>
        <v>40%</v>
      </c>
      <c r="U63" s="156" t="s">
        <v>197</v>
      </c>
      <c r="V63" s="156" t="s">
        <v>198</v>
      </c>
      <c r="W63" s="156" t="s">
        <v>199</v>
      </c>
      <c r="X63" s="149">
        <f>IFERROR(IF(Q63="Probabilidad",(I63-(+I63*T63)),IF(Q63="Impacto",I63,"")),"")</f>
        <v>0.24</v>
      </c>
      <c r="Y63" s="158" t="str">
        <f>IFERROR(IF(X63="","",IF(X63&lt;=0.2,"Muy Baja",IF(X63&lt;=0.4,"Baja",IF(X63&lt;=0.6,"Media",IF(X63&lt;=0.8,"Alta","Muy Alta"))))),"")</f>
        <v>Baja</v>
      </c>
      <c r="Z63" s="159">
        <f>+X63</f>
        <v>0.24</v>
      </c>
      <c r="AA63" s="158" t="str">
        <f>IFERROR(IF(AB63="","",IF(AB63&lt;=0.2,"Leve",IF(AB63&lt;=0.4,"Menor",IF(AB63&lt;=0.6,"Moderado",IF(AB63&lt;=0.8,"Mayor","Catastrófico"))))),"")</f>
        <v>Moderado</v>
      </c>
      <c r="AB63" s="159">
        <f>IFERROR(IF(Q63="Impacto",(M63-(+M63*T63)),IF(Q63="Probabilidad",M63,"")),"")</f>
        <v>0.6</v>
      </c>
      <c r="AC63" s="160"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Moderado</v>
      </c>
      <c r="AD63" s="161" t="s">
        <v>200</v>
      </c>
      <c r="AE63" s="188" t="s">
        <v>276</v>
      </c>
      <c r="AF63" s="189" t="s">
        <v>277</v>
      </c>
      <c r="AG63" s="190" t="s">
        <v>278</v>
      </c>
      <c r="AH63" s="203">
        <v>45689</v>
      </c>
      <c r="AI63" s="201">
        <v>46010</v>
      </c>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404"/>
      <c r="B64" s="407"/>
      <c r="C64" s="374"/>
      <c r="D64" s="374"/>
      <c r="E64" s="410"/>
      <c r="F64" s="407"/>
      <c r="G64" s="413"/>
      <c r="H64" s="377"/>
      <c r="I64" s="380"/>
      <c r="J64" s="374"/>
      <c r="K64" s="380">
        <f>IF(NOT(ISERROR(MATCH(J64,_xlfn.ANCHORARRAY(E87),0))),I89&amp;"Por favor no seleccionar los criterios de impacto",J64)</f>
        <v>0</v>
      </c>
      <c r="L64" s="377"/>
      <c r="M64" s="380"/>
      <c r="N64" s="383"/>
      <c r="O64" s="106">
        <v>2</v>
      </c>
      <c r="P64" s="165"/>
      <c r="Q64" s="107" t="str">
        <f>IF(OR(R64="Preventivo",R64="Detectivo"),"Probabilidad",IF(R64="Correctivo","Impacto",""))</f>
        <v/>
      </c>
      <c r="R64" s="108"/>
      <c r="S64" s="108"/>
      <c r="T64" s="109" t="str">
        <f t="shared" ref="T64:T68" si="57">IF(AND(R64="Preventivo",S64="Automático"),"50%",IF(AND(R64="Preventivo",S64="Manual"),"40%",IF(AND(R64="Detectivo",S64="Automático"),"40%",IF(AND(R64="Detectivo",S64="Manual"),"30%",IF(AND(R64="Correctivo",S64="Automático"),"35%",IF(AND(R64="Correctivo",S64="Manual"),"25%",""))))))</f>
        <v/>
      </c>
      <c r="U64" s="108"/>
      <c r="V64" s="108"/>
      <c r="W64" s="108"/>
      <c r="X64" s="110" t="str">
        <f>IFERROR(IF(AND(Q63="Probabilidad",Q64="Probabilidad"),(Z63-(+Z63*T64)),IF(Q64="Probabilidad",(I63-(+I63*T64)),IF(Q64="Impacto",Z63,""))),"")</f>
        <v/>
      </c>
      <c r="Y64" s="111" t="str">
        <f t="shared" si="1"/>
        <v/>
      </c>
      <c r="Z64" s="112" t="str">
        <f t="shared" ref="Z64:Z68" si="58">+X64</f>
        <v/>
      </c>
      <c r="AA64" s="111" t="str">
        <f t="shared" si="3"/>
        <v/>
      </c>
      <c r="AB64" s="112" t="str">
        <f>IFERROR(IF(AND(Q63="Impacto",Q64="Impacto"),(AB63-(+AB63*T64)),IF(Q64="Impacto",(M63-(+M63*T64)),IF(Q64="Probabilidad",AB63,""))),"")</f>
        <v/>
      </c>
      <c r="AC64" s="113" t="str">
        <f t="shared" ref="AC64:AC65" si="5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6"/>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404"/>
      <c r="B65" s="407"/>
      <c r="C65" s="374"/>
      <c r="D65" s="374"/>
      <c r="E65" s="410"/>
      <c r="F65" s="407"/>
      <c r="G65" s="413"/>
      <c r="H65" s="377"/>
      <c r="I65" s="380"/>
      <c r="J65" s="374"/>
      <c r="K65" s="380">
        <f>IF(NOT(ISERROR(MATCH(J65,_xlfn.ANCHORARRAY(E88),0))),I90&amp;"Por favor no seleccionar los criterios de impacto",J65)</f>
        <v>0</v>
      </c>
      <c r="L65" s="377"/>
      <c r="M65" s="380"/>
      <c r="N65" s="383"/>
      <c r="O65" s="106">
        <v>3</v>
      </c>
      <c r="P65" s="166"/>
      <c r="Q65" s="107" t="str">
        <f>IF(OR(R65="Preventivo",R65="Detectivo"),"Probabilidad",IF(R65="Correctivo","Impacto",""))</f>
        <v/>
      </c>
      <c r="R65" s="108"/>
      <c r="S65" s="108"/>
      <c r="T65" s="109" t="str">
        <f t="shared" si="57"/>
        <v/>
      </c>
      <c r="U65" s="108"/>
      <c r="V65" s="108"/>
      <c r="W65" s="108"/>
      <c r="X65" s="110" t="str">
        <f>IFERROR(IF(AND(Q64="Probabilidad",Q65="Probabilidad"),(Z64-(+Z64*T65)),IF(AND(Q64="Impacto",Q65="Probabilidad"),(Z63-(+Z63*T65)),IF(Q65="Impacto",Z64,""))),"")</f>
        <v/>
      </c>
      <c r="Y65" s="111" t="str">
        <f t="shared" si="1"/>
        <v/>
      </c>
      <c r="Z65" s="112" t="str">
        <f t="shared" si="58"/>
        <v/>
      </c>
      <c r="AA65" s="111" t="str">
        <f t="shared" si="3"/>
        <v/>
      </c>
      <c r="AB65" s="112" t="str">
        <f>IFERROR(IF(AND(Q64="Impacto",Q65="Impacto"),(AB64-(+AB64*T65)),IF(AND(Q64="Probabilidad",Q65="Impacto"),(AB63-(+AB63*T65)),IF(Q65="Probabilidad",AB64,""))),"")</f>
        <v/>
      </c>
      <c r="AC65" s="113" t="str">
        <f t="shared" si="59"/>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404"/>
      <c r="B66" s="407"/>
      <c r="C66" s="374"/>
      <c r="D66" s="374"/>
      <c r="E66" s="410"/>
      <c r="F66" s="407"/>
      <c r="G66" s="413"/>
      <c r="H66" s="377"/>
      <c r="I66" s="380"/>
      <c r="J66" s="374"/>
      <c r="K66" s="380">
        <f>IF(NOT(ISERROR(MATCH(J66,_xlfn.ANCHORARRAY(E89),0))),I91&amp;"Por favor no seleccionar los criterios de impacto",J66)</f>
        <v>0</v>
      </c>
      <c r="L66" s="377"/>
      <c r="M66" s="380"/>
      <c r="N66" s="383"/>
      <c r="O66" s="106">
        <v>4</v>
      </c>
      <c r="P66" s="165"/>
      <c r="Q66" s="107" t="str">
        <f t="shared" ref="Q66:Q69" si="60">IF(OR(R66="Preventivo",R66="Detectivo"),"Probabilidad",IF(R66="Correctivo","Impacto",""))</f>
        <v/>
      </c>
      <c r="R66" s="108"/>
      <c r="S66" s="108"/>
      <c r="T66" s="109" t="str">
        <f t="shared" si="57"/>
        <v/>
      </c>
      <c r="U66" s="108"/>
      <c r="V66" s="108"/>
      <c r="W66" s="108"/>
      <c r="X66" s="110" t="str">
        <f t="shared" ref="X66:X67" si="61">IFERROR(IF(AND(Q65="Probabilidad",Q66="Probabilidad"),(Z65-(+Z65*T66)),IF(AND(Q65="Impacto",Q66="Probabilidad"),(Z64-(+Z64*T66)),IF(Q66="Impacto",Z65,""))),"")</f>
        <v/>
      </c>
      <c r="Y66" s="111" t="str">
        <f t="shared" si="1"/>
        <v/>
      </c>
      <c r="Z66" s="112" t="str">
        <f t="shared" si="58"/>
        <v/>
      </c>
      <c r="AA66" s="111" t="str">
        <f t="shared" si="3"/>
        <v/>
      </c>
      <c r="AB66" s="112" t="str">
        <f t="shared" ref="AB66:AB67" si="62">IFERROR(IF(AND(Q65="Impacto",Q66="Impacto"),(AB65-(+AB65*T66)),IF(AND(Q65="Probabilidad",Q66="Impacto"),(AB64-(+AB64*T66)),IF(Q66="Probabilidad",AB65,""))),"")</f>
        <v/>
      </c>
      <c r="AC66" s="11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customHeight="1" x14ac:dyDescent="0.3">
      <c r="A67" s="404"/>
      <c r="B67" s="407"/>
      <c r="C67" s="374"/>
      <c r="D67" s="374"/>
      <c r="E67" s="410"/>
      <c r="F67" s="407"/>
      <c r="G67" s="413"/>
      <c r="H67" s="377"/>
      <c r="I67" s="380"/>
      <c r="J67" s="374"/>
      <c r="K67" s="380">
        <f>IF(NOT(ISERROR(MATCH(J67,_xlfn.ANCHORARRAY(E90),0))),I92&amp;"Por favor no seleccionar los criterios de impacto",J67)</f>
        <v>0</v>
      </c>
      <c r="L67" s="377"/>
      <c r="M67" s="380"/>
      <c r="N67" s="383"/>
      <c r="O67" s="106">
        <v>5</v>
      </c>
      <c r="P67" s="165"/>
      <c r="Q67" s="107" t="str">
        <f t="shared" si="60"/>
        <v/>
      </c>
      <c r="R67" s="108"/>
      <c r="S67" s="108"/>
      <c r="T67" s="109" t="str">
        <f t="shared" si="57"/>
        <v/>
      </c>
      <c r="U67" s="108"/>
      <c r="V67" s="108"/>
      <c r="W67" s="108"/>
      <c r="X67" s="110" t="str">
        <f t="shared" si="61"/>
        <v/>
      </c>
      <c r="Y67" s="111" t="str">
        <f t="shared" si="1"/>
        <v/>
      </c>
      <c r="Z67" s="112" t="str">
        <f t="shared" si="58"/>
        <v/>
      </c>
      <c r="AA67" s="111" t="str">
        <f t="shared" si="3"/>
        <v/>
      </c>
      <c r="AB67" s="112" t="str">
        <f t="shared" si="62"/>
        <v/>
      </c>
      <c r="AC67" s="113" t="str">
        <f t="shared" ref="AC67:AC68" si="6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customHeight="1" x14ac:dyDescent="0.3">
      <c r="A68" s="405"/>
      <c r="B68" s="408"/>
      <c r="C68" s="375"/>
      <c r="D68" s="375"/>
      <c r="E68" s="411"/>
      <c r="F68" s="408"/>
      <c r="G68" s="414"/>
      <c r="H68" s="378"/>
      <c r="I68" s="381"/>
      <c r="J68" s="375"/>
      <c r="K68" s="381">
        <f>IF(NOT(ISERROR(MATCH(J68,_xlfn.ANCHORARRAY(E91),0))),I93&amp;"Por favor no seleccionar los criterios de impacto",J68)</f>
        <v>0</v>
      </c>
      <c r="L68" s="378"/>
      <c r="M68" s="381"/>
      <c r="N68" s="384"/>
      <c r="O68" s="106">
        <v>6</v>
      </c>
      <c r="P68" s="165"/>
      <c r="Q68" s="107" t="str">
        <f t="shared" si="60"/>
        <v/>
      </c>
      <c r="R68" s="108"/>
      <c r="S68" s="108"/>
      <c r="T68" s="109" t="str">
        <f t="shared" si="57"/>
        <v/>
      </c>
      <c r="U68" s="108"/>
      <c r="V68" s="108"/>
      <c r="W68" s="108"/>
      <c r="X68" s="110" t="str">
        <f>IFERROR(IF(AND(Q67="Probabilidad",Q68="Probabilidad"),(Z67-(+Z67*T68)),IF(AND(Q67="Impacto",Q68="Probabilidad"),(Z66-(+Z66*T68)),IF(Q68="Impacto",Z67,""))),"")</f>
        <v/>
      </c>
      <c r="Y68" s="111" t="str">
        <f t="shared" si="1"/>
        <v/>
      </c>
      <c r="Z68" s="112" t="str">
        <f t="shared" si="58"/>
        <v/>
      </c>
      <c r="AA68" s="111" t="str">
        <f t="shared" si="3"/>
        <v/>
      </c>
      <c r="AB68" s="112" t="str">
        <f>IFERROR(IF(AND(Q67="Impacto",Q68="Impacto"),(AB67-(+AB67*T68)),IF(AND(Q67="Probabilidad",Q68="Impacto"),(AB66-(+AB66*T68)),IF(Q68="Probabilidad",AB67,""))),"")</f>
        <v/>
      </c>
      <c r="AC68" s="113" t="str">
        <f t="shared" si="63"/>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59.25" customHeight="1" x14ac:dyDescent="0.3">
      <c r="A69" s="403">
        <v>10</v>
      </c>
      <c r="B69" s="406" t="s">
        <v>239</v>
      </c>
      <c r="C69" s="406" t="s">
        <v>279</v>
      </c>
      <c r="D69" s="406" t="s">
        <v>280</v>
      </c>
      <c r="E69" s="409" t="s">
        <v>281</v>
      </c>
      <c r="F69" s="406" t="s">
        <v>192</v>
      </c>
      <c r="G69" s="412">
        <v>360</v>
      </c>
      <c r="H69" s="376" t="str">
        <f>IF(G69&lt;=0,"",IF(G69&lt;=2,"Muy Baja",IF(G69&lt;=24,"Baja",IF(G69&lt;=500,"Media",IF(G69&lt;=5000,"Alta","Muy Alta")))))</f>
        <v>Media</v>
      </c>
      <c r="I69" s="379">
        <f>IF(H69="","",IF(H69="Muy Baja",0.2,IF(H69="Baja",0.4,IF(H69="Media",0.6,IF(H69="Alta",0.8,IF(H69="Muy Alta",1,))))))</f>
        <v>0.6</v>
      </c>
      <c r="J69" s="373" t="s">
        <v>243</v>
      </c>
      <c r="K69" s="379" t="str">
        <f>IF(NOT(ISERROR(MATCH(J69,'Tabla Impacto'!$B$221:$B$223,0))),'Tabla Impacto'!$F$223&amp;"Por favor no seleccionar los criterios de impacto(Afectación Económica o presupuestal y Pérdida Reputacional)",J69)</f>
        <v xml:space="preserve">     El riesgo afecta la imagen de la entidad con algunos usuarios de relevancia frente al logro de los objetivos</v>
      </c>
      <c r="L69" s="376" t="str">
        <f>IF(OR(K69='Tabla Impacto'!$C$11,K69='Tabla Impacto'!$D$11),"Leve",IF(OR(K69='Tabla Impacto'!$C$12,K69='Tabla Impacto'!$D$12),"Menor",IF(OR(K69='Tabla Impacto'!$C$13,K69='Tabla Impacto'!$D$13),"Moderado",IF(OR(K69='Tabla Impacto'!$C$14,K69='Tabla Impacto'!$D$14),"Mayor",IF(OR(K69='Tabla Impacto'!$C$15,K69='Tabla Impacto'!$D$15),"Catastrófico","")))))</f>
        <v>Moderado</v>
      </c>
      <c r="M69" s="379">
        <f>IF(L69="","",IF(L69="Leve",0.2,IF(L69="Menor",0.4,IF(L69="Moderado",0.6,IF(L69="Mayor",0.8,IF(L69="Catastrófico",1,))))))</f>
        <v>0.6</v>
      </c>
      <c r="N69" s="382"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Moderado</v>
      </c>
      <c r="O69" s="106">
        <v>1</v>
      </c>
      <c r="P69" s="165" t="s">
        <v>282</v>
      </c>
      <c r="Q69" s="152" t="str">
        <f t="shared" si="60"/>
        <v>Probabilidad</v>
      </c>
      <c r="R69" s="156" t="s">
        <v>195</v>
      </c>
      <c r="S69" s="156" t="s">
        <v>196</v>
      </c>
      <c r="T69" s="157" t="str">
        <f>IF(AND(R69="Preventivo",S69="Automático"),"50%",IF(AND(R69="Preventivo",S69="Manual"),"40%",IF(AND(R69="Detectivo",S69="Automático"),"40%",IF(AND(R69="Detectivo",S69="Manual"),"30%",IF(AND(R69="Correctivo",S69="Automático"),"35%",IF(AND(R69="Correctivo",S69="Manual"),"25%",""))))))</f>
        <v>40%</v>
      </c>
      <c r="U69" s="156" t="s">
        <v>197</v>
      </c>
      <c r="V69" s="156" t="s">
        <v>198</v>
      </c>
      <c r="W69" s="156" t="s">
        <v>199</v>
      </c>
      <c r="X69" s="149">
        <f>IFERROR(IF(Q69="Probabilidad",(I69-(+I69*T69)),IF(Q69="Impacto",I69,"")),"")</f>
        <v>0.36</v>
      </c>
      <c r="Y69" s="158" t="str">
        <f>IFERROR(IF(X69="","",IF(X69&lt;=0.2,"Muy Baja",IF(X69&lt;=0.4,"Baja",IF(X69&lt;=0.6,"Media",IF(X69&lt;=0.8,"Alta","Muy Alta"))))),"")</f>
        <v>Baja</v>
      </c>
      <c r="Z69" s="159">
        <f>+X69</f>
        <v>0.36</v>
      </c>
      <c r="AA69" s="158" t="str">
        <f>IFERROR(IF(AB69="","",IF(AB69&lt;=0.2,"Leve",IF(AB69&lt;=0.4,"Menor",IF(AB69&lt;=0.6,"Moderado",IF(AB69&lt;=0.8,"Mayor","Catastrófico"))))),"")</f>
        <v>Moderado</v>
      </c>
      <c r="AB69" s="159">
        <f>IFERROR(IF(Q69="Impacto",(M69-(+M69*T69)),IF(Q69="Probabilidad",M69,"")),"")</f>
        <v>0.6</v>
      </c>
      <c r="AC69" s="160"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Moderado</v>
      </c>
      <c r="AD69" s="161" t="s">
        <v>200</v>
      </c>
      <c r="AE69" s="188" t="s">
        <v>283</v>
      </c>
      <c r="AF69" s="200" t="s">
        <v>284</v>
      </c>
      <c r="AG69" s="196" t="s">
        <v>285</v>
      </c>
      <c r="AH69" s="164">
        <v>45658</v>
      </c>
      <c r="AI69" s="164">
        <v>46021</v>
      </c>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customHeight="1" x14ac:dyDescent="0.3">
      <c r="A70" s="404"/>
      <c r="B70" s="407"/>
      <c r="C70" s="407"/>
      <c r="D70" s="407"/>
      <c r="E70" s="410"/>
      <c r="F70" s="407"/>
      <c r="G70" s="413"/>
      <c r="H70" s="377"/>
      <c r="I70" s="380"/>
      <c r="J70" s="374"/>
      <c r="K70" s="380">
        <f>IF(NOT(ISERROR(MATCH(J70,_xlfn.ANCHORARRAY(E93),0))),I95&amp;"Por favor no seleccionar los criterios de impacto",J70)</f>
        <v>0</v>
      </c>
      <c r="L70" s="377"/>
      <c r="M70" s="380"/>
      <c r="N70" s="383"/>
      <c r="O70" s="106">
        <v>2</v>
      </c>
      <c r="P70" s="165"/>
      <c r="Q70" s="107" t="str">
        <f>IF(OR(R70="Preventivo",R70="Detectivo"),"Probabilidad",IF(R70="Correctivo","Impacto",""))</f>
        <v/>
      </c>
      <c r="R70" s="108"/>
      <c r="S70" s="108"/>
      <c r="T70" s="157" t="str">
        <f t="shared" ref="T70:T80" si="64">IF(AND(R70="Preventivo",S70="Automático"),"50%",IF(AND(R70="Preventivo",S70="Manual"),"40%",IF(AND(R70="Detectivo",S70="Automático"),"40%",IF(AND(R70="Detectivo",S70="Manual"),"30%",IF(AND(R70="Correctivo",S70="Automático"),"35%",IF(AND(R70="Correctivo",S70="Manual"),"25%",""))))))</f>
        <v/>
      </c>
      <c r="U70" s="108"/>
      <c r="V70" s="108"/>
      <c r="W70" s="108"/>
      <c r="X70" s="110" t="str">
        <f>IFERROR(IF(AND(Q69="Probabilidad",Q70="Probabilidad"),(Z69-(+Z69*T70)),IF(Q70="Probabilidad",(I69-(+I69*T70)),IF(Q70="Impacto",Z69,""))),"")</f>
        <v/>
      </c>
      <c r="Y70" s="158" t="str">
        <f t="shared" ref="Y70:Y74" si="65">IFERROR(IF(X70="","",IF(X70&lt;=0.2,"Muy Baja",IF(X70&lt;=0.4,"Baja",IF(X70&lt;=0.6,"Media",IF(X70&lt;=0.8,"Alta","Muy Alta"))))),"")</f>
        <v/>
      </c>
      <c r="Z70" s="159" t="str">
        <f t="shared" ref="Z70:Z75" si="66">+X70</f>
        <v/>
      </c>
      <c r="AA70" s="158" t="str">
        <f t="shared" ref="AA70:AA80" si="67">IFERROR(IF(AB70="","",IF(AB70&lt;=0.2,"Leve",IF(AB70&lt;=0.4,"Menor",IF(AB70&lt;=0.6,"Moderado",IF(AB70&lt;=0.8,"Mayor","Catastrófico"))))),"")</f>
        <v/>
      </c>
      <c r="AB70" s="159" t="str">
        <f t="shared" ref="AB70:AB78" si="68">IFERROR(IF(Q70="Impacto",(M70-(+M70*T70)),IF(Q70="Probabilidad",M70,"")),"")</f>
        <v/>
      </c>
      <c r="AC70" s="160" t="str">
        <f t="shared" ref="AC70:AC80" si="69">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61"/>
      <c r="AE70" s="115"/>
      <c r="AF70" s="116"/>
      <c r="AG70" s="116"/>
      <c r="AH70" s="117"/>
      <c r="AI70" s="117"/>
    </row>
    <row r="71" spans="1:67" ht="18" customHeight="1" x14ac:dyDescent="0.3">
      <c r="A71" s="404"/>
      <c r="B71" s="407"/>
      <c r="C71" s="407"/>
      <c r="D71" s="407"/>
      <c r="E71" s="410"/>
      <c r="F71" s="407"/>
      <c r="G71" s="413"/>
      <c r="H71" s="377"/>
      <c r="I71" s="380"/>
      <c r="J71" s="374"/>
      <c r="K71" s="380">
        <f>IF(NOT(ISERROR(MATCH(J71,_xlfn.ANCHORARRAY(E94),0))),I96&amp;"Por favor no seleccionar los criterios de impacto",J71)</f>
        <v>0</v>
      </c>
      <c r="L71" s="377"/>
      <c r="M71" s="380"/>
      <c r="N71" s="383"/>
      <c r="O71" s="106">
        <v>3</v>
      </c>
      <c r="P71" s="166"/>
      <c r="Q71" s="107" t="str">
        <f>IF(OR(R71="Preventivo",R71="Detectivo"),"Probabilidad",IF(R71="Correctivo","Impacto",""))</f>
        <v/>
      </c>
      <c r="R71" s="108"/>
      <c r="S71" s="108"/>
      <c r="T71" s="157" t="str">
        <f t="shared" si="64"/>
        <v/>
      </c>
      <c r="U71" s="108"/>
      <c r="V71" s="108"/>
      <c r="W71" s="108"/>
      <c r="X71" s="110" t="str">
        <f>IFERROR(IF(AND(Q70="Probabilidad",Q71="Probabilidad"),(Z70-(+Z70*T71)),IF(AND(Q70="Impacto",Q71="Probabilidad"),(Z69-(+Z69*T71)),IF(Q71="Impacto",Z70,""))),"")</f>
        <v/>
      </c>
      <c r="Y71" s="158" t="str">
        <f t="shared" si="65"/>
        <v/>
      </c>
      <c r="Z71" s="159" t="str">
        <f t="shared" si="66"/>
        <v/>
      </c>
      <c r="AA71" s="158" t="str">
        <f t="shared" si="67"/>
        <v/>
      </c>
      <c r="AB71" s="159" t="str">
        <f t="shared" si="68"/>
        <v/>
      </c>
      <c r="AC71" s="160" t="str">
        <f t="shared" si="69"/>
        <v/>
      </c>
      <c r="AD71" s="161"/>
      <c r="AE71" s="115"/>
      <c r="AF71" s="116"/>
      <c r="AG71" s="116"/>
      <c r="AH71" s="117"/>
      <c r="AI71" s="117"/>
    </row>
    <row r="72" spans="1:67" ht="18" customHeight="1" x14ac:dyDescent="0.3">
      <c r="A72" s="404"/>
      <c r="B72" s="407"/>
      <c r="C72" s="407"/>
      <c r="D72" s="407"/>
      <c r="E72" s="410"/>
      <c r="F72" s="407"/>
      <c r="G72" s="413"/>
      <c r="H72" s="377"/>
      <c r="I72" s="380"/>
      <c r="J72" s="374"/>
      <c r="K72" s="380">
        <f>IF(NOT(ISERROR(MATCH(J72,_xlfn.ANCHORARRAY(E95),0))),I97&amp;"Por favor no seleccionar los criterios de impacto",J72)</f>
        <v>0</v>
      </c>
      <c r="L72" s="377"/>
      <c r="M72" s="380"/>
      <c r="N72" s="383"/>
      <c r="O72" s="106">
        <v>4</v>
      </c>
      <c r="P72" s="165"/>
      <c r="Q72" s="107" t="str">
        <f t="shared" ref="Q72:Q75" si="70">IF(OR(R72="Preventivo",R72="Detectivo"),"Probabilidad",IF(R72="Correctivo","Impacto",""))</f>
        <v/>
      </c>
      <c r="R72" s="108"/>
      <c r="S72" s="108"/>
      <c r="T72" s="157" t="str">
        <f t="shared" si="64"/>
        <v/>
      </c>
      <c r="U72" s="108"/>
      <c r="V72" s="108"/>
      <c r="W72" s="108"/>
      <c r="X72" s="110" t="str">
        <f t="shared" ref="X72:X73" si="71">IFERROR(IF(AND(Q71="Probabilidad",Q72="Probabilidad"),(Z71-(+Z71*T72)),IF(AND(Q71="Impacto",Q72="Probabilidad"),(Z70-(+Z70*T72)),IF(Q72="Impacto",Z71,""))),"")</f>
        <v/>
      </c>
      <c r="Y72" s="158" t="str">
        <f t="shared" si="65"/>
        <v/>
      </c>
      <c r="Z72" s="159" t="str">
        <f t="shared" si="66"/>
        <v/>
      </c>
      <c r="AA72" s="158" t="str">
        <f t="shared" si="67"/>
        <v/>
      </c>
      <c r="AB72" s="159" t="str">
        <f t="shared" si="68"/>
        <v/>
      </c>
      <c r="AC72" s="160" t="str">
        <f t="shared" si="69"/>
        <v/>
      </c>
      <c r="AD72" s="161"/>
      <c r="AE72" s="115"/>
      <c r="AF72" s="116"/>
      <c r="AG72" s="116"/>
      <c r="AH72" s="117"/>
      <c r="AI72" s="117"/>
    </row>
    <row r="73" spans="1:67" ht="18" customHeight="1" x14ac:dyDescent="0.3">
      <c r="A73" s="404"/>
      <c r="B73" s="407"/>
      <c r="C73" s="407"/>
      <c r="D73" s="407"/>
      <c r="E73" s="410"/>
      <c r="F73" s="407"/>
      <c r="G73" s="413"/>
      <c r="H73" s="377"/>
      <c r="I73" s="380"/>
      <c r="J73" s="374"/>
      <c r="K73" s="380">
        <f>IF(NOT(ISERROR(MATCH(J73,_xlfn.ANCHORARRAY(E96),0))),I98&amp;"Por favor no seleccionar los criterios de impacto",J73)</f>
        <v>0</v>
      </c>
      <c r="L73" s="377"/>
      <c r="M73" s="380"/>
      <c r="N73" s="383"/>
      <c r="O73" s="106">
        <v>5</v>
      </c>
      <c r="P73" s="165"/>
      <c r="Q73" s="107" t="str">
        <f t="shared" si="70"/>
        <v/>
      </c>
      <c r="R73" s="108"/>
      <c r="S73" s="108"/>
      <c r="T73" s="157" t="str">
        <f t="shared" si="64"/>
        <v/>
      </c>
      <c r="U73" s="108"/>
      <c r="V73" s="108"/>
      <c r="W73" s="108"/>
      <c r="X73" s="110" t="str">
        <f t="shared" si="71"/>
        <v/>
      </c>
      <c r="Y73" s="158" t="str">
        <f t="shared" si="65"/>
        <v/>
      </c>
      <c r="Z73" s="159" t="str">
        <f t="shared" si="66"/>
        <v/>
      </c>
      <c r="AA73" s="158" t="str">
        <f t="shared" si="67"/>
        <v/>
      </c>
      <c r="AB73" s="159" t="str">
        <f t="shared" si="68"/>
        <v/>
      </c>
      <c r="AC73" s="160" t="str">
        <f t="shared" si="69"/>
        <v/>
      </c>
      <c r="AD73" s="161"/>
      <c r="AE73" s="115"/>
      <c r="AF73" s="116"/>
      <c r="AG73" s="116"/>
      <c r="AH73" s="117"/>
      <c r="AI73" s="117"/>
    </row>
    <row r="74" spans="1:67" ht="18" customHeight="1" x14ac:dyDescent="0.3">
      <c r="A74" s="405"/>
      <c r="B74" s="408"/>
      <c r="C74" s="408"/>
      <c r="D74" s="408"/>
      <c r="E74" s="411"/>
      <c r="F74" s="408"/>
      <c r="G74" s="414"/>
      <c r="H74" s="378"/>
      <c r="I74" s="381"/>
      <c r="J74" s="375"/>
      <c r="K74" s="381">
        <f>IF(NOT(ISERROR(MATCH(J74,_xlfn.ANCHORARRAY(E97),0))),I99&amp;"Por favor no seleccionar los criterios de impacto",J74)</f>
        <v>0</v>
      </c>
      <c r="L74" s="378"/>
      <c r="M74" s="381"/>
      <c r="N74" s="384"/>
      <c r="O74" s="106">
        <v>6</v>
      </c>
      <c r="P74" s="165"/>
      <c r="Q74" s="107" t="str">
        <f t="shared" si="70"/>
        <v/>
      </c>
      <c r="R74" s="108"/>
      <c r="S74" s="108"/>
      <c r="T74" s="157" t="str">
        <f t="shared" si="64"/>
        <v/>
      </c>
      <c r="U74" s="108"/>
      <c r="V74" s="108"/>
      <c r="W74" s="108"/>
      <c r="X74" s="110" t="str">
        <f>IFERROR(IF(AND(Q73="Probabilidad",Q74="Probabilidad"),(Z73-(+Z73*T74)),IF(AND(Q73="Impacto",Q74="Probabilidad"),(Z72-(+Z72*T74)),IF(Q74="Impacto",Z73,""))),"")</f>
        <v/>
      </c>
      <c r="Y74" s="158" t="str">
        <f t="shared" si="65"/>
        <v/>
      </c>
      <c r="Z74" s="159" t="str">
        <f t="shared" si="66"/>
        <v/>
      </c>
      <c r="AA74" s="158" t="str">
        <f t="shared" si="67"/>
        <v/>
      </c>
      <c r="AB74" s="159" t="str">
        <f t="shared" si="68"/>
        <v/>
      </c>
      <c r="AC74" s="160" t="str">
        <f t="shared" si="69"/>
        <v/>
      </c>
      <c r="AD74" s="161"/>
      <c r="AE74" s="115"/>
      <c r="AF74" s="116"/>
      <c r="AG74" s="116"/>
      <c r="AH74" s="117"/>
      <c r="AI74" s="117"/>
    </row>
    <row r="75" spans="1:67" ht="60.75" customHeight="1" x14ac:dyDescent="0.3">
      <c r="A75" s="403">
        <v>11</v>
      </c>
      <c r="B75" s="406" t="s">
        <v>239</v>
      </c>
      <c r="C75" s="373" t="s">
        <v>286</v>
      </c>
      <c r="D75" s="373" t="s">
        <v>410</v>
      </c>
      <c r="E75" s="409" t="s">
        <v>287</v>
      </c>
      <c r="F75" s="406" t="s">
        <v>192</v>
      </c>
      <c r="G75" s="412">
        <v>5</v>
      </c>
      <c r="H75" s="376" t="str">
        <f>IF(G75&lt;=0,"",IF(G75&lt;=2,"Muy Baja",IF(G75&lt;=24,"Baja",IF(G75&lt;=500,"Media",IF(G75&lt;=5000,"Alta","Muy Alta")))))</f>
        <v>Baja</v>
      </c>
      <c r="I75" s="379">
        <f>IF(H75="","",IF(H75="Muy Baja",0.2,IF(H75="Baja",0.4,IF(H75="Media",0.6,IF(H75="Alta",0.8,IF(H75="Muy Alta",1,))))))</f>
        <v>0.4</v>
      </c>
      <c r="J75" s="468" t="s">
        <v>243</v>
      </c>
      <c r="K75" s="379" t="str">
        <f>IF(NOT(ISERROR(MATCH(J75,'Tabla Impacto'!$B$221:$B$223,0))),'Tabla Impacto'!$F$223&amp;"Por favor no seleccionar los criterios de impacto(Afectación Económica o presupuestal y Pérdida Reputacional)",J75)</f>
        <v xml:space="preserve">     El riesgo afecta la imagen de la entidad con algunos usuarios de relevancia frente al logro de los objetivos</v>
      </c>
      <c r="L75" s="376" t="str">
        <f>IF(OR(K75='Tabla Impacto'!$C$11,K75='Tabla Impacto'!$D$11),"Leve",IF(OR(K75='Tabla Impacto'!$C$12,K75='Tabla Impacto'!$D$12),"Menor",IF(OR(K75='Tabla Impacto'!$C$13,K75='Tabla Impacto'!$D$13),"Moderado",IF(OR(K75='Tabla Impacto'!$C$14,K75='Tabla Impacto'!$D$14),"Mayor",IF(OR(K75='Tabla Impacto'!$C$15,K75='Tabla Impacto'!$D$15),"Catastrófico","")))))</f>
        <v>Moderado</v>
      </c>
      <c r="M75" s="379">
        <f>IF(L75="","",IF(L75="Leve",0.2,IF(L75="Menor",0.4,IF(L75="Moderado",0.6,IF(L75="Mayor",0.8,IF(L75="Catastrófico",1,))))))</f>
        <v>0.6</v>
      </c>
      <c r="N75" s="382" t="str">
        <f>IF(OR(AND(H75="Muy Baja",L75="Leve"),AND(H75="Muy Baja",L75="Menor"),AND(H75="Baja",L75="Leve")),"Bajo",IF(OR(AND(H75="Muy baja",L75="Moderado"),AND(H75="Baja",L75="Menor"),AND(H75="Baja",L75="Moderado"),AND(H75="Media",L75="Leve"),AND(H75="Media",L75="Menor"),AND(H75="Media",L75="Moderado"),AND(H75="Alta",L75="Leve"),AND(H75="Alta",L75="Menor")),"Moderado",IF(OR(AND(H75="Muy Baja",L75="Mayor"),AND(H75="Baja",L75="Mayor"),AND(H75="Media",L75="Mayor"),AND(H75="Alta",L75="Moderado"),AND(H75="Alta",L75="Mayor"),AND(H75="Muy Alta",L75="Leve"),AND(H75="Muy Alta",L75="Menor"),AND(H75="Muy Alta",L75="Moderado"),AND(H75="Muy Alta",L75="Mayor")),"Alto",IF(OR(AND(H75="Muy Baja",L75="Catastrófico"),AND(H75="Baja",L75="Catastrófico"),AND(H75="Media",L75="Catastrófico"),AND(H75="Alta",L75="Catastrófico"),AND(H75="Muy Alta",L75="Catastrófico")),"Extremo",""))))</f>
        <v>Moderado</v>
      </c>
      <c r="O75" s="106">
        <v>1</v>
      </c>
      <c r="P75" s="165" t="s">
        <v>288</v>
      </c>
      <c r="Q75" s="152" t="str">
        <f t="shared" si="70"/>
        <v>Probabilidad</v>
      </c>
      <c r="R75" s="156" t="s">
        <v>195</v>
      </c>
      <c r="S75" s="156" t="s">
        <v>196</v>
      </c>
      <c r="T75" s="157" t="str">
        <f>IF(AND(R75="Preventivo",S75="Automático"),"50%",IF(AND(R75="Preventivo",S75="Manual"),"40%",IF(AND(R75="Detectivo",S75="Automático"),"40%",IF(AND(R75="Detectivo",S75="Manual"),"30%",IF(AND(R75="Correctivo",S75="Automático"),"35%",IF(AND(R75="Correctivo",S75="Manual"),"25%",""))))))</f>
        <v>40%</v>
      </c>
      <c r="U75" s="156" t="s">
        <v>197</v>
      </c>
      <c r="V75" s="156" t="s">
        <v>198</v>
      </c>
      <c r="W75" s="156" t="s">
        <v>199</v>
      </c>
      <c r="X75" s="149">
        <f>IFERROR(IF(Q75="Probabilidad",(I75-(+I75*T75)),IF(Q75="Impacto",I75,"")),"")</f>
        <v>0.24</v>
      </c>
      <c r="Y75" s="158" t="str">
        <f>IFERROR(IF(X75="","",IF(X75&lt;=0.2,"Muy Baja",IF(X75&lt;=0.4,"Baja",IF(X75&lt;=0.6,"Media",IF(X75&lt;=0.8,"Alta","Muy Alta"))))),"")</f>
        <v>Baja</v>
      </c>
      <c r="Z75" s="159">
        <f t="shared" si="66"/>
        <v>0.24</v>
      </c>
      <c r="AA75" s="158" t="str">
        <f>IFERROR(IF(AB75="","",IF(AB75&lt;=0.2,"Leve",IF(AB75&lt;=0.4,"Menor",IF(AB75&lt;=0.6,"Moderado",IF(AB75&lt;=0.8,"Mayor","Catastrófico"))))),"")</f>
        <v>Moderado</v>
      </c>
      <c r="AB75" s="159">
        <f>IFERROR(IF(Q75="Impacto",(M75-(+M75*T75)),IF(Q75="Probabilidad",M75,"")),"")</f>
        <v>0.6</v>
      </c>
      <c r="AC75" s="160"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Moderado</v>
      </c>
      <c r="AD75" s="161" t="s">
        <v>200</v>
      </c>
      <c r="AE75" s="188" t="s">
        <v>289</v>
      </c>
      <c r="AF75" s="189" t="s">
        <v>290</v>
      </c>
      <c r="AG75" s="189" t="s">
        <v>291</v>
      </c>
      <c r="AH75" s="203">
        <v>45870</v>
      </c>
      <c r="AI75" s="201">
        <v>46010</v>
      </c>
    </row>
    <row r="76" spans="1:67" ht="18" customHeight="1" x14ac:dyDescent="0.3">
      <c r="A76" s="404"/>
      <c r="B76" s="407"/>
      <c r="C76" s="374"/>
      <c r="D76" s="374"/>
      <c r="E76" s="410"/>
      <c r="F76" s="407"/>
      <c r="G76" s="413"/>
      <c r="H76" s="377"/>
      <c r="I76" s="380"/>
      <c r="J76" s="469"/>
      <c r="K76" s="380">
        <f>IF(NOT(ISERROR(MATCH(J76,_xlfn.ANCHORARRAY(E99),0))),I101&amp;"Por favor no seleccionar los criterios de impacto",J76)</f>
        <v>0</v>
      </c>
      <c r="L76" s="377"/>
      <c r="M76" s="380"/>
      <c r="N76" s="383"/>
      <c r="O76" s="106">
        <v>2</v>
      </c>
      <c r="P76" s="165"/>
      <c r="Q76" s="152"/>
      <c r="R76" s="197"/>
      <c r="S76" s="156"/>
      <c r="T76" s="157" t="str">
        <f t="shared" si="64"/>
        <v/>
      </c>
      <c r="U76" s="156"/>
      <c r="V76" s="156"/>
      <c r="W76" s="156"/>
      <c r="X76" s="198"/>
      <c r="Y76" s="158" t="str">
        <f t="shared" ref="Y76:Y80" si="72">IFERROR(IF(X76="","",IF(X76&lt;=0.2,"Muy Baja",IF(X76&lt;=0.4,"Baja",IF(X76&lt;=0.6,"Media",IF(X76&lt;=0.8,"Alta","Muy Alta"))))),"")</f>
        <v/>
      </c>
      <c r="Z76" s="159"/>
      <c r="AA76" s="158" t="str">
        <f t="shared" si="67"/>
        <v/>
      </c>
      <c r="AB76" s="159" t="str">
        <f t="shared" si="68"/>
        <v/>
      </c>
      <c r="AC76" s="160" t="str">
        <f t="shared" si="69"/>
        <v/>
      </c>
      <c r="AD76" s="161"/>
      <c r="AE76" s="115"/>
      <c r="AF76" s="116"/>
      <c r="AG76" s="116"/>
      <c r="AH76" s="204"/>
      <c r="AI76" s="204"/>
    </row>
    <row r="77" spans="1:67" ht="18" customHeight="1" x14ac:dyDescent="0.3">
      <c r="A77" s="404"/>
      <c r="B77" s="407"/>
      <c r="C77" s="374"/>
      <c r="D77" s="374"/>
      <c r="E77" s="410"/>
      <c r="F77" s="407"/>
      <c r="G77" s="413"/>
      <c r="H77" s="377"/>
      <c r="I77" s="380"/>
      <c r="J77" s="469"/>
      <c r="K77" s="380">
        <f>IF(NOT(ISERROR(MATCH(J77,_xlfn.ANCHORARRAY(E100),0))),I102&amp;"Por favor no seleccionar los criterios de impacto",J77)</f>
        <v>0</v>
      </c>
      <c r="L77" s="377"/>
      <c r="M77" s="380"/>
      <c r="N77" s="383"/>
      <c r="O77" s="106">
        <v>3</v>
      </c>
      <c r="P77" s="165"/>
      <c r="Q77" s="152"/>
      <c r="R77" s="197"/>
      <c r="S77" s="156"/>
      <c r="T77" s="157" t="str">
        <f t="shared" si="64"/>
        <v/>
      </c>
      <c r="U77" s="156"/>
      <c r="V77" s="156"/>
      <c r="W77" s="156"/>
      <c r="X77" s="198"/>
      <c r="Y77" s="158" t="str">
        <f t="shared" si="72"/>
        <v/>
      </c>
      <c r="Z77" s="199"/>
      <c r="AA77" s="158" t="str">
        <f t="shared" si="67"/>
        <v/>
      </c>
      <c r="AB77" s="159" t="str">
        <f t="shared" si="68"/>
        <v/>
      </c>
      <c r="AC77" s="160" t="str">
        <f t="shared" si="69"/>
        <v/>
      </c>
      <c r="AD77" s="161"/>
      <c r="AE77" s="115"/>
      <c r="AF77" s="116"/>
      <c r="AG77" s="116"/>
      <c r="AH77" s="204"/>
      <c r="AI77" s="204"/>
    </row>
    <row r="78" spans="1:67" ht="18" customHeight="1" x14ac:dyDescent="0.3">
      <c r="A78" s="404"/>
      <c r="B78" s="407"/>
      <c r="C78" s="374"/>
      <c r="D78" s="374"/>
      <c r="E78" s="410"/>
      <c r="F78" s="407"/>
      <c r="G78" s="413"/>
      <c r="H78" s="377"/>
      <c r="I78" s="380"/>
      <c r="J78" s="469"/>
      <c r="K78" s="380">
        <f>IF(NOT(ISERROR(MATCH(J78,_xlfn.ANCHORARRAY(E101),0))),I103&amp;"Por favor no seleccionar los criterios de impacto",J78)</f>
        <v>0</v>
      </c>
      <c r="L78" s="377"/>
      <c r="M78" s="380"/>
      <c r="N78" s="383"/>
      <c r="O78" s="106">
        <v>4</v>
      </c>
      <c r="P78" s="165"/>
      <c r="Q78" s="152"/>
      <c r="R78" s="197"/>
      <c r="S78" s="156"/>
      <c r="T78" s="157" t="str">
        <f t="shared" si="64"/>
        <v/>
      </c>
      <c r="U78" s="156"/>
      <c r="V78" s="156"/>
      <c r="W78" s="156"/>
      <c r="X78" s="198"/>
      <c r="Y78" s="158" t="str">
        <f t="shared" si="72"/>
        <v/>
      </c>
      <c r="Z78" s="199"/>
      <c r="AA78" s="158" t="str">
        <f t="shared" si="67"/>
        <v/>
      </c>
      <c r="AB78" s="159" t="str">
        <f t="shared" si="68"/>
        <v/>
      </c>
      <c r="AC78" s="160" t="str">
        <f t="shared" si="69"/>
        <v/>
      </c>
      <c r="AD78" s="161"/>
      <c r="AE78" s="115"/>
      <c r="AF78" s="116"/>
      <c r="AG78" s="116"/>
      <c r="AH78" s="204"/>
      <c r="AI78" s="204"/>
    </row>
    <row r="79" spans="1:67" ht="18" customHeight="1" x14ac:dyDescent="0.3">
      <c r="A79" s="404"/>
      <c r="B79" s="407"/>
      <c r="C79" s="374"/>
      <c r="D79" s="374"/>
      <c r="E79" s="410"/>
      <c r="F79" s="407"/>
      <c r="G79" s="413"/>
      <c r="H79" s="377"/>
      <c r="I79" s="380"/>
      <c r="J79" s="469"/>
      <c r="K79" s="380">
        <f>IF(NOT(ISERROR(MATCH(J79,_xlfn.ANCHORARRAY(E102),0))),I104&amp;"Por favor no seleccionar los criterios de impacto",J79)</f>
        <v>0</v>
      </c>
      <c r="L79" s="377"/>
      <c r="M79" s="380"/>
      <c r="N79" s="383"/>
      <c r="O79" s="106">
        <v>5</v>
      </c>
      <c r="P79" s="165"/>
      <c r="Q79" s="152"/>
      <c r="R79" s="197"/>
      <c r="S79" s="156"/>
      <c r="T79" s="157" t="str">
        <f t="shared" si="64"/>
        <v/>
      </c>
      <c r="U79" s="156"/>
      <c r="V79" s="156"/>
      <c r="W79" s="156"/>
      <c r="X79" s="198"/>
      <c r="Y79" s="158" t="str">
        <f t="shared" si="72"/>
        <v/>
      </c>
      <c r="Z79" s="199"/>
      <c r="AA79" s="158" t="str">
        <f t="shared" si="67"/>
        <v/>
      </c>
      <c r="AB79" s="199"/>
      <c r="AC79" s="160" t="str">
        <f t="shared" si="69"/>
        <v/>
      </c>
      <c r="AD79" s="161"/>
      <c r="AE79" s="115"/>
      <c r="AF79" s="116"/>
      <c r="AG79" s="116"/>
      <c r="AH79" s="204"/>
      <c r="AI79" s="204"/>
    </row>
    <row r="80" spans="1:67" ht="18" customHeight="1" x14ac:dyDescent="0.3">
      <c r="A80" s="405"/>
      <c r="B80" s="408"/>
      <c r="C80" s="375"/>
      <c r="D80" s="375"/>
      <c r="E80" s="411"/>
      <c r="F80" s="408"/>
      <c r="G80" s="414"/>
      <c r="H80" s="378"/>
      <c r="I80" s="381"/>
      <c r="J80" s="470"/>
      <c r="K80" s="381">
        <f>IF(NOT(ISERROR(MATCH(J80,_xlfn.ANCHORARRAY(E103),0))),I105&amp;"Por favor no seleccionar los criterios de impacto",J80)</f>
        <v>0</v>
      </c>
      <c r="L80" s="378"/>
      <c r="M80" s="381"/>
      <c r="N80" s="384"/>
      <c r="O80" s="106">
        <v>6</v>
      </c>
      <c r="P80" s="165"/>
      <c r="Q80" s="152"/>
      <c r="R80" s="197"/>
      <c r="S80" s="156"/>
      <c r="T80" s="157" t="str">
        <f t="shared" si="64"/>
        <v/>
      </c>
      <c r="U80" s="156"/>
      <c r="V80" s="156"/>
      <c r="W80" s="156"/>
      <c r="X80" s="198"/>
      <c r="Y80" s="158" t="str">
        <f t="shared" si="72"/>
        <v/>
      </c>
      <c r="Z80" s="199"/>
      <c r="AA80" s="158" t="str">
        <f t="shared" si="67"/>
        <v/>
      </c>
      <c r="AB80" s="199"/>
      <c r="AC80" s="160" t="str">
        <f t="shared" si="69"/>
        <v/>
      </c>
      <c r="AD80" s="161"/>
      <c r="AE80" s="115"/>
      <c r="AF80" s="116"/>
      <c r="AG80" s="116"/>
      <c r="AH80" s="204"/>
      <c r="AI80" s="204"/>
    </row>
    <row r="81" spans="1:35" ht="60.75" customHeight="1" x14ac:dyDescent="0.3">
      <c r="A81" s="403">
        <v>12</v>
      </c>
      <c r="B81" s="406" t="s">
        <v>239</v>
      </c>
      <c r="C81" s="373" t="s">
        <v>292</v>
      </c>
      <c r="D81" s="373" t="s">
        <v>293</v>
      </c>
      <c r="E81" s="409" t="s">
        <v>294</v>
      </c>
      <c r="F81" s="406" t="s">
        <v>192</v>
      </c>
      <c r="G81" s="412">
        <v>12</v>
      </c>
      <c r="H81" s="376" t="str">
        <f>IF(G81&lt;=0,"",IF(G81&lt;=2,"Muy Baja",IF(G81&lt;=24,"Baja",IF(G81&lt;=500,"Media",IF(G81&lt;=5000,"Alta","Muy Alta")))))</f>
        <v>Baja</v>
      </c>
      <c r="I81" s="379">
        <f>IF(H81="","",IF(H81="Muy Baja",0.2,IF(H81="Baja",0.4,IF(H81="Media",0.6,IF(H81="Alta",0.8,IF(H81="Muy Alta",1,))))))</f>
        <v>0.4</v>
      </c>
      <c r="J81" s="468" t="s">
        <v>243</v>
      </c>
      <c r="K81" s="379" t="str">
        <f>IF(NOT(ISERROR(MATCH(J81,'Tabla Impacto'!$B$221:$B$223,0))),'Tabla Impacto'!$F$223&amp;"Por favor no seleccionar los criterios de impacto(Afectación Económica o presupuestal y Pérdida Reputacional)",J81)</f>
        <v xml:space="preserve">     El riesgo afecta la imagen de la entidad con algunos usuarios de relevancia frente al logro de los objetivos</v>
      </c>
      <c r="L81" s="376" t="str">
        <f>IF(OR(K81='Tabla Impacto'!$C$11,K81='Tabla Impacto'!$D$11),"Leve",IF(OR(K81='Tabla Impacto'!$C$12,K81='Tabla Impacto'!$D$12),"Menor",IF(OR(K81='Tabla Impacto'!$C$13,K81='Tabla Impacto'!$D$13),"Moderado",IF(OR(K81='Tabla Impacto'!$C$14,K81='Tabla Impacto'!$D$14),"Mayor",IF(OR(K81='Tabla Impacto'!$C$15,K81='Tabla Impacto'!$D$15),"Catastrófico","")))))</f>
        <v>Moderado</v>
      </c>
      <c r="M81" s="379">
        <f>IF(L81="","",IF(L81="Leve",0.2,IF(L81="Menor",0.4,IF(L81="Moderado",0.6,IF(L81="Mayor",0.8,IF(L81="Catastrófico",1,))))))</f>
        <v>0.6</v>
      </c>
      <c r="N81" s="382" t="str">
        <f>IF(OR(AND(H81="Muy Baja",L81="Leve"),AND(H81="Muy Baja",L81="Menor"),AND(H81="Baja",L81="Leve")),"Bajo",IF(OR(AND(H81="Muy baja",L81="Moderado"),AND(H81="Baja",L81="Menor"),AND(H81="Baja",L81="Moderado"),AND(H81="Media",L81="Leve"),AND(H81="Media",L81="Menor"),AND(H81="Media",L81="Moderado"),AND(H81="Alta",L81="Leve"),AND(H81="Alta",L81="Menor")),"Moderado",IF(OR(AND(H81="Muy Baja",L81="Mayor"),AND(H81="Baja",L81="Mayor"),AND(H81="Media",L81="Mayor"),AND(H81="Alta",L81="Moderado"),AND(H81="Alta",L81="Mayor"),AND(H81="Muy Alta",L81="Leve"),AND(H81="Muy Alta",L81="Menor"),AND(H81="Muy Alta",L81="Moderado"),AND(H81="Muy Alta",L81="Mayor")),"Alto",IF(OR(AND(H81="Muy Baja",L81="Catastrófico"),AND(H81="Baja",L81="Catastrófico"),AND(H81="Media",L81="Catastrófico"),AND(H81="Alta",L81="Catastrófico"),AND(H81="Muy Alta",L81="Catastrófico")),"Extremo",""))))</f>
        <v>Moderado</v>
      </c>
      <c r="O81" s="106">
        <v>1</v>
      </c>
      <c r="P81" s="165" t="s">
        <v>295</v>
      </c>
      <c r="Q81" s="152" t="str">
        <f t="shared" ref="Q81" si="73">IF(OR(R81="Preventivo",R81="Detectivo"),"Probabilidad",IF(R81="Correctivo","Impacto",""))</f>
        <v>Probabilidad</v>
      </c>
      <c r="R81" s="156" t="s">
        <v>195</v>
      </c>
      <c r="S81" s="156" t="s">
        <v>196</v>
      </c>
      <c r="T81" s="157" t="str">
        <f>IF(AND(R81="Preventivo",S81="Automático"),"50%",IF(AND(R81="Preventivo",S81="Manual"),"40%",IF(AND(R81="Detectivo",S81="Automático"),"40%",IF(AND(R81="Detectivo",S81="Manual"),"30%",IF(AND(R81="Correctivo",S81="Automático"),"35%",IF(AND(R81="Correctivo",S81="Manual"),"25%",""))))))</f>
        <v>40%</v>
      </c>
      <c r="U81" s="156" t="s">
        <v>197</v>
      </c>
      <c r="V81" s="156" t="s">
        <v>198</v>
      </c>
      <c r="W81" s="156" t="s">
        <v>199</v>
      </c>
      <c r="X81" s="149">
        <f>IFERROR(IF(Q81="Probabilidad",(I81-(+I81*T81)),IF(Q81="Impacto",I81,"")),"")</f>
        <v>0.24</v>
      </c>
      <c r="Y81" s="158" t="str">
        <f>IFERROR(IF(X81="","",IF(X81&lt;=0.2,"Muy Baja",IF(X81&lt;=0.4,"Baja",IF(X81&lt;=0.6,"Media",IF(X81&lt;=0.8,"Alta","Muy Alta"))))),"")</f>
        <v>Baja</v>
      </c>
      <c r="Z81" s="159">
        <f t="shared" ref="Z81" si="74">+X81</f>
        <v>0.24</v>
      </c>
      <c r="AA81" s="158" t="str">
        <f>IFERROR(IF(AB81="","",IF(AB81&lt;=0.2,"Leve",IF(AB81&lt;=0.4,"Menor",IF(AB81&lt;=0.6,"Moderado",IF(AB81&lt;=0.8,"Mayor","Catastrófico"))))),"")</f>
        <v>Moderado</v>
      </c>
      <c r="AB81" s="159">
        <f>IFERROR(IF(Q81="Impacto",(M81-(+M81*T81)),IF(Q81="Probabilidad",M81,"")),"")</f>
        <v>0.6</v>
      </c>
      <c r="AC81" s="160" t="str">
        <f>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Moderado</v>
      </c>
      <c r="AD81" s="161" t="s">
        <v>200</v>
      </c>
      <c r="AE81" s="188" t="s">
        <v>296</v>
      </c>
      <c r="AF81" s="189" t="s">
        <v>290</v>
      </c>
      <c r="AG81" s="189" t="s">
        <v>297</v>
      </c>
      <c r="AH81" s="203">
        <v>45689</v>
      </c>
      <c r="AI81" s="201">
        <v>46010</v>
      </c>
    </row>
    <row r="82" spans="1:35" ht="18" customHeight="1" x14ac:dyDescent="0.3">
      <c r="A82" s="404"/>
      <c r="B82" s="407"/>
      <c r="C82" s="374"/>
      <c r="D82" s="374"/>
      <c r="E82" s="410"/>
      <c r="F82" s="407"/>
      <c r="G82" s="413"/>
      <c r="H82" s="377"/>
      <c r="I82" s="380"/>
      <c r="J82" s="469"/>
      <c r="K82" s="380">
        <f>IF(NOT(ISERROR(MATCH(J82,_xlfn.ANCHORARRAY(E105),0))),I107&amp;"Por favor no seleccionar los criterios de impacto",J82)</f>
        <v>0</v>
      </c>
      <c r="L82" s="377"/>
      <c r="M82" s="380"/>
      <c r="N82" s="383"/>
      <c r="O82" s="106">
        <v>2</v>
      </c>
      <c r="P82" s="165"/>
      <c r="Q82" s="152"/>
      <c r="R82" s="197"/>
      <c r="S82" s="156"/>
      <c r="T82" s="157" t="str">
        <f t="shared" ref="T82:T86" si="75">IF(AND(R82="Preventivo",S82="Automático"),"50%",IF(AND(R82="Preventivo",S82="Manual"),"40%",IF(AND(R82="Detectivo",S82="Automático"),"40%",IF(AND(R82="Detectivo",S82="Manual"),"30%",IF(AND(R82="Correctivo",S82="Automático"),"35%",IF(AND(R82="Correctivo",S82="Manual"),"25%",""))))))</f>
        <v/>
      </c>
      <c r="U82" s="156"/>
      <c r="V82" s="156"/>
      <c r="W82" s="156"/>
      <c r="X82" s="198"/>
      <c r="Y82" s="158" t="str">
        <f t="shared" ref="Y82:Y86" si="76">IFERROR(IF(X82="","",IF(X82&lt;=0.2,"Muy Baja",IF(X82&lt;=0.4,"Baja",IF(X82&lt;=0.6,"Media",IF(X82&lt;=0.8,"Alta","Muy Alta"))))),"")</f>
        <v/>
      </c>
      <c r="Z82" s="159"/>
      <c r="AA82" s="158" t="str">
        <f t="shared" ref="AA82:AA86" si="77">IFERROR(IF(AB82="","",IF(AB82&lt;=0.2,"Leve",IF(AB82&lt;=0.4,"Menor",IF(AB82&lt;=0.6,"Moderado",IF(AB82&lt;=0.8,"Mayor","Catastrófico"))))),"")</f>
        <v/>
      </c>
      <c r="AB82" s="159" t="str">
        <f t="shared" ref="AB82:AB84" si="78">IFERROR(IF(Q82="Impacto",(M82-(+M82*T82)),IF(Q82="Probabilidad",M82,"")),"")</f>
        <v/>
      </c>
      <c r="AC82" s="160" t="str">
        <f t="shared" ref="AC82:AC86" si="79">IFERROR(IF(OR(AND(Y82="Muy Baja",AA82="Leve"),AND(Y82="Muy Baja",AA82="Menor"),AND(Y82="Baja",AA82="Leve")),"Bajo",IF(OR(AND(Y82="Muy baja",AA82="Moderado"),AND(Y82="Baja",AA82="Menor"),AND(Y82="Baja",AA82="Moderado"),AND(Y82="Media",AA82="Leve"),AND(Y82="Media",AA82="Menor"),AND(Y82="Media",AA82="Moderado"),AND(Y82="Alta",AA82="Leve"),AND(Y82="Alta",AA82="Menor")),"Moderado",IF(OR(AND(Y82="Muy Baja",AA82="Mayor"),AND(Y82="Baja",AA82="Mayor"),AND(Y82="Media",AA82="Mayor"),AND(Y82="Alta",AA82="Moderado"),AND(Y82="Alta",AA82="Mayor"),AND(Y82="Muy Alta",AA82="Leve"),AND(Y82="Muy Alta",AA82="Menor"),AND(Y82="Muy Alta",AA82="Moderado"),AND(Y82="Muy Alta",AA82="Mayor")),"Alto",IF(OR(AND(Y82="Muy Baja",AA82="Catastrófico"),AND(Y82="Baja",AA82="Catastrófico"),AND(Y82="Media",AA82="Catastrófico"),AND(Y82="Alta",AA82="Catastrófico"),AND(Y82="Muy Alta",AA82="Catastrófico")),"Extremo","")))),"")</f>
        <v/>
      </c>
      <c r="AD82" s="161"/>
      <c r="AE82" s="115"/>
      <c r="AF82" s="116"/>
      <c r="AG82" s="116"/>
      <c r="AH82" s="117"/>
      <c r="AI82" s="117"/>
    </row>
    <row r="83" spans="1:35" ht="18" customHeight="1" x14ac:dyDescent="0.3">
      <c r="A83" s="404"/>
      <c r="B83" s="407"/>
      <c r="C83" s="374"/>
      <c r="D83" s="374"/>
      <c r="E83" s="410"/>
      <c r="F83" s="407"/>
      <c r="G83" s="413"/>
      <c r="H83" s="377"/>
      <c r="I83" s="380"/>
      <c r="J83" s="469"/>
      <c r="K83" s="380">
        <f>IF(NOT(ISERROR(MATCH(J83,_xlfn.ANCHORARRAY(E106),0))),I108&amp;"Por favor no seleccionar los criterios de impacto",J83)</f>
        <v>0</v>
      </c>
      <c r="L83" s="377"/>
      <c r="M83" s="380"/>
      <c r="N83" s="383"/>
      <c r="O83" s="106">
        <v>3</v>
      </c>
      <c r="P83" s="165"/>
      <c r="Q83" s="152"/>
      <c r="R83" s="197"/>
      <c r="S83" s="156"/>
      <c r="T83" s="157" t="str">
        <f t="shared" si="75"/>
        <v/>
      </c>
      <c r="U83" s="156"/>
      <c r="V83" s="156"/>
      <c r="W83" s="156"/>
      <c r="X83" s="198"/>
      <c r="Y83" s="158" t="str">
        <f t="shared" si="76"/>
        <v/>
      </c>
      <c r="Z83" s="199"/>
      <c r="AA83" s="158" t="str">
        <f t="shared" si="77"/>
        <v/>
      </c>
      <c r="AB83" s="159" t="str">
        <f t="shared" si="78"/>
        <v/>
      </c>
      <c r="AC83" s="160" t="str">
        <f t="shared" si="79"/>
        <v/>
      </c>
      <c r="AD83" s="161"/>
      <c r="AE83" s="115"/>
      <c r="AF83" s="116"/>
      <c r="AG83" s="116"/>
      <c r="AH83" s="117"/>
      <c r="AI83" s="117"/>
    </row>
    <row r="84" spans="1:35" ht="18" customHeight="1" x14ac:dyDescent="0.3">
      <c r="A84" s="404"/>
      <c r="B84" s="407"/>
      <c r="C84" s="374"/>
      <c r="D84" s="374"/>
      <c r="E84" s="410"/>
      <c r="F84" s="407"/>
      <c r="G84" s="413"/>
      <c r="H84" s="377"/>
      <c r="I84" s="380"/>
      <c r="J84" s="469"/>
      <c r="K84" s="380">
        <f>IF(NOT(ISERROR(MATCH(J84,_xlfn.ANCHORARRAY(E107),0))),I109&amp;"Por favor no seleccionar los criterios de impacto",J84)</f>
        <v>0</v>
      </c>
      <c r="L84" s="377"/>
      <c r="M84" s="380"/>
      <c r="N84" s="383"/>
      <c r="O84" s="106">
        <v>4</v>
      </c>
      <c r="P84" s="165"/>
      <c r="Q84" s="152"/>
      <c r="R84" s="197"/>
      <c r="S84" s="156"/>
      <c r="T84" s="157" t="str">
        <f t="shared" si="75"/>
        <v/>
      </c>
      <c r="U84" s="156"/>
      <c r="V84" s="156"/>
      <c r="W84" s="156"/>
      <c r="X84" s="198"/>
      <c r="Y84" s="158" t="str">
        <f t="shared" si="76"/>
        <v/>
      </c>
      <c r="Z84" s="199"/>
      <c r="AA84" s="158" t="str">
        <f t="shared" si="77"/>
        <v/>
      </c>
      <c r="AB84" s="159" t="str">
        <f t="shared" si="78"/>
        <v/>
      </c>
      <c r="AC84" s="160" t="str">
        <f t="shared" si="79"/>
        <v/>
      </c>
      <c r="AD84" s="161"/>
      <c r="AE84" s="115"/>
      <c r="AF84" s="116"/>
      <c r="AG84" s="116"/>
      <c r="AH84" s="117"/>
      <c r="AI84" s="117"/>
    </row>
    <row r="85" spans="1:35" ht="18" customHeight="1" x14ac:dyDescent="0.3">
      <c r="A85" s="404"/>
      <c r="B85" s="407"/>
      <c r="C85" s="374"/>
      <c r="D85" s="374"/>
      <c r="E85" s="410"/>
      <c r="F85" s="407"/>
      <c r="G85" s="413"/>
      <c r="H85" s="377"/>
      <c r="I85" s="380"/>
      <c r="J85" s="469"/>
      <c r="K85" s="380">
        <f>IF(NOT(ISERROR(MATCH(J85,_xlfn.ANCHORARRAY(E108),0))),I110&amp;"Por favor no seleccionar los criterios de impacto",J85)</f>
        <v>0</v>
      </c>
      <c r="L85" s="377"/>
      <c r="M85" s="380"/>
      <c r="N85" s="383"/>
      <c r="O85" s="106">
        <v>5</v>
      </c>
      <c r="P85" s="165"/>
      <c r="Q85" s="152"/>
      <c r="R85" s="197"/>
      <c r="S85" s="156"/>
      <c r="T85" s="157" t="str">
        <f t="shared" si="75"/>
        <v/>
      </c>
      <c r="U85" s="156"/>
      <c r="V85" s="156"/>
      <c r="W85" s="156"/>
      <c r="X85" s="198"/>
      <c r="Y85" s="158" t="str">
        <f t="shared" si="76"/>
        <v/>
      </c>
      <c r="Z85" s="199"/>
      <c r="AA85" s="158" t="str">
        <f t="shared" si="77"/>
        <v/>
      </c>
      <c r="AB85" s="199"/>
      <c r="AC85" s="160" t="str">
        <f t="shared" si="79"/>
        <v/>
      </c>
      <c r="AD85" s="161"/>
      <c r="AE85" s="115"/>
      <c r="AF85" s="116"/>
      <c r="AG85" s="116"/>
      <c r="AH85" s="117"/>
      <c r="AI85" s="117"/>
    </row>
    <row r="86" spans="1:35" ht="18" customHeight="1" x14ac:dyDescent="0.3">
      <c r="A86" s="405"/>
      <c r="B86" s="408"/>
      <c r="C86" s="375"/>
      <c r="D86" s="375"/>
      <c r="E86" s="411"/>
      <c r="F86" s="408"/>
      <c r="G86" s="414"/>
      <c r="H86" s="378"/>
      <c r="I86" s="381"/>
      <c r="J86" s="470"/>
      <c r="K86" s="381">
        <f>IF(NOT(ISERROR(MATCH(J86,_xlfn.ANCHORARRAY(E109),0))),I111&amp;"Por favor no seleccionar los criterios de impacto",J86)</f>
        <v>0</v>
      </c>
      <c r="L86" s="378"/>
      <c r="M86" s="381"/>
      <c r="N86" s="384"/>
      <c r="O86" s="106">
        <v>6</v>
      </c>
      <c r="P86" s="165"/>
      <c r="Q86" s="152"/>
      <c r="R86" s="197"/>
      <c r="S86" s="156"/>
      <c r="T86" s="157" t="str">
        <f t="shared" si="75"/>
        <v/>
      </c>
      <c r="U86" s="156"/>
      <c r="V86" s="156"/>
      <c r="W86" s="156"/>
      <c r="X86" s="198"/>
      <c r="Y86" s="158" t="str">
        <f t="shared" si="76"/>
        <v/>
      </c>
      <c r="Z86" s="199"/>
      <c r="AA86" s="158" t="str">
        <f t="shared" si="77"/>
        <v/>
      </c>
      <c r="AB86" s="199"/>
      <c r="AC86" s="160" t="str">
        <f t="shared" si="79"/>
        <v/>
      </c>
      <c r="AD86" s="161"/>
      <c r="AE86" s="115"/>
      <c r="AF86" s="116"/>
      <c r="AG86" s="116"/>
      <c r="AH86" s="117"/>
      <c r="AI86" s="117"/>
    </row>
    <row r="87" spans="1:35" ht="34.5" customHeight="1" x14ac:dyDescent="0.3">
      <c r="A87" s="6"/>
      <c r="B87" s="452" t="s">
        <v>298</v>
      </c>
      <c r="C87" s="453"/>
      <c r="D87" s="453"/>
      <c r="E87" s="453"/>
      <c r="F87" s="453"/>
      <c r="G87" s="453"/>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row>
    <row r="89" spans="1:35" x14ac:dyDescent="0.3">
      <c r="A89" s="1"/>
      <c r="B89" s="24" t="s">
        <v>299</v>
      </c>
      <c r="C89" s="1"/>
      <c r="D89" s="1"/>
      <c r="F89" s="1"/>
    </row>
  </sheetData>
  <dataConsolidate/>
  <mergeCells count="247">
    <mergeCell ref="J81:J86"/>
    <mergeCell ref="K81:K86"/>
    <mergeCell ref="L81:L86"/>
    <mergeCell ref="M81:M86"/>
    <mergeCell ref="N81:N86"/>
    <mergeCell ref="A81:A86"/>
    <mergeCell ref="B81:B86"/>
    <mergeCell ref="C81:C86"/>
    <mergeCell ref="D81:D86"/>
    <mergeCell ref="E81:E86"/>
    <mergeCell ref="F81:F86"/>
    <mergeCell ref="G81:G86"/>
    <mergeCell ref="H81:H86"/>
    <mergeCell ref="I81:I86"/>
    <mergeCell ref="J75:J80"/>
    <mergeCell ref="L75:L80"/>
    <mergeCell ref="K75:K80"/>
    <mergeCell ref="M75:M80"/>
    <mergeCell ref="N75:N80"/>
    <mergeCell ref="A75:A80"/>
    <mergeCell ref="B75:B80"/>
    <mergeCell ref="C75:C80"/>
    <mergeCell ref="D75:D80"/>
    <mergeCell ref="E75:E80"/>
    <mergeCell ref="F75:F80"/>
    <mergeCell ref="G75:G80"/>
    <mergeCell ref="H75:H80"/>
    <mergeCell ref="I75:I80"/>
    <mergeCell ref="A37:A42"/>
    <mergeCell ref="B37:B42"/>
    <mergeCell ref="C37:C42"/>
    <mergeCell ref="I43:I50"/>
    <mergeCell ref="H43:H50"/>
    <mergeCell ref="G43:G50"/>
    <mergeCell ref="B43:B50"/>
    <mergeCell ref="A43:A50"/>
    <mergeCell ref="A63:A68"/>
    <mergeCell ref="B63:B68"/>
    <mergeCell ref="C63:C68"/>
    <mergeCell ref="D63:D68"/>
    <mergeCell ref="E63:E68"/>
    <mergeCell ref="F63:F68"/>
    <mergeCell ref="G63:G68"/>
    <mergeCell ref="H63:H68"/>
    <mergeCell ref="I63:I68"/>
    <mergeCell ref="N24:N29"/>
    <mergeCell ref="K31:K36"/>
    <mergeCell ref="K18:K23"/>
    <mergeCell ref="M37:M42"/>
    <mergeCell ref="N37:N42"/>
    <mergeCell ref="AG10:AG11"/>
    <mergeCell ref="AE9:AI9"/>
    <mergeCell ref="Z10:Z11"/>
    <mergeCell ref="V30:V31"/>
    <mergeCell ref="W30:W31"/>
    <mergeCell ref="Y30:Y31"/>
    <mergeCell ref="Z30:Z31"/>
    <mergeCell ref="AA30:AA31"/>
    <mergeCell ref="AB30:AB31"/>
    <mergeCell ref="AC30:AC31"/>
    <mergeCell ref="AD30:AD31"/>
    <mergeCell ref="P30:P31"/>
    <mergeCell ref="U30:U31"/>
    <mergeCell ref="K51:K56"/>
    <mergeCell ref="L51:L56"/>
    <mergeCell ref="K45:K50"/>
    <mergeCell ref="A1:D4"/>
    <mergeCell ref="A69:A74"/>
    <mergeCell ref="B69:B74"/>
    <mergeCell ref="F69:F74"/>
    <mergeCell ref="G69:G74"/>
    <mergeCell ref="H69:H74"/>
    <mergeCell ref="C6:N6"/>
    <mergeCell ref="A9:G9"/>
    <mergeCell ref="H9:N9"/>
    <mergeCell ref="I37:I42"/>
    <mergeCell ref="J37:J42"/>
    <mergeCell ref="K37:K42"/>
    <mergeCell ref="L37:L42"/>
    <mergeCell ref="A57:A62"/>
    <mergeCell ref="E57:E62"/>
    <mergeCell ref="A51:A56"/>
    <mergeCell ref="B51:B56"/>
    <mergeCell ref="K69:K74"/>
    <mergeCell ref="L69:L74"/>
    <mergeCell ref="M69:M74"/>
    <mergeCell ref="M24:M29"/>
    <mergeCell ref="N69:N74"/>
    <mergeCell ref="B87:AI87"/>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B57:B62"/>
    <mergeCell ref="C57:C62"/>
    <mergeCell ref="J69:J74"/>
    <mergeCell ref="D57:D62"/>
    <mergeCell ref="D37:D42"/>
    <mergeCell ref="E37:E42"/>
    <mergeCell ref="F37:F42"/>
    <mergeCell ref="C51:C56"/>
    <mergeCell ref="E51:E56"/>
    <mergeCell ref="D51:D56"/>
    <mergeCell ref="F43:F50"/>
    <mergeCell ref="E43:E50"/>
    <mergeCell ref="D43:D50"/>
    <mergeCell ref="C43:C50"/>
    <mergeCell ref="J51:J56"/>
    <mergeCell ref="C69:C74"/>
    <mergeCell ref="D69:D74"/>
    <mergeCell ref="E69:E74"/>
    <mergeCell ref="G37:G42"/>
    <mergeCell ref="H37:H42"/>
    <mergeCell ref="I69:I74"/>
    <mergeCell ref="B10:B11"/>
    <mergeCell ref="N10:N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G10:G11"/>
    <mergeCell ref="H10:H11"/>
    <mergeCell ref="I10:I11"/>
    <mergeCell ref="AG1:AI1"/>
    <mergeCell ref="J10:J11"/>
    <mergeCell ref="K10:K11"/>
    <mergeCell ref="Q10:Q11"/>
    <mergeCell ref="R10:W10"/>
    <mergeCell ref="L10:L11"/>
    <mergeCell ref="M10:M11"/>
    <mergeCell ref="AG2:AI2"/>
    <mergeCell ref="AG3:AI3"/>
    <mergeCell ref="AG4:AI4"/>
    <mergeCell ref="E1:AF4"/>
    <mergeCell ref="AI10:AI11"/>
    <mergeCell ref="O6:Q6"/>
    <mergeCell ref="O9:W9"/>
    <mergeCell ref="X9:AD9"/>
    <mergeCell ref="G12:G17"/>
    <mergeCell ref="H12:H17"/>
    <mergeCell ref="A12:A17"/>
    <mergeCell ref="B12:B17"/>
    <mergeCell ref="C12:C17"/>
    <mergeCell ref="D12:D17"/>
    <mergeCell ref="E12:E17"/>
    <mergeCell ref="N12:N17"/>
    <mergeCell ref="I12:I17"/>
    <mergeCell ref="J12:J17"/>
    <mergeCell ref="K12:K17"/>
    <mergeCell ref="L12:L17"/>
    <mergeCell ref="M12:M17"/>
    <mergeCell ref="F12:F17"/>
    <mergeCell ref="A30:A36"/>
    <mergeCell ref="B30:B36"/>
    <mergeCell ref="C30:C36"/>
    <mergeCell ref="D30:D36"/>
    <mergeCell ref="E30:E36"/>
    <mergeCell ref="F30:F36"/>
    <mergeCell ref="G30:G36"/>
    <mergeCell ref="H30:H36"/>
    <mergeCell ref="I30:I36"/>
    <mergeCell ref="J30:J36"/>
    <mergeCell ref="L30:L36"/>
    <mergeCell ref="M30:M36"/>
    <mergeCell ref="N30:N36"/>
    <mergeCell ref="O30:O31"/>
    <mergeCell ref="R30:R31"/>
    <mergeCell ref="Q30:Q31"/>
    <mergeCell ref="S30:S31"/>
    <mergeCell ref="T30:T31"/>
    <mergeCell ref="AD43:AD45"/>
    <mergeCell ref="J43:J50"/>
    <mergeCell ref="L43:L50"/>
    <mergeCell ref="M43:M50"/>
    <mergeCell ref="N43:N50"/>
    <mergeCell ref="AC43:AC45"/>
    <mergeCell ref="O43:O45"/>
    <mergeCell ref="P43:P45"/>
    <mergeCell ref="R43:R45"/>
    <mergeCell ref="S43:S45"/>
    <mergeCell ref="Z43:Z45"/>
    <mergeCell ref="AA43:AA45"/>
    <mergeCell ref="AB43:AB45"/>
    <mergeCell ref="T43:T45"/>
    <mergeCell ref="U43:U45"/>
    <mergeCell ref="V43:V45"/>
    <mergeCell ref="W43:W45"/>
    <mergeCell ref="Y43:Y45"/>
    <mergeCell ref="Q43:Q45"/>
  </mergeCells>
  <conditionalFormatting sqref="H12 H18 Y30 Y32:Y43 Y46:Y74 Y76:Y80">
    <cfRule type="cellIs" dxfId="161" priority="561" operator="equal">
      <formula>"Muy Alta"</formula>
    </cfRule>
    <cfRule type="cellIs" dxfId="160" priority="562" operator="equal">
      <formula>"Alta"</formula>
    </cfRule>
    <cfRule type="cellIs" dxfId="159" priority="563" operator="equal">
      <formula>"Media"</formula>
    </cfRule>
    <cfRule type="cellIs" dxfId="158" priority="564" operator="equal">
      <formula>"Baja"</formula>
    </cfRule>
    <cfRule type="cellIs" dxfId="157" priority="565" operator="equal">
      <formula>"Muy Baja"</formula>
    </cfRule>
  </conditionalFormatting>
  <conditionalFormatting sqref="H24">
    <cfRule type="cellIs" dxfId="156" priority="463" operator="equal">
      <formula>"Muy Alta"</formula>
    </cfRule>
    <cfRule type="cellIs" dxfId="155" priority="464" operator="equal">
      <formula>"Alta"</formula>
    </cfRule>
    <cfRule type="cellIs" dxfId="154" priority="465" operator="equal">
      <formula>"Media"</formula>
    </cfRule>
    <cfRule type="cellIs" dxfId="153" priority="466" operator="equal">
      <formula>"Baja"</formula>
    </cfRule>
    <cfRule type="cellIs" dxfId="152" priority="467" operator="equal">
      <formula>"Muy Baja"</formula>
    </cfRule>
  </conditionalFormatting>
  <conditionalFormatting sqref="H30">
    <cfRule type="cellIs" dxfId="151" priority="435" operator="equal">
      <formula>"Muy Alta"</formula>
    </cfRule>
    <cfRule type="cellIs" dxfId="150" priority="436" operator="equal">
      <formula>"Alta"</formula>
    </cfRule>
    <cfRule type="cellIs" dxfId="149" priority="437" operator="equal">
      <formula>"Media"</formula>
    </cfRule>
    <cfRule type="cellIs" dxfId="148" priority="438" operator="equal">
      <formula>"Baja"</formula>
    </cfRule>
    <cfRule type="cellIs" dxfId="147" priority="439" operator="equal">
      <formula>"Muy Baja"</formula>
    </cfRule>
  </conditionalFormatting>
  <conditionalFormatting sqref="H43">
    <cfRule type="cellIs" dxfId="146" priority="379" operator="equal">
      <formula>"Muy Alta"</formula>
    </cfRule>
    <cfRule type="cellIs" dxfId="145" priority="380" operator="equal">
      <formula>"Alta"</formula>
    </cfRule>
    <cfRule type="cellIs" dxfId="144" priority="381" operator="equal">
      <formula>"Media"</formula>
    </cfRule>
    <cfRule type="cellIs" dxfId="143" priority="382" operator="equal">
      <formula>"Baja"</formula>
    </cfRule>
    <cfRule type="cellIs" dxfId="142" priority="383" operator="equal">
      <formula>"Muy Baja"</formula>
    </cfRule>
  </conditionalFormatting>
  <conditionalFormatting sqref="H51">
    <cfRule type="cellIs" dxfId="141" priority="351" operator="equal">
      <formula>"Muy Alta"</formula>
    </cfRule>
    <cfRule type="cellIs" dxfId="140" priority="352" operator="equal">
      <formula>"Alta"</formula>
    </cfRule>
    <cfRule type="cellIs" dxfId="139" priority="353" operator="equal">
      <formula>"Media"</formula>
    </cfRule>
    <cfRule type="cellIs" dxfId="138" priority="354" operator="equal">
      <formula>"Baja"</formula>
    </cfRule>
    <cfRule type="cellIs" dxfId="137" priority="355" operator="equal">
      <formula>"Muy Baja"</formula>
    </cfRule>
  </conditionalFormatting>
  <conditionalFormatting sqref="H57">
    <cfRule type="cellIs" dxfId="136" priority="323" operator="equal">
      <formula>"Muy Alta"</formula>
    </cfRule>
    <cfRule type="cellIs" dxfId="135" priority="324" operator="equal">
      <formula>"Alta"</formula>
    </cfRule>
    <cfRule type="cellIs" dxfId="134" priority="325" operator="equal">
      <formula>"Media"</formula>
    </cfRule>
    <cfRule type="cellIs" dxfId="133" priority="326" operator="equal">
      <formula>"Baja"</formula>
    </cfRule>
    <cfRule type="cellIs" dxfId="132" priority="327" operator="equal">
      <formula>"Muy Baja"</formula>
    </cfRule>
  </conditionalFormatting>
  <conditionalFormatting sqref="H63">
    <cfRule type="cellIs" dxfId="131" priority="295" operator="equal">
      <formula>"Muy Alta"</formula>
    </cfRule>
    <cfRule type="cellIs" dxfId="130" priority="296" operator="equal">
      <formula>"Alta"</formula>
    </cfRule>
    <cfRule type="cellIs" dxfId="129" priority="297" operator="equal">
      <formula>"Media"</formula>
    </cfRule>
    <cfRule type="cellIs" dxfId="128" priority="298" operator="equal">
      <formula>"Baja"</formula>
    </cfRule>
    <cfRule type="cellIs" dxfId="127" priority="299" operator="equal">
      <formula>"Muy Baja"</formula>
    </cfRule>
  </conditionalFormatting>
  <conditionalFormatting sqref="H69 H75">
    <cfRule type="cellIs" dxfId="126" priority="267" operator="equal">
      <formula>"Muy Alta"</formula>
    </cfRule>
    <cfRule type="cellIs" dxfId="125" priority="268" operator="equal">
      <formula>"Alta"</formula>
    </cfRule>
    <cfRule type="cellIs" dxfId="124" priority="269" operator="equal">
      <formula>"Media"</formula>
    </cfRule>
    <cfRule type="cellIs" dxfId="123" priority="270" operator="equal">
      <formula>"Baja"</formula>
    </cfRule>
    <cfRule type="cellIs" dxfId="122" priority="271" operator="equal">
      <formula>"Muy Baja"</formula>
    </cfRule>
  </conditionalFormatting>
  <conditionalFormatting sqref="K12:K74">
    <cfRule type="containsText" dxfId="121" priority="243" operator="containsText" text="❌">
      <formula>NOT(ISERROR(SEARCH("❌",K12)))</formula>
    </cfRule>
  </conditionalFormatting>
  <conditionalFormatting sqref="L12 L18 L24 L30 L37 L43 L51 L57 L63 L69 AA30 AA32:AA43 L75 AA46:AA74 AA76:AA80">
    <cfRule type="cellIs" dxfId="120" priority="556" operator="equal">
      <formula>"Catastrófico"</formula>
    </cfRule>
    <cfRule type="cellIs" dxfId="119" priority="557" operator="equal">
      <formula>"Mayor"</formula>
    </cfRule>
    <cfRule type="cellIs" dxfId="118" priority="558" operator="equal">
      <formula>"Moderado"</formula>
    </cfRule>
    <cfRule type="cellIs" dxfId="117" priority="559" operator="equal">
      <formula>"Menor"</formula>
    </cfRule>
    <cfRule type="cellIs" dxfId="116" priority="560" operator="equal">
      <formula>"Leve"</formula>
    </cfRule>
  </conditionalFormatting>
  <conditionalFormatting sqref="N12 AC30 AC32:AC43 AC46:AC74 AC76:AC80">
    <cfRule type="cellIs" dxfId="115" priority="552" operator="equal">
      <formula>"Extremo"</formula>
    </cfRule>
    <cfRule type="cellIs" dxfId="114" priority="553" operator="equal">
      <formula>"Alto"</formula>
    </cfRule>
    <cfRule type="cellIs" dxfId="113" priority="554" operator="equal">
      <formula>"Moderado"</formula>
    </cfRule>
    <cfRule type="cellIs" dxfId="112" priority="555" operator="equal">
      <formula>"Bajo"</formula>
    </cfRule>
  </conditionalFormatting>
  <conditionalFormatting sqref="N18">
    <cfRule type="cellIs" dxfId="111" priority="482" operator="equal">
      <formula>"Extremo"</formula>
    </cfRule>
    <cfRule type="cellIs" dxfId="110" priority="483" operator="equal">
      <formula>"Alto"</formula>
    </cfRule>
    <cfRule type="cellIs" dxfId="109" priority="484" operator="equal">
      <formula>"Moderado"</formula>
    </cfRule>
    <cfRule type="cellIs" dxfId="108" priority="485" operator="equal">
      <formula>"Bajo"</formula>
    </cfRule>
  </conditionalFormatting>
  <conditionalFormatting sqref="N24">
    <cfRule type="cellIs" dxfId="107" priority="454" operator="equal">
      <formula>"Extremo"</formula>
    </cfRule>
    <cfRule type="cellIs" dxfId="106" priority="455" operator="equal">
      <formula>"Alto"</formula>
    </cfRule>
    <cfRule type="cellIs" dxfId="105" priority="456" operator="equal">
      <formula>"Moderado"</formula>
    </cfRule>
    <cfRule type="cellIs" dxfId="104" priority="457" operator="equal">
      <formula>"Bajo"</formula>
    </cfRule>
  </conditionalFormatting>
  <conditionalFormatting sqref="N30">
    <cfRule type="cellIs" dxfId="103" priority="426" operator="equal">
      <formula>"Extremo"</formula>
    </cfRule>
    <cfRule type="cellIs" dxfId="102" priority="427" operator="equal">
      <formula>"Alto"</formula>
    </cfRule>
    <cfRule type="cellIs" dxfId="101" priority="428" operator="equal">
      <formula>"Moderado"</formula>
    </cfRule>
    <cfRule type="cellIs" dxfId="100" priority="429" operator="equal">
      <formula>"Bajo"</formula>
    </cfRule>
  </conditionalFormatting>
  <conditionalFormatting sqref="N37">
    <cfRule type="cellIs" dxfId="99" priority="398" operator="equal">
      <formula>"Extremo"</formula>
    </cfRule>
    <cfRule type="cellIs" dxfId="98" priority="399" operator="equal">
      <formula>"Alto"</formula>
    </cfRule>
    <cfRule type="cellIs" dxfId="97" priority="400" operator="equal">
      <formula>"Moderado"</formula>
    </cfRule>
    <cfRule type="cellIs" dxfId="96" priority="401" operator="equal">
      <formula>"Bajo"</formula>
    </cfRule>
  </conditionalFormatting>
  <conditionalFormatting sqref="N43">
    <cfRule type="cellIs" dxfId="95" priority="370" operator="equal">
      <formula>"Extremo"</formula>
    </cfRule>
    <cfRule type="cellIs" dxfId="94" priority="371" operator="equal">
      <formula>"Alto"</formula>
    </cfRule>
    <cfRule type="cellIs" dxfId="93" priority="372" operator="equal">
      <formula>"Moderado"</formula>
    </cfRule>
    <cfRule type="cellIs" dxfId="92" priority="373" operator="equal">
      <formula>"Bajo"</formula>
    </cfRule>
  </conditionalFormatting>
  <conditionalFormatting sqref="N51">
    <cfRule type="cellIs" dxfId="91" priority="342" operator="equal">
      <formula>"Extremo"</formula>
    </cfRule>
    <cfRule type="cellIs" dxfId="90" priority="343" operator="equal">
      <formula>"Alto"</formula>
    </cfRule>
    <cfRule type="cellIs" dxfId="89" priority="344" operator="equal">
      <formula>"Moderado"</formula>
    </cfRule>
    <cfRule type="cellIs" dxfId="88" priority="345" operator="equal">
      <formula>"Bajo"</formula>
    </cfRule>
  </conditionalFormatting>
  <conditionalFormatting sqref="N57">
    <cfRule type="cellIs" dxfId="87" priority="314" operator="equal">
      <formula>"Extremo"</formula>
    </cfRule>
    <cfRule type="cellIs" dxfId="86" priority="315" operator="equal">
      <formula>"Alto"</formula>
    </cfRule>
    <cfRule type="cellIs" dxfId="85" priority="316" operator="equal">
      <formula>"Moderado"</formula>
    </cfRule>
    <cfRule type="cellIs" dxfId="84" priority="317" operator="equal">
      <formula>"Bajo"</formula>
    </cfRule>
  </conditionalFormatting>
  <conditionalFormatting sqref="N63">
    <cfRule type="cellIs" dxfId="83" priority="286" operator="equal">
      <formula>"Extremo"</formula>
    </cfRule>
    <cfRule type="cellIs" dxfId="82" priority="287" operator="equal">
      <formula>"Alto"</formula>
    </cfRule>
    <cfRule type="cellIs" dxfId="81" priority="288" operator="equal">
      <formula>"Moderado"</formula>
    </cfRule>
    <cfRule type="cellIs" dxfId="80" priority="289" operator="equal">
      <formula>"Bajo"</formula>
    </cfRule>
  </conditionalFormatting>
  <conditionalFormatting sqref="N69 N75">
    <cfRule type="cellIs" dxfId="79" priority="258" operator="equal">
      <formula>"Extremo"</formula>
    </cfRule>
    <cfRule type="cellIs" dxfId="78" priority="259" operator="equal">
      <formula>"Alto"</formula>
    </cfRule>
    <cfRule type="cellIs" dxfId="77" priority="260" operator="equal">
      <formula>"Moderado"</formula>
    </cfRule>
    <cfRule type="cellIs" dxfId="76" priority="261" operator="equal">
      <formula>"Bajo"</formula>
    </cfRule>
  </conditionalFormatting>
  <conditionalFormatting sqref="Y12:Y29">
    <cfRule type="cellIs" dxfId="75" priority="253" operator="equal">
      <formula>"Muy Alta"</formula>
    </cfRule>
    <cfRule type="cellIs" dxfId="74" priority="254" operator="equal">
      <formula>"Alta"</formula>
    </cfRule>
    <cfRule type="cellIs" dxfId="73" priority="255" operator="equal">
      <formula>"Media"</formula>
    </cfRule>
    <cfRule type="cellIs" dxfId="72" priority="256" operator="equal">
      <formula>"Baja"</formula>
    </cfRule>
    <cfRule type="cellIs" dxfId="71" priority="257" operator="equal">
      <formula>"Muy Baja"</formula>
    </cfRule>
  </conditionalFormatting>
  <conditionalFormatting sqref="AA12:AA29">
    <cfRule type="cellIs" dxfId="70" priority="248" operator="equal">
      <formula>"Catastrófico"</formula>
    </cfRule>
    <cfRule type="cellIs" dxfId="69" priority="249" operator="equal">
      <formula>"Mayor"</formula>
    </cfRule>
    <cfRule type="cellIs" dxfId="68" priority="250" operator="equal">
      <formula>"Moderado"</formula>
    </cfRule>
    <cfRule type="cellIs" dxfId="67" priority="251" operator="equal">
      <formula>"Menor"</formula>
    </cfRule>
    <cfRule type="cellIs" dxfId="66" priority="252" operator="equal">
      <formula>"Leve"</formula>
    </cfRule>
  </conditionalFormatting>
  <conditionalFormatting sqref="AC12:AC29">
    <cfRule type="cellIs" dxfId="65" priority="244" operator="equal">
      <formula>"Extremo"</formula>
    </cfRule>
    <cfRule type="cellIs" dxfId="64" priority="245" operator="equal">
      <formula>"Alto"</formula>
    </cfRule>
    <cfRule type="cellIs" dxfId="63" priority="246" operator="equal">
      <formula>"Moderado"</formula>
    </cfRule>
    <cfRule type="cellIs" dxfId="62" priority="247" operator="equal">
      <formula>"Bajo"</formula>
    </cfRule>
  </conditionalFormatting>
  <conditionalFormatting sqref="H37">
    <cfRule type="cellIs" dxfId="61" priority="64" operator="equal">
      <formula>"Muy Alta"</formula>
    </cfRule>
    <cfRule type="cellIs" dxfId="60" priority="65" operator="equal">
      <formula>"Alta"</formula>
    </cfRule>
    <cfRule type="cellIs" dxfId="59" priority="66" operator="equal">
      <formula>"Media"</formula>
    </cfRule>
    <cfRule type="cellIs" dxfId="58" priority="67" operator="equal">
      <formula>"Baja"</formula>
    </cfRule>
    <cfRule type="cellIs" dxfId="57" priority="68" operator="equal">
      <formula>"Muy Baja"</formula>
    </cfRule>
  </conditionalFormatting>
  <conditionalFormatting sqref="K75:K80">
    <cfRule type="containsText" dxfId="56" priority="53" operator="containsText" text="❌">
      <formula>NOT(ISERROR(SEARCH("❌",K75)))</formula>
    </cfRule>
  </conditionalFormatting>
  <conditionalFormatting sqref="Y75">
    <cfRule type="cellIs" dxfId="55" priority="48" operator="equal">
      <formula>"Muy Alta"</formula>
    </cfRule>
    <cfRule type="cellIs" dxfId="54" priority="49" operator="equal">
      <formula>"Alta"</formula>
    </cfRule>
    <cfRule type="cellIs" dxfId="53" priority="50" operator="equal">
      <formula>"Media"</formula>
    </cfRule>
    <cfRule type="cellIs" dxfId="52" priority="51" operator="equal">
      <formula>"Baja"</formula>
    </cfRule>
    <cfRule type="cellIs" dxfId="51" priority="52" operator="equal">
      <formula>"Muy Baja"</formula>
    </cfRule>
  </conditionalFormatting>
  <conditionalFormatting sqref="AA75">
    <cfRule type="cellIs" dxfId="50" priority="43" operator="equal">
      <formula>"Catastrófico"</formula>
    </cfRule>
    <cfRule type="cellIs" dxfId="49" priority="44" operator="equal">
      <formula>"Mayor"</formula>
    </cfRule>
    <cfRule type="cellIs" dxfId="48" priority="45" operator="equal">
      <formula>"Moderado"</formula>
    </cfRule>
    <cfRule type="cellIs" dxfId="47" priority="46" operator="equal">
      <formula>"Menor"</formula>
    </cfRule>
    <cfRule type="cellIs" dxfId="46" priority="47" operator="equal">
      <formula>"Leve"</formula>
    </cfRule>
  </conditionalFormatting>
  <conditionalFormatting sqref="AC75">
    <cfRule type="cellIs" dxfId="45" priority="39" operator="equal">
      <formula>"Extremo"</formula>
    </cfRule>
    <cfRule type="cellIs" dxfId="44" priority="40" operator="equal">
      <formula>"Alto"</formula>
    </cfRule>
    <cfRule type="cellIs" dxfId="43" priority="41" operator="equal">
      <formula>"Moderado"</formula>
    </cfRule>
    <cfRule type="cellIs" dxfId="42" priority="42" operator="equal">
      <formula>"Bajo"</formula>
    </cfRule>
  </conditionalFormatting>
  <conditionalFormatting sqref="Y82:Y86">
    <cfRule type="cellIs" dxfId="41" priority="34" operator="equal">
      <formula>"Muy Alta"</formula>
    </cfRule>
    <cfRule type="cellIs" dxfId="40" priority="35" operator="equal">
      <formula>"Alta"</formula>
    </cfRule>
    <cfRule type="cellIs" dxfId="39" priority="36" operator="equal">
      <formula>"Media"</formula>
    </cfRule>
    <cfRule type="cellIs" dxfId="38" priority="37" operator="equal">
      <formula>"Baja"</formula>
    </cfRule>
    <cfRule type="cellIs" dxfId="37" priority="38" operator="equal">
      <formula>"Muy Baja"</formula>
    </cfRule>
  </conditionalFormatting>
  <conditionalFormatting sqref="H81">
    <cfRule type="cellIs" dxfId="36" priority="20" operator="equal">
      <formula>"Muy Alta"</formula>
    </cfRule>
    <cfRule type="cellIs" dxfId="35" priority="21" operator="equal">
      <formula>"Alta"</formula>
    </cfRule>
    <cfRule type="cellIs" dxfId="34" priority="22" operator="equal">
      <formula>"Media"</formula>
    </cfRule>
    <cfRule type="cellIs" dxfId="33" priority="23" operator="equal">
      <formula>"Baja"</formula>
    </cfRule>
    <cfRule type="cellIs" dxfId="32" priority="24" operator="equal">
      <formula>"Muy Baja"</formula>
    </cfRule>
  </conditionalFormatting>
  <conditionalFormatting sqref="L81 AA82:AA86">
    <cfRule type="cellIs" dxfId="31" priority="29" operator="equal">
      <formula>"Catastrófico"</formula>
    </cfRule>
    <cfRule type="cellIs" dxfId="30" priority="30" operator="equal">
      <formula>"Mayor"</formula>
    </cfRule>
    <cfRule type="cellIs" dxfId="29" priority="31" operator="equal">
      <formula>"Moderado"</formula>
    </cfRule>
    <cfRule type="cellIs" dxfId="28" priority="32" operator="equal">
      <formula>"Menor"</formula>
    </cfRule>
    <cfRule type="cellIs" dxfId="27" priority="33" operator="equal">
      <formula>"Leve"</formula>
    </cfRule>
  </conditionalFormatting>
  <conditionalFormatting sqref="AC82:AC86">
    <cfRule type="cellIs" dxfId="26" priority="25" operator="equal">
      <formula>"Extremo"</formula>
    </cfRule>
    <cfRule type="cellIs" dxfId="25" priority="26" operator="equal">
      <formula>"Alto"</formula>
    </cfRule>
    <cfRule type="cellIs" dxfId="24" priority="27" operator="equal">
      <formula>"Moderado"</formula>
    </cfRule>
    <cfRule type="cellIs" dxfId="23" priority="28" operator="equal">
      <formula>"Bajo"</formula>
    </cfRule>
  </conditionalFormatting>
  <conditionalFormatting sqref="N81">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81:K86">
    <cfRule type="containsText" dxfId="18" priority="15" operator="containsText" text="❌">
      <formula>NOT(ISERROR(SEARCH("❌",K81)))</formula>
    </cfRule>
  </conditionalFormatting>
  <conditionalFormatting sqref="Y8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8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8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R12:R30 R32:R43 R46:R86</xm:sqref>
        </x14:dataValidation>
        <x14:dataValidation type="list" allowBlank="1" showInputMessage="1" showErrorMessage="1" xr:uid="{00000000-0002-0000-0200-000001000000}">
          <x14:formula1>
            <xm:f>'Tabla Valoración controles'!$D$7:$D$8</xm:f>
          </x14:formula1>
          <xm:sqref>S12:S30 S32:S43 S46:S86</xm:sqref>
        </x14:dataValidation>
        <x14:dataValidation type="list" allowBlank="1" showInputMessage="1" showErrorMessage="1" xr:uid="{00000000-0002-0000-0200-000002000000}">
          <x14:formula1>
            <xm:f>'Tabla Valoración controles'!$D$9:$D$10</xm:f>
          </x14:formula1>
          <xm:sqref>U12:U30 U32:U43 U46:U86</xm:sqref>
        </x14:dataValidation>
        <x14:dataValidation type="list" allowBlank="1" showInputMessage="1" showErrorMessage="1" xr:uid="{00000000-0002-0000-0200-000003000000}">
          <x14:formula1>
            <xm:f>'Tabla Valoración controles'!$D$11:$D$12</xm:f>
          </x14:formula1>
          <xm:sqref>V12:V30 V32:V43 V46:V86</xm:sqref>
        </x14:dataValidation>
        <x14:dataValidation type="list" allowBlank="1" showInputMessage="1" showErrorMessage="1" xr:uid="{00000000-0002-0000-0200-000004000000}">
          <x14:formula1>
            <xm:f>'Tabla Valoración controles'!$D$13:$D$14</xm:f>
          </x14:formula1>
          <xm:sqref>W12:W30 W32:W43 W46:W86</xm:sqref>
        </x14:dataValidation>
        <x14:dataValidation type="list" allowBlank="1" showInputMessage="1" showErrorMessage="1" xr:uid="{00000000-0002-0000-0200-000005000000}">
          <x14:formula1>
            <xm:f>'Opciones Tratamiento'!$B$13:$B$19</xm:f>
          </x14:formula1>
          <xm:sqref>F12:F30 F37:F43 F51:F75 F81</xm:sqref>
        </x14:dataValidation>
        <x14:dataValidation type="list" allowBlank="1" showInputMessage="1" showErrorMessage="1" xr:uid="{00000000-0002-0000-0200-000006000000}">
          <x14:formula1>
            <xm:f>'Opciones Tratamiento'!$E$2:$E$4</xm:f>
          </x14:formula1>
          <xm:sqref>B12:B30 B37:B43 B51:B75 B81</xm:sqref>
        </x14:dataValidation>
        <x14:dataValidation type="list" allowBlank="1" showInputMessage="1" showErrorMessage="1" xr:uid="{00000000-0002-0000-0200-000007000000}">
          <x14:formula1>
            <xm:f>'Opciones Tratamiento'!$B$2:$B$5</xm:f>
          </x14:formula1>
          <xm:sqref>AD12:AD30 AD32:AD43 AD46:AD86</xm:sqref>
        </x14:dataValidation>
        <x14:dataValidation type="list" allowBlank="1" showInputMessage="1" showErrorMessage="1" xr:uid="{00000000-0002-0000-0200-000008000000}">
          <x14:formula1>
            <xm:f>'Tabla Impacto'!$F$210:$F$221</xm:f>
          </x14:formula1>
          <xm:sqref>J12:J30 J37:J43 J51:J75 J81</xm:sqref>
        </x14:dataValidation>
        <x14:dataValidation type="custom" allowBlank="1" showInputMessage="1" showErrorMessage="1" error="Recuerde que las acciones se generan bajo la medida de mitigar el riesgo" xr:uid="{00000000-0002-0000-0200-000009000000}">
          <x14:formula1>
            <xm:f>IF(OR(AD13='Opciones Tratamiento'!$B$2,AD13='Opciones Tratamiento'!$B$3,AD13='Opciones Tratamiento'!$B$4),ISBLANK(AD13),ISTEXT(AD13))</xm:f>
          </x14:formula1>
          <xm:sqref>AE13:AE23 AE25:AE29 AE33:AE36 AE38:AE42 AE46:AE50 AE52:AE56 AE58:AE62 AE64:AE68 AE70:AE74 AE76:AE80 AE82:AE86</xm:sqref>
        </x14:dataValidation>
        <x14:dataValidation type="custom" allowBlank="1" showInputMessage="1" showErrorMessage="1" error="Recuerde que las acciones se generan bajo la medida de mitigar el riesgo" xr:uid="{00000000-0002-0000-0200-00000A000000}">
          <x14:formula1>
            <xm:f>IF(OR(AD13='Opciones Tratamiento'!$B$2,AD13='Opciones Tratamiento'!$B$3,AD13='Opciones Tratamiento'!$B$4),ISBLANK(AD13),ISTEXT(AD13))</xm:f>
          </x14:formula1>
          <xm:sqref>AF13:AG17 AF21:AF23 AF25:AF29 AG21:AG29 AF33:AG36 AF38:AG42 AF46:AG50 AF52:AG56 AF58:AG62 AF64:AG68 AF70:AG74 AF76:AG80 AF82:AG86</xm:sqref>
        </x14:dataValidation>
        <x14:dataValidation type="custom" allowBlank="1" showInputMessage="1" showErrorMessage="1" error="Recuerde que las acciones se generan bajo la medida de mitigar el riesgo" xr:uid="{00000000-0002-0000-0200-00000B000000}">
          <x14:formula1>
            <xm:f>IF(OR(AD13='Opciones Tratamiento'!$B$2,AD13='Opciones Tratamiento'!$B$3,AD13='Opciones Tratamiento'!$B$4),ISBLANK(AD13),ISTEXT(AD13))</xm:f>
          </x14:formula1>
          <xm:sqref>AH13:AI17 AH21:AI23 AH25:AI29 AH33:AI36 AH38:AI42 AH46:AI50 AH52:AI56 AH58:AI62 AH64:AI68 AH70:AI74 AH76:AI80 AH82:AI86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BA16" sqref="BA16"/>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71" t="s">
        <v>300</v>
      </c>
      <c r="C2" s="471"/>
      <c r="D2" s="471"/>
      <c r="E2" s="471"/>
      <c r="F2" s="471"/>
      <c r="G2" s="471"/>
      <c r="H2" s="471"/>
      <c r="I2" s="471"/>
      <c r="J2" s="508" t="s">
        <v>26</v>
      </c>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71"/>
      <c r="C3" s="471"/>
      <c r="D3" s="471"/>
      <c r="E3" s="471"/>
      <c r="F3" s="471"/>
      <c r="G3" s="471"/>
      <c r="H3" s="471"/>
      <c r="I3" s="471"/>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71"/>
      <c r="C4" s="471"/>
      <c r="D4" s="471"/>
      <c r="E4" s="471"/>
      <c r="F4" s="471"/>
      <c r="G4" s="471"/>
      <c r="H4" s="471"/>
      <c r="I4" s="471"/>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19" t="s">
        <v>301</v>
      </c>
      <c r="C6" s="519"/>
      <c r="D6" s="520"/>
      <c r="E6" s="509" t="s">
        <v>302</v>
      </c>
      <c r="F6" s="510"/>
      <c r="G6" s="510"/>
      <c r="H6" s="510"/>
      <c r="I6" s="511"/>
      <c r="J6" s="505" t="str">
        <f>IF(AND('Mapa de Riesgos'!$H$12="Muy Alta",'Mapa de Riesgos'!$L$12="Leve"),CONCATENATE("R",'Mapa de Riesgos'!$A$12),"")</f>
        <v/>
      </c>
      <c r="K6" s="506"/>
      <c r="L6" s="506" t="str">
        <f>IF(AND('Mapa de Riesgos'!$H$18="Muy Alta",'Mapa de Riesgos'!$L$18="Leve"),CONCATENATE("R",'Mapa de Riesgos'!$A$18),"")</f>
        <v/>
      </c>
      <c r="M6" s="506"/>
      <c r="N6" s="506" t="str">
        <f>IF(AND('Mapa de Riesgos'!$H$24="Muy Alta",'Mapa de Riesgos'!$L$24="Leve"),CONCATENATE("R",'Mapa de Riesgos'!$A$24),"")</f>
        <v/>
      </c>
      <c r="O6" s="507"/>
      <c r="P6" s="505" t="str">
        <f>IF(AND('Mapa de Riesgos'!$H$12="Muy Alta",'Mapa de Riesgos'!$L$12="Menor"),CONCATENATE("R",'Mapa de Riesgos'!$A$12),"")</f>
        <v/>
      </c>
      <c r="Q6" s="506"/>
      <c r="R6" s="506" t="str">
        <f>IF(AND('Mapa de Riesgos'!$H$18="Muy Alta",'Mapa de Riesgos'!$L$18="Menor"),CONCATENATE("R",'Mapa de Riesgos'!$A$18),"")</f>
        <v/>
      </c>
      <c r="S6" s="506"/>
      <c r="T6" s="506" t="str">
        <f>IF(AND('Mapa de Riesgos'!$H$24="Muy Alta",'Mapa de Riesgos'!$L$24="Menor"),CONCATENATE("R",'Mapa de Riesgos'!$A$24),"")</f>
        <v/>
      </c>
      <c r="U6" s="507"/>
      <c r="V6" s="505" t="str">
        <f>IF(AND('Mapa de Riesgos'!$H$12="Muy Alta",'Mapa de Riesgos'!$L$12="Moderado"),CONCATENATE("R",'Mapa de Riesgos'!$A$12),"")</f>
        <v/>
      </c>
      <c r="W6" s="506"/>
      <c r="X6" s="506" t="str">
        <f>IF(AND('Mapa de Riesgos'!$H$18="Muy Alta",'Mapa de Riesgos'!$L$18="Moderado"),CONCATENATE("R",'Mapa de Riesgos'!$A$18),"")</f>
        <v/>
      </c>
      <c r="Y6" s="506"/>
      <c r="Z6" s="506" t="str">
        <f>IF(AND('Mapa de Riesgos'!$H$24="Muy Alta",'Mapa de Riesgos'!$L$24="Moderado"),CONCATENATE("R",'Mapa de Riesgos'!$A$24),"")</f>
        <v/>
      </c>
      <c r="AA6" s="507"/>
      <c r="AB6" s="505" t="str">
        <f>IF(AND('Mapa de Riesgos'!$H$12="Muy Alta",'Mapa de Riesgos'!$L$12="Mayor"),CONCATENATE("R",'Mapa de Riesgos'!$A$12),"")</f>
        <v/>
      </c>
      <c r="AC6" s="506"/>
      <c r="AD6" s="506" t="str">
        <f>IF(AND('Mapa de Riesgos'!$H$18="Muy Alta",'Mapa de Riesgos'!$L$18="Mayor"),CONCATENATE("R",'Mapa de Riesgos'!$A$18),"")</f>
        <v/>
      </c>
      <c r="AE6" s="506"/>
      <c r="AF6" s="506" t="str">
        <f>IF(AND('Mapa de Riesgos'!$H$24="Muy Alta",'Mapa de Riesgos'!$L$24="Mayor"),CONCATENATE("R",'Mapa de Riesgos'!$A$24),"")</f>
        <v/>
      </c>
      <c r="AG6" s="507"/>
      <c r="AH6" s="496" t="str">
        <f>IF(AND('Mapa de Riesgos'!$H$12="Muy Alta",'Mapa de Riesgos'!$L$12="Catastrófico"),CONCATENATE("R",'Mapa de Riesgos'!$A$12),"")</f>
        <v/>
      </c>
      <c r="AI6" s="497"/>
      <c r="AJ6" s="497" t="str">
        <f>IF(AND('Mapa de Riesgos'!$H$18="Muy Alta",'Mapa de Riesgos'!$L$18="Catastrófico"),CONCATENATE("R",'Mapa de Riesgos'!$A$18),"")</f>
        <v/>
      </c>
      <c r="AK6" s="497"/>
      <c r="AL6" s="497" t="str">
        <f>IF(AND('Mapa de Riesgos'!$H$24="Muy Alta",'Mapa de Riesgos'!$L$24="Catastrófico"),CONCATENATE("R",'Mapa de Riesgos'!$A$24),"")</f>
        <v/>
      </c>
      <c r="AM6" s="498"/>
      <c r="AO6" s="521" t="s">
        <v>303</v>
      </c>
      <c r="AP6" s="522"/>
      <c r="AQ6" s="522"/>
      <c r="AR6" s="522"/>
      <c r="AS6" s="522"/>
      <c r="AT6" s="52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19"/>
      <c r="C7" s="519"/>
      <c r="D7" s="520"/>
      <c r="E7" s="512"/>
      <c r="F7" s="513"/>
      <c r="G7" s="513"/>
      <c r="H7" s="513"/>
      <c r="I7" s="514"/>
      <c r="J7" s="499"/>
      <c r="K7" s="500"/>
      <c r="L7" s="500"/>
      <c r="M7" s="500"/>
      <c r="N7" s="500"/>
      <c r="O7" s="501"/>
      <c r="P7" s="499"/>
      <c r="Q7" s="500"/>
      <c r="R7" s="500"/>
      <c r="S7" s="500"/>
      <c r="T7" s="500"/>
      <c r="U7" s="501"/>
      <c r="V7" s="499"/>
      <c r="W7" s="500"/>
      <c r="X7" s="500"/>
      <c r="Y7" s="500"/>
      <c r="Z7" s="500"/>
      <c r="AA7" s="501"/>
      <c r="AB7" s="499"/>
      <c r="AC7" s="500"/>
      <c r="AD7" s="500"/>
      <c r="AE7" s="500"/>
      <c r="AF7" s="500"/>
      <c r="AG7" s="501"/>
      <c r="AH7" s="490"/>
      <c r="AI7" s="491"/>
      <c r="AJ7" s="491"/>
      <c r="AK7" s="491"/>
      <c r="AL7" s="491"/>
      <c r="AM7" s="492"/>
      <c r="AN7" s="83"/>
      <c r="AO7" s="524"/>
      <c r="AP7" s="525"/>
      <c r="AQ7" s="525"/>
      <c r="AR7" s="525"/>
      <c r="AS7" s="525"/>
      <c r="AT7" s="52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19"/>
      <c r="C8" s="519"/>
      <c r="D8" s="520"/>
      <c r="E8" s="512"/>
      <c r="F8" s="513"/>
      <c r="G8" s="513"/>
      <c r="H8" s="513"/>
      <c r="I8" s="514"/>
      <c r="J8" s="499" t="str">
        <f>IF(AND('Mapa de Riesgos'!$H$30="Muy Alta",'Mapa de Riesgos'!$L$30="Leve"),CONCATENATE("R",'Mapa de Riesgos'!$A$30),"")</f>
        <v/>
      </c>
      <c r="K8" s="500"/>
      <c r="L8" s="500" t="str">
        <f>IF(AND('Mapa de Riesgos'!$H$37="Muy Alta",'Mapa de Riesgos'!$L$37="Leve"),CONCATENATE("R",'Mapa de Riesgos'!$A$37),"")</f>
        <v/>
      </c>
      <c r="M8" s="500"/>
      <c r="N8" s="500" t="str">
        <f>IF(AND('Mapa de Riesgos'!$H$43="Muy Alta",'Mapa de Riesgos'!$L$43="Leve"),CONCATENATE("R",'Mapa de Riesgos'!$A$43),"")</f>
        <v/>
      </c>
      <c r="O8" s="501"/>
      <c r="P8" s="499" t="str">
        <f>IF(AND('Mapa de Riesgos'!$H$30="Muy Alta",'Mapa de Riesgos'!$L$30="Menor"),CONCATENATE("R",'Mapa de Riesgos'!$A$30),"")</f>
        <v/>
      </c>
      <c r="Q8" s="500"/>
      <c r="R8" s="500" t="str">
        <f>IF(AND('Mapa de Riesgos'!$H$37="Muy Alta",'Mapa de Riesgos'!$L$37="Menor"),CONCATENATE("R",'Mapa de Riesgos'!$A$37),"")</f>
        <v/>
      </c>
      <c r="S8" s="500"/>
      <c r="T8" s="500" t="str">
        <f>IF(AND('Mapa de Riesgos'!$H$43="Muy Alta",'Mapa de Riesgos'!$L$43="Menor"),CONCATENATE("R",'Mapa de Riesgos'!$A$43),"")</f>
        <v/>
      </c>
      <c r="U8" s="501"/>
      <c r="V8" s="499" t="str">
        <f>IF(AND('Mapa de Riesgos'!$H$30="Muy Alta",'Mapa de Riesgos'!$L$30="Moderado"),CONCATENATE("R",'Mapa de Riesgos'!$A$30),"")</f>
        <v/>
      </c>
      <c r="W8" s="500"/>
      <c r="X8" s="500" t="str">
        <f>IF(AND('Mapa de Riesgos'!$H$37="Muy Alta",'Mapa de Riesgos'!$L$37="Moderado"),CONCATENATE("R",'Mapa de Riesgos'!$A$37),"")</f>
        <v/>
      </c>
      <c r="Y8" s="500"/>
      <c r="Z8" s="500" t="str">
        <f>IF(AND('Mapa de Riesgos'!$H$43="Muy Alta",'Mapa de Riesgos'!$L$43="Moderado"),CONCATENATE("R",'Mapa de Riesgos'!$A$43),"")</f>
        <v/>
      </c>
      <c r="AA8" s="501"/>
      <c r="AB8" s="499" t="str">
        <f>IF(AND('Mapa de Riesgos'!$H$30="Muy Alta",'Mapa de Riesgos'!$L$30="Mayor"),CONCATENATE("R",'Mapa de Riesgos'!$A$30),"")</f>
        <v>R4</v>
      </c>
      <c r="AC8" s="500"/>
      <c r="AD8" s="500" t="str">
        <f>IF(AND('Mapa de Riesgos'!$H$37="Muy Alta",'Mapa de Riesgos'!$L$37="Mayor"),CONCATENATE("R",'Mapa de Riesgos'!$A$37),"")</f>
        <v/>
      </c>
      <c r="AE8" s="500"/>
      <c r="AF8" s="500" t="str">
        <f>IF(AND('Mapa de Riesgos'!$H$43="Muy Alta",'Mapa de Riesgos'!$L$43="Mayor"),CONCATENATE("R",'Mapa de Riesgos'!$A$43),"")</f>
        <v/>
      </c>
      <c r="AG8" s="501"/>
      <c r="AH8" s="490" t="str">
        <f>IF(AND('Mapa de Riesgos'!$H$30="Muy Alta",'Mapa de Riesgos'!$L$30="Catastrófico"),CONCATENATE("R",'Mapa de Riesgos'!$A$30),"")</f>
        <v/>
      </c>
      <c r="AI8" s="491"/>
      <c r="AJ8" s="491" t="str">
        <f>IF(AND('Mapa de Riesgos'!$H$37="Muy Alta",'Mapa de Riesgos'!$L$37="Catastrófico"),CONCATENATE("R",'Mapa de Riesgos'!$A$37),"")</f>
        <v/>
      </c>
      <c r="AK8" s="491"/>
      <c r="AL8" s="491" t="str">
        <f>IF(AND('Mapa de Riesgos'!$H$43="Muy Alta",'Mapa de Riesgos'!$L$43="Catastrófico"),CONCATENATE("R",'Mapa de Riesgos'!$A$43),"")</f>
        <v/>
      </c>
      <c r="AM8" s="492"/>
      <c r="AN8" s="83"/>
      <c r="AO8" s="524"/>
      <c r="AP8" s="525"/>
      <c r="AQ8" s="525"/>
      <c r="AR8" s="525"/>
      <c r="AS8" s="525"/>
      <c r="AT8" s="52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19"/>
      <c r="C9" s="519"/>
      <c r="D9" s="520"/>
      <c r="E9" s="512"/>
      <c r="F9" s="513"/>
      <c r="G9" s="513"/>
      <c r="H9" s="513"/>
      <c r="I9" s="514"/>
      <c r="J9" s="499"/>
      <c r="K9" s="500"/>
      <c r="L9" s="500"/>
      <c r="M9" s="500"/>
      <c r="N9" s="500"/>
      <c r="O9" s="501"/>
      <c r="P9" s="499"/>
      <c r="Q9" s="500"/>
      <c r="R9" s="500"/>
      <c r="S9" s="500"/>
      <c r="T9" s="500"/>
      <c r="U9" s="501"/>
      <c r="V9" s="499"/>
      <c r="W9" s="500"/>
      <c r="X9" s="500"/>
      <c r="Y9" s="500"/>
      <c r="Z9" s="500"/>
      <c r="AA9" s="501"/>
      <c r="AB9" s="499"/>
      <c r="AC9" s="500"/>
      <c r="AD9" s="500"/>
      <c r="AE9" s="500"/>
      <c r="AF9" s="500"/>
      <c r="AG9" s="501"/>
      <c r="AH9" s="490"/>
      <c r="AI9" s="491"/>
      <c r="AJ9" s="491"/>
      <c r="AK9" s="491"/>
      <c r="AL9" s="491"/>
      <c r="AM9" s="492"/>
      <c r="AN9" s="83"/>
      <c r="AO9" s="524"/>
      <c r="AP9" s="525"/>
      <c r="AQ9" s="525"/>
      <c r="AR9" s="525"/>
      <c r="AS9" s="525"/>
      <c r="AT9" s="52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19"/>
      <c r="C10" s="519"/>
      <c r="D10" s="520"/>
      <c r="E10" s="512"/>
      <c r="F10" s="513"/>
      <c r="G10" s="513"/>
      <c r="H10" s="513"/>
      <c r="I10" s="514"/>
      <c r="J10" s="499" t="str">
        <f>IF(AND('Mapa de Riesgos'!$H$51="Muy Alta",'Mapa de Riesgos'!$L$51="Leve"),CONCATENATE("R",'Mapa de Riesgos'!$A$51),"")</f>
        <v/>
      </c>
      <c r="K10" s="500"/>
      <c r="L10" s="500" t="str">
        <f>IF(AND('Mapa de Riesgos'!$H$57="Muy Alta",'Mapa de Riesgos'!$L$57="Leve"),CONCATENATE("R",'Mapa de Riesgos'!$A$57),"")</f>
        <v/>
      </c>
      <c r="M10" s="500"/>
      <c r="N10" s="500" t="str">
        <f>IF(AND('Mapa de Riesgos'!$H$63="Muy Alta",'Mapa de Riesgos'!$L$63="Leve"),CONCATENATE("R",'Mapa de Riesgos'!$A$63),"")</f>
        <v/>
      </c>
      <c r="O10" s="501"/>
      <c r="P10" s="499" t="str">
        <f>IF(AND('Mapa de Riesgos'!$H$51="Muy Alta",'Mapa de Riesgos'!$L$51="Menor"),CONCATENATE("R",'Mapa de Riesgos'!$A$51),"")</f>
        <v/>
      </c>
      <c r="Q10" s="500"/>
      <c r="R10" s="500" t="str">
        <f>IF(AND('Mapa de Riesgos'!$H$57="Muy Alta",'Mapa de Riesgos'!$L$57="Menor"),CONCATENATE("R",'Mapa de Riesgos'!$A$57),"")</f>
        <v/>
      </c>
      <c r="S10" s="500"/>
      <c r="T10" s="500" t="str">
        <f>IF(AND('Mapa de Riesgos'!$H$63="Muy Alta",'Mapa de Riesgos'!$L$63="Menor"),CONCATENATE("R",'Mapa de Riesgos'!$A$63),"")</f>
        <v/>
      </c>
      <c r="U10" s="501"/>
      <c r="V10" s="499" t="str">
        <f>IF(AND('Mapa de Riesgos'!$H$51="Muy Alta",'Mapa de Riesgos'!$L$51="Moderado"),CONCATENATE("R",'Mapa de Riesgos'!$A$51),"")</f>
        <v/>
      </c>
      <c r="W10" s="500"/>
      <c r="X10" s="500" t="str">
        <f>IF(AND('Mapa de Riesgos'!$H$57="Muy Alta",'Mapa de Riesgos'!$L$57="Moderado"),CONCATENATE("R",'Mapa de Riesgos'!$A$57),"")</f>
        <v/>
      </c>
      <c r="Y10" s="500"/>
      <c r="Z10" s="500" t="str">
        <f>IF(AND('Mapa de Riesgos'!$H$63="Muy Alta",'Mapa de Riesgos'!$L$63="Moderado"),CONCATENATE("R",'Mapa de Riesgos'!$A$63),"")</f>
        <v/>
      </c>
      <c r="AA10" s="501"/>
      <c r="AB10" s="499" t="str">
        <f>IF(AND('Mapa de Riesgos'!$H$51="Muy Alta",'Mapa de Riesgos'!$L$51="Mayor"),CONCATENATE("R",'Mapa de Riesgos'!$A$51),"")</f>
        <v/>
      </c>
      <c r="AC10" s="500"/>
      <c r="AD10" s="500" t="str">
        <f>IF(AND('Mapa de Riesgos'!$H$57="Muy Alta",'Mapa de Riesgos'!$L$57="Mayor"),CONCATENATE("R",'Mapa de Riesgos'!$A$57),"")</f>
        <v/>
      </c>
      <c r="AE10" s="500"/>
      <c r="AF10" s="500" t="str">
        <f>IF(AND('Mapa de Riesgos'!$H$63="Muy Alta",'Mapa de Riesgos'!$L$63="Mayor"),CONCATENATE("R",'Mapa de Riesgos'!$A$63),"")</f>
        <v/>
      </c>
      <c r="AG10" s="501"/>
      <c r="AH10" s="490" t="str">
        <f>IF(AND('Mapa de Riesgos'!$H$51="Muy Alta",'Mapa de Riesgos'!$L$51="Catastrófico"),CONCATENATE("R",'Mapa de Riesgos'!$A$51),"")</f>
        <v/>
      </c>
      <c r="AI10" s="491"/>
      <c r="AJ10" s="491" t="str">
        <f>IF(AND('Mapa de Riesgos'!$H$57="Muy Alta",'Mapa de Riesgos'!$L$57="Catastrófico"),CONCATENATE("R",'Mapa de Riesgos'!$A$57),"")</f>
        <v/>
      </c>
      <c r="AK10" s="491"/>
      <c r="AL10" s="491" t="str">
        <f>IF(AND('Mapa de Riesgos'!$H$63="Muy Alta",'Mapa de Riesgos'!$L$63="Catastrófico"),CONCATENATE("R",'Mapa de Riesgos'!$A$63),"")</f>
        <v/>
      </c>
      <c r="AM10" s="492"/>
      <c r="AN10" s="83"/>
      <c r="AO10" s="524"/>
      <c r="AP10" s="525"/>
      <c r="AQ10" s="525"/>
      <c r="AR10" s="525"/>
      <c r="AS10" s="525"/>
      <c r="AT10" s="52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19"/>
      <c r="C11" s="519"/>
      <c r="D11" s="520"/>
      <c r="E11" s="512"/>
      <c r="F11" s="513"/>
      <c r="G11" s="513"/>
      <c r="H11" s="513"/>
      <c r="I11" s="514"/>
      <c r="J11" s="499"/>
      <c r="K11" s="500"/>
      <c r="L11" s="500"/>
      <c r="M11" s="500"/>
      <c r="N11" s="500"/>
      <c r="O11" s="501"/>
      <c r="P11" s="499"/>
      <c r="Q11" s="500"/>
      <c r="R11" s="500"/>
      <c r="S11" s="500"/>
      <c r="T11" s="500"/>
      <c r="U11" s="501"/>
      <c r="V11" s="499"/>
      <c r="W11" s="500"/>
      <c r="X11" s="500"/>
      <c r="Y11" s="500"/>
      <c r="Z11" s="500"/>
      <c r="AA11" s="501"/>
      <c r="AB11" s="499"/>
      <c r="AC11" s="500"/>
      <c r="AD11" s="500"/>
      <c r="AE11" s="500"/>
      <c r="AF11" s="500"/>
      <c r="AG11" s="501"/>
      <c r="AH11" s="490"/>
      <c r="AI11" s="491"/>
      <c r="AJ11" s="491"/>
      <c r="AK11" s="491"/>
      <c r="AL11" s="491"/>
      <c r="AM11" s="492"/>
      <c r="AN11" s="83"/>
      <c r="AO11" s="524"/>
      <c r="AP11" s="525"/>
      <c r="AQ11" s="525"/>
      <c r="AR11" s="525"/>
      <c r="AS11" s="525"/>
      <c r="AT11" s="52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19"/>
      <c r="C12" s="519"/>
      <c r="D12" s="520"/>
      <c r="E12" s="512"/>
      <c r="F12" s="513"/>
      <c r="G12" s="513"/>
      <c r="H12" s="513"/>
      <c r="I12" s="514"/>
      <c r="J12" s="499" t="str">
        <f>IF(AND('Mapa de Riesgos'!$H$69="Muy Alta",'Mapa de Riesgos'!$L$69="Leve"),CONCATENATE("R",'Mapa de Riesgos'!$A$69),"")</f>
        <v/>
      </c>
      <c r="K12" s="500"/>
      <c r="L12" s="500" t="str">
        <f>IF(AND('Mapa de Riesgos'!$H$87="Muy Alta",'Mapa de Riesgos'!$L$87="Leve"),CONCATENATE("R",'Mapa de Riesgos'!$A$87),"")</f>
        <v/>
      </c>
      <c r="M12" s="500"/>
      <c r="N12" s="500" t="str">
        <f>IF(AND('Mapa de Riesgos'!$H$93="Muy Alta",'Mapa de Riesgos'!$L$93="Leve"),CONCATENATE("R",'Mapa de Riesgos'!$A$93),"")</f>
        <v/>
      </c>
      <c r="O12" s="501"/>
      <c r="P12" s="499" t="str">
        <f>IF(AND('Mapa de Riesgos'!$H$69="Muy Alta",'Mapa de Riesgos'!$L$69="Menor"),CONCATENATE("R",'Mapa de Riesgos'!$A$69),"")</f>
        <v/>
      </c>
      <c r="Q12" s="500"/>
      <c r="R12" s="500" t="str">
        <f>IF(AND('Mapa de Riesgos'!$H$87="Muy Alta",'Mapa de Riesgos'!$L$87="Menor"),CONCATENATE("R",'Mapa de Riesgos'!$A$87),"")</f>
        <v/>
      </c>
      <c r="S12" s="500"/>
      <c r="T12" s="500" t="str">
        <f>IF(AND('Mapa de Riesgos'!$H$93="Muy Alta",'Mapa de Riesgos'!$L$93="Menor"),CONCATENATE("R",'Mapa de Riesgos'!$A$93),"")</f>
        <v/>
      </c>
      <c r="U12" s="501"/>
      <c r="V12" s="499" t="str">
        <f>IF(AND('Mapa de Riesgos'!$H$69="Muy Alta",'Mapa de Riesgos'!$L$69="Moderado"),CONCATENATE("R",'Mapa de Riesgos'!$A$69),"")</f>
        <v/>
      </c>
      <c r="W12" s="500"/>
      <c r="X12" s="500" t="str">
        <f>IF(AND('Mapa de Riesgos'!$H$87="Muy Alta",'Mapa de Riesgos'!$L$87="Moderado"),CONCATENATE("R",'Mapa de Riesgos'!$A$87),"")</f>
        <v/>
      </c>
      <c r="Y12" s="500"/>
      <c r="Z12" s="500" t="str">
        <f>IF(AND('Mapa de Riesgos'!$H$93="Muy Alta",'Mapa de Riesgos'!$L$93="Moderado"),CONCATENATE("R",'Mapa de Riesgos'!$A$93),"")</f>
        <v/>
      </c>
      <c r="AA12" s="501"/>
      <c r="AB12" s="499" t="str">
        <f>IF(AND('Mapa de Riesgos'!$H$69="Muy Alta",'Mapa de Riesgos'!$L$69="Mayor"),CONCATENATE("R",'Mapa de Riesgos'!$A$69),"")</f>
        <v/>
      </c>
      <c r="AC12" s="500"/>
      <c r="AD12" s="500" t="str">
        <f>IF(AND('Mapa de Riesgos'!$H$87="Muy Alta",'Mapa de Riesgos'!$L$87="Mayor"),CONCATENATE("R",'Mapa de Riesgos'!$A$87),"")</f>
        <v/>
      </c>
      <c r="AE12" s="500"/>
      <c r="AF12" s="500" t="str">
        <f>IF(AND('Mapa de Riesgos'!$H$93="Muy Alta",'Mapa de Riesgos'!$L$93="Mayor"),CONCATENATE("R",'Mapa de Riesgos'!$A$93),"")</f>
        <v/>
      </c>
      <c r="AG12" s="501"/>
      <c r="AH12" s="490" t="str">
        <f>IF(AND('Mapa de Riesgos'!$H$69="Muy Alta",'Mapa de Riesgos'!$L$69="Catastrófico"),CONCATENATE("R",'Mapa de Riesgos'!$A$69),"")</f>
        <v/>
      </c>
      <c r="AI12" s="491"/>
      <c r="AJ12" s="491" t="str">
        <f>IF(AND('Mapa de Riesgos'!$H$87="Muy Alta",'Mapa de Riesgos'!$L$87="Catastrófico"),CONCATENATE("R",'Mapa de Riesgos'!$A$87),"")</f>
        <v/>
      </c>
      <c r="AK12" s="491"/>
      <c r="AL12" s="491" t="str">
        <f>IF(AND('Mapa de Riesgos'!$H$93="Muy Alta",'Mapa de Riesgos'!$L$93="Catastrófico"),CONCATENATE("R",'Mapa de Riesgos'!$A$93),"")</f>
        <v/>
      </c>
      <c r="AM12" s="492"/>
      <c r="AN12" s="83"/>
      <c r="AO12" s="524"/>
      <c r="AP12" s="525"/>
      <c r="AQ12" s="525"/>
      <c r="AR12" s="525"/>
      <c r="AS12" s="525"/>
      <c r="AT12" s="52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19"/>
      <c r="C13" s="519"/>
      <c r="D13" s="520"/>
      <c r="E13" s="515"/>
      <c r="F13" s="516"/>
      <c r="G13" s="516"/>
      <c r="H13" s="516"/>
      <c r="I13" s="517"/>
      <c r="J13" s="499"/>
      <c r="K13" s="500"/>
      <c r="L13" s="500"/>
      <c r="M13" s="500"/>
      <c r="N13" s="500"/>
      <c r="O13" s="501"/>
      <c r="P13" s="499"/>
      <c r="Q13" s="500"/>
      <c r="R13" s="500"/>
      <c r="S13" s="500"/>
      <c r="T13" s="500"/>
      <c r="U13" s="501"/>
      <c r="V13" s="499"/>
      <c r="W13" s="500"/>
      <c r="X13" s="500"/>
      <c r="Y13" s="500"/>
      <c r="Z13" s="500"/>
      <c r="AA13" s="501"/>
      <c r="AB13" s="499"/>
      <c r="AC13" s="500"/>
      <c r="AD13" s="500"/>
      <c r="AE13" s="500"/>
      <c r="AF13" s="500"/>
      <c r="AG13" s="501"/>
      <c r="AH13" s="493"/>
      <c r="AI13" s="494"/>
      <c r="AJ13" s="494"/>
      <c r="AK13" s="494"/>
      <c r="AL13" s="494"/>
      <c r="AM13" s="495"/>
      <c r="AN13" s="83"/>
      <c r="AO13" s="527"/>
      <c r="AP13" s="528"/>
      <c r="AQ13" s="528"/>
      <c r="AR13" s="528"/>
      <c r="AS13" s="528"/>
      <c r="AT13" s="52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19"/>
      <c r="C14" s="519"/>
      <c r="D14" s="520"/>
      <c r="E14" s="509" t="s">
        <v>304</v>
      </c>
      <c r="F14" s="510"/>
      <c r="G14" s="510"/>
      <c r="H14" s="510"/>
      <c r="I14" s="510"/>
      <c r="J14" s="487" t="str">
        <f>IF(AND('Mapa de Riesgos'!$H$12="Alta",'Mapa de Riesgos'!$L$12="Leve"),CONCATENATE("R",'Mapa de Riesgos'!$A$12),"")</f>
        <v/>
      </c>
      <c r="K14" s="488"/>
      <c r="L14" s="488" t="str">
        <f>IF(AND('Mapa de Riesgos'!$H$18="Alta",'Mapa de Riesgos'!$L$18="Leve"),CONCATENATE("R",'Mapa de Riesgos'!$A$18),"")</f>
        <v/>
      </c>
      <c r="M14" s="488"/>
      <c r="N14" s="488" t="str">
        <f>IF(AND('Mapa de Riesgos'!$H$24="Alta",'Mapa de Riesgos'!$L$24="Leve"),CONCATENATE("R",'Mapa de Riesgos'!$A$24),"")</f>
        <v/>
      </c>
      <c r="O14" s="489"/>
      <c r="P14" s="487" t="str">
        <f>IF(AND('Mapa de Riesgos'!$H$12="Alta",'Mapa de Riesgos'!$L$12="Menor"),CONCATENATE("R",'Mapa de Riesgos'!$A$12),"")</f>
        <v/>
      </c>
      <c r="Q14" s="488"/>
      <c r="R14" s="488" t="str">
        <f>IF(AND('Mapa de Riesgos'!$H$18="Alta",'Mapa de Riesgos'!$L$18="Menor"),CONCATENATE("R",'Mapa de Riesgos'!$A$18),"")</f>
        <v/>
      </c>
      <c r="S14" s="488"/>
      <c r="T14" s="488" t="str">
        <f>IF(AND('Mapa de Riesgos'!$H$24="Alta",'Mapa de Riesgos'!$L$24="Menor"),CONCATENATE("R",'Mapa de Riesgos'!$A$24),"")</f>
        <v/>
      </c>
      <c r="U14" s="489"/>
      <c r="V14" s="505" t="str">
        <f>IF(AND('Mapa de Riesgos'!$H$12="Alta",'Mapa de Riesgos'!$L$12="Moderado"),CONCATENATE("R",'Mapa de Riesgos'!$A$12),"")</f>
        <v/>
      </c>
      <c r="W14" s="506"/>
      <c r="X14" s="506" t="str">
        <f>IF(AND('Mapa de Riesgos'!$H$18="Alta",'Mapa de Riesgos'!$L$18="Moderado"),CONCATENATE("R",'Mapa de Riesgos'!$A$18),"")</f>
        <v/>
      </c>
      <c r="Y14" s="506"/>
      <c r="Z14" s="506" t="str">
        <f>IF(AND('Mapa de Riesgos'!$H$24="Alta",'Mapa de Riesgos'!$L$24="Moderado"),CONCATENATE("R",'Mapa de Riesgos'!$A$24),"")</f>
        <v/>
      </c>
      <c r="AA14" s="507"/>
      <c r="AB14" s="505" t="str">
        <f>IF(AND('Mapa de Riesgos'!$H$12="Alta",'Mapa de Riesgos'!$L$12="Mayor"),CONCATENATE("R",'Mapa de Riesgos'!$A$12),"")</f>
        <v/>
      </c>
      <c r="AC14" s="506"/>
      <c r="AD14" s="506" t="str">
        <f>IF(AND('Mapa de Riesgos'!$H$18="Alta",'Mapa de Riesgos'!$L$18="Mayor"),CONCATENATE("R",'Mapa de Riesgos'!$A$18),"")</f>
        <v/>
      </c>
      <c r="AE14" s="506"/>
      <c r="AF14" s="506" t="str">
        <f>IF(AND('Mapa de Riesgos'!$H$24="Alta",'Mapa de Riesgos'!$L$24="Mayor"),CONCATENATE("R",'Mapa de Riesgos'!$A$24),"")</f>
        <v/>
      </c>
      <c r="AG14" s="507"/>
      <c r="AH14" s="496" t="str">
        <f>IF(AND('Mapa de Riesgos'!$H$12="Alta",'Mapa de Riesgos'!$L$12="Catastrófico"),CONCATENATE("R",'Mapa de Riesgos'!$A$12),"")</f>
        <v/>
      </c>
      <c r="AI14" s="497"/>
      <c r="AJ14" s="497" t="str">
        <f>IF(AND('Mapa de Riesgos'!$H$18="Alta",'Mapa de Riesgos'!$L$18="Catastrófico"),CONCATENATE("R",'Mapa de Riesgos'!$A$18),"")</f>
        <v/>
      </c>
      <c r="AK14" s="497"/>
      <c r="AL14" s="497" t="str">
        <f>IF(AND('Mapa de Riesgos'!$H$24="Alta",'Mapa de Riesgos'!$L$24="Catastrófico"),CONCATENATE("R",'Mapa de Riesgos'!$A$24),"")</f>
        <v/>
      </c>
      <c r="AM14" s="498"/>
      <c r="AN14" s="83"/>
      <c r="AO14" s="530" t="s">
        <v>305</v>
      </c>
      <c r="AP14" s="531"/>
      <c r="AQ14" s="531"/>
      <c r="AR14" s="531"/>
      <c r="AS14" s="531"/>
      <c r="AT14" s="53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19"/>
      <c r="C15" s="519"/>
      <c r="D15" s="520"/>
      <c r="E15" s="512"/>
      <c r="F15" s="513"/>
      <c r="G15" s="513"/>
      <c r="H15" s="513"/>
      <c r="I15" s="513"/>
      <c r="J15" s="481"/>
      <c r="K15" s="482"/>
      <c r="L15" s="482"/>
      <c r="M15" s="482"/>
      <c r="N15" s="482"/>
      <c r="O15" s="483"/>
      <c r="P15" s="481"/>
      <c r="Q15" s="482"/>
      <c r="R15" s="482"/>
      <c r="S15" s="482"/>
      <c r="T15" s="482"/>
      <c r="U15" s="483"/>
      <c r="V15" s="499"/>
      <c r="W15" s="500"/>
      <c r="X15" s="500"/>
      <c r="Y15" s="500"/>
      <c r="Z15" s="500"/>
      <c r="AA15" s="501"/>
      <c r="AB15" s="499"/>
      <c r="AC15" s="500"/>
      <c r="AD15" s="500"/>
      <c r="AE15" s="500"/>
      <c r="AF15" s="500"/>
      <c r="AG15" s="501"/>
      <c r="AH15" s="490"/>
      <c r="AI15" s="491"/>
      <c r="AJ15" s="491"/>
      <c r="AK15" s="491"/>
      <c r="AL15" s="491"/>
      <c r="AM15" s="492"/>
      <c r="AN15" s="83"/>
      <c r="AO15" s="533"/>
      <c r="AP15" s="534"/>
      <c r="AQ15" s="534"/>
      <c r="AR15" s="534"/>
      <c r="AS15" s="534"/>
      <c r="AT15" s="53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19"/>
      <c r="C16" s="519"/>
      <c r="D16" s="520"/>
      <c r="E16" s="512"/>
      <c r="F16" s="513"/>
      <c r="G16" s="513"/>
      <c r="H16" s="513"/>
      <c r="I16" s="513"/>
      <c r="J16" s="481" t="str">
        <f>IF(AND('Mapa de Riesgos'!$H$30="Alta",'Mapa de Riesgos'!$L$30="Leve"),CONCATENATE("R",'Mapa de Riesgos'!$A$30),"")</f>
        <v/>
      </c>
      <c r="K16" s="482"/>
      <c r="L16" s="482" t="str">
        <f>IF(AND('Mapa de Riesgos'!$H$37="Alta",'Mapa de Riesgos'!$L$37="Leve"),CONCATENATE("R",'Mapa de Riesgos'!$A$37),"")</f>
        <v/>
      </c>
      <c r="M16" s="482"/>
      <c r="N16" s="482" t="str">
        <f>IF(AND('Mapa de Riesgos'!$H$43="Alta",'Mapa de Riesgos'!$L$43="Leve"),CONCATENATE("R",'Mapa de Riesgos'!$A$43),"")</f>
        <v/>
      </c>
      <c r="O16" s="483"/>
      <c r="P16" s="481" t="str">
        <f>IF(AND('Mapa de Riesgos'!$H$30="Alta",'Mapa de Riesgos'!$L$30="Menor"),CONCATENATE("R",'Mapa de Riesgos'!$A$30),"")</f>
        <v/>
      </c>
      <c r="Q16" s="482"/>
      <c r="R16" s="482" t="str">
        <f>IF(AND('Mapa de Riesgos'!$H$37="Alta",'Mapa de Riesgos'!$L$37="Menor"),CONCATENATE("R",'Mapa de Riesgos'!$A$37),"")</f>
        <v/>
      </c>
      <c r="S16" s="482"/>
      <c r="T16" s="482" t="str">
        <f>IF(AND('Mapa de Riesgos'!$H$43="Alta",'Mapa de Riesgos'!$L$43="Menor"),CONCATENATE("R",'Mapa de Riesgos'!$A$43),"")</f>
        <v/>
      </c>
      <c r="U16" s="483"/>
      <c r="V16" s="499" t="str">
        <f>IF(AND('Mapa de Riesgos'!$H$30="Alta",'Mapa de Riesgos'!$L$30="Moderado"),CONCATENATE("R",'Mapa de Riesgos'!$A$30),"")</f>
        <v/>
      </c>
      <c r="W16" s="500"/>
      <c r="X16" s="500" t="str">
        <f>IF(AND('Mapa de Riesgos'!$H$37="Alta",'Mapa de Riesgos'!$L$37="Moderado"),CONCATENATE("R",'Mapa de Riesgos'!$A$37),"")</f>
        <v/>
      </c>
      <c r="Y16" s="500"/>
      <c r="Z16" s="500" t="str">
        <f>IF(AND('Mapa de Riesgos'!$H$43="Alta",'Mapa de Riesgos'!$L$43="Moderado"),CONCATENATE("R",'Mapa de Riesgos'!$A$43),"")</f>
        <v/>
      </c>
      <c r="AA16" s="501"/>
      <c r="AB16" s="499" t="str">
        <f>IF(AND('Mapa de Riesgos'!$H$30="Alta",'Mapa de Riesgos'!$L$30="Mayor"),CONCATENATE("R",'Mapa de Riesgos'!$A$30),"")</f>
        <v/>
      </c>
      <c r="AC16" s="500"/>
      <c r="AD16" s="500" t="str">
        <f>IF(AND('Mapa de Riesgos'!$H$37="Alta",'Mapa de Riesgos'!$L$37="Mayor"),CONCATENATE("R",'Mapa de Riesgos'!$A$37),"")</f>
        <v/>
      </c>
      <c r="AE16" s="500"/>
      <c r="AF16" s="500" t="str">
        <f>IF(AND('Mapa de Riesgos'!$H$43="Alta",'Mapa de Riesgos'!$L$43="Mayor"),CONCATENATE("R",'Mapa de Riesgos'!$A$43),"")</f>
        <v/>
      </c>
      <c r="AG16" s="501"/>
      <c r="AH16" s="490" t="str">
        <f>IF(AND('Mapa de Riesgos'!$H$30="Alta",'Mapa de Riesgos'!$L$30="Catastrófico"),CONCATENATE("R",'Mapa de Riesgos'!$A$30),"")</f>
        <v/>
      </c>
      <c r="AI16" s="491"/>
      <c r="AJ16" s="491" t="str">
        <f>IF(AND('Mapa de Riesgos'!$H$37="Alta",'Mapa de Riesgos'!$L$37="Catastrófico"),CONCATENATE("R",'Mapa de Riesgos'!$A$37),"")</f>
        <v/>
      </c>
      <c r="AK16" s="491"/>
      <c r="AL16" s="491" t="str">
        <f>IF(AND('Mapa de Riesgos'!$H$43="Alta",'Mapa de Riesgos'!$L$43="Catastrófico"),CONCATENATE("R",'Mapa de Riesgos'!$A$43),"")</f>
        <v/>
      </c>
      <c r="AM16" s="492"/>
      <c r="AN16" s="83"/>
      <c r="AO16" s="533"/>
      <c r="AP16" s="534"/>
      <c r="AQ16" s="534"/>
      <c r="AR16" s="534"/>
      <c r="AS16" s="534"/>
      <c r="AT16" s="53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19"/>
      <c r="C17" s="519"/>
      <c r="D17" s="520"/>
      <c r="E17" s="512"/>
      <c r="F17" s="513"/>
      <c r="G17" s="513"/>
      <c r="H17" s="513"/>
      <c r="I17" s="513"/>
      <c r="J17" s="481"/>
      <c r="K17" s="482"/>
      <c r="L17" s="482"/>
      <c r="M17" s="482"/>
      <c r="N17" s="482"/>
      <c r="O17" s="483"/>
      <c r="P17" s="481"/>
      <c r="Q17" s="482"/>
      <c r="R17" s="482"/>
      <c r="S17" s="482"/>
      <c r="T17" s="482"/>
      <c r="U17" s="483"/>
      <c r="V17" s="499"/>
      <c r="W17" s="500"/>
      <c r="X17" s="500"/>
      <c r="Y17" s="500"/>
      <c r="Z17" s="500"/>
      <c r="AA17" s="501"/>
      <c r="AB17" s="499"/>
      <c r="AC17" s="500"/>
      <c r="AD17" s="500"/>
      <c r="AE17" s="500"/>
      <c r="AF17" s="500"/>
      <c r="AG17" s="501"/>
      <c r="AH17" s="490"/>
      <c r="AI17" s="491"/>
      <c r="AJ17" s="491"/>
      <c r="AK17" s="491"/>
      <c r="AL17" s="491"/>
      <c r="AM17" s="492"/>
      <c r="AN17" s="83"/>
      <c r="AO17" s="533"/>
      <c r="AP17" s="534"/>
      <c r="AQ17" s="534"/>
      <c r="AR17" s="534"/>
      <c r="AS17" s="534"/>
      <c r="AT17" s="53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19"/>
      <c r="C18" s="519"/>
      <c r="D18" s="520"/>
      <c r="E18" s="512"/>
      <c r="F18" s="513"/>
      <c r="G18" s="513"/>
      <c r="H18" s="513"/>
      <c r="I18" s="513"/>
      <c r="J18" s="481" t="str">
        <f>IF(AND('Mapa de Riesgos'!$H$51="Alta",'Mapa de Riesgos'!$L$51="Leve"),CONCATENATE("R",'Mapa de Riesgos'!$A$51),"")</f>
        <v/>
      </c>
      <c r="K18" s="482"/>
      <c r="L18" s="482" t="str">
        <f>IF(AND('Mapa de Riesgos'!$H$57="Alta",'Mapa de Riesgos'!$L$57="Leve"),CONCATENATE("R",'Mapa de Riesgos'!$A$57),"")</f>
        <v/>
      </c>
      <c r="M18" s="482"/>
      <c r="N18" s="482" t="str">
        <f>IF(AND('Mapa de Riesgos'!$H$63="Alta",'Mapa de Riesgos'!$L$63="Leve"),CONCATENATE("R",'Mapa de Riesgos'!$A$63),"")</f>
        <v/>
      </c>
      <c r="O18" s="483"/>
      <c r="P18" s="481" t="str">
        <f>IF(AND('Mapa de Riesgos'!$H$51="Alta",'Mapa de Riesgos'!$L$51="Menor"),CONCATENATE("R",'Mapa de Riesgos'!$A$51),"")</f>
        <v/>
      </c>
      <c r="Q18" s="482"/>
      <c r="R18" s="482" t="str">
        <f>IF(AND('Mapa de Riesgos'!$H$57="Alta",'Mapa de Riesgos'!$L$57="Menor"),CONCATENATE("R",'Mapa de Riesgos'!$A$57),"")</f>
        <v/>
      </c>
      <c r="S18" s="482"/>
      <c r="T18" s="482" t="str">
        <f>IF(AND('Mapa de Riesgos'!$H$63="Alta",'Mapa de Riesgos'!$L$63="Menor"),CONCATENATE("R",'Mapa de Riesgos'!$A$63),"")</f>
        <v/>
      </c>
      <c r="U18" s="483"/>
      <c r="V18" s="499" t="str">
        <f>IF(AND('Mapa de Riesgos'!$H$51="Alta",'Mapa de Riesgos'!$L$51="Moderado"),CONCATENATE("R",'Mapa de Riesgos'!$A$51),"")</f>
        <v/>
      </c>
      <c r="W18" s="500"/>
      <c r="X18" s="500" t="str">
        <f>IF(AND('Mapa de Riesgos'!$H$57="Alta",'Mapa de Riesgos'!$L$57="Moderado"),CONCATENATE("R",'Mapa de Riesgos'!$A$57),"")</f>
        <v/>
      </c>
      <c r="Y18" s="500"/>
      <c r="Z18" s="500" t="str">
        <f>IF(AND('Mapa de Riesgos'!$H$63="Alta",'Mapa de Riesgos'!$L$63="Moderado"),CONCATENATE("R",'Mapa de Riesgos'!$A$63),"")</f>
        <v/>
      </c>
      <c r="AA18" s="501"/>
      <c r="AB18" s="499" t="str">
        <f>IF(AND('Mapa de Riesgos'!$H$51="Alta",'Mapa de Riesgos'!$L$51="Mayor"),CONCATENATE("R",'Mapa de Riesgos'!$A$51),"")</f>
        <v/>
      </c>
      <c r="AC18" s="500"/>
      <c r="AD18" s="500" t="str">
        <f>IF(AND('Mapa de Riesgos'!$H$57="Alta",'Mapa de Riesgos'!$L$57="Mayor"),CONCATENATE("R",'Mapa de Riesgos'!$A$57),"")</f>
        <v/>
      </c>
      <c r="AE18" s="500"/>
      <c r="AF18" s="500" t="str">
        <f>IF(AND('Mapa de Riesgos'!$H$63="Alta",'Mapa de Riesgos'!$L$63="Mayor"),CONCATENATE("R",'Mapa de Riesgos'!$A$63),"")</f>
        <v/>
      </c>
      <c r="AG18" s="501"/>
      <c r="AH18" s="490" t="str">
        <f>IF(AND('Mapa de Riesgos'!$H$51="Alta",'Mapa de Riesgos'!$L$51="Catastrófico"),CONCATENATE("R",'Mapa de Riesgos'!$A$51),"")</f>
        <v/>
      </c>
      <c r="AI18" s="491"/>
      <c r="AJ18" s="491" t="str">
        <f>IF(AND('Mapa de Riesgos'!$H$57="Alta",'Mapa de Riesgos'!$L$57="Catastrófico"),CONCATENATE("R",'Mapa de Riesgos'!$A$57),"")</f>
        <v/>
      </c>
      <c r="AK18" s="491"/>
      <c r="AL18" s="491" t="str">
        <f>IF(AND('Mapa de Riesgos'!$H$63="Alta",'Mapa de Riesgos'!$L$63="Catastrófico"),CONCATENATE("R",'Mapa de Riesgos'!$A$63),"")</f>
        <v/>
      </c>
      <c r="AM18" s="492"/>
      <c r="AN18" s="83"/>
      <c r="AO18" s="533"/>
      <c r="AP18" s="534"/>
      <c r="AQ18" s="534"/>
      <c r="AR18" s="534"/>
      <c r="AS18" s="534"/>
      <c r="AT18" s="53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19"/>
      <c r="C19" s="519"/>
      <c r="D19" s="520"/>
      <c r="E19" s="512"/>
      <c r="F19" s="513"/>
      <c r="G19" s="513"/>
      <c r="H19" s="513"/>
      <c r="I19" s="513"/>
      <c r="J19" s="481"/>
      <c r="K19" s="482"/>
      <c r="L19" s="482"/>
      <c r="M19" s="482"/>
      <c r="N19" s="482"/>
      <c r="O19" s="483"/>
      <c r="P19" s="481"/>
      <c r="Q19" s="482"/>
      <c r="R19" s="482"/>
      <c r="S19" s="482"/>
      <c r="T19" s="482"/>
      <c r="U19" s="483"/>
      <c r="V19" s="499"/>
      <c r="W19" s="500"/>
      <c r="X19" s="500"/>
      <c r="Y19" s="500"/>
      <c r="Z19" s="500"/>
      <c r="AA19" s="501"/>
      <c r="AB19" s="499"/>
      <c r="AC19" s="500"/>
      <c r="AD19" s="500"/>
      <c r="AE19" s="500"/>
      <c r="AF19" s="500"/>
      <c r="AG19" s="501"/>
      <c r="AH19" s="490"/>
      <c r="AI19" s="491"/>
      <c r="AJ19" s="491"/>
      <c r="AK19" s="491"/>
      <c r="AL19" s="491"/>
      <c r="AM19" s="492"/>
      <c r="AN19" s="83"/>
      <c r="AO19" s="533"/>
      <c r="AP19" s="534"/>
      <c r="AQ19" s="534"/>
      <c r="AR19" s="534"/>
      <c r="AS19" s="534"/>
      <c r="AT19" s="53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19"/>
      <c r="C20" s="519"/>
      <c r="D20" s="520"/>
      <c r="E20" s="512"/>
      <c r="F20" s="513"/>
      <c r="G20" s="513"/>
      <c r="H20" s="513"/>
      <c r="I20" s="513"/>
      <c r="J20" s="481" t="str">
        <f>IF(AND('Mapa de Riesgos'!$H$69="Alta",'Mapa de Riesgos'!$L$69="Leve"),CONCATENATE("R",'Mapa de Riesgos'!$A$69),"")</f>
        <v/>
      </c>
      <c r="K20" s="482"/>
      <c r="L20" s="482" t="str">
        <f>IF(AND('Mapa de Riesgos'!$H$87="Alta",'Mapa de Riesgos'!$L$87="Leve"),CONCATENATE("R",'Mapa de Riesgos'!$A$87),"")</f>
        <v/>
      </c>
      <c r="M20" s="482"/>
      <c r="N20" s="482" t="str">
        <f>IF(AND('Mapa de Riesgos'!$H$93="Alta",'Mapa de Riesgos'!$L$93="Leve"),CONCATENATE("R",'Mapa de Riesgos'!$A$93),"")</f>
        <v/>
      </c>
      <c r="O20" s="483"/>
      <c r="P20" s="481" t="str">
        <f>IF(AND('Mapa de Riesgos'!$H$69="Alta",'Mapa de Riesgos'!$L$69="Menor"),CONCATENATE("R",'Mapa de Riesgos'!$A$69),"")</f>
        <v/>
      </c>
      <c r="Q20" s="482"/>
      <c r="R20" s="482" t="str">
        <f>IF(AND('Mapa de Riesgos'!$H$87="Alta",'Mapa de Riesgos'!$L$87="Menor"),CONCATENATE("R",'Mapa de Riesgos'!$A$87),"")</f>
        <v/>
      </c>
      <c r="S20" s="482"/>
      <c r="T20" s="482" t="str">
        <f>IF(AND('Mapa de Riesgos'!$H$93="Alta",'Mapa de Riesgos'!$L$93="Menor"),CONCATENATE("R",'Mapa de Riesgos'!$A$93),"")</f>
        <v/>
      </c>
      <c r="U20" s="483"/>
      <c r="V20" s="499" t="str">
        <f>IF(AND('Mapa de Riesgos'!$H$69="Alta",'Mapa de Riesgos'!$L$69="Moderado"),CONCATENATE("R",'Mapa de Riesgos'!$A$69),"")</f>
        <v/>
      </c>
      <c r="W20" s="500"/>
      <c r="X20" s="500" t="str">
        <f>IF(AND('Mapa de Riesgos'!$H$87="Alta",'Mapa de Riesgos'!$L$87="Moderado"),CONCATENATE("R",'Mapa de Riesgos'!$A$87),"")</f>
        <v/>
      </c>
      <c r="Y20" s="500"/>
      <c r="Z20" s="500" t="str">
        <f>IF(AND('Mapa de Riesgos'!$H$93="Alta",'Mapa de Riesgos'!$L$93="Moderado"),CONCATENATE("R",'Mapa de Riesgos'!$A$93),"")</f>
        <v/>
      </c>
      <c r="AA20" s="501"/>
      <c r="AB20" s="499" t="str">
        <f>IF(AND('Mapa de Riesgos'!$H$69="Alta",'Mapa de Riesgos'!$L$69="Mayor"),CONCATENATE("R",'Mapa de Riesgos'!$A$69),"")</f>
        <v/>
      </c>
      <c r="AC20" s="500"/>
      <c r="AD20" s="500" t="str">
        <f>IF(AND('Mapa de Riesgos'!$H$87="Alta",'Mapa de Riesgos'!$L$87="Mayor"),CONCATENATE("R",'Mapa de Riesgos'!$A$87),"")</f>
        <v/>
      </c>
      <c r="AE20" s="500"/>
      <c r="AF20" s="500" t="str">
        <f>IF(AND('Mapa de Riesgos'!$H$93="Alta",'Mapa de Riesgos'!$L$93="Mayor"),CONCATENATE("R",'Mapa de Riesgos'!$A$93),"")</f>
        <v/>
      </c>
      <c r="AG20" s="501"/>
      <c r="AH20" s="490" t="str">
        <f>IF(AND('Mapa de Riesgos'!$H$69="Alta",'Mapa de Riesgos'!$L$69="Catastrófico"),CONCATENATE("R",'Mapa de Riesgos'!$A$69),"")</f>
        <v/>
      </c>
      <c r="AI20" s="491"/>
      <c r="AJ20" s="491" t="str">
        <f>IF(AND('Mapa de Riesgos'!$H$87="Alta",'Mapa de Riesgos'!$L$87="Catastrófico"),CONCATENATE("R",'Mapa de Riesgos'!$A$87),"")</f>
        <v/>
      </c>
      <c r="AK20" s="491"/>
      <c r="AL20" s="491" t="str">
        <f>IF(AND('Mapa de Riesgos'!$H$93="Alta",'Mapa de Riesgos'!$L$93="Catastrófico"),CONCATENATE("R",'Mapa de Riesgos'!$A$93),"")</f>
        <v/>
      </c>
      <c r="AM20" s="492"/>
      <c r="AN20" s="83"/>
      <c r="AO20" s="533"/>
      <c r="AP20" s="534"/>
      <c r="AQ20" s="534"/>
      <c r="AR20" s="534"/>
      <c r="AS20" s="534"/>
      <c r="AT20" s="53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19"/>
      <c r="C21" s="519"/>
      <c r="D21" s="520"/>
      <c r="E21" s="515"/>
      <c r="F21" s="516"/>
      <c r="G21" s="516"/>
      <c r="H21" s="516"/>
      <c r="I21" s="516"/>
      <c r="J21" s="484"/>
      <c r="K21" s="485"/>
      <c r="L21" s="485"/>
      <c r="M21" s="485"/>
      <c r="N21" s="485"/>
      <c r="O21" s="486"/>
      <c r="P21" s="484"/>
      <c r="Q21" s="485"/>
      <c r="R21" s="485"/>
      <c r="S21" s="485"/>
      <c r="T21" s="485"/>
      <c r="U21" s="486"/>
      <c r="V21" s="502"/>
      <c r="W21" s="503"/>
      <c r="X21" s="503"/>
      <c r="Y21" s="503"/>
      <c r="Z21" s="503"/>
      <c r="AA21" s="504"/>
      <c r="AB21" s="502"/>
      <c r="AC21" s="503"/>
      <c r="AD21" s="503"/>
      <c r="AE21" s="503"/>
      <c r="AF21" s="503"/>
      <c r="AG21" s="504"/>
      <c r="AH21" s="493"/>
      <c r="AI21" s="494"/>
      <c r="AJ21" s="494"/>
      <c r="AK21" s="494"/>
      <c r="AL21" s="494"/>
      <c r="AM21" s="495"/>
      <c r="AN21" s="83"/>
      <c r="AO21" s="536"/>
      <c r="AP21" s="537"/>
      <c r="AQ21" s="537"/>
      <c r="AR21" s="537"/>
      <c r="AS21" s="537"/>
      <c r="AT21" s="53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19"/>
      <c r="C22" s="519"/>
      <c r="D22" s="520"/>
      <c r="E22" s="509" t="s">
        <v>306</v>
      </c>
      <c r="F22" s="510"/>
      <c r="G22" s="510"/>
      <c r="H22" s="510"/>
      <c r="I22" s="511"/>
      <c r="J22" s="487" t="str">
        <f>IF(AND('Mapa de Riesgos'!$H$12="Media",'Mapa de Riesgos'!$L$12="Leve"),CONCATENATE("R",'Mapa de Riesgos'!$A$12),"")</f>
        <v/>
      </c>
      <c r="K22" s="488"/>
      <c r="L22" s="488" t="str">
        <f>IF(AND('Mapa de Riesgos'!$H$18="Media",'Mapa de Riesgos'!$L$18="Leve"),CONCATENATE("R",'Mapa de Riesgos'!$A$18),"")</f>
        <v/>
      </c>
      <c r="M22" s="488"/>
      <c r="N22" s="488" t="str">
        <f>IF(AND('Mapa de Riesgos'!$H$24="Media",'Mapa de Riesgos'!$L$24="Leve"),CONCATENATE("R",'Mapa de Riesgos'!$A$24),"")</f>
        <v/>
      </c>
      <c r="O22" s="489"/>
      <c r="P22" s="487" t="str">
        <f>IF(AND('Mapa de Riesgos'!$H$12="Media",'Mapa de Riesgos'!$L$12="Menor"),CONCATENATE("R",'Mapa de Riesgos'!$A$12),"")</f>
        <v/>
      </c>
      <c r="Q22" s="488"/>
      <c r="R22" s="488" t="str">
        <f>IF(AND('Mapa de Riesgos'!$H$18="Media",'Mapa de Riesgos'!$L$18="Menor"),CONCATENATE("R",'Mapa de Riesgos'!$A$18),"")</f>
        <v>R2</v>
      </c>
      <c r="S22" s="488"/>
      <c r="T22" s="488" t="str">
        <f>IF(AND('Mapa de Riesgos'!$H$24="Media",'Mapa de Riesgos'!$L$24="Menor"),CONCATENATE("R",'Mapa de Riesgos'!$A$24),"")</f>
        <v/>
      </c>
      <c r="U22" s="489"/>
      <c r="V22" s="487" t="str">
        <f>IF(AND('Mapa de Riesgos'!$H$12="Media",'Mapa de Riesgos'!$L$12="Moderado"),CONCATENATE("R",'Mapa de Riesgos'!$A$12),"")</f>
        <v/>
      </c>
      <c r="W22" s="488"/>
      <c r="X22" s="488" t="str">
        <f>IF(AND('Mapa de Riesgos'!$H$18="Media",'Mapa de Riesgos'!$L$18="Moderado"),CONCATENATE("R",'Mapa de Riesgos'!$A$18),"")</f>
        <v/>
      </c>
      <c r="Y22" s="488"/>
      <c r="Z22" s="488" t="str">
        <f>IF(AND('Mapa de Riesgos'!$H$24="Media",'Mapa de Riesgos'!$L$24="Moderado"),CONCATENATE("R",'Mapa de Riesgos'!$A$24),"")</f>
        <v/>
      </c>
      <c r="AA22" s="489"/>
      <c r="AB22" s="505" t="str">
        <f>IF(AND('Mapa de Riesgos'!$H$12="Media",'Mapa de Riesgos'!$L$12="Mayor"),CONCATENATE("R",'Mapa de Riesgos'!$A$12),"")</f>
        <v/>
      </c>
      <c r="AC22" s="506"/>
      <c r="AD22" s="506" t="str">
        <f>IF(AND('Mapa de Riesgos'!$H$18="Media",'Mapa de Riesgos'!$L$18="Mayor"),CONCATENATE("R",'Mapa de Riesgos'!$A$18),"")</f>
        <v/>
      </c>
      <c r="AE22" s="506"/>
      <c r="AF22" s="506" t="str">
        <f>IF(AND('Mapa de Riesgos'!$H$24="Media",'Mapa de Riesgos'!$L$24="Mayor"),CONCATENATE("R",'Mapa de Riesgos'!$A$24),"")</f>
        <v>R3</v>
      </c>
      <c r="AG22" s="507"/>
      <c r="AH22" s="496" t="str">
        <f>IF(AND('Mapa de Riesgos'!$H$12="Media",'Mapa de Riesgos'!$L$12="Catastrófico"),CONCATENATE("R",'Mapa de Riesgos'!$A$12),"")</f>
        <v/>
      </c>
      <c r="AI22" s="497"/>
      <c r="AJ22" s="497" t="str">
        <f>IF(AND('Mapa de Riesgos'!$H$18="Media",'Mapa de Riesgos'!$L$18="Catastrófico"),CONCATENATE("R",'Mapa de Riesgos'!$A$18),"")</f>
        <v/>
      </c>
      <c r="AK22" s="497"/>
      <c r="AL22" s="497" t="str">
        <f>IF(AND('Mapa de Riesgos'!$H$24="Media",'Mapa de Riesgos'!$L$24="Catastrófico"),CONCATENATE("R",'Mapa de Riesgos'!$A$24),"")</f>
        <v/>
      </c>
      <c r="AM22" s="498"/>
      <c r="AN22" s="83"/>
      <c r="AO22" s="539" t="s">
        <v>307</v>
      </c>
      <c r="AP22" s="540"/>
      <c r="AQ22" s="540"/>
      <c r="AR22" s="540"/>
      <c r="AS22" s="540"/>
      <c r="AT22" s="54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19"/>
      <c r="C23" s="519"/>
      <c r="D23" s="520"/>
      <c r="E23" s="512"/>
      <c r="F23" s="513"/>
      <c r="G23" s="513"/>
      <c r="H23" s="513"/>
      <c r="I23" s="514"/>
      <c r="J23" s="481"/>
      <c r="K23" s="482"/>
      <c r="L23" s="482"/>
      <c r="M23" s="482"/>
      <c r="N23" s="482"/>
      <c r="O23" s="483"/>
      <c r="P23" s="481"/>
      <c r="Q23" s="482"/>
      <c r="R23" s="482"/>
      <c r="S23" s="482"/>
      <c r="T23" s="482"/>
      <c r="U23" s="483"/>
      <c r="V23" s="481"/>
      <c r="W23" s="482"/>
      <c r="X23" s="482"/>
      <c r="Y23" s="482"/>
      <c r="Z23" s="482"/>
      <c r="AA23" s="483"/>
      <c r="AB23" s="499"/>
      <c r="AC23" s="500"/>
      <c r="AD23" s="500"/>
      <c r="AE23" s="500"/>
      <c r="AF23" s="500"/>
      <c r="AG23" s="501"/>
      <c r="AH23" s="490"/>
      <c r="AI23" s="491"/>
      <c r="AJ23" s="491"/>
      <c r="AK23" s="491"/>
      <c r="AL23" s="491"/>
      <c r="AM23" s="492"/>
      <c r="AN23" s="83"/>
      <c r="AO23" s="542"/>
      <c r="AP23" s="543"/>
      <c r="AQ23" s="543"/>
      <c r="AR23" s="543"/>
      <c r="AS23" s="543"/>
      <c r="AT23" s="54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19"/>
      <c r="C24" s="519"/>
      <c r="D24" s="520"/>
      <c r="E24" s="512"/>
      <c r="F24" s="513"/>
      <c r="G24" s="513"/>
      <c r="H24" s="513"/>
      <c r="I24" s="514"/>
      <c r="J24" s="481" t="str">
        <f>IF(AND('Mapa de Riesgos'!$H$30="Media",'Mapa de Riesgos'!$L$30="Leve"),CONCATENATE("R",'Mapa de Riesgos'!$A$30),"")</f>
        <v/>
      </c>
      <c r="K24" s="482"/>
      <c r="L24" s="482" t="str">
        <f>IF(AND('Mapa de Riesgos'!$H$37="Media",'Mapa de Riesgos'!$L$37="Leve"),CONCATENATE("R",'Mapa de Riesgos'!$A$37),"")</f>
        <v/>
      </c>
      <c r="M24" s="482"/>
      <c r="N24" s="482" t="str">
        <f>IF(AND('Mapa de Riesgos'!$H$43="Media",'Mapa de Riesgos'!$L$43="Leve"),CONCATENATE("R",'Mapa de Riesgos'!$A$43),"")</f>
        <v/>
      </c>
      <c r="O24" s="483"/>
      <c r="P24" s="481" t="str">
        <f>IF(AND('Mapa de Riesgos'!$H$30="Media",'Mapa de Riesgos'!$L$30="Menor"),CONCATENATE("R",'Mapa de Riesgos'!$A$30),"")</f>
        <v/>
      </c>
      <c r="Q24" s="482"/>
      <c r="R24" s="482" t="str">
        <f>IF(AND('Mapa de Riesgos'!$H$37="Media",'Mapa de Riesgos'!$L$37="Menor"),CONCATENATE("R",'Mapa de Riesgos'!$A$37),"")</f>
        <v/>
      </c>
      <c r="S24" s="482"/>
      <c r="T24" s="482" t="str">
        <f>IF(AND('Mapa de Riesgos'!$H$43="Media",'Mapa de Riesgos'!$L$43="Menor"),CONCATENATE("R",'Mapa de Riesgos'!$A$43),"")</f>
        <v/>
      </c>
      <c r="U24" s="483"/>
      <c r="V24" s="481" t="str">
        <f>IF(AND('Mapa de Riesgos'!$H$30="Media",'Mapa de Riesgos'!$L$30="Moderado"),CONCATENATE("R",'Mapa de Riesgos'!$A$30),"")</f>
        <v/>
      </c>
      <c r="W24" s="482"/>
      <c r="X24" s="482" t="str">
        <f>IF(AND('Mapa de Riesgos'!$H$37="Media",'Mapa de Riesgos'!$L$37="Moderado"),CONCATENATE("R",'Mapa de Riesgos'!$A$37),"")</f>
        <v>R5</v>
      </c>
      <c r="Y24" s="482"/>
      <c r="Z24" s="482" t="str">
        <f>IF(AND('Mapa de Riesgos'!$H$43="Media",'Mapa de Riesgos'!$L$43="Moderado"),CONCATENATE("R",'Mapa de Riesgos'!$A$43),"")</f>
        <v>R6</v>
      </c>
      <c r="AA24" s="483"/>
      <c r="AB24" s="499" t="str">
        <f>IF(AND('Mapa de Riesgos'!$H$30="Media",'Mapa de Riesgos'!$L$30="Mayor"),CONCATENATE("R",'Mapa de Riesgos'!$A$30),"")</f>
        <v/>
      </c>
      <c r="AC24" s="500"/>
      <c r="AD24" s="500" t="str">
        <f>IF(AND('Mapa de Riesgos'!$H$37="Media",'Mapa de Riesgos'!$L$37="Mayor"),CONCATENATE("R",'Mapa de Riesgos'!$A$37),"")</f>
        <v/>
      </c>
      <c r="AE24" s="500"/>
      <c r="AF24" s="500" t="str">
        <f>IF(AND('Mapa de Riesgos'!$H$43="Media",'Mapa de Riesgos'!$L$43="Mayor"),CONCATENATE("R",'Mapa de Riesgos'!$A$43),"")</f>
        <v/>
      </c>
      <c r="AG24" s="501"/>
      <c r="AH24" s="490" t="str">
        <f>IF(AND('Mapa de Riesgos'!$H$30="Media",'Mapa de Riesgos'!$L$30="Catastrófico"),CONCATENATE("R",'Mapa de Riesgos'!$A$30),"")</f>
        <v/>
      </c>
      <c r="AI24" s="491"/>
      <c r="AJ24" s="491" t="str">
        <f>IF(AND('Mapa de Riesgos'!$H$37="Media",'Mapa de Riesgos'!$L$37="Catastrófico"),CONCATENATE("R",'Mapa de Riesgos'!$A$37),"")</f>
        <v/>
      </c>
      <c r="AK24" s="491"/>
      <c r="AL24" s="491" t="str">
        <f>IF(AND('Mapa de Riesgos'!$H$43="Media",'Mapa de Riesgos'!$L$43="Catastrófico"),CONCATENATE("R",'Mapa de Riesgos'!$A$43),"")</f>
        <v/>
      </c>
      <c r="AM24" s="492"/>
      <c r="AN24" s="83"/>
      <c r="AO24" s="542"/>
      <c r="AP24" s="543"/>
      <c r="AQ24" s="543"/>
      <c r="AR24" s="543"/>
      <c r="AS24" s="543"/>
      <c r="AT24" s="54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19"/>
      <c r="C25" s="519"/>
      <c r="D25" s="520"/>
      <c r="E25" s="512"/>
      <c r="F25" s="513"/>
      <c r="G25" s="513"/>
      <c r="H25" s="513"/>
      <c r="I25" s="514"/>
      <c r="J25" s="481"/>
      <c r="K25" s="482"/>
      <c r="L25" s="482"/>
      <c r="M25" s="482"/>
      <c r="N25" s="482"/>
      <c r="O25" s="483"/>
      <c r="P25" s="481"/>
      <c r="Q25" s="482"/>
      <c r="R25" s="482"/>
      <c r="S25" s="482"/>
      <c r="T25" s="482"/>
      <c r="U25" s="483"/>
      <c r="V25" s="481"/>
      <c r="W25" s="482"/>
      <c r="X25" s="482"/>
      <c r="Y25" s="482"/>
      <c r="Z25" s="482"/>
      <c r="AA25" s="483"/>
      <c r="AB25" s="499"/>
      <c r="AC25" s="500"/>
      <c r="AD25" s="500"/>
      <c r="AE25" s="500"/>
      <c r="AF25" s="500"/>
      <c r="AG25" s="501"/>
      <c r="AH25" s="490"/>
      <c r="AI25" s="491"/>
      <c r="AJ25" s="491"/>
      <c r="AK25" s="491"/>
      <c r="AL25" s="491"/>
      <c r="AM25" s="492"/>
      <c r="AN25" s="83"/>
      <c r="AO25" s="542"/>
      <c r="AP25" s="543"/>
      <c r="AQ25" s="543"/>
      <c r="AR25" s="543"/>
      <c r="AS25" s="543"/>
      <c r="AT25" s="54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19"/>
      <c r="C26" s="519"/>
      <c r="D26" s="520"/>
      <c r="E26" s="512"/>
      <c r="F26" s="513"/>
      <c r="G26" s="513"/>
      <c r="H26" s="513"/>
      <c r="I26" s="514"/>
      <c r="J26" s="481" t="str">
        <f>IF(AND('Mapa de Riesgos'!$H$51="Media",'Mapa de Riesgos'!$L$51="Leve"),CONCATENATE("R",'Mapa de Riesgos'!$A$51),"")</f>
        <v/>
      </c>
      <c r="K26" s="482"/>
      <c r="L26" s="482" t="str">
        <f>IF(AND('Mapa de Riesgos'!$H$57="Media",'Mapa de Riesgos'!$L$57="Leve"),CONCATENATE("R",'Mapa de Riesgos'!$A$57),"")</f>
        <v/>
      </c>
      <c r="M26" s="482"/>
      <c r="N26" s="482" t="str">
        <f>IF(AND('Mapa de Riesgos'!$H$63="Media",'Mapa de Riesgos'!$L$63="Leve"),CONCATENATE("R",'Mapa de Riesgos'!$A$63),"")</f>
        <v/>
      </c>
      <c r="O26" s="483"/>
      <c r="P26" s="481" t="str">
        <f>IF(AND('Mapa de Riesgos'!$H$51="Media",'Mapa de Riesgos'!$L$51="Menor"),CONCATENATE("R",'Mapa de Riesgos'!$A$51),"")</f>
        <v/>
      </c>
      <c r="Q26" s="482"/>
      <c r="R26" s="482" t="str">
        <f>IF(AND('Mapa de Riesgos'!$H$57="Media",'Mapa de Riesgos'!$L$57="Menor"),CONCATENATE("R",'Mapa de Riesgos'!$A$57),"")</f>
        <v/>
      </c>
      <c r="S26" s="482"/>
      <c r="T26" s="482" t="str">
        <f>IF(AND('Mapa de Riesgos'!$H$63="Media",'Mapa de Riesgos'!$L$63="Menor"),CONCATENATE("R",'Mapa de Riesgos'!$A$63),"")</f>
        <v/>
      </c>
      <c r="U26" s="483"/>
      <c r="V26" s="481" t="str">
        <f>IF(AND('Mapa de Riesgos'!$H$51="Media",'Mapa de Riesgos'!$L$51="Moderado"),CONCATENATE("R",'Mapa de Riesgos'!$A$51),"")</f>
        <v>R7</v>
      </c>
      <c r="W26" s="482"/>
      <c r="X26" s="482" t="str">
        <f>IF(AND('Mapa de Riesgos'!$H$57="Media",'Mapa de Riesgos'!$L$57="Moderado"),CONCATENATE("R",'Mapa de Riesgos'!$A$57),"")</f>
        <v>R8</v>
      </c>
      <c r="Y26" s="482"/>
      <c r="Z26" s="482" t="str">
        <f>IF(AND('Mapa de Riesgos'!$H$63="Media",'Mapa de Riesgos'!$L$63="Moderado"),CONCATENATE("R",'Mapa de Riesgos'!$A$63),"")</f>
        <v/>
      </c>
      <c r="AA26" s="483"/>
      <c r="AB26" s="499" t="str">
        <f>IF(AND('Mapa de Riesgos'!$H$51="Media",'Mapa de Riesgos'!$L$51="Mayor"),CONCATENATE("R",'Mapa de Riesgos'!$A$51),"")</f>
        <v/>
      </c>
      <c r="AC26" s="500"/>
      <c r="AD26" s="500" t="str">
        <f>IF(AND('Mapa de Riesgos'!$H$57="Media",'Mapa de Riesgos'!$L$57="Mayor"),CONCATENATE("R",'Mapa de Riesgos'!$A$57),"")</f>
        <v/>
      </c>
      <c r="AE26" s="500"/>
      <c r="AF26" s="500" t="str">
        <f>IF(AND('Mapa de Riesgos'!$H$63="Media",'Mapa de Riesgos'!$L$63="Mayor"),CONCATENATE("R",'Mapa de Riesgos'!$A$63),"")</f>
        <v/>
      </c>
      <c r="AG26" s="501"/>
      <c r="AH26" s="490" t="str">
        <f>IF(AND('Mapa de Riesgos'!$H$51="Media",'Mapa de Riesgos'!$L$51="Catastrófico"),CONCATENATE("R",'Mapa de Riesgos'!$A$51),"")</f>
        <v/>
      </c>
      <c r="AI26" s="491"/>
      <c r="AJ26" s="491" t="str">
        <f>IF(AND('Mapa de Riesgos'!$H$57="Media",'Mapa de Riesgos'!$L$57="Catastrófico"),CONCATENATE("R",'Mapa de Riesgos'!$A$57),"")</f>
        <v/>
      </c>
      <c r="AK26" s="491"/>
      <c r="AL26" s="491" t="str">
        <f>IF(AND('Mapa de Riesgos'!$H$63="Media",'Mapa de Riesgos'!$L$63="Catastrófico"),CONCATENATE("R",'Mapa de Riesgos'!$A$63),"")</f>
        <v/>
      </c>
      <c r="AM26" s="492"/>
      <c r="AN26" s="83"/>
      <c r="AO26" s="542"/>
      <c r="AP26" s="543"/>
      <c r="AQ26" s="543"/>
      <c r="AR26" s="543"/>
      <c r="AS26" s="543"/>
      <c r="AT26" s="54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19"/>
      <c r="C27" s="519"/>
      <c r="D27" s="520"/>
      <c r="E27" s="512"/>
      <c r="F27" s="513"/>
      <c r="G27" s="513"/>
      <c r="H27" s="513"/>
      <c r="I27" s="514"/>
      <c r="J27" s="481"/>
      <c r="K27" s="482"/>
      <c r="L27" s="482"/>
      <c r="M27" s="482"/>
      <c r="N27" s="482"/>
      <c r="O27" s="483"/>
      <c r="P27" s="481"/>
      <c r="Q27" s="482"/>
      <c r="R27" s="482"/>
      <c r="S27" s="482"/>
      <c r="T27" s="482"/>
      <c r="U27" s="483"/>
      <c r="V27" s="481"/>
      <c r="W27" s="482"/>
      <c r="X27" s="482"/>
      <c r="Y27" s="482"/>
      <c r="Z27" s="482"/>
      <c r="AA27" s="483"/>
      <c r="AB27" s="499"/>
      <c r="AC27" s="500"/>
      <c r="AD27" s="500"/>
      <c r="AE27" s="500"/>
      <c r="AF27" s="500"/>
      <c r="AG27" s="501"/>
      <c r="AH27" s="490"/>
      <c r="AI27" s="491"/>
      <c r="AJ27" s="491"/>
      <c r="AK27" s="491"/>
      <c r="AL27" s="491"/>
      <c r="AM27" s="492"/>
      <c r="AN27" s="83"/>
      <c r="AO27" s="542"/>
      <c r="AP27" s="543"/>
      <c r="AQ27" s="543"/>
      <c r="AR27" s="543"/>
      <c r="AS27" s="543"/>
      <c r="AT27" s="54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19"/>
      <c r="C28" s="519"/>
      <c r="D28" s="520"/>
      <c r="E28" s="512"/>
      <c r="F28" s="513"/>
      <c r="G28" s="513"/>
      <c r="H28" s="513"/>
      <c r="I28" s="514"/>
      <c r="J28" s="481" t="str">
        <f>IF(AND('Mapa de Riesgos'!$H$69="Media",'Mapa de Riesgos'!$L$69="Leve"),CONCATENATE("R",'Mapa de Riesgos'!$A$69),"")</f>
        <v/>
      </c>
      <c r="K28" s="482"/>
      <c r="L28" s="482" t="str">
        <f>IF(AND('Mapa de Riesgos'!$H$87="Media",'Mapa de Riesgos'!$L$87="Leve"),CONCATENATE("R",'Mapa de Riesgos'!$A$87),"")</f>
        <v/>
      </c>
      <c r="M28" s="482"/>
      <c r="N28" s="482" t="str">
        <f>IF(AND('Mapa de Riesgos'!$H$93="Media",'Mapa de Riesgos'!$L$93="Leve"),CONCATENATE("R",'Mapa de Riesgos'!$A$93),"")</f>
        <v/>
      </c>
      <c r="O28" s="483"/>
      <c r="P28" s="481" t="str">
        <f>IF(AND('Mapa de Riesgos'!$H$69="Media",'Mapa de Riesgos'!$L$69="Menor"),CONCATENATE("R",'Mapa de Riesgos'!$A$69),"")</f>
        <v/>
      </c>
      <c r="Q28" s="482"/>
      <c r="R28" s="482" t="str">
        <f>IF(AND('Mapa de Riesgos'!$H$87="Media",'Mapa de Riesgos'!$L$87="Menor"),CONCATENATE("R",'Mapa de Riesgos'!$A$87),"")</f>
        <v/>
      </c>
      <c r="S28" s="482"/>
      <c r="T28" s="482" t="str">
        <f>IF(AND('Mapa de Riesgos'!$H$93="Media",'Mapa de Riesgos'!$L$93="Menor"),CONCATENATE("R",'Mapa de Riesgos'!$A$93),"")</f>
        <v/>
      </c>
      <c r="U28" s="483"/>
      <c r="V28" s="481" t="str">
        <f>IF(AND('Mapa de Riesgos'!$H$69="Media",'Mapa de Riesgos'!$L$69="Moderado"),CONCATENATE("R",'Mapa de Riesgos'!$A$69),"")</f>
        <v>R10</v>
      </c>
      <c r="W28" s="482"/>
      <c r="X28" s="482" t="str">
        <f>IF(AND('Mapa de Riesgos'!$H$87="Media",'Mapa de Riesgos'!$L$87="Moderado"),CONCATENATE("R",'Mapa de Riesgos'!$A$87),"")</f>
        <v/>
      </c>
      <c r="Y28" s="482"/>
      <c r="Z28" s="482" t="str">
        <f>IF(AND('Mapa de Riesgos'!$H$93="Media",'Mapa de Riesgos'!$L$93="Moderado"),CONCATENATE("R",'Mapa de Riesgos'!$A$93),"")</f>
        <v/>
      </c>
      <c r="AA28" s="483"/>
      <c r="AB28" s="499" t="str">
        <f>IF(AND('Mapa de Riesgos'!$H$69="Media",'Mapa de Riesgos'!$L$69="Mayor"),CONCATENATE("R",'Mapa de Riesgos'!$A$69),"")</f>
        <v/>
      </c>
      <c r="AC28" s="500"/>
      <c r="AD28" s="500" t="str">
        <f>IF(AND('Mapa de Riesgos'!$H$87="Media",'Mapa de Riesgos'!$L$87="Mayor"),CONCATENATE("R",'Mapa de Riesgos'!$A$87),"")</f>
        <v/>
      </c>
      <c r="AE28" s="500"/>
      <c r="AF28" s="500" t="str">
        <f>IF(AND('Mapa de Riesgos'!$H$93="Media",'Mapa de Riesgos'!$L$93="Mayor"),CONCATENATE("R",'Mapa de Riesgos'!$A$93),"")</f>
        <v/>
      </c>
      <c r="AG28" s="501"/>
      <c r="AH28" s="490" t="str">
        <f>IF(AND('Mapa de Riesgos'!$H$69="Media",'Mapa de Riesgos'!$L$69="Catastrófico"),CONCATENATE("R",'Mapa de Riesgos'!$A$69),"")</f>
        <v/>
      </c>
      <c r="AI28" s="491"/>
      <c r="AJ28" s="491" t="str">
        <f>IF(AND('Mapa de Riesgos'!$H$87="Media",'Mapa de Riesgos'!$L$87="Catastrófico"),CONCATENATE("R",'Mapa de Riesgos'!$A$87),"")</f>
        <v/>
      </c>
      <c r="AK28" s="491"/>
      <c r="AL28" s="491" t="str">
        <f>IF(AND('Mapa de Riesgos'!$H$93="Media",'Mapa de Riesgos'!$L$93="Catastrófico"),CONCATENATE("R",'Mapa de Riesgos'!$A$93),"")</f>
        <v/>
      </c>
      <c r="AM28" s="492"/>
      <c r="AN28" s="83"/>
      <c r="AO28" s="542"/>
      <c r="AP28" s="543"/>
      <c r="AQ28" s="543"/>
      <c r="AR28" s="543"/>
      <c r="AS28" s="543"/>
      <c r="AT28" s="54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19"/>
      <c r="C29" s="519"/>
      <c r="D29" s="520"/>
      <c r="E29" s="515"/>
      <c r="F29" s="516"/>
      <c r="G29" s="516"/>
      <c r="H29" s="516"/>
      <c r="I29" s="517"/>
      <c r="J29" s="481"/>
      <c r="K29" s="482"/>
      <c r="L29" s="482"/>
      <c r="M29" s="482"/>
      <c r="N29" s="482"/>
      <c r="O29" s="483"/>
      <c r="P29" s="484"/>
      <c r="Q29" s="485"/>
      <c r="R29" s="485"/>
      <c r="S29" s="485"/>
      <c r="T29" s="485"/>
      <c r="U29" s="486"/>
      <c r="V29" s="484"/>
      <c r="W29" s="485"/>
      <c r="X29" s="485"/>
      <c r="Y29" s="485"/>
      <c r="Z29" s="485"/>
      <c r="AA29" s="486"/>
      <c r="AB29" s="502"/>
      <c r="AC29" s="503"/>
      <c r="AD29" s="503"/>
      <c r="AE29" s="503"/>
      <c r="AF29" s="503"/>
      <c r="AG29" s="504"/>
      <c r="AH29" s="493"/>
      <c r="AI29" s="494"/>
      <c r="AJ29" s="494"/>
      <c r="AK29" s="494"/>
      <c r="AL29" s="494"/>
      <c r="AM29" s="495"/>
      <c r="AN29" s="83"/>
      <c r="AO29" s="545"/>
      <c r="AP29" s="546"/>
      <c r="AQ29" s="546"/>
      <c r="AR29" s="546"/>
      <c r="AS29" s="546"/>
      <c r="AT29" s="54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19"/>
      <c r="C30" s="519"/>
      <c r="D30" s="520"/>
      <c r="E30" s="509" t="s">
        <v>308</v>
      </c>
      <c r="F30" s="510"/>
      <c r="G30" s="510"/>
      <c r="H30" s="510"/>
      <c r="I30" s="510"/>
      <c r="J30" s="478" t="str">
        <f>IF(AND('Mapa de Riesgos'!$H$12="Baja",'Mapa de Riesgos'!$L$12="Leve"),CONCATENATE("R",'Mapa de Riesgos'!$A$12),"")</f>
        <v/>
      </c>
      <c r="K30" s="479"/>
      <c r="L30" s="479" t="str">
        <f>IF(AND('Mapa de Riesgos'!$H$18="Baja",'Mapa de Riesgos'!$L$18="Leve"),CONCATENATE("R",'Mapa de Riesgos'!$A$18),"")</f>
        <v/>
      </c>
      <c r="M30" s="479"/>
      <c r="N30" s="479" t="str">
        <f>IF(AND('Mapa de Riesgos'!$H$24="Baja",'Mapa de Riesgos'!$L$24="Leve"),CONCATENATE("R",'Mapa de Riesgos'!$A$24),"")</f>
        <v/>
      </c>
      <c r="O30" s="480"/>
      <c r="P30" s="488" t="str">
        <f>IF(AND('Mapa de Riesgos'!$H$12="Baja",'Mapa de Riesgos'!$L$12="Menor"),CONCATENATE("R",'Mapa de Riesgos'!$A$12),"")</f>
        <v/>
      </c>
      <c r="Q30" s="488"/>
      <c r="R30" s="488" t="str">
        <f>IF(AND('Mapa de Riesgos'!$H$18="Baja",'Mapa de Riesgos'!$L$18="Menor"),CONCATENATE("R",'Mapa de Riesgos'!$A$18),"")</f>
        <v/>
      </c>
      <c r="S30" s="488"/>
      <c r="T30" s="488" t="str">
        <f>IF(AND('Mapa de Riesgos'!$H$24="Baja",'Mapa de Riesgos'!$L$24="Menor"),CONCATENATE("R",'Mapa de Riesgos'!$A$24),"")</f>
        <v/>
      </c>
      <c r="U30" s="489"/>
      <c r="V30" s="487" t="str">
        <f>IF(AND('Mapa de Riesgos'!$H$12="Baja",'Mapa de Riesgos'!$L$12="Moderado"),CONCATENATE("R",'Mapa de Riesgos'!$A$12),"")</f>
        <v/>
      </c>
      <c r="W30" s="488"/>
      <c r="X30" s="488" t="str">
        <f>IF(AND('Mapa de Riesgos'!$H$18="Baja",'Mapa de Riesgos'!$L$18="Moderado"),CONCATENATE("R",'Mapa de Riesgos'!$A$18),"")</f>
        <v/>
      </c>
      <c r="Y30" s="488"/>
      <c r="Z30" s="488" t="str">
        <f>IF(AND('Mapa de Riesgos'!$H$24="Baja",'Mapa de Riesgos'!$L$24="Moderado"),CONCATENATE("R",'Mapa de Riesgos'!$A$24),"")</f>
        <v/>
      </c>
      <c r="AA30" s="489"/>
      <c r="AB30" s="505" t="str">
        <f>IF(AND('Mapa de Riesgos'!$H$12="Baja",'Mapa de Riesgos'!$L$12="Mayor"),CONCATENATE("R",'Mapa de Riesgos'!$A$12),"")</f>
        <v>R1</v>
      </c>
      <c r="AC30" s="506"/>
      <c r="AD30" s="506" t="str">
        <f>IF(AND('Mapa de Riesgos'!$H$18="Baja",'Mapa de Riesgos'!$L$18="Mayor"),CONCATENATE("R",'Mapa de Riesgos'!$A$18),"")</f>
        <v/>
      </c>
      <c r="AE30" s="506"/>
      <c r="AF30" s="506" t="str">
        <f>IF(AND('Mapa de Riesgos'!$H$24="Baja",'Mapa de Riesgos'!$L$24="Mayor"),CONCATENATE("R",'Mapa de Riesgos'!$A$24),"")</f>
        <v/>
      </c>
      <c r="AG30" s="507"/>
      <c r="AH30" s="496" t="str">
        <f>IF(AND('Mapa de Riesgos'!$H$12="Baja",'Mapa de Riesgos'!$L$12="Catastrófico"),CONCATENATE("R",'Mapa de Riesgos'!$A$12),"")</f>
        <v/>
      </c>
      <c r="AI30" s="497"/>
      <c r="AJ30" s="497" t="str">
        <f>IF(AND('Mapa de Riesgos'!$H$18="Baja",'Mapa de Riesgos'!$L$18="Catastrófico"),CONCATENATE("R",'Mapa de Riesgos'!$A$18),"")</f>
        <v/>
      </c>
      <c r="AK30" s="497"/>
      <c r="AL30" s="497" t="str">
        <f>IF(AND('Mapa de Riesgos'!$H$24="Baja",'Mapa de Riesgos'!$L$24="Catastrófico"),CONCATENATE("R",'Mapa de Riesgos'!$A$24),"")</f>
        <v/>
      </c>
      <c r="AM30" s="498"/>
      <c r="AN30" s="83"/>
      <c r="AO30" s="548" t="s">
        <v>309</v>
      </c>
      <c r="AP30" s="549"/>
      <c r="AQ30" s="549"/>
      <c r="AR30" s="549"/>
      <c r="AS30" s="549"/>
      <c r="AT30" s="55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19"/>
      <c r="C31" s="519"/>
      <c r="D31" s="520"/>
      <c r="E31" s="512"/>
      <c r="F31" s="513"/>
      <c r="G31" s="513"/>
      <c r="H31" s="513"/>
      <c r="I31" s="513"/>
      <c r="J31" s="472"/>
      <c r="K31" s="473"/>
      <c r="L31" s="473"/>
      <c r="M31" s="473"/>
      <c r="N31" s="473"/>
      <c r="O31" s="474"/>
      <c r="P31" s="482"/>
      <c r="Q31" s="482"/>
      <c r="R31" s="482"/>
      <c r="S31" s="482"/>
      <c r="T31" s="482"/>
      <c r="U31" s="483"/>
      <c r="V31" s="481"/>
      <c r="W31" s="482"/>
      <c r="X31" s="482"/>
      <c r="Y31" s="482"/>
      <c r="Z31" s="482"/>
      <c r="AA31" s="483"/>
      <c r="AB31" s="499"/>
      <c r="AC31" s="500"/>
      <c r="AD31" s="500"/>
      <c r="AE31" s="500"/>
      <c r="AF31" s="500"/>
      <c r="AG31" s="501"/>
      <c r="AH31" s="490"/>
      <c r="AI31" s="491"/>
      <c r="AJ31" s="491"/>
      <c r="AK31" s="491"/>
      <c r="AL31" s="491"/>
      <c r="AM31" s="492"/>
      <c r="AN31" s="83"/>
      <c r="AO31" s="551"/>
      <c r="AP31" s="552"/>
      <c r="AQ31" s="552"/>
      <c r="AR31" s="552"/>
      <c r="AS31" s="552"/>
      <c r="AT31" s="55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19"/>
      <c r="C32" s="519"/>
      <c r="D32" s="520"/>
      <c r="E32" s="512"/>
      <c r="F32" s="513"/>
      <c r="G32" s="513"/>
      <c r="H32" s="513"/>
      <c r="I32" s="513"/>
      <c r="J32" s="472" t="str">
        <f>IF(AND('Mapa de Riesgos'!$H$30="Baja",'Mapa de Riesgos'!$L$30="Leve"),CONCATENATE("R",'Mapa de Riesgos'!$A$30),"")</f>
        <v/>
      </c>
      <c r="K32" s="473"/>
      <c r="L32" s="473" t="str">
        <f>IF(AND('Mapa de Riesgos'!$H$37="Baja",'Mapa de Riesgos'!$L$37="Leve"),CONCATENATE("R",'Mapa de Riesgos'!$A$37),"")</f>
        <v/>
      </c>
      <c r="M32" s="473"/>
      <c r="N32" s="473" t="str">
        <f>IF(AND('Mapa de Riesgos'!$H$43="Baja",'Mapa de Riesgos'!$L$43="Leve"),CONCATENATE("R",'Mapa de Riesgos'!$A$43),"")</f>
        <v/>
      </c>
      <c r="O32" s="474"/>
      <c r="P32" s="482" t="str">
        <f>IF(AND('Mapa de Riesgos'!$H$30="Baja",'Mapa de Riesgos'!$L$30="Menor"),CONCATENATE("R",'Mapa de Riesgos'!$A$30),"")</f>
        <v/>
      </c>
      <c r="Q32" s="482"/>
      <c r="R32" s="482" t="str">
        <f>IF(AND('Mapa de Riesgos'!$H$37="Baja",'Mapa de Riesgos'!$L$37="Menor"),CONCATENATE("R",'Mapa de Riesgos'!$A$37),"")</f>
        <v/>
      </c>
      <c r="S32" s="482"/>
      <c r="T32" s="482" t="str">
        <f>IF(AND('Mapa de Riesgos'!$H$43="Baja",'Mapa de Riesgos'!$L$43="Menor"),CONCATENATE("R",'Mapa de Riesgos'!$A$43),"")</f>
        <v/>
      </c>
      <c r="U32" s="483"/>
      <c r="V32" s="481" t="str">
        <f>IF(AND('Mapa de Riesgos'!$H$30="Baja",'Mapa de Riesgos'!$L$30="Moderado"),CONCATENATE("R",'Mapa de Riesgos'!$A$30),"")</f>
        <v/>
      </c>
      <c r="W32" s="482"/>
      <c r="X32" s="482" t="str">
        <f>IF(AND('Mapa de Riesgos'!$H$37="Baja",'Mapa de Riesgos'!$L$37="Moderado"),CONCATENATE("R",'Mapa de Riesgos'!$A$37),"")</f>
        <v/>
      </c>
      <c r="Y32" s="482"/>
      <c r="Z32" s="482" t="str">
        <f>IF(AND('Mapa de Riesgos'!$H$43="Baja",'Mapa de Riesgos'!$L$43="Moderado"),CONCATENATE("R",'Mapa de Riesgos'!$A$43),"")</f>
        <v/>
      </c>
      <c r="AA32" s="483"/>
      <c r="AB32" s="499" t="str">
        <f>IF(AND('Mapa de Riesgos'!$H$30="Baja",'Mapa de Riesgos'!$L$30="Mayor"),CONCATENATE("R",'Mapa de Riesgos'!$A$30),"")</f>
        <v/>
      </c>
      <c r="AC32" s="500"/>
      <c r="AD32" s="500" t="str">
        <f>IF(AND('Mapa de Riesgos'!$H$37="Baja",'Mapa de Riesgos'!$L$37="Mayor"),CONCATENATE("R",'Mapa de Riesgos'!$A$37),"")</f>
        <v/>
      </c>
      <c r="AE32" s="500"/>
      <c r="AF32" s="500" t="str">
        <f>IF(AND('Mapa de Riesgos'!$H$43="Baja",'Mapa de Riesgos'!$L$43="Mayor"),CONCATENATE("R",'Mapa de Riesgos'!$A$43),"")</f>
        <v/>
      </c>
      <c r="AG32" s="501"/>
      <c r="AH32" s="490" t="str">
        <f>IF(AND('Mapa de Riesgos'!$H$30="Baja",'Mapa de Riesgos'!$L$30="Catastrófico"),CONCATENATE("R",'Mapa de Riesgos'!$A$30),"")</f>
        <v/>
      </c>
      <c r="AI32" s="491"/>
      <c r="AJ32" s="491" t="str">
        <f>IF(AND('Mapa de Riesgos'!$H$37="Baja",'Mapa de Riesgos'!$L$37="Catastrófico"),CONCATENATE("R",'Mapa de Riesgos'!$A$37),"")</f>
        <v/>
      </c>
      <c r="AK32" s="491"/>
      <c r="AL32" s="491" t="str">
        <f>IF(AND('Mapa de Riesgos'!$H$43="Baja",'Mapa de Riesgos'!$L$43="Catastrófico"),CONCATENATE("R",'Mapa de Riesgos'!$A$43),"")</f>
        <v/>
      </c>
      <c r="AM32" s="492"/>
      <c r="AN32" s="83"/>
      <c r="AO32" s="551"/>
      <c r="AP32" s="552"/>
      <c r="AQ32" s="552"/>
      <c r="AR32" s="552"/>
      <c r="AS32" s="552"/>
      <c r="AT32" s="55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19"/>
      <c r="C33" s="519"/>
      <c r="D33" s="520"/>
      <c r="E33" s="512"/>
      <c r="F33" s="513"/>
      <c r="G33" s="513"/>
      <c r="H33" s="513"/>
      <c r="I33" s="513"/>
      <c r="J33" s="472"/>
      <c r="K33" s="473"/>
      <c r="L33" s="473"/>
      <c r="M33" s="473"/>
      <c r="N33" s="473"/>
      <c r="O33" s="474"/>
      <c r="P33" s="482"/>
      <c r="Q33" s="482"/>
      <c r="R33" s="482"/>
      <c r="S33" s="482"/>
      <c r="T33" s="482"/>
      <c r="U33" s="483"/>
      <c r="V33" s="481"/>
      <c r="W33" s="482"/>
      <c r="X33" s="482"/>
      <c r="Y33" s="482"/>
      <c r="Z33" s="482"/>
      <c r="AA33" s="483"/>
      <c r="AB33" s="499"/>
      <c r="AC33" s="500"/>
      <c r="AD33" s="500"/>
      <c r="AE33" s="500"/>
      <c r="AF33" s="500"/>
      <c r="AG33" s="501"/>
      <c r="AH33" s="490"/>
      <c r="AI33" s="491"/>
      <c r="AJ33" s="491"/>
      <c r="AK33" s="491"/>
      <c r="AL33" s="491"/>
      <c r="AM33" s="492"/>
      <c r="AN33" s="83"/>
      <c r="AO33" s="551"/>
      <c r="AP33" s="552"/>
      <c r="AQ33" s="552"/>
      <c r="AR33" s="552"/>
      <c r="AS33" s="552"/>
      <c r="AT33" s="55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19"/>
      <c r="C34" s="519"/>
      <c r="D34" s="520"/>
      <c r="E34" s="512"/>
      <c r="F34" s="513"/>
      <c r="G34" s="513"/>
      <c r="H34" s="513"/>
      <c r="I34" s="513"/>
      <c r="J34" s="472" t="str">
        <f>IF(AND('Mapa de Riesgos'!$H$51="Baja",'Mapa de Riesgos'!$L$51="Leve"),CONCATENATE("R",'Mapa de Riesgos'!$A$51),"")</f>
        <v/>
      </c>
      <c r="K34" s="473"/>
      <c r="L34" s="473" t="str">
        <f>IF(AND('Mapa de Riesgos'!$H$57="Baja",'Mapa de Riesgos'!$L$57="Leve"),CONCATENATE("R",'Mapa de Riesgos'!$A$57),"")</f>
        <v/>
      </c>
      <c r="M34" s="473"/>
      <c r="N34" s="473" t="str">
        <f>IF(AND('Mapa de Riesgos'!$H$63="Baja",'Mapa de Riesgos'!$L$63="Leve"),CONCATENATE("R",'Mapa de Riesgos'!$A$63),"")</f>
        <v/>
      </c>
      <c r="O34" s="474"/>
      <c r="P34" s="482" t="str">
        <f>IF(AND('Mapa de Riesgos'!$H$51="Baja",'Mapa de Riesgos'!$L$51="Menor"),CONCATENATE("R",'Mapa de Riesgos'!$A$51),"")</f>
        <v/>
      </c>
      <c r="Q34" s="482"/>
      <c r="R34" s="482" t="str">
        <f>IF(AND('Mapa de Riesgos'!$H$57="Baja",'Mapa de Riesgos'!$L$57="Menor"),CONCATENATE("R",'Mapa de Riesgos'!$A$57),"")</f>
        <v/>
      </c>
      <c r="S34" s="482"/>
      <c r="T34" s="482" t="str">
        <f>IF(AND('Mapa de Riesgos'!$H$63="Baja",'Mapa de Riesgos'!$L$63="Menor"),CONCATENATE("R",'Mapa de Riesgos'!$A$63),"")</f>
        <v/>
      </c>
      <c r="U34" s="483"/>
      <c r="V34" s="481" t="str">
        <f>IF(AND('Mapa de Riesgos'!$H$51="Baja",'Mapa de Riesgos'!$L$51="Moderado"),CONCATENATE("R",'Mapa de Riesgos'!$A$51),"")</f>
        <v/>
      </c>
      <c r="W34" s="482"/>
      <c r="X34" s="482" t="str">
        <f>IF(AND('Mapa de Riesgos'!$H$57="Baja",'Mapa de Riesgos'!$L$57="Moderado"),CONCATENATE("R",'Mapa de Riesgos'!$A$57),"")</f>
        <v/>
      </c>
      <c r="Y34" s="482"/>
      <c r="Z34" s="482" t="str">
        <f>IF(AND('Mapa de Riesgos'!$H$63="Baja",'Mapa de Riesgos'!$L$63="Moderado"),CONCATENATE("R",'Mapa de Riesgos'!$A$63),"")</f>
        <v>R9</v>
      </c>
      <c r="AA34" s="483"/>
      <c r="AB34" s="499" t="str">
        <f>IF(AND('Mapa de Riesgos'!$H$51="Baja",'Mapa de Riesgos'!$L$51="Mayor"),CONCATENATE("R",'Mapa de Riesgos'!$A$51),"")</f>
        <v/>
      </c>
      <c r="AC34" s="500"/>
      <c r="AD34" s="500" t="str">
        <f>IF(AND('Mapa de Riesgos'!$H$57="Baja",'Mapa de Riesgos'!$L$57="Mayor"),CONCATENATE("R",'Mapa de Riesgos'!$A$57),"")</f>
        <v/>
      </c>
      <c r="AE34" s="500"/>
      <c r="AF34" s="500" t="str">
        <f>IF(AND('Mapa de Riesgos'!$H$63="Baja",'Mapa de Riesgos'!$L$63="Mayor"),CONCATENATE("R",'Mapa de Riesgos'!$A$63),"")</f>
        <v/>
      </c>
      <c r="AG34" s="501"/>
      <c r="AH34" s="490" t="str">
        <f>IF(AND('Mapa de Riesgos'!$H$51="Baja",'Mapa de Riesgos'!$L$51="Catastrófico"),CONCATENATE("R",'Mapa de Riesgos'!$A$51),"")</f>
        <v/>
      </c>
      <c r="AI34" s="491"/>
      <c r="AJ34" s="491" t="str">
        <f>IF(AND('Mapa de Riesgos'!$H$57="Baja",'Mapa de Riesgos'!$L$57="Catastrófico"),CONCATENATE("R",'Mapa de Riesgos'!$A$57),"")</f>
        <v/>
      </c>
      <c r="AK34" s="491"/>
      <c r="AL34" s="491" t="str">
        <f>IF(AND('Mapa de Riesgos'!$H$63="Baja",'Mapa de Riesgos'!$L$63="Catastrófico"),CONCATENATE("R",'Mapa de Riesgos'!$A$63),"")</f>
        <v/>
      </c>
      <c r="AM34" s="492"/>
      <c r="AN34" s="83"/>
      <c r="AO34" s="551"/>
      <c r="AP34" s="552"/>
      <c r="AQ34" s="552"/>
      <c r="AR34" s="552"/>
      <c r="AS34" s="552"/>
      <c r="AT34" s="55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19"/>
      <c r="C35" s="519"/>
      <c r="D35" s="520"/>
      <c r="E35" s="512"/>
      <c r="F35" s="513"/>
      <c r="G35" s="513"/>
      <c r="H35" s="513"/>
      <c r="I35" s="513"/>
      <c r="J35" s="472"/>
      <c r="K35" s="473"/>
      <c r="L35" s="473"/>
      <c r="M35" s="473"/>
      <c r="N35" s="473"/>
      <c r="O35" s="474"/>
      <c r="P35" s="482"/>
      <c r="Q35" s="482"/>
      <c r="R35" s="482"/>
      <c r="S35" s="482"/>
      <c r="T35" s="482"/>
      <c r="U35" s="483"/>
      <c r="V35" s="481"/>
      <c r="W35" s="482"/>
      <c r="X35" s="482"/>
      <c r="Y35" s="482"/>
      <c r="Z35" s="482"/>
      <c r="AA35" s="483"/>
      <c r="AB35" s="499"/>
      <c r="AC35" s="500"/>
      <c r="AD35" s="500"/>
      <c r="AE35" s="500"/>
      <c r="AF35" s="500"/>
      <c r="AG35" s="501"/>
      <c r="AH35" s="490"/>
      <c r="AI35" s="491"/>
      <c r="AJ35" s="491"/>
      <c r="AK35" s="491"/>
      <c r="AL35" s="491"/>
      <c r="AM35" s="492"/>
      <c r="AN35" s="83"/>
      <c r="AO35" s="551"/>
      <c r="AP35" s="552"/>
      <c r="AQ35" s="552"/>
      <c r="AR35" s="552"/>
      <c r="AS35" s="552"/>
      <c r="AT35" s="55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19"/>
      <c r="C36" s="519"/>
      <c r="D36" s="520"/>
      <c r="E36" s="512"/>
      <c r="F36" s="513"/>
      <c r="G36" s="513"/>
      <c r="H36" s="513"/>
      <c r="I36" s="513"/>
      <c r="J36" s="472" t="str">
        <f>IF(AND('Mapa de Riesgos'!$H$69="Baja",'Mapa de Riesgos'!$L$69="Leve"),CONCATENATE("R",'Mapa de Riesgos'!$A$69),"")</f>
        <v/>
      </c>
      <c r="K36" s="473"/>
      <c r="L36" s="473" t="str">
        <f>IF(AND('Mapa de Riesgos'!$H$87="Baja",'Mapa de Riesgos'!$L$87="Leve"),CONCATENATE("R",'Mapa de Riesgos'!$A$87),"")</f>
        <v/>
      </c>
      <c r="M36" s="473"/>
      <c r="N36" s="473" t="str">
        <f>IF(AND('Mapa de Riesgos'!$H$93="Baja",'Mapa de Riesgos'!$L$93="Leve"),CONCATENATE("R",'Mapa de Riesgos'!$A$93),"")</f>
        <v/>
      </c>
      <c r="O36" s="474"/>
      <c r="P36" s="482" t="str">
        <f>IF(AND('Mapa de Riesgos'!$H$69="Baja",'Mapa de Riesgos'!$L$69="Menor"),CONCATENATE("R",'Mapa de Riesgos'!$A$69),"")</f>
        <v/>
      </c>
      <c r="Q36" s="482"/>
      <c r="R36" s="482" t="str">
        <f>IF(AND('Mapa de Riesgos'!$H$87="Baja",'Mapa de Riesgos'!$L$87="Menor"),CONCATENATE("R",'Mapa de Riesgos'!$A$87),"")</f>
        <v/>
      </c>
      <c r="S36" s="482"/>
      <c r="T36" s="482" t="str">
        <f>IF(AND('Mapa de Riesgos'!$H$93="Baja",'Mapa de Riesgos'!$L$93="Menor"),CONCATENATE("R",'Mapa de Riesgos'!$A$93),"")</f>
        <v/>
      </c>
      <c r="U36" s="483"/>
      <c r="V36" s="481" t="str">
        <f>IF(AND('Mapa de Riesgos'!$H$69="Baja",'Mapa de Riesgos'!$L$69="Moderado"),CONCATENATE("R",'Mapa de Riesgos'!$A$69),"")</f>
        <v/>
      </c>
      <c r="W36" s="482"/>
      <c r="X36" s="482" t="str">
        <f>IF(AND('Mapa de Riesgos'!$H$87="Baja",'Mapa de Riesgos'!$L$87="Moderado"),CONCATENATE("R",'Mapa de Riesgos'!$A$87),"")</f>
        <v/>
      </c>
      <c r="Y36" s="482"/>
      <c r="Z36" s="482" t="str">
        <f>IF(AND('Mapa de Riesgos'!$H$93="Baja",'Mapa de Riesgos'!$L$93="Moderado"),CONCATENATE("R",'Mapa de Riesgos'!$A$93),"")</f>
        <v/>
      </c>
      <c r="AA36" s="483"/>
      <c r="AB36" s="499" t="str">
        <f>IF(AND('Mapa de Riesgos'!$H$69="Baja",'Mapa de Riesgos'!$L$69="Mayor"),CONCATENATE("R",'Mapa de Riesgos'!$A$69),"")</f>
        <v/>
      </c>
      <c r="AC36" s="500"/>
      <c r="AD36" s="500" t="str">
        <f>IF(AND('Mapa de Riesgos'!$H$87="Baja",'Mapa de Riesgos'!$L$87="Mayor"),CONCATENATE("R",'Mapa de Riesgos'!$A$87),"")</f>
        <v/>
      </c>
      <c r="AE36" s="500"/>
      <c r="AF36" s="500" t="str">
        <f>IF(AND('Mapa de Riesgos'!$H$93="Baja",'Mapa de Riesgos'!$L$93="Mayor"),CONCATENATE("R",'Mapa de Riesgos'!$A$93),"")</f>
        <v/>
      </c>
      <c r="AG36" s="501"/>
      <c r="AH36" s="490" t="str">
        <f>IF(AND('Mapa de Riesgos'!$H$69="Baja",'Mapa de Riesgos'!$L$69="Catastrófico"),CONCATENATE("R",'Mapa de Riesgos'!$A$69),"")</f>
        <v/>
      </c>
      <c r="AI36" s="491"/>
      <c r="AJ36" s="491" t="str">
        <f>IF(AND('Mapa de Riesgos'!$H$87="Baja",'Mapa de Riesgos'!$L$87="Catastrófico"),CONCATENATE("R",'Mapa de Riesgos'!$A$87),"")</f>
        <v/>
      </c>
      <c r="AK36" s="491"/>
      <c r="AL36" s="491" t="str">
        <f>IF(AND('Mapa de Riesgos'!$H$93="Baja",'Mapa de Riesgos'!$L$93="Catastrófico"),CONCATENATE("R",'Mapa de Riesgos'!$A$93),"")</f>
        <v/>
      </c>
      <c r="AM36" s="492"/>
      <c r="AN36" s="83"/>
      <c r="AO36" s="551"/>
      <c r="AP36" s="552"/>
      <c r="AQ36" s="552"/>
      <c r="AR36" s="552"/>
      <c r="AS36" s="552"/>
      <c r="AT36" s="55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19"/>
      <c r="C37" s="519"/>
      <c r="D37" s="520"/>
      <c r="E37" s="515"/>
      <c r="F37" s="516"/>
      <c r="G37" s="516"/>
      <c r="H37" s="516"/>
      <c r="I37" s="516"/>
      <c r="J37" s="475"/>
      <c r="K37" s="476"/>
      <c r="L37" s="476"/>
      <c r="M37" s="476"/>
      <c r="N37" s="476"/>
      <c r="O37" s="477"/>
      <c r="P37" s="485"/>
      <c r="Q37" s="485"/>
      <c r="R37" s="485"/>
      <c r="S37" s="485"/>
      <c r="T37" s="485"/>
      <c r="U37" s="486"/>
      <c r="V37" s="484"/>
      <c r="W37" s="485"/>
      <c r="X37" s="485"/>
      <c r="Y37" s="485"/>
      <c r="Z37" s="485"/>
      <c r="AA37" s="486"/>
      <c r="AB37" s="502"/>
      <c r="AC37" s="503"/>
      <c r="AD37" s="503"/>
      <c r="AE37" s="503"/>
      <c r="AF37" s="503"/>
      <c r="AG37" s="504"/>
      <c r="AH37" s="493"/>
      <c r="AI37" s="494"/>
      <c r="AJ37" s="494"/>
      <c r="AK37" s="494"/>
      <c r="AL37" s="494"/>
      <c r="AM37" s="495"/>
      <c r="AN37" s="83"/>
      <c r="AO37" s="554"/>
      <c r="AP37" s="555"/>
      <c r="AQ37" s="555"/>
      <c r="AR37" s="555"/>
      <c r="AS37" s="555"/>
      <c r="AT37" s="55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19"/>
      <c r="C38" s="519"/>
      <c r="D38" s="520"/>
      <c r="E38" s="509" t="s">
        <v>310</v>
      </c>
      <c r="F38" s="510"/>
      <c r="G38" s="510"/>
      <c r="H38" s="510"/>
      <c r="I38" s="511"/>
      <c r="J38" s="478" t="str">
        <f>IF(AND('Mapa de Riesgos'!$H$12="Muy Baja",'Mapa de Riesgos'!$L$12="Leve"),CONCATENATE("R",'Mapa de Riesgos'!$A$12),"")</f>
        <v/>
      </c>
      <c r="K38" s="479"/>
      <c r="L38" s="479" t="str">
        <f>IF(AND('Mapa de Riesgos'!$H$18="Muy Baja",'Mapa de Riesgos'!$L$18="Leve"),CONCATENATE("R",'Mapa de Riesgos'!$A$18),"")</f>
        <v/>
      </c>
      <c r="M38" s="479"/>
      <c r="N38" s="479" t="str">
        <f>IF(AND('Mapa de Riesgos'!$H$24="Muy Baja",'Mapa de Riesgos'!$L$24="Leve"),CONCATENATE("R",'Mapa de Riesgos'!$A$24),"")</f>
        <v/>
      </c>
      <c r="O38" s="480"/>
      <c r="P38" s="478" t="str">
        <f>IF(AND('Mapa de Riesgos'!$H$12="Muy Baja",'Mapa de Riesgos'!$L$12="Menor"),CONCATENATE("R",'Mapa de Riesgos'!$A$12),"")</f>
        <v/>
      </c>
      <c r="Q38" s="479"/>
      <c r="R38" s="479" t="str">
        <f>IF(AND('Mapa de Riesgos'!$H$18="Muy Baja",'Mapa de Riesgos'!$L$18="Menor"),CONCATENATE("R",'Mapa de Riesgos'!$A$18),"")</f>
        <v/>
      </c>
      <c r="S38" s="479"/>
      <c r="T38" s="479" t="str">
        <f>IF(AND('Mapa de Riesgos'!$H$24="Muy Baja",'Mapa de Riesgos'!$L$24="Menor"),CONCATENATE("R",'Mapa de Riesgos'!$A$24),"")</f>
        <v/>
      </c>
      <c r="U38" s="480"/>
      <c r="V38" s="487" t="str">
        <f>IF(AND('Mapa de Riesgos'!$H$12="Muy Baja",'Mapa de Riesgos'!$L$12="Moderado"),CONCATENATE("R",'Mapa de Riesgos'!$A$12),"")</f>
        <v/>
      </c>
      <c r="W38" s="488"/>
      <c r="X38" s="488" t="str">
        <f>IF(AND('Mapa de Riesgos'!$H$18="Muy Baja",'Mapa de Riesgos'!$L$18="Moderado"),CONCATENATE("R",'Mapa de Riesgos'!$A$18),"")</f>
        <v/>
      </c>
      <c r="Y38" s="488"/>
      <c r="Z38" s="488" t="str">
        <f>IF(AND('Mapa de Riesgos'!$H$24="Muy Baja",'Mapa de Riesgos'!$L$24="Moderado"),CONCATENATE("R",'Mapa de Riesgos'!$A$24),"")</f>
        <v/>
      </c>
      <c r="AA38" s="489"/>
      <c r="AB38" s="505" t="str">
        <f>IF(AND('Mapa de Riesgos'!$H$12="Muy Baja",'Mapa de Riesgos'!$L$12="Mayor"),CONCATENATE("R",'Mapa de Riesgos'!$A$12),"")</f>
        <v/>
      </c>
      <c r="AC38" s="506"/>
      <c r="AD38" s="506" t="str">
        <f>IF(AND('Mapa de Riesgos'!$H$18="Muy Baja",'Mapa de Riesgos'!$L$18="Mayor"),CONCATENATE("R",'Mapa de Riesgos'!$A$18),"")</f>
        <v/>
      </c>
      <c r="AE38" s="506"/>
      <c r="AF38" s="506" t="str">
        <f>IF(AND('Mapa de Riesgos'!$H$24="Muy Baja",'Mapa de Riesgos'!$L$24="Mayor"),CONCATENATE("R",'Mapa de Riesgos'!$A$24),"")</f>
        <v/>
      </c>
      <c r="AG38" s="507"/>
      <c r="AH38" s="496" t="str">
        <f>IF(AND('Mapa de Riesgos'!$H$12="Muy Baja",'Mapa de Riesgos'!$L$12="Catastrófico"),CONCATENATE("R",'Mapa de Riesgos'!$A$12),"")</f>
        <v/>
      </c>
      <c r="AI38" s="497"/>
      <c r="AJ38" s="497" t="str">
        <f>IF(AND('Mapa de Riesgos'!$H$18="Muy Baja",'Mapa de Riesgos'!$L$18="Catastrófico"),CONCATENATE("R",'Mapa de Riesgos'!$A$18),"")</f>
        <v/>
      </c>
      <c r="AK38" s="497"/>
      <c r="AL38" s="497" t="str">
        <f>IF(AND('Mapa de Riesgos'!$H$24="Muy Baja",'Mapa de Riesgos'!$L$24="Catastrófico"),CONCATENATE("R",'Mapa de Riesgos'!$A$24),"")</f>
        <v/>
      </c>
      <c r="AM38" s="498"/>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19"/>
      <c r="C39" s="519"/>
      <c r="D39" s="520"/>
      <c r="E39" s="512"/>
      <c r="F39" s="513"/>
      <c r="G39" s="513"/>
      <c r="H39" s="513"/>
      <c r="I39" s="514"/>
      <c r="J39" s="472"/>
      <c r="K39" s="473"/>
      <c r="L39" s="473"/>
      <c r="M39" s="473"/>
      <c r="N39" s="473"/>
      <c r="O39" s="474"/>
      <c r="P39" s="472"/>
      <c r="Q39" s="473"/>
      <c r="R39" s="473"/>
      <c r="S39" s="473"/>
      <c r="T39" s="473"/>
      <c r="U39" s="474"/>
      <c r="V39" s="481"/>
      <c r="W39" s="482"/>
      <c r="X39" s="482"/>
      <c r="Y39" s="482"/>
      <c r="Z39" s="482"/>
      <c r="AA39" s="483"/>
      <c r="AB39" s="499"/>
      <c r="AC39" s="500"/>
      <c r="AD39" s="500"/>
      <c r="AE39" s="500"/>
      <c r="AF39" s="500"/>
      <c r="AG39" s="501"/>
      <c r="AH39" s="490"/>
      <c r="AI39" s="491"/>
      <c r="AJ39" s="491"/>
      <c r="AK39" s="491"/>
      <c r="AL39" s="491"/>
      <c r="AM39" s="492"/>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19"/>
      <c r="C40" s="519"/>
      <c r="D40" s="520"/>
      <c r="E40" s="512"/>
      <c r="F40" s="513"/>
      <c r="G40" s="513"/>
      <c r="H40" s="513"/>
      <c r="I40" s="514"/>
      <c r="J40" s="472" t="str">
        <f>IF(AND('Mapa de Riesgos'!$H$30="Muy Baja",'Mapa de Riesgos'!$L$30="Leve"),CONCATENATE("R",'Mapa de Riesgos'!$A$30),"")</f>
        <v/>
      </c>
      <c r="K40" s="473"/>
      <c r="L40" s="473" t="str">
        <f>IF(AND('Mapa de Riesgos'!$H$37="Muy Baja",'Mapa de Riesgos'!$L$37="Leve"),CONCATENATE("R",'Mapa de Riesgos'!$A$37),"")</f>
        <v/>
      </c>
      <c r="M40" s="473"/>
      <c r="N40" s="473" t="str">
        <f>IF(AND('Mapa de Riesgos'!$H$43="Muy Baja",'Mapa de Riesgos'!$L$43="Leve"),CONCATENATE("R",'Mapa de Riesgos'!$A$43),"")</f>
        <v/>
      </c>
      <c r="O40" s="474"/>
      <c r="P40" s="472" t="str">
        <f>IF(AND('Mapa de Riesgos'!$H$30="Muy Baja",'Mapa de Riesgos'!$L$30="Menor"),CONCATENATE("R",'Mapa de Riesgos'!$A$30),"")</f>
        <v/>
      </c>
      <c r="Q40" s="473"/>
      <c r="R40" s="473" t="str">
        <f>IF(AND('Mapa de Riesgos'!$H$37="Muy Baja",'Mapa de Riesgos'!$L$37="Menor"),CONCATENATE("R",'Mapa de Riesgos'!$A$37),"")</f>
        <v/>
      </c>
      <c r="S40" s="473"/>
      <c r="T40" s="473" t="str">
        <f>IF(AND('Mapa de Riesgos'!$H$43="Muy Baja",'Mapa de Riesgos'!$L$43="Menor"),CONCATENATE("R",'Mapa de Riesgos'!$A$43),"")</f>
        <v/>
      </c>
      <c r="U40" s="474"/>
      <c r="V40" s="481" t="str">
        <f>IF(AND('Mapa de Riesgos'!$H$30="Muy Baja",'Mapa de Riesgos'!$L$30="Moderado"),CONCATENATE("R",'Mapa de Riesgos'!$A$30),"")</f>
        <v/>
      </c>
      <c r="W40" s="482"/>
      <c r="X40" s="482" t="str">
        <f>IF(AND('Mapa de Riesgos'!$H$37="Muy Baja",'Mapa de Riesgos'!$L$37="Moderado"),CONCATENATE("R",'Mapa de Riesgos'!$A$37),"")</f>
        <v/>
      </c>
      <c r="Y40" s="482"/>
      <c r="Z40" s="482" t="str">
        <f>IF(AND('Mapa de Riesgos'!$H$43="Muy Baja",'Mapa de Riesgos'!$L$43="Moderado"),CONCATENATE("R",'Mapa de Riesgos'!$A$43),"")</f>
        <v/>
      </c>
      <c r="AA40" s="483"/>
      <c r="AB40" s="499" t="str">
        <f>IF(AND('Mapa de Riesgos'!$H$30="Muy Baja",'Mapa de Riesgos'!$L$30="Mayor"),CONCATENATE("R",'Mapa de Riesgos'!$A$30),"")</f>
        <v/>
      </c>
      <c r="AC40" s="500"/>
      <c r="AD40" s="500" t="str">
        <f>IF(AND('Mapa de Riesgos'!$H$37="Muy Baja",'Mapa de Riesgos'!$L$37="Mayor"),CONCATENATE("R",'Mapa de Riesgos'!$A$37),"")</f>
        <v/>
      </c>
      <c r="AE40" s="500"/>
      <c r="AF40" s="500" t="str">
        <f>IF(AND('Mapa de Riesgos'!$H$43="Muy Baja",'Mapa de Riesgos'!$L$43="Mayor"),CONCATENATE("R",'Mapa de Riesgos'!$A$43),"")</f>
        <v/>
      </c>
      <c r="AG40" s="501"/>
      <c r="AH40" s="490" t="str">
        <f>IF(AND('Mapa de Riesgos'!$H$30="Muy Baja",'Mapa de Riesgos'!$L$30="Catastrófico"),CONCATENATE("R",'Mapa de Riesgos'!$A$30),"")</f>
        <v/>
      </c>
      <c r="AI40" s="491"/>
      <c r="AJ40" s="491" t="str">
        <f>IF(AND('Mapa de Riesgos'!$H$37="Muy Baja",'Mapa de Riesgos'!$L$37="Catastrófico"),CONCATENATE("R",'Mapa de Riesgos'!$A$37),"")</f>
        <v/>
      </c>
      <c r="AK40" s="491"/>
      <c r="AL40" s="491" t="str">
        <f>IF(AND('Mapa de Riesgos'!$H$43="Muy Baja",'Mapa de Riesgos'!$L$43="Catastrófico"),CONCATENATE("R",'Mapa de Riesgos'!$A$43),"")</f>
        <v/>
      </c>
      <c r="AM40" s="492"/>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19"/>
      <c r="C41" s="519"/>
      <c r="D41" s="520"/>
      <c r="E41" s="512"/>
      <c r="F41" s="513"/>
      <c r="G41" s="513"/>
      <c r="H41" s="513"/>
      <c r="I41" s="514"/>
      <c r="J41" s="472"/>
      <c r="K41" s="473"/>
      <c r="L41" s="473"/>
      <c r="M41" s="473"/>
      <c r="N41" s="473"/>
      <c r="O41" s="474"/>
      <c r="P41" s="472"/>
      <c r="Q41" s="473"/>
      <c r="R41" s="473"/>
      <c r="S41" s="473"/>
      <c r="T41" s="473"/>
      <c r="U41" s="474"/>
      <c r="V41" s="481"/>
      <c r="W41" s="482"/>
      <c r="X41" s="482"/>
      <c r="Y41" s="482"/>
      <c r="Z41" s="482"/>
      <c r="AA41" s="483"/>
      <c r="AB41" s="499"/>
      <c r="AC41" s="500"/>
      <c r="AD41" s="500"/>
      <c r="AE41" s="500"/>
      <c r="AF41" s="500"/>
      <c r="AG41" s="501"/>
      <c r="AH41" s="490"/>
      <c r="AI41" s="491"/>
      <c r="AJ41" s="491"/>
      <c r="AK41" s="491"/>
      <c r="AL41" s="491"/>
      <c r="AM41" s="492"/>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19"/>
      <c r="C42" s="519"/>
      <c r="D42" s="520"/>
      <c r="E42" s="512"/>
      <c r="F42" s="513"/>
      <c r="G42" s="513"/>
      <c r="H42" s="513"/>
      <c r="I42" s="514"/>
      <c r="J42" s="472" t="str">
        <f>IF(AND('Mapa de Riesgos'!$H$51="Muy Baja",'Mapa de Riesgos'!$L$51="Leve"),CONCATENATE("R",'Mapa de Riesgos'!$A$51),"")</f>
        <v/>
      </c>
      <c r="K42" s="473"/>
      <c r="L42" s="473" t="str">
        <f>IF(AND('Mapa de Riesgos'!$H$57="Muy Baja",'Mapa de Riesgos'!$L$57="Leve"),CONCATENATE("R",'Mapa de Riesgos'!$A$57),"")</f>
        <v/>
      </c>
      <c r="M42" s="473"/>
      <c r="N42" s="473" t="str">
        <f>IF(AND('Mapa de Riesgos'!$H$63="Muy Baja",'Mapa de Riesgos'!$L$63="Leve"),CONCATENATE("R",'Mapa de Riesgos'!$A$63),"")</f>
        <v/>
      </c>
      <c r="O42" s="474"/>
      <c r="P42" s="472" t="str">
        <f>IF(AND('Mapa de Riesgos'!$H$51="Muy Baja",'Mapa de Riesgos'!$L$51="Menor"),CONCATENATE("R",'Mapa de Riesgos'!$A$51),"")</f>
        <v/>
      </c>
      <c r="Q42" s="473"/>
      <c r="R42" s="473" t="str">
        <f>IF(AND('Mapa de Riesgos'!$H$57="Muy Baja",'Mapa de Riesgos'!$L$57="Menor"),CONCATENATE("R",'Mapa de Riesgos'!$A$57),"")</f>
        <v/>
      </c>
      <c r="S42" s="473"/>
      <c r="T42" s="473" t="str">
        <f>IF(AND('Mapa de Riesgos'!$H$63="Muy Baja",'Mapa de Riesgos'!$L$63="Menor"),CONCATENATE("R",'Mapa de Riesgos'!$A$63),"")</f>
        <v/>
      </c>
      <c r="U42" s="474"/>
      <c r="V42" s="481" t="str">
        <f>IF(AND('Mapa de Riesgos'!$H$51="Muy Baja",'Mapa de Riesgos'!$L$51="Moderado"),CONCATENATE("R",'Mapa de Riesgos'!$A$51),"")</f>
        <v/>
      </c>
      <c r="W42" s="482"/>
      <c r="X42" s="482" t="str">
        <f>IF(AND('Mapa de Riesgos'!$H$57="Muy Baja",'Mapa de Riesgos'!$L$57="Moderado"),CONCATENATE("R",'Mapa de Riesgos'!$A$57),"")</f>
        <v/>
      </c>
      <c r="Y42" s="482"/>
      <c r="Z42" s="482" t="str">
        <f>IF(AND('Mapa de Riesgos'!$H$63="Muy Baja",'Mapa de Riesgos'!$L$63="Moderado"),CONCATENATE("R",'Mapa de Riesgos'!$A$63),"")</f>
        <v/>
      </c>
      <c r="AA42" s="483"/>
      <c r="AB42" s="499" t="str">
        <f>IF(AND('Mapa de Riesgos'!$H$51="Muy Baja",'Mapa de Riesgos'!$L$51="Mayor"),CONCATENATE("R",'Mapa de Riesgos'!$A$51),"")</f>
        <v/>
      </c>
      <c r="AC42" s="500"/>
      <c r="AD42" s="500" t="str">
        <f>IF(AND('Mapa de Riesgos'!$H$57="Muy Baja",'Mapa de Riesgos'!$L$57="Mayor"),CONCATENATE("R",'Mapa de Riesgos'!$A$57),"")</f>
        <v/>
      </c>
      <c r="AE42" s="500"/>
      <c r="AF42" s="500" t="str">
        <f>IF(AND('Mapa de Riesgos'!$H$63="Muy Baja",'Mapa de Riesgos'!$L$63="Mayor"),CONCATENATE("R",'Mapa de Riesgos'!$A$63),"")</f>
        <v/>
      </c>
      <c r="AG42" s="501"/>
      <c r="AH42" s="490" t="str">
        <f>IF(AND('Mapa de Riesgos'!$H$51="Muy Baja",'Mapa de Riesgos'!$L$51="Catastrófico"),CONCATENATE("R",'Mapa de Riesgos'!$A$51),"")</f>
        <v/>
      </c>
      <c r="AI42" s="491"/>
      <c r="AJ42" s="491" t="str">
        <f>IF(AND('Mapa de Riesgos'!$H$57="Muy Baja",'Mapa de Riesgos'!$L$57="Catastrófico"),CONCATENATE("R",'Mapa de Riesgos'!$A$57),"")</f>
        <v/>
      </c>
      <c r="AK42" s="491"/>
      <c r="AL42" s="491" t="str">
        <f>IF(AND('Mapa de Riesgos'!$H$63="Muy Baja",'Mapa de Riesgos'!$L$63="Catastrófico"),CONCATENATE("R",'Mapa de Riesgos'!$A$63),"")</f>
        <v/>
      </c>
      <c r="AM42" s="492"/>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19"/>
      <c r="C43" s="519"/>
      <c r="D43" s="520"/>
      <c r="E43" s="512"/>
      <c r="F43" s="513"/>
      <c r="G43" s="513"/>
      <c r="H43" s="513"/>
      <c r="I43" s="514"/>
      <c r="J43" s="472"/>
      <c r="K43" s="473"/>
      <c r="L43" s="473"/>
      <c r="M43" s="473"/>
      <c r="N43" s="473"/>
      <c r="O43" s="474"/>
      <c r="P43" s="472"/>
      <c r="Q43" s="473"/>
      <c r="R43" s="473"/>
      <c r="S43" s="473"/>
      <c r="T43" s="473"/>
      <c r="U43" s="474"/>
      <c r="V43" s="481"/>
      <c r="W43" s="482"/>
      <c r="X43" s="482"/>
      <c r="Y43" s="482"/>
      <c r="Z43" s="482"/>
      <c r="AA43" s="483"/>
      <c r="AB43" s="499"/>
      <c r="AC43" s="500"/>
      <c r="AD43" s="500"/>
      <c r="AE43" s="500"/>
      <c r="AF43" s="500"/>
      <c r="AG43" s="501"/>
      <c r="AH43" s="490"/>
      <c r="AI43" s="491"/>
      <c r="AJ43" s="491"/>
      <c r="AK43" s="491"/>
      <c r="AL43" s="491"/>
      <c r="AM43" s="492"/>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19"/>
      <c r="C44" s="519"/>
      <c r="D44" s="520"/>
      <c r="E44" s="512"/>
      <c r="F44" s="513"/>
      <c r="G44" s="513"/>
      <c r="H44" s="513"/>
      <c r="I44" s="514"/>
      <c r="J44" s="472" t="str">
        <f>IF(AND('Mapa de Riesgos'!$H$69="Muy Baja",'Mapa de Riesgos'!$L$69="Leve"),CONCATENATE("R",'Mapa de Riesgos'!$A$69),"")</f>
        <v/>
      </c>
      <c r="K44" s="473"/>
      <c r="L44" s="473" t="str">
        <f>IF(AND('Mapa de Riesgos'!$H$87="Muy Baja",'Mapa de Riesgos'!$L$87="Leve"),CONCATENATE("R",'Mapa de Riesgos'!$A$87),"")</f>
        <v/>
      </c>
      <c r="M44" s="473"/>
      <c r="N44" s="473" t="str">
        <f>IF(AND('Mapa de Riesgos'!$H$93="Muy Baja",'Mapa de Riesgos'!$L$93="Leve"),CONCATENATE("R",'Mapa de Riesgos'!$A$93),"")</f>
        <v/>
      </c>
      <c r="O44" s="474"/>
      <c r="P44" s="472" t="str">
        <f>IF(AND('Mapa de Riesgos'!$H$69="Muy Baja",'Mapa de Riesgos'!$L$69="Menor"),CONCATENATE("R",'Mapa de Riesgos'!$A$69),"")</f>
        <v/>
      </c>
      <c r="Q44" s="473"/>
      <c r="R44" s="473" t="str">
        <f>IF(AND('Mapa de Riesgos'!$H$87="Muy Baja",'Mapa de Riesgos'!$L$87="Menor"),CONCATENATE("R",'Mapa de Riesgos'!$A$87),"")</f>
        <v/>
      </c>
      <c r="S44" s="473"/>
      <c r="T44" s="473" t="str">
        <f>IF(AND('Mapa de Riesgos'!$H$93="Muy Baja",'Mapa de Riesgos'!$L$93="Menor"),CONCATENATE("R",'Mapa de Riesgos'!$A$93),"")</f>
        <v/>
      </c>
      <c r="U44" s="474"/>
      <c r="V44" s="481" t="str">
        <f>IF(AND('Mapa de Riesgos'!$H$69="Muy Baja",'Mapa de Riesgos'!$L$69="Moderado"),CONCATENATE("R",'Mapa de Riesgos'!$A$69),"")</f>
        <v/>
      </c>
      <c r="W44" s="482"/>
      <c r="X44" s="482" t="str">
        <f>IF(AND('Mapa de Riesgos'!$H$87="Muy Baja",'Mapa de Riesgos'!$L$87="Moderado"),CONCATENATE("R",'Mapa de Riesgos'!$A$87),"")</f>
        <v/>
      </c>
      <c r="Y44" s="482"/>
      <c r="Z44" s="482" t="str">
        <f>IF(AND('Mapa de Riesgos'!$H$93="Muy Baja",'Mapa de Riesgos'!$L$93="Moderado"),CONCATENATE("R",'Mapa de Riesgos'!$A$93),"")</f>
        <v/>
      </c>
      <c r="AA44" s="483"/>
      <c r="AB44" s="499" t="str">
        <f>IF(AND('Mapa de Riesgos'!$H$69="Muy Baja",'Mapa de Riesgos'!$L$69="Mayor"),CONCATENATE("R",'Mapa de Riesgos'!$A$69),"")</f>
        <v/>
      </c>
      <c r="AC44" s="500"/>
      <c r="AD44" s="500" t="str">
        <f>IF(AND('Mapa de Riesgos'!$H$87="Muy Baja",'Mapa de Riesgos'!$L$87="Mayor"),CONCATENATE("R",'Mapa de Riesgos'!$A$87),"")</f>
        <v/>
      </c>
      <c r="AE44" s="500"/>
      <c r="AF44" s="500" t="str">
        <f>IF(AND('Mapa de Riesgos'!$H$93="Muy Baja",'Mapa de Riesgos'!$L$93="Mayor"),CONCATENATE("R",'Mapa de Riesgos'!$A$93),"")</f>
        <v/>
      </c>
      <c r="AG44" s="501"/>
      <c r="AH44" s="490" t="str">
        <f>IF(AND('Mapa de Riesgos'!$H$69="Muy Baja",'Mapa de Riesgos'!$L$69="Catastrófico"),CONCATENATE("R",'Mapa de Riesgos'!$A$69),"")</f>
        <v/>
      </c>
      <c r="AI44" s="491"/>
      <c r="AJ44" s="491" t="str">
        <f>IF(AND('Mapa de Riesgos'!$H$87="Muy Baja",'Mapa de Riesgos'!$L$87="Catastrófico"),CONCATENATE("R",'Mapa de Riesgos'!$A$87),"")</f>
        <v/>
      </c>
      <c r="AK44" s="491"/>
      <c r="AL44" s="491" t="str">
        <f>IF(AND('Mapa de Riesgos'!$H$93="Muy Baja",'Mapa de Riesgos'!$L$93="Catastrófico"),CONCATENATE("R",'Mapa de Riesgos'!$A$93),"")</f>
        <v/>
      </c>
      <c r="AM44" s="492"/>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19"/>
      <c r="C45" s="519"/>
      <c r="D45" s="520"/>
      <c r="E45" s="515"/>
      <c r="F45" s="516"/>
      <c r="G45" s="516"/>
      <c r="H45" s="516"/>
      <c r="I45" s="517"/>
      <c r="J45" s="475"/>
      <c r="K45" s="476"/>
      <c r="L45" s="476"/>
      <c r="M45" s="476"/>
      <c r="N45" s="476"/>
      <c r="O45" s="477"/>
      <c r="P45" s="475"/>
      <c r="Q45" s="476"/>
      <c r="R45" s="476"/>
      <c r="S45" s="476"/>
      <c r="T45" s="476"/>
      <c r="U45" s="477"/>
      <c r="V45" s="484"/>
      <c r="W45" s="485"/>
      <c r="X45" s="485"/>
      <c r="Y45" s="485"/>
      <c r="Z45" s="485"/>
      <c r="AA45" s="486"/>
      <c r="AB45" s="502"/>
      <c r="AC45" s="503"/>
      <c r="AD45" s="503"/>
      <c r="AE45" s="503"/>
      <c r="AF45" s="503"/>
      <c r="AG45" s="504"/>
      <c r="AH45" s="493"/>
      <c r="AI45" s="494"/>
      <c r="AJ45" s="494"/>
      <c r="AK45" s="494"/>
      <c r="AL45" s="494"/>
      <c r="AM45" s="495"/>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09" t="s">
        <v>311</v>
      </c>
      <c r="K46" s="510"/>
      <c r="L46" s="510"/>
      <c r="M46" s="510"/>
      <c r="N46" s="510"/>
      <c r="O46" s="511"/>
      <c r="P46" s="509" t="s">
        <v>312</v>
      </c>
      <c r="Q46" s="510"/>
      <c r="R46" s="510"/>
      <c r="S46" s="510"/>
      <c r="T46" s="510"/>
      <c r="U46" s="511"/>
      <c r="V46" s="509" t="s">
        <v>313</v>
      </c>
      <c r="W46" s="510"/>
      <c r="X46" s="510"/>
      <c r="Y46" s="510"/>
      <c r="Z46" s="510"/>
      <c r="AA46" s="511"/>
      <c r="AB46" s="509" t="s">
        <v>314</v>
      </c>
      <c r="AC46" s="518"/>
      <c r="AD46" s="510"/>
      <c r="AE46" s="510"/>
      <c r="AF46" s="510"/>
      <c r="AG46" s="511"/>
      <c r="AH46" s="509" t="s">
        <v>315</v>
      </c>
      <c r="AI46" s="510"/>
      <c r="AJ46" s="510"/>
      <c r="AK46" s="510"/>
      <c r="AL46" s="510"/>
      <c r="AM46" s="511"/>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12"/>
      <c r="K47" s="513"/>
      <c r="L47" s="513"/>
      <c r="M47" s="513"/>
      <c r="N47" s="513"/>
      <c r="O47" s="514"/>
      <c r="P47" s="512"/>
      <c r="Q47" s="513"/>
      <c r="R47" s="513"/>
      <c r="S47" s="513"/>
      <c r="T47" s="513"/>
      <c r="U47" s="514"/>
      <c r="V47" s="512"/>
      <c r="W47" s="513"/>
      <c r="X47" s="513"/>
      <c r="Y47" s="513"/>
      <c r="Z47" s="513"/>
      <c r="AA47" s="514"/>
      <c r="AB47" s="512"/>
      <c r="AC47" s="513"/>
      <c r="AD47" s="513"/>
      <c r="AE47" s="513"/>
      <c r="AF47" s="513"/>
      <c r="AG47" s="514"/>
      <c r="AH47" s="512"/>
      <c r="AI47" s="513"/>
      <c r="AJ47" s="513"/>
      <c r="AK47" s="513"/>
      <c r="AL47" s="513"/>
      <c r="AM47" s="514"/>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12"/>
      <c r="K48" s="513"/>
      <c r="L48" s="513"/>
      <c r="M48" s="513"/>
      <c r="N48" s="513"/>
      <c r="O48" s="514"/>
      <c r="P48" s="512"/>
      <c r="Q48" s="513"/>
      <c r="R48" s="513"/>
      <c r="S48" s="513"/>
      <c r="T48" s="513"/>
      <c r="U48" s="514"/>
      <c r="V48" s="512"/>
      <c r="W48" s="513"/>
      <c r="X48" s="513"/>
      <c r="Y48" s="513"/>
      <c r="Z48" s="513"/>
      <c r="AA48" s="514"/>
      <c r="AB48" s="512"/>
      <c r="AC48" s="513"/>
      <c r="AD48" s="513"/>
      <c r="AE48" s="513"/>
      <c r="AF48" s="513"/>
      <c r="AG48" s="514"/>
      <c r="AH48" s="512"/>
      <c r="AI48" s="513"/>
      <c r="AJ48" s="513"/>
      <c r="AK48" s="513"/>
      <c r="AL48" s="513"/>
      <c r="AM48" s="514"/>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12"/>
      <c r="K49" s="513"/>
      <c r="L49" s="513"/>
      <c r="M49" s="513"/>
      <c r="N49" s="513"/>
      <c r="O49" s="514"/>
      <c r="P49" s="512"/>
      <c r="Q49" s="513"/>
      <c r="R49" s="513"/>
      <c r="S49" s="513"/>
      <c r="T49" s="513"/>
      <c r="U49" s="514"/>
      <c r="V49" s="512"/>
      <c r="W49" s="513"/>
      <c r="X49" s="513"/>
      <c r="Y49" s="513"/>
      <c r="Z49" s="513"/>
      <c r="AA49" s="514"/>
      <c r="AB49" s="512"/>
      <c r="AC49" s="513"/>
      <c r="AD49" s="513"/>
      <c r="AE49" s="513"/>
      <c r="AF49" s="513"/>
      <c r="AG49" s="514"/>
      <c r="AH49" s="512"/>
      <c r="AI49" s="513"/>
      <c r="AJ49" s="513"/>
      <c r="AK49" s="513"/>
      <c r="AL49" s="513"/>
      <c r="AM49" s="514"/>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12"/>
      <c r="K50" s="513"/>
      <c r="L50" s="513"/>
      <c r="M50" s="513"/>
      <c r="N50" s="513"/>
      <c r="O50" s="514"/>
      <c r="P50" s="512"/>
      <c r="Q50" s="513"/>
      <c r="R50" s="513"/>
      <c r="S50" s="513"/>
      <c r="T50" s="513"/>
      <c r="U50" s="514"/>
      <c r="V50" s="512"/>
      <c r="W50" s="513"/>
      <c r="X50" s="513"/>
      <c r="Y50" s="513"/>
      <c r="Z50" s="513"/>
      <c r="AA50" s="514"/>
      <c r="AB50" s="512"/>
      <c r="AC50" s="513"/>
      <c r="AD50" s="513"/>
      <c r="AE50" s="513"/>
      <c r="AF50" s="513"/>
      <c r="AG50" s="514"/>
      <c r="AH50" s="512"/>
      <c r="AI50" s="513"/>
      <c r="AJ50" s="513"/>
      <c r="AK50" s="513"/>
      <c r="AL50" s="513"/>
      <c r="AM50" s="514"/>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15"/>
      <c r="K51" s="516"/>
      <c r="L51" s="516"/>
      <c r="M51" s="516"/>
      <c r="N51" s="516"/>
      <c r="O51" s="517"/>
      <c r="P51" s="515"/>
      <c r="Q51" s="516"/>
      <c r="R51" s="516"/>
      <c r="S51" s="516"/>
      <c r="T51" s="516"/>
      <c r="U51" s="517"/>
      <c r="V51" s="515"/>
      <c r="W51" s="516"/>
      <c r="X51" s="516"/>
      <c r="Y51" s="516"/>
      <c r="Z51" s="516"/>
      <c r="AA51" s="517"/>
      <c r="AB51" s="515"/>
      <c r="AC51" s="516"/>
      <c r="AD51" s="516"/>
      <c r="AE51" s="516"/>
      <c r="AF51" s="516"/>
      <c r="AG51" s="517"/>
      <c r="AH51" s="515"/>
      <c r="AI51" s="516"/>
      <c r="AJ51" s="516"/>
      <c r="AK51" s="516"/>
      <c r="AL51" s="516"/>
      <c r="AM51" s="517"/>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86" t="s">
        <v>316</v>
      </c>
      <c r="C2" s="587"/>
      <c r="D2" s="587"/>
      <c r="E2" s="587"/>
      <c r="F2" s="587"/>
      <c r="G2" s="587"/>
      <c r="H2" s="587"/>
      <c r="I2" s="587"/>
      <c r="J2" s="508" t="s">
        <v>26</v>
      </c>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87"/>
      <c r="C3" s="587"/>
      <c r="D3" s="587"/>
      <c r="E3" s="587"/>
      <c r="F3" s="587"/>
      <c r="G3" s="587"/>
      <c r="H3" s="587"/>
      <c r="I3" s="587"/>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87"/>
      <c r="C4" s="587"/>
      <c r="D4" s="587"/>
      <c r="E4" s="587"/>
      <c r="F4" s="587"/>
      <c r="G4" s="587"/>
      <c r="H4" s="587"/>
      <c r="I4" s="587"/>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19" t="s">
        <v>301</v>
      </c>
      <c r="C6" s="519"/>
      <c r="D6" s="520"/>
      <c r="E6" s="557" t="s">
        <v>302</v>
      </c>
      <c r="F6" s="558"/>
      <c r="G6" s="558"/>
      <c r="H6" s="558"/>
      <c r="I6" s="559"/>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77" t="s">
        <v>303</v>
      </c>
      <c r="AP6" s="578"/>
      <c r="AQ6" s="578"/>
      <c r="AR6" s="578"/>
      <c r="AS6" s="578"/>
      <c r="AT6" s="57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19"/>
      <c r="C7" s="519"/>
      <c r="D7" s="520"/>
      <c r="E7" s="560"/>
      <c r="F7" s="561"/>
      <c r="G7" s="561"/>
      <c r="H7" s="561"/>
      <c r="I7" s="562"/>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80"/>
      <c r="AP7" s="581"/>
      <c r="AQ7" s="581"/>
      <c r="AR7" s="581"/>
      <c r="AS7" s="581"/>
      <c r="AT7" s="58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19"/>
      <c r="C8" s="519"/>
      <c r="D8" s="520"/>
      <c r="E8" s="560"/>
      <c r="F8" s="561"/>
      <c r="G8" s="561"/>
      <c r="H8" s="561"/>
      <c r="I8" s="562"/>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80"/>
      <c r="AP8" s="581"/>
      <c r="AQ8" s="581"/>
      <c r="AR8" s="581"/>
      <c r="AS8" s="581"/>
      <c r="AT8" s="58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19"/>
      <c r="C9" s="519"/>
      <c r="D9" s="520"/>
      <c r="E9" s="560"/>
      <c r="F9" s="561"/>
      <c r="G9" s="561"/>
      <c r="H9" s="561"/>
      <c r="I9" s="562"/>
      <c r="J9" s="52" t="str">
        <f>IF(AND('Mapa de Riesgos'!$Y$30="Muy Alta",'Mapa de Riesgos'!$AA$30="Leve"),CONCATENATE("R4C",'Mapa de Riesgos'!$O$30),"")</f>
        <v/>
      </c>
      <c r="K9" s="53" t="str">
        <f>IF(AND('Mapa de Riesgos'!$Y$32="Muy Alta",'Mapa de Riesgos'!$AA$32="Leve"),CONCATENATE("R4C",'Mapa de Riesgos'!$O$32),"")</f>
        <v/>
      </c>
      <c r="L9" s="53" t="str">
        <f>IF(AND('Mapa de Riesgos'!$Y$33="Muy Alta",'Mapa de Riesgos'!$AA$33="Leve"),CONCATENATE("R4C",'Mapa de Riesgos'!$O$33),"")</f>
        <v/>
      </c>
      <c r="M9" s="53" t="str">
        <f>IF(AND('Mapa de Riesgos'!$Y$34="Muy Alta",'Mapa de Riesgos'!$AA$34="Leve"),CONCATENATE("R4C",'Mapa de Riesgos'!$O$34),"")</f>
        <v/>
      </c>
      <c r="N9" s="53" t="str">
        <f>IF(AND('Mapa de Riesgos'!$Y$35="Muy Alta",'Mapa de Riesgos'!$AA$35="Leve"),CONCATENATE("R4C",'Mapa de Riesgos'!$O$35),"")</f>
        <v/>
      </c>
      <c r="O9" s="54" t="str">
        <f>IF(AND('Mapa de Riesgos'!$Y$36="Muy Alta",'Mapa de Riesgos'!$AA$36="Leve"),CONCATENATE("R4C",'Mapa de Riesgos'!$O$36),"")</f>
        <v/>
      </c>
      <c r="P9" s="52" t="str">
        <f>IF(AND('Mapa de Riesgos'!$Y$30="Muy Alta",'Mapa de Riesgos'!$AA$30="Menor"),CONCATENATE("R4C",'Mapa de Riesgos'!$O$30),"")</f>
        <v/>
      </c>
      <c r="Q9" s="53" t="str">
        <f>IF(AND('Mapa de Riesgos'!$Y$32="Muy Alta",'Mapa de Riesgos'!$AA$32="Menor"),CONCATENATE("R4C",'Mapa de Riesgos'!$O$32),"")</f>
        <v/>
      </c>
      <c r="R9" s="53" t="str">
        <f>IF(AND('Mapa de Riesgos'!$Y$33="Muy Alta",'Mapa de Riesgos'!$AA$33="Menor"),CONCATENATE("R4C",'Mapa de Riesgos'!$O$33),"")</f>
        <v/>
      </c>
      <c r="S9" s="53" t="str">
        <f>IF(AND('Mapa de Riesgos'!$Y$34="Muy Alta",'Mapa de Riesgos'!$AA$34="Menor"),CONCATENATE("R4C",'Mapa de Riesgos'!$O$34),"")</f>
        <v/>
      </c>
      <c r="T9" s="53" t="str">
        <f>IF(AND('Mapa de Riesgos'!$Y$35="Muy Alta",'Mapa de Riesgos'!$AA$35="Menor"),CONCATENATE("R4C",'Mapa de Riesgos'!$O$35),"")</f>
        <v/>
      </c>
      <c r="U9" s="54" t="str">
        <f>IF(AND('Mapa de Riesgos'!$Y$36="Muy Alta",'Mapa de Riesgos'!$AA$36="Menor"),CONCATENATE("R4C",'Mapa de Riesgos'!$O$36),"")</f>
        <v/>
      </c>
      <c r="V9" s="52" t="str">
        <f>IF(AND('Mapa de Riesgos'!$Y$30="Muy Alta",'Mapa de Riesgos'!$AA$30="Moderado"),CONCATENATE("R4C",'Mapa de Riesgos'!$O$30),"")</f>
        <v/>
      </c>
      <c r="W9" s="53" t="str">
        <f>IF(AND('Mapa de Riesgos'!$Y$32="Muy Alta",'Mapa de Riesgos'!$AA$32="Moderado"),CONCATENATE("R4C",'Mapa de Riesgos'!$O$32),"")</f>
        <v/>
      </c>
      <c r="X9" s="53" t="str">
        <f>IF(AND('Mapa de Riesgos'!$Y$33="Muy Alta",'Mapa de Riesgos'!$AA$33="Moderado"),CONCATENATE("R4C",'Mapa de Riesgos'!$O$33),"")</f>
        <v/>
      </c>
      <c r="Y9" s="53" t="str">
        <f>IF(AND('Mapa de Riesgos'!$Y$34="Muy Alta",'Mapa de Riesgos'!$AA$34="Moderado"),CONCATENATE("R4C",'Mapa de Riesgos'!$O$34),"")</f>
        <v/>
      </c>
      <c r="Z9" s="53" t="str">
        <f>IF(AND('Mapa de Riesgos'!$Y$35="Muy Alta",'Mapa de Riesgos'!$AA$35="Moderado"),CONCATENATE("R4C",'Mapa de Riesgos'!$O$35),"")</f>
        <v/>
      </c>
      <c r="AA9" s="54" t="str">
        <f>IF(AND('Mapa de Riesgos'!$Y$36="Muy Alta",'Mapa de Riesgos'!$AA$36="Moderado"),CONCATENATE("R4C",'Mapa de Riesgos'!$O$36),"")</f>
        <v/>
      </c>
      <c r="AB9" s="52" t="str">
        <f>IF(AND('Mapa de Riesgos'!$Y$30="Muy Alta",'Mapa de Riesgos'!$AA$30="Mayor"),CONCATENATE("R4C",'Mapa de Riesgos'!$O$30),"")</f>
        <v>R4C1</v>
      </c>
      <c r="AC9" s="53" t="str">
        <f>IF(AND('Mapa de Riesgos'!$Y$32="Muy Alta",'Mapa de Riesgos'!$AA$32="Mayor"),CONCATENATE("R4C",'Mapa de Riesgos'!$O$32),"")</f>
        <v/>
      </c>
      <c r="AD9" s="53" t="str">
        <f>IF(AND('Mapa de Riesgos'!$Y$33="Muy Alta",'Mapa de Riesgos'!$AA$33="Mayor"),CONCATENATE("R4C",'Mapa de Riesgos'!$O$33),"")</f>
        <v/>
      </c>
      <c r="AE9" s="53" t="str">
        <f>IF(AND('Mapa de Riesgos'!$Y$34="Muy Alta",'Mapa de Riesgos'!$AA$34="Mayor"),CONCATENATE("R4C",'Mapa de Riesgos'!$O$34),"")</f>
        <v/>
      </c>
      <c r="AF9" s="53" t="str">
        <f>IF(AND('Mapa de Riesgos'!$Y$35="Muy Alta",'Mapa de Riesgos'!$AA$35="Mayor"),CONCATENATE("R4C",'Mapa de Riesgos'!$O$35),"")</f>
        <v/>
      </c>
      <c r="AG9" s="54" t="str">
        <f>IF(AND('Mapa de Riesgos'!$Y$36="Muy Alta",'Mapa de Riesgos'!$AA$36="Mayor"),CONCATENATE("R4C",'Mapa de Riesgos'!$O$36),"")</f>
        <v/>
      </c>
      <c r="AH9" s="55" t="str">
        <f>IF(AND('Mapa de Riesgos'!$Y$30="Muy Alta",'Mapa de Riesgos'!$AA$30="Catastrófico"),CONCATENATE("R4C",'Mapa de Riesgos'!$O$30),"")</f>
        <v/>
      </c>
      <c r="AI9" s="56" t="str">
        <f>IF(AND('Mapa de Riesgos'!$Y$32="Muy Alta",'Mapa de Riesgos'!$AA$32="Catastrófico"),CONCATENATE("R4C",'Mapa de Riesgos'!$O$32),"")</f>
        <v/>
      </c>
      <c r="AJ9" s="56" t="str">
        <f>IF(AND('Mapa de Riesgos'!$Y$33="Muy Alta",'Mapa de Riesgos'!$AA$33="Catastrófico"),CONCATENATE("R4C",'Mapa de Riesgos'!$O$33),"")</f>
        <v/>
      </c>
      <c r="AK9" s="56" t="str">
        <f>IF(AND('Mapa de Riesgos'!$Y$34="Muy Alta",'Mapa de Riesgos'!$AA$34="Catastrófico"),CONCATENATE("R4C",'Mapa de Riesgos'!$O$34),"")</f>
        <v/>
      </c>
      <c r="AL9" s="56" t="str">
        <f>IF(AND('Mapa de Riesgos'!$Y$35="Muy Alta",'Mapa de Riesgos'!$AA$35="Catastrófico"),CONCATENATE("R4C",'Mapa de Riesgos'!$O$35),"")</f>
        <v/>
      </c>
      <c r="AM9" s="57" t="str">
        <f>IF(AND('Mapa de Riesgos'!$Y$36="Muy Alta",'Mapa de Riesgos'!$AA$36="Catastrófico"),CONCATENATE("R4C",'Mapa de Riesgos'!$O$36),"")</f>
        <v/>
      </c>
      <c r="AN9" s="83"/>
      <c r="AO9" s="580"/>
      <c r="AP9" s="581"/>
      <c r="AQ9" s="581"/>
      <c r="AR9" s="581"/>
      <c r="AS9" s="581"/>
      <c r="AT9" s="58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19"/>
      <c r="C10" s="519"/>
      <c r="D10" s="520"/>
      <c r="E10" s="560"/>
      <c r="F10" s="561"/>
      <c r="G10" s="561"/>
      <c r="H10" s="561"/>
      <c r="I10" s="562"/>
      <c r="J10" s="52" t="str">
        <f>IF(AND('Mapa de Riesgos'!$Y$37="Muy Alta",'Mapa de Riesgos'!$AA$37="Leve"),CONCATENATE("R5C",'Mapa de Riesgos'!$O$37),"")</f>
        <v/>
      </c>
      <c r="K10" s="53" t="str">
        <f>IF(AND('Mapa de Riesgos'!$Y$38="Muy Alta",'Mapa de Riesgos'!$AA$38="Leve"),CONCATENATE("R5C",'Mapa de Riesgos'!$O$38),"")</f>
        <v/>
      </c>
      <c r="L10" s="53" t="str">
        <f>IF(AND('Mapa de Riesgos'!$Y$39="Muy Alta",'Mapa de Riesgos'!$AA$39="Leve"),CONCATENATE("R5C",'Mapa de Riesgos'!$O$39),"")</f>
        <v/>
      </c>
      <c r="M10" s="53" t="str">
        <f>IF(AND('Mapa de Riesgos'!$Y$40="Muy Alta",'Mapa de Riesgos'!$AA$40="Leve"),CONCATENATE("R5C",'Mapa de Riesgos'!$O$40),"")</f>
        <v/>
      </c>
      <c r="N10" s="53" t="str">
        <f>IF(AND('Mapa de Riesgos'!$Y$41="Muy Alta",'Mapa de Riesgos'!$AA$41="Leve"),CONCATENATE("R5C",'Mapa de Riesgos'!$O$41),"")</f>
        <v/>
      </c>
      <c r="O10" s="54" t="str">
        <f>IF(AND('Mapa de Riesgos'!$Y$42="Muy Alta",'Mapa de Riesgos'!$AA$42="Leve"),CONCATENATE("R5C",'Mapa de Riesgos'!$O$42),"")</f>
        <v/>
      </c>
      <c r="P10" s="52" t="str">
        <f>IF(AND('Mapa de Riesgos'!$Y$37="Muy Alta",'Mapa de Riesgos'!$AA$37="Menor"),CONCATENATE("R5C",'Mapa de Riesgos'!$O$37),"")</f>
        <v/>
      </c>
      <c r="Q10" s="53" t="str">
        <f>IF(AND('Mapa de Riesgos'!$Y$38="Muy Alta",'Mapa de Riesgos'!$AA$38="Menor"),CONCATENATE("R5C",'Mapa de Riesgos'!$O$38),"")</f>
        <v/>
      </c>
      <c r="R10" s="53" t="str">
        <f>IF(AND('Mapa de Riesgos'!$Y$39="Muy Alta",'Mapa de Riesgos'!$AA$39="Menor"),CONCATENATE("R5C",'Mapa de Riesgos'!$O$39),"")</f>
        <v/>
      </c>
      <c r="S10" s="53" t="str">
        <f>IF(AND('Mapa de Riesgos'!$Y$40="Muy Alta",'Mapa de Riesgos'!$AA$40="Menor"),CONCATENATE("R5C",'Mapa de Riesgos'!$O$40),"")</f>
        <v/>
      </c>
      <c r="T10" s="53" t="str">
        <f>IF(AND('Mapa de Riesgos'!$Y$41="Muy Alta",'Mapa de Riesgos'!$AA$41="Menor"),CONCATENATE("R5C",'Mapa de Riesgos'!$O$41),"")</f>
        <v/>
      </c>
      <c r="U10" s="54" t="str">
        <f>IF(AND('Mapa de Riesgos'!$Y$42="Muy Alta",'Mapa de Riesgos'!$AA$42="Menor"),CONCATENATE("R5C",'Mapa de Riesgos'!$O$42),"")</f>
        <v/>
      </c>
      <c r="V10" s="52" t="str">
        <f>IF(AND('Mapa de Riesgos'!$Y$37="Muy Alta",'Mapa de Riesgos'!$AA$37="Moderado"),CONCATENATE("R5C",'Mapa de Riesgos'!$O$37),"")</f>
        <v/>
      </c>
      <c r="W10" s="53" t="str">
        <f>IF(AND('Mapa de Riesgos'!$Y$38="Muy Alta",'Mapa de Riesgos'!$AA$38="Moderado"),CONCATENATE("R5C",'Mapa de Riesgos'!$O$38),"")</f>
        <v/>
      </c>
      <c r="X10" s="53" t="str">
        <f>IF(AND('Mapa de Riesgos'!$Y$39="Muy Alta",'Mapa de Riesgos'!$AA$39="Moderado"),CONCATENATE("R5C",'Mapa de Riesgos'!$O$39),"")</f>
        <v/>
      </c>
      <c r="Y10" s="53" t="str">
        <f>IF(AND('Mapa de Riesgos'!$Y$40="Muy Alta",'Mapa de Riesgos'!$AA$40="Moderado"),CONCATENATE("R5C",'Mapa de Riesgos'!$O$40),"")</f>
        <v/>
      </c>
      <c r="Z10" s="53" t="str">
        <f>IF(AND('Mapa de Riesgos'!$Y$41="Muy Alta",'Mapa de Riesgos'!$AA$41="Moderado"),CONCATENATE("R5C",'Mapa de Riesgos'!$O$41),"")</f>
        <v/>
      </c>
      <c r="AA10" s="54" t="str">
        <f>IF(AND('Mapa de Riesgos'!$Y$42="Muy Alta",'Mapa de Riesgos'!$AA$42="Moderado"),CONCATENATE("R5C",'Mapa de Riesgos'!$O$42),"")</f>
        <v/>
      </c>
      <c r="AB10" s="52" t="str">
        <f>IF(AND('Mapa de Riesgos'!$Y$37="Muy Alta",'Mapa de Riesgos'!$AA$37="Mayor"),CONCATENATE("R5C",'Mapa de Riesgos'!$O$37),"")</f>
        <v/>
      </c>
      <c r="AC10" s="53" t="str">
        <f>IF(AND('Mapa de Riesgos'!$Y$38="Muy Alta",'Mapa de Riesgos'!$AA$38="Mayor"),CONCATENATE("R5C",'Mapa de Riesgos'!$O$38),"")</f>
        <v/>
      </c>
      <c r="AD10" s="53" t="str">
        <f>IF(AND('Mapa de Riesgos'!$Y$39="Muy Alta",'Mapa de Riesgos'!$AA$39="Mayor"),CONCATENATE("R5C",'Mapa de Riesgos'!$O$39),"")</f>
        <v/>
      </c>
      <c r="AE10" s="53" t="str">
        <f>IF(AND('Mapa de Riesgos'!$Y$40="Muy Alta",'Mapa de Riesgos'!$AA$40="Mayor"),CONCATENATE("R5C",'Mapa de Riesgos'!$O$40),"")</f>
        <v/>
      </c>
      <c r="AF10" s="53" t="str">
        <f>IF(AND('Mapa de Riesgos'!$Y$41="Muy Alta",'Mapa de Riesgos'!$AA$41="Mayor"),CONCATENATE("R5C",'Mapa de Riesgos'!$O$41),"")</f>
        <v/>
      </c>
      <c r="AG10" s="54" t="str">
        <f>IF(AND('Mapa de Riesgos'!$Y$42="Muy Alta",'Mapa de Riesgos'!$AA$42="Mayor"),CONCATENATE("R5C",'Mapa de Riesgos'!$O$42),"")</f>
        <v/>
      </c>
      <c r="AH10" s="55" t="str">
        <f>IF(AND('Mapa de Riesgos'!$Y$37="Muy Alta",'Mapa de Riesgos'!$AA$37="Catastrófico"),CONCATENATE("R5C",'Mapa de Riesgos'!$O$37),"")</f>
        <v/>
      </c>
      <c r="AI10" s="56" t="str">
        <f>IF(AND('Mapa de Riesgos'!$Y$38="Muy Alta",'Mapa de Riesgos'!$AA$38="Catastrófico"),CONCATENATE("R5C",'Mapa de Riesgos'!$O$38),"")</f>
        <v/>
      </c>
      <c r="AJ10" s="56" t="str">
        <f>IF(AND('Mapa de Riesgos'!$Y$39="Muy Alta",'Mapa de Riesgos'!$AA$39="Catastrófico"),CONCATENATE("R5C",'Mapa de Riesgos'!$O$39),"")</f>
        <v/>
      </c>
      <c r="AK10" s="56" t="str">
        <f>IF(AND('Mapa de Riesgos'!$Y$40="Muy Alta",'Mapa de Riesgos'!$AA$40="Catastrófico"),CONCATENATE("R5C",'Mapa de Riesgos'!$O$40),"")</f>
        <v/>
      </c>
      <c r="AL10" s="56" t="str">
        <f>IF(AND('Mapa de Riesgos'!$Y$41="Muy Alta",'Mapa de Riesgos'!$AA$41="Catastrófico"),CONCATENATE("R5C",'Mapa de Riesgos'!$O$41),"")</f>
        <v/>
      </c>
      <c r="AM10" s="57" t="str">
        <f>IF(AND('Mapa de Riesgos'!$Y$42="Muy Alta",'Mapa de Riesgos'!$AA$42="Catastrófico"),CONCATENATE("R5C",'Mapa de Riesgos'!$O$42),"")</f>
        <v/>
      </c>
      <c r="AN10" s="83"/>
      <c r="AO10" s="580"/>
      <c r="AP10" s="581"/>
      <c r="AQ10" s="581"/>
      <c r="AR10" s="581"/>
      <c r="AS10" s="581"/>
      <c r="AT10" s="58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19"/>
      <c r="C11" s="519"/>
      <c r="D11" s="520"/>
      <c r="E11" s="560"/>
      <c r="F11" s="561"/>
      <c r="G11" s="561"/>
      <c r="H11" s="561"/>
      <c r="I11" s="562"/>
      <c r="J11" s="52" t="str">
        <f>IF(AND('Mapa de Riesgos'!$Y$43="Muy Alta",'Mapa de Riesgos'!$AA$43="Leve"),CONCATENATE("R6C",'Mapa de Riesgos'!$O$43),"")</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Riesgos'!$Y$43="Muy Alta",'Mapa de Riesgos'!$AA$43="Menor"),CONCATENATE("R6C",'Mapa de Riesgos'!$O$43),"")</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Riesgos'!$Y$43="Muy Alta",'Mapa de Riesgos'!$AA$43="Moderado"),CONCATENATE("R6C",'Mapa de Riesgos'!$O$43),"")</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Riesgos'!$Y$43="Muy Alta",'Mapa de Riesgos'!$AA$43="Mayor"),CONCATENATE("R6C",'Mapa de Riesgos'!$O$43),"")</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Riesgos'!$Y$43="Muy Alta",'Mapa de Riesgos'!$AA$43="Catastrófico"),CONCATENATE("R6C",'Mapa de Riesgos'!$O$43),"")</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80"/>
      <c r="AP11" s="581"/>
      <c r="AQ11" s="581"/>
      <c r="AR11" s="581"/>
      <c r="AS11" s="581"/>
      <c r="AT11" s="58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19"/>
      <c r="C12" s="519"/>
      <c r="D12" s="520"/>
      <c r="E12" s="560"/>
      <c r="F12" s="561"/>
      <c r="G12" s="561"/>
      <c r="H12" s="561"/>
      <c r="I12" s="562"/>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80"/>
      <c r="AP12" s="581"/>
      <c r="AQ12" s="581"/>
      <c r="AR12" s="581"/>
      <c r="AS12" s="581"/>
      <c r="AT12" s="58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19"/>
      <c r="C13" s="519"/>
      <c r="D13" s="520"/>
      <c r="E13" s="560"/>
      <c r="F13" s="561"/>
      <c r="G13" s="561"/>
      <c r="H13" s="561"/>
      <c r="I13" s="562"/>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80"/>
      <c r="AP13" s="581"/>
      <c r="AQ13" s="581"/>
      <c r="AR13" s="581"/>
      <c r="AS13" s="581"/>
      <c r="AT13" s="582"/>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19"/>
      <c r="C14" s="519"/>
      <c r="D14" s="520"/>
      <c r="E14" s="560"/>
      <c r="F14" s="561"/>
      <c r="G14" s="561"/>
      <c r="H14" s="561"/>
      <c r="I14" s="562"/>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80"/>
      <c r="AP14" s="581"/>
      <c r="AQ14" s="581"/>
      <c r="AR14" s="581"/>
      <c r="AS14" s="581"/>
      <c r="AT14" s="58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19"/>
      <c r="C15" s="519"/>
      <c r="D15" s="520"/>
      <c r="E15" s="563"/>
      <c r="F15" s="564"/>
      <c r="G15" s="564"/>
      <c r="H15" s="564"/>
      <c r="I15" s="565"/>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83"/>
      <c r="AP15" s="584"/>
      <c r="AQ15" s="584"/>
      <c r="AR15" s="584"/>
      <c r="AS15" s="584"/>
      <c r="AT15" s="58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19"/>
      <c r="C16" s="519"/>
      <c r="D16" s="520"/>
      <c r="E16" s="557" t="s">
        <v>304</v>
      </c>
      <c r="F16" s="558"/>
      <c r="G16" s="558"/>
      <c r="H16" s="558"/>
      <c r="I16" s="558"/>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67" t="s">
        <v>305</v>
      </c>
      <c r="AP16" s="568"/>
      <c r="AQ16" s="568"/>
      <c r="AR16" s="568"/>
      <c r="AS16" s="568"/>
      <c r="AT16" s="56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19"/>
      <c r="C17" s="519"/>
      <c r="D17" s="520"/>
      <c r="E17" s="576"/>
      <c r="F17" s="561"/>
      <c r="G17" s="561"/>
      <c r="H17" s="561"/>
      <c r="I17" s="561"/>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70"/>
      <c r="AP17" s="571"/>
      <c r="AQ17" s="571"/>
      <c r="AR17" s="571"/>
      <c r="AS17" s="571"/>
      <c r="AT17" s="57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19"/>
      <c r="C18" s="519"/>
      <c r="D18" s="520"/>
      <c r="E18" s="560"/>
      <c r="F18" s="561"/>
      <c r="G18" s="561"/>
      <c r="H18" s="561"/>
      <c r="I18" s="561"/>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70"/>
      <c r="AP18" s="571"/>
      <c r="AQ18" s="571"/>
      <c r="AR18" s="571"/>
      <c r="AS18" s="571"/>
      <c r="AT18" s="57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19"/>
      <c r="C19" s="519"/>
      <c r="D19" s="520"/>
      <c r="E19" s="560"/>
      <c r="F19" s="561"/>
      <c r="G19" s="561"/>
      <c r="H19" s="561"/>
      <c r="I19" s="561"/>
      <c r="J19" s="67" t="str">
        <f>IF(AND('Mapa de Riesgos'!$Y$30="Alta",'Mapa de Riesgos'!$AA$30="Leve"),CONCATENATE("R4C",'Mapa de Riesgos'!$O$30),"")</f>
        <v/>
      </c>
      <c r="K19" s="68" t="str">
        <f>IF(AND('Mapa de Riesgos'!$Y$32="Alta",'Mapa de Riesgos'!$AA$32="Leve"),CONCATENATE("R4C",'Mapa de Riesgos'!$O$32),"")</f>
        <v/>
      </c>
      <c r="L19" s="68" t="str">
        <f>IF(AND('Mapa de Riesgos'!$Y$33="Alta",'Mapa de Riesgos'!$AA$33="Leve"),CONCATENATE("R4C",'Mapa de Riesgos'!$O$33),"")</f>
        <v/>
      </c>
      <c r="M19" s="68" t="str">
        <f>IF(AND('Mapa de Riesgos'!$Y$34="Alta",'Mapa de Riesgos'!$AA$34="Leve"),CONCATENATE("R4C",'Mapa de Riesgos'!$O$34),"")</f>
        <v/>
      </c>
      <c r="N19" s="68" t="str">
        <f>IF(AND('Mapa de Riesgos'!$Y$35="Alta",'Mapa de Riesgos'!$AA$35="Leve"),CONCATENATE("R4C",'Mapa de Riesgos'!$O$35),"")</f>
        <v/>
      </c>
      <c r="O19" s="69" t="str">
        <f>IF(AND('Mapa de Riesgos'!$Y$36="Alta",'Mapa de Riesgos'!$AA$36="Leve"),CONCATENATE("R4C",'Mapa de Riesgos'!$O$36),"")</f>
        <v/>
      </c>
      <c r="P19" s="67" t="str">
        <f>IF(AND('Mapa de Riesgos'!$Y$30="Alta",'Mapa de Riesgos'!$AA$30="Menor"),CONCATENATE("R4C",'Mapa de Riesgos'!$O$30),"")</f>
        <v/>
      </c>
      <c r="Q19" s="68" t="str">
        <f>IF(AND('Mapa de Riesgos'!$Y$32="Alta",'Mapa de Riesgos'!$AA$32="Menor"),CONCATENATE("R4C",'Mapa de Riesgos'!$O$32),"")</f>
        <v/>
      </c>
      <c r="R19" s="68" t="str">
        <f>IF(AND('Mapa de Riesgos'!$Y$33="Alta",'Mapa de Riesgos'!$AA$33="Menor"),CONCATENATE("R4C",'Mapa de Riesgos'!$O$33),"")</f>
        <v/>
      </c>
      <c r="S19" s="68" t="str">
        <f>IF(AND('Mapa de Riesgos'!$Y$34="Alta",'Mapa de Riesgos'!$AA$34="Menor"),CONCATENATE("R4C",'Mapa de Riesgos'!$O$34),"")</f>
        <v/>
      </c>
      <c r="T19" s="68" t="str">
        <f>IF(AND('Mapa de Riesgos'!$Y$35="Alta",'Mapa de Riesgos'!$AA$35="Menor"),CONCATENATE("R4C",'Mapa de Riesgos'!$O$35),"")</f>
        <v/>
      </c>
      <c r="U19" s="69" t="str">
        <f>IF(AND('Mapa de Riesgos'!$Y$36="Alta",'Mapa de Riesgos'!$AA$36="Menor"),CONCATENATE("R4C",'Mapa de Riesgos'!$O$36),"")</f>
        <v/>
      </c>
      <c r="V19" s="52" t="str">
        <f>IF(AND('Mapa de Riesgos'!$Y$30="Alta",'Mapa de Riesgos'!$AA$30="Moderado"),CONCATENATE("R4C",'Mapa de Riesgos'!$O$30),"")</f>
        <v/>
      </c>
      <c r="W19" s="53" t="str">
        <f>IF(AND('Mapa de Riesgos'!$Y$32="Alta",'Mapa de Riesgos'!$AA$32="Moderado"),CONCATENATE("R4C",'Mapa de Riesgos'!$O$32),"")</f>
        <v/>
      </c>
      <c r="X19" s="53" t="str">
        <f>IF(AND('Mapa de Riesgos'!$Y$33="Alta",'Mapa de Riesgos'!$AA$33="Moderado"),CONCATENATE("R4C",'Mapa de Riesgos'!$O$33),"")</f>
        <v/>
      </c>
      <c r="Y19" s="53" t="str">
        <f>IF(AND('Mapa de Riesgos'!$Y$34="Alta",'Mapa de Riesgos'!$AA$34="Moderado"),CONCATENATE("R4C",'Mapa de Riesgos'!$O$34),"")</f>
        <v/>
      </c>
      <c r="Z19" s="53" t="str">
        <f>IF(AND('Mapa de Riesgos'!$Y$35="Alta",'Mapa de Riesgos'!$AA$35="Moderado"),CONCATENATE("R4C",'Mapa de Riesgos'!$O$35),"")</f>
        <v/>
      </c>
      <c r="AA19" s="54" t="str">
        <f>IF(AND('Mapa de Riesgos'!$Y$36="Alta",'Mapa de Riesgos'!$AA$36="Moderado"),CONCATENATE("R4C",'Mapa de Riesgos'!$O$36),"")</f>
        <v/>
      </c>
      <c r="AB19" s="52" t="str">
        <f>IF(AND('Mapa de Riesgos'!$Y$30="Alta",'Mapa de Riesgos'!$AA$30="Mayor"),CONCATENATE("R4C",'Mapa de Riesgos'!$O$30),"")</f>
        <v/>
      </c>
      <c r="AC19" s="53" t="str">
        <f>IF(AND('Mapa de Riesgos'!$Y$32="Alta",'Mapa de Riesgos'!$AA$32="Mayor"),CONCATENATE("R4C",'Mapa de Riesgos'!$O$32),"")</f>
        <v/>
      </c>
      <c r="AD19" s="53" t="str">
        <f>IF(AND('Mapa de Riesgos'!$Y$33="Alta",'Mapa de Riesgos'!$AA$33="Mayor"),CONCATENATE("R4C",'Mapa de Riesgos'!$O$33),"")</f>
        <v/>
      </c>
      <c r="AE19" s="53" t="str">
        <f>IF(AND('Mapa de Riesgos'!$Y$34="Alta",'Mapa de Riesgos'!$AA$34="Mayor"),CONCATENATE("R4C",'Mapa de Riesgos'!$O$34),"")</f>
        <v/>
      </c>
      <c r="AF19" s="53" t="str">
        <f>IF(AND('Mapa de Riesgos'!$Y$35="Alta",'Mapa de Riesgos'!$AA$35="Mayor"),CONCATENATE("R4C",'Mapa de Riesgos'!$O$35),"")</f>
        <v/>
      </c>
      <c r="AG19" s="54" t="str">
        <f>IF(AND('Mapa de Riesgos'!$Y$36="Alta",'Mapa de Riesgos'!$AA$36="Mayor"),CONCATENATE("R4C",'Mapa de Riesgos'!$O$36),"")</f>
        <v/>
      </c>
      <c r="AH19" s="55" t="str">
        <f>IF(AND('Mapa de Riesgos'!$Y$30="Alta",'Mapa de Riesgos'!$AA$30="Catastrófico"),CONCATENATE("R4C",'Mapa de Riesgos'!$O$30),"")</f>
        <v/>
      </c>
      <c r="AI19" s="56" t="str">
        <f>IF(AND('Mapa de Riesgos'!$Y$32="Alta",'Mapa de Riesgos'!$AA$32="Catastrófico"),CONCATENATE("R4C",'Mapa de Riesgos'!$O$32),"")</f>
        <v/>
      </c>
      <c r="AJ19" s="56" t="str">
        <f>IF(AND('Mapa de Riesgos'!$Y$33="Alta",'Mapa de Riesgos'!$AA$33="Catastrófico"),CONCATENATE("R4C",'Mapa de Riesgos'!$O$33),"")</f>
        <v/>
      </c>
      <c r="AK19" s="56" t="str">
        <f>IF(AND('Mapa de Riesgos'!$Y$34="Alta",'Mapa de Riesgos'!$AA$34="Catastrófico"),CONCATENATE("R4C",'Mapa de Riesgos'!$O$34),"")</f>
        <v/>
      </c>
      <c r="AL19" s="56" t="str">
        <f>IF(AND('Mapa de Riesgos'!$Y$35="Alta",'Mapa de Riesgos'!$AA$35="Catastrófico"),CONCATENATE("R4C",'Mapa de Riesgos'!$O$35),"")</f>
        <v/>
      </c>
      <c r="AM19" s="57" t="str">
        <f>IF(AND('Mapa de Riesgos'!$Y$36="Alta",'Mapa de Riesgos'!$AA$36="Catastrófico"),CONCATENATE("R4C",'Mapa de Riesgos'!$O$36),"")</f>
        <v/>
      </c>
      <c r="AN19" s="83"/>
      <c r="AO19" s="570"/>
      <c r="AP19" s="571"/>
      <c r="AQ19" s="571"/>
      <c r="AR19" s="571"/>
      <c r="AS19" s="571"/>
      <c r="AT19" s="57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19"/>
      <c r="C20" s="519"/>
      <c r="D20" s="520"/>
      <c r="E20" s="560"/>
      <c r="F20" s="561"/>
      <c r="G20" s="561"/>
      <c r="H20" s="561"/>
      <c r="I20" s="561"/>
      <c r="J20" s="67" t="str">
        <f>IF(AND('Mapa de Riesgos'!$Y$37="Alta",'Mapa de Riesgos'!$AA$37="Leve"),CONCATENATE("R5C",'Mapa de Riesgos'!$O$37),"")</f>
        <v/>
      </c>
      <c r="K20" s="68" t="str">
        <f>IF(AND('Mapa de Riesgos'!$Y$38="Alta",'Mapa de Riesgos'!$AA$38="Leve"),CONCATENATE("R5C",'Mapa de Riesgos'!$O$38),"")</f>
        <v/>
      </c>
      <c r="L20" s="68" t="str">
        <f>IF(AND('Mapa de Riesgos'!$Y$39="Alta",'Mapa de Riesgos'!$AA$39="Leve"),CONCATENATE("R5C",'Mapa de Riesgos'!$O$39),"")</f>
        <v/>
      </c>
      <c r="M20" s="68" t="str">
        <f>IF(AND('Mapa de Riesgos'!$Y$40="Alta",'Mapa de Riesgos'!$AA$40="Leve"),CONCATENATE("R5C",'Mapa de Riesgos'!$O$40),"")</f>
        <v/>
      </c>
      <c r="N20" s="68" t="str">
        <f>IF(AND('Mapa de Riesgos'!$Y$41="Alta",'Mapa de Riesgos'!$AA$41="Leve"),CONCATENATE("R5C",'Mapa de Riesgos'!$O$41),"")</f>
        <v/>
      </c>
      <c r="O20" s="69" t="str">
        <f>IF(AND('Mapa de Riesgos'!$Y$42="Alta",'Mapa de Riesgos'!$AA$42="Leve"),CONCATENATE("R5C",'Mapa de Riesgos'!$O$42),"")</f>
        <v/>
      </c>
      <c r="P20" s="67" t="str">
        <f>IF(AND('Mapa de Riesgos'!$Y$37="Alta",'Mapa de Riesgos'!$AA$37="Menor"),CONCATENATE("R5C",'Mapa de Riesgos'!$O$37),"")</f>
        <v/>
      </c>
      <c r="Q20" s="68" t="str">
        <f>IF(AND('Mapa de Riesgos'!$Y$38="Alta",'Mapa de Riesgos'!$AA$38="Menor"),CONCATENATE("R5C",'Mapa de Riesgos'!$O$38),"")</f>
        <v/>
      </c>
      <c r="R20" s="68" t="str">
        <f>IF(AND('Mapa de Riesgos'!$Y$39="Alta",'Mapa de Riesgos'!$AA$39="Menor"),CONCATENATE("R5C",'Mapa de Riesgos'!$O$39),"")</f>
        <v/>
      </c>
      <c r="S20" s="68" t="str">
        <f>IF(AND('Mapa de Riesgos'!$Y$40="Alta",'Mapa de Riesgos'!$AA$40="Menor"),CONCATENATE("R5C",'Mapa de Riesgos'!$O$40),"")</f>
        <v/>
      </c>
      <c r="T20" s="68" t="str">
        <f>IF(AND('Mapa de Riesgos'!$Y$41="Alta",'Mapa de Riesgos'!$AA$41="Menor"),CONCATENATE("R5C",'Mapa de Riesgos'!$O$41),"")</f>
        <v/>
      </c>
      <c r="U20" s="69" t="str">
        <f>IF(AND('Mapa de Riesgos'!$Y$42="Alta",'Mapa de Riesgos'!$AA$42="Menor"),CONCATENATE("R5C",'Mapa de Riesgos'!$O$42),"")</f>
        <v/>
      </c>
      <c r="V20" s="52" t="str">
        <f>IF(AND('Mapa de Riesgos'!$Y$37="Alta",'Mapa de Riesgos'!$AA$37="Moderado"),CONCATENATE("R5C",'Mapa de Riesgos'!$O$37),"")</f>
        <v/>
      </c>
      <c r="W20" s="53" t="str">
        <f>IF(AND('Mapa de Riesgos'!$Y$38="Alta",'Mapa de Riesgos'!$AA$38="Moderado"),CONCATENATE("R5C",'Mapa de Riesgos'!$O$38),"")</f>
        <v/>
      </c>
      <c r="X20" s="53" t="str">
        <f>IF(AND('Mapa de Riesgos'!$Y$39="Alta",'Mapa de Riesgos'!$AA$39="Moderado"),CONCATENATE("R5C",'Mapa de Riesgos'!$O$39),"")</f>
        <v/>
      </c>
      <c r="Y20" s="53" t="str">
        <f>IF(AND('Mapa de Riesgos'!$Y$40="Alta",'Mapa de Riesgos'!$AA$40="Moderado"),CONCATENATE("R5C",'Mapa de Riesgos'!$O$40),"")</f>
        <v/>
      </c>
      <c r="Z20" s="53" t="str">
        <f>IF(AND('Mapa de Riesgos'!$Y$41="Alta",'Mapa de Riesgos'!$AA$41="Moderado"),CONCATENATE("R5C",'Mapa de Riesgos'!$O$41),"")</f>
        <v/>
      </c>
      <c r="AA20" s="54" t="str">
        <f>IF(AND('Mapa de Riesgos'!$Y$42="Alta",'Mapa de Riesgos'!$AA$42="Moderado"),CONCATENATE("R5C",'Mapa de Riesgos'!$O$42),"")</f>
        <v/>
      </c>
      <c r="AB20" s="52" t="str">
        <f>IF(AND('Mapa de Riesgos'!$Y$37="Alta",'Mapa de Riesgos'!$AA$37="Mayor"),CONCATENATE("R5C",'Mapa de Riesgos'!$O$37),"")</f>
        <v/>
      </c>
      <c r="AC20" s="53" t="str">
        <f>IF(AND('Mapa de Riesgos'!$Y$38="Alta",'Mapa de Riesgos'!$AA$38="Mayor"),CONCATENATE("R5C",'Mapa de Riesgos'!$O$38),"")</f>
        <v/>
      </c>
      <c r="AD20" s="53" t="str">
        <f>IF(AND('Mapa de Riesgos'!$Y$39="Alta",'Mapa de Riesgos'!$AA$39="Mayor"),CONCATENATE("R5C",'Mapa de Riesgos'!$O$39),"")</f>
        <v/>
      </c>
      <c r="AE20" s="53" t="str">
        <f>IF(AND('Mapa de Riesgos'!$Y$40="Alta",'Mapa de Riesgos'!$AA$40="Mayor"),CONCATENATE("R5C",'Mapa de Riesgos'!$O$40),"")</f>
        <v/>
      </c>
      <c r="AF20" s="53" t="str">
        <f>IF(AND('Mapa de Riesgos'!$Y$41="Alta",'Mapa de Riesgos'!$AA$41="Mayor"),CONCATENATE("R5C",'Mapa de Riesgos'!$O$41),"")</f>
        <v/>
      </c>
      <c r="AG20" s="54" t="str">
        <f>IF(AND('Mapa de Riesgos'!$Y$42="Alta",'Mapa de Riesgos'!$AA$42="Mayor"),CONCATENATE("R5C",'Mapa de Riesgos'!$O$42),"")</f>
        <v/>
      </c>
      <c r="AH20" s="55" t="str">
        <f>IF(AND('Mapa de Riesgos'!$Y$37="Alta",'Mapa de Riesgos'!$AA$37="Catastrófico"),CONCATENATE("R5C",'Mapa de Riesgos'!$O$37),"")</f>
        <v/>
      </c>
      <c r="AI20" s="56" t="str">
        <f>IF(AND('Mapa de Riesgos'!$Y$38="Alta",'Mapa de Riesgos'!$AA$38="Catastrófico"),CONCATENATE("R5C",'Mapa de Riesgos'!$O$38),"")</f>
        <v/>
      </c>
      <c r="AJ20" s="56" t="str">
        <f>IF(AND('Mapa de Riesgos'!$Y$39="Alta",'Mapa de Riesgos'!$AA$39="Catastrófico"),CONCATENATE("R5C",'Mapa de Riesgos'!$O$39),"")</f>
        <v/>
      </c>
      <c r="AK20" s="56" t="str">
        <f>IF(AND('Mapa de Riesgos'!$Y$40="Alta",'Mapa de Riesgos'!$AA$40="Catastrófico"),CONCATENATE("R5C",'Mapa de Riesgos'!$O$40),"")</f>
        <v/>
      </c>
      <c r="AL20" s="56" t="str">
        <f>IF(AND('Mapa de Riesgos'!$Y$41="Alta",'Mapa de Riesgos'!$AA$41="Catastrófico"),CONCATENATE("R5C",'Mapa de Riesgos'!$O$41),"")</f>
        <v/>
      </c>
      <c r="AM20" s="57" t="str">
        <f>IF(AND('Mapa de Riesgos'!$Y$42="Alta",'Mapa de Riesgos'!$AA$42="Catastrófico"),CONCATENATE("R5C",'Mapa de Riesgos'!$O$42),"")</f>
        <v/>
      </c>
      <c r="AN20" s="83"/>
      <c r="AO20" s="570"/>
      <c r="AP20" s="571"/>
      <c r="AQ20" s="571"/>
      <c r="AR20" s="571"/>
      <c r="AS20" s="571"/>
      <c r="AT20" s="57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19"/>
      <c r="C21" s="519"/>
      <c r="D21" s="520"/>
      <c r="E21" s="560"/>
      <c r="F21" s="561"/>
      <c r="G21" s="561"/>
      <c r="H21" s="561"/>
      <c r="I21" s="561"/>
      <c r="J21" s="67" t="str">
        <f>IF(AND('Mapa de Riesgos'!$Y$43="Alta",'Mapa de Riesgos'!$AA$43="Leve"),CONCATENATE("R6C",'Mapa de Riesgos'!$O$43),"")</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Riesgos'!$Y$43="Alta",'Mapa de Riesgos'!$AA$43="Menor"),CONCATENATE("R6C",'Mapa de Riesgos'!$O$43),"")</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Riesgos'!$Y$43="Alta",'Mapa de Riesgos'!$AA$43="Moderado"),CONCATENATE("R6C",'Mapa de Riesgos'!$O$43),"")</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Riesgos'!$Y$43="Alta",'Mapa de Riesgos'!$AA$43="Mayor"),CONCATENATE("R6C",'Mapa de Riesgos'!$O$43),"")</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Riesgos'!$Y$43="Alta",'Mapa de Riesgos'!$AA$43="Catastrófico"),CONCATENATE("R6C",'Mapa de Riesgos'!$O$43),"")</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70"/>
      <c r="AP21" s="571"/>
      <c r="AQ21" s="571"/>
      <c r="AR21" s="571"/>
      <c r="AS21" s="571"/>
      <c r="AT21" s="57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19"/>
      <c r="C22" s="519"/>
      <c r="D22" s="520"/>
      <c r="E22" s="560"/>
      <c r="F22" s="561"/>
      <c r="G22" s="561"/>
      <c r="H22" s="561"/>
      <c r="I22" s="561"/>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70"/>
      <c r="AP22" s="571"/>
      <c r="AQ22" s="571"/>
      <c r="AR22" s="571"/>
      <c r="AS22" s="571"/>
      <c r="AT22" s="57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19"/>
      <c r="C23" s="519"/>
      <c r="D23" s="520"/>
      <c r="E23" s="560"/>
      <c r="F23" s="561"/>
      <c r="G23" s="561"/>
      <c r="H23" s="561"/>
      <c r="I23" s="561"/>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70"/>
      <c r="AP23" s="571"/>
      <c r="AQ23" s="571"/>
      <c r="AR23" s="571"/>
      <c r="AS23" s="571"/>
      <c r="AT23" s="57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19"/>
      <c r="C24" s="519"/>
      <c r="D24" s="520"/>
      <c r="E24" s="560"/>
      <c r="F24" s="561"/>
      <c r="G24" s="561"/>
      <c r="H24" s="561"/>
      <c r="I24" s="561"/>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70"/>
      <c r="AP24" s="571"/>
      <c r="AQ24" s="571"/>
      <c r="AR24" s="571"/>
      <c r="AS24" s="571"/>
      <c r="AT24" s="57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19"/>
      <c r="C25" s="519"/>
      <c r="D25" s="520"/>
      <c r="E25" s="563"/>
      <c r="F25" s="564"/>
      <c r="G25" s="564"/>
      <c r="H25" s="564"/>
      <c r="I25" s="564"/>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73"/>
      <c r="AP25" s="574"/>
      <c r="AQ25" s="574"/>
      <c r="AR25" s="574"/>
      <c r="AS25" s="574"/>
      <c r="AT25" s="57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19"/>
      <c r="C26" s="519"/>
      <c r="D26" s="520"/>
      <c r="E26" s="557" t="s">
        <v>306</v>
      </c>
      <c r="F26" s="558"/>
      <c r="G26" s="558"/>
      <c r="H26" s="558"/>
      <c r="I26" s="559"/>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97" t="s">
        <v>307</v>
      </c>
      <c r="AP26" s="598"/>
      <c r="AQ26" s="598"/>
      <c r="AR26" s="598"/>
      <c r="AS26" s="598"/>
      <c r="AT26" s="59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19"/>
      <c r="C27" s="519"/>
      <c r="D27" s="520"/>
      <c r="E27" s="576"/>
      <c r="F27" s="561"/>
      <c r="G27" s="561"/>
      <c r="H27" s="561"/>
      <c r="I27" s="562"/>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600"/>
      <c r="AP27" s="601"/>
      <c r="AQ27" s="601"/>
      <c r="AR27" s="601"/>
      <c r="AS27" s="601"/>
      <c r="AT27" s="60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19"/>
      <c r="C28" s="519"/>
      <c r="D28" s="520"/>
      <c r="E28" s="560"/>
      <c r="F28" s="561"/>
      <c r="G28" s="561"/>
      <c r="H28" s="561"/>
      <c r="I28" s="562"/>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600"/>
      <c r="AP28" s="601"/>
      <c r="AQ28" s="601"/>
      <c r="AR28" s="601"/>
      <c r="AS28" s="601"/>
      <c r="AT28" s="60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19"/>
      <c r="C29" s="519"/>
      <c r="D29" s="520"/>
      <c r="E29" s="560"/>
      <c r="F29" s="561"/>
      <c r="G29" s="561"/>
      <c r="H29" s="561"/>
      <c r="I29" s="562"/>
      <c r="J29" s="67" t="str">
        <f>IF(AND('Mapa de Riesgos'!$Y$30="Media",'Mapa de Riesgos'!$AA$30="Leve"),CONCATENATE("R4C",'Mapa de Riesgos'!$O$30),"")</f>
        <v/>
      </c>
      <c r="K29" s="68" t="str">
        <f>IF(AND('Mapa de Riesgos'!$Y$32="Media",'Mapa de Riesgos'!$AA$32="Leve"),CONCATENATE("R4C",'Mapa de Riesgos'!$O$32),"")</f>
        <v>R4C2</v>
      </c>
      <c r="L29" s="68" t="str">
        <f>IF(AND('Mapa de Riesgos'!$Y$33="Media",'Mapa de Riesgos'!$AA$33="Leve"),CONCATENATE("R4C",'Mapa de Riesgos'!$O$33),"")</f>
        <v/>
      </c>
      <c r="M29" s="68" t="str">
        <f>IF(AND('Mapa de Riesgos'!$Y$34="Media",'Mapa de Riesgos'!$AA$34="Leve"),CONCATENATE("R4C",'Mapa de Riesgos'!$O$34),"")</f>
        <v/>
      </c>
      <c r="N29" s="68" t="str">
        <f>IF(AND('Mapa de Riesgos'!$Y$35="Media",'Mapa de Riesgos'!$AA$35="Leve"),CONCATENATE("R4C",'Mapa de Riesgos'!$O$35),"")</f>
        <v/>
      </c>
      <c r="O29" s="69" t="str">
        <f>IF(AND('Mapa de Riesgos'!$Y$36="Media",'Mapa de Riesgos'!$AA$36="Leve"),CONCATENATE("R4C",'Mapa de Riesgos'!$O$36),"")</f>
        <v/>
      </c>
      <c r="P29" s="67" t="str">
        <f>IF(AND('Mapa de Riesgos'!$Y$30="Media",'Mapa de Riesgos'!$AA$30="Menor"),CONCATENATE("R4C",'Mapa de Riesgos'!$O$30),"")</f>
        <v/>
      </c>
      <c r="Q29" s="68" t="str">
        <f>IF(AND('Mapa de Riesgos'!$Y$32="Media",'Mapa de Riesgos'!$AA$32="Menor"),CONCATENATE("R4C",'Mapa de Riesgos'!$O$32),"")</f>
        <v/>
      </c>
      <c r="R29" s="68" t="str">
        <f>IF(AND('Mapa de Riesgos'!$Y$33="Media",'Mapa de Riesgos'!$AA$33="Menor"),CONCATENATE("R4C",'Mapa de Riesgos'!$O$33),"")</f>
        <v/>
      </c>
      <c r="S29" s="68" t="str">
        <f>IF(AND('Mapa de Riesgos'!$Y$34="Media",'Mapa de Riesgos'!$AA$34="Menor"),CONCATENATE("R4C",'Mapa de Riesgos'!$O$34),"")</f>
        <v/>
      </c>
      <c r="T29" s="68" t="str">
        <f>IF(AND('Mapa de Riesgos'!$Y$35="Media",'Mapa de Riesgos'!$AA$35="Menor"),CONCATENATE("R4C",'Mapa de Riesgos'!$O$35),"")</f>
        <v/>
      </c>
      <c r="U29" s="69" t="str">
        <f>IF(AND('Mapa de Riesgos'!$Y$36="Media",'Mapa de Riesgos'!$AA$36="Menor"),CONCATENATE("R4C",'Mapa de Riesgos'!$O$36),"")</f>
        <v/>
      </c>
      <c r="V29" s="67" t="str">
        <f>IF(AND('Mapa de Riesgos'!$Y$30="Media",'Mapa de Riesgos'!$AA$30="Moderado"),CONCATENATE("R4C",'Mapa de Riesgos'!$O$30),"")</f>
        <v/>
      </c>
      <c r="W29" s="68" t="str">
        <f>IF(AND('Mapa de Riesgos'!$Y$32="Media",'Mapa de Riesgos'!$AA$32="Moderado"),CONCATENATE("R4C",'Mapa de Riesgos'!$O$32),"")</f>
        <v/>
      </c>
      <c r="X29" s="68" t="str">
        <f>IF(AND('Mapa de Riesgos'!$Y$33="Media",'Mapa de Riesgos'!$AA$33="Moderado"),CONCATENATE("R4C",'Mapa de Riesgos'!$O$33),"")</f>
        <v/>
      </c>
      <c r="Y29" s="68" t="str">
        <f>IF(AND('Mapa de Riesgos'!$Y$34="Media",'Mapa de Riesgos'!$AA$34="Moderado"),CONCATENATE("R4C",'Mapa de Riesgos'!$O$34),"")</f>
        <v/>
      </c>
      <c r="Z29" s="68" t="str">
        <f>IF(AND('Mapa de Riesgos'!$Y$35="Media",'Mapa de Riesgos'!$AA$35="Moderado"),CONCATENATE("R4C",'Mapa de Riesgos'!$O$35),"")</f>
        <v/>
      </c>
      <c r="AA29" s="69" t="str">
        <f>IF(AND('Mapa de Riesgos'!$Y$36="Media",'Mapa de Riesgos'!$AA$36="Moderado"),CONCATENATE("R4C",'Mapa de Riesgos'!$O$36),"")</f>
        <v/>
      </c>
      <c r="AB29" s="52" t="str">
        <f>IF(AND('Mapa de Riesgos'!$Y$30="Media",'Mapa de Riesgos'!$AA$30="Mayor"),CONCATENATE("R4C",'Mapa de Riesgos'!$O$30),"")</f>
        <v/>
      </c>
      <c r="AC29" s="53" t="str">
        <f>IF(AND('Mapa de Riesgos'!$Y$32="Media",'Mapa de Riesgos'!$AA$32="Mayor"),CONCATENATE("R4C",'Mapa de Riesgos'!$O$32),"")</f>
        <v/>
      </c>
      <c r="AD29" s="53" t="str">
        <f>IF(AND('Mapa de Riesgos'!$Y$33="Media",'Mapa de Riesgos'!$AA$33="Mayor"),CONCATENATE("R4C",'Mapa de Riesgos'!$O$33),"")</f>
        <v/>
      </c>
      <c r="AE29" s="53" t="str">
        <f>IF(AND('Mapa de Riesgos'!$Y$34="Media",'Mapa de Riesgos'!$AA$34="Mayor"),CONCATENATE("R4C",'Mapa de Riesgos'!$O$34),"")</f>
        <v/>
      </c>
      <c r="AF29" s="53" t="str">
        <f>IF(AND('Mapa de Riesgos'!$Y$35="Media",'Mapa de Riesgos'!$AA$35="Mayor"),CONCATENATE("R4C",'Mapa de Riesgos'!$O$35),"")</f>
        <v/>
      </c>
      <c r="AG29" s="54" t="str">
        <f>IF(AND('Mapa de Riesgos'!$Y$36="Media",'Mapa de Riesgos'!$AA$36="Mayor"),CONCATENATE("R4C",'Mapa de Riesgos'!$O$36),"")</f>
        <v/>
      </c>
      <c r="AH29" s="55" t="str">
        <f>IF(AND('Mapa de Riesgos'!$Y$30="Media",'Mapa de Riesgos'!$AA$30="Catastrófico"),CONCATENATE("R4C",'Mapa de Riesgos'!$O$30),"")</f>
        <v/>
      </c>
      <c r="AI29" s="56" t="str">
        <f>IF(AND('Mapa de Riesgos'!$Y$32="Media",'Mapa de Riesgos'!$AA$32="Catastrófico"),CONCATENATE("R4C",'Mapa de Riesgos'!$O$32),"")</f>
        <v/>
      </c>
      <c r="AJ29" s="56" t="str">
        <f>IF(AND('Mapa de Riesgos'!$Y$33="Media",'Mapa de Riesgos'!$AA$33="Catastrófico"),CONCATENATE("R4C",'Mapa de Riesgos'!$O$33),"")</f>
        <v/>
      </c>
      <c r="AK29" s="56" t="str">
        <f>IF(AND('Mapa de Riesgos'!$Y$34="Media",'Mapa de Riesgos'!$AA$34="Catastrófico"),CONCATENATE("R4C",'Mapa de Riesgos'!$O$34),"")</f>
        <v/>
      </c>
      <c r="AL29" s="56" t="str">
        <f>IF(AND('Mapa de Riesgos'!$Y$35="Media",'Mapa de Riesgos'!$AA$35="Catastrófico"),CONCATENATE("R4C",'Mapa de Riesgos'!$O$35),"")</f>
        <v/>
      </c>
      <c r="AM29" s="57" t="str">
        <f>IF(AND('Mapa de Riesgos'!$Y$36="Media",'Mapa de Riesgos'!$AA$36="Catastrófico"),CONCATENATE("R4C",'Mapa de Riesgos'!$O$36),"")</f>
        <v/>
      </c>
      <c r="AN29" s="83"/>
      <c r="AO29" s="600"/>
      <c r="AP29" s="601"/>
      <c r="AQ29" s="601"/>
      <c r="AR29" s="601"/>
      <c r="AS29" s="601"/>
      <c r="AT29" s="60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19"/>
      <c r="C30" s="519"/>
      <c r="D30" s="520"/>
      <c r="E30" s="560"/>
      <c r="F30" s="561"/>
      <c r="G30" s="561"/>
      <c r="H30" s="561"/>
      <c r="I30" s="562"/>
      <c r="J30" s="67" t="str">
        <f>IF(AND('Mapa de Riesgos'!$Y$37="Media",'Mapa de Riesgos'!$AA$37="Leve"),CONCATENATE("R5C",'Mapa de Riesgos'!$O$37),"")</f>
        <v/>
      </c>
      <c r="K30" s="68" t="str">
        <f>IF(AND('Mapa de Riesgos'!$Y$38="Media",'Mapa de Riesgos'!$AA$38="Leve"),CONCATENATE("R5C",'Mapa de Riesgos'!$O$38),"")</f>
        <v/>
      </c>
      <c r="L30" s="68" t="str">
        <f>IF(AND('Mapa de Riesgos'!$Y$39="Media",'Mapa de Riesgos'!$AA$39="Leve"),CONCATENATE("R5C",'Mapa de Riesgos'!$O$39),"")</f>
        <v/>
      </c>
      <c r="M30" s="68" t="str">
        <f>IF(AND('Mapa de Riesgos'!$Y$40="Media",'Mapa de Riesgos'!$AA$40="Leve"),CONCATENATE("R5C",'Mapa de Riesgos'!$O$40),"")</f>
        <v/>
      </c>
      <c r="N30" s="68" t="str">
        <f>IF(AND('Mapa de Riesgos'!$Y$41="Media",'Mapa de Riesgos'!$AA$41="Leve"),CONCATENATE("R5C",'Mapa de Riesgos'!$O$41),"")</f>
        <v/>
      </c>
      <c r="O30" s="69" t="str">
        <f>IF(AND('Mapa de Riesgos'!$Y$42="Media",'Mapa de Riesgos'!$AA$42="Leve"),CONCATENATE("R5C",'Mapa de Riesgos'!$O$42),"")</f>
        <v/>
      </c>
      <c r="P30" s="67" t="str">
        <f>IF(AND('Mapa de Riesgos'!$Y$37="Media",'Mapa de Riesgos'!$AA$37="Menor"),CONCATENATE("R5C",'Mapa de Riesgos'!$O$37),"")</f>
        <v/>
      </c>
      <c r="Q30" s="68" t="str">
        <f>IF(AND('Mapa de Riesgos'!$Y$38="Media",'Mapa de Riesgos'!$AA$38="Menor"),CONCATENATE("R5C",'Mapa de Riesgos'!$O$38),"")</f>
        <v/>
      </c>
      <c r="R30" s="68" t="str">
        <f>IF(AND('Mapa de Riesgos'!$Y$39="Media",'Mapa de Riesgos'!$AA$39="Menor"),CONCATENATE("R5C",'Mapa de Riesgos'!$O$39),"")</f>
        <v/>
      </c>
      <c r="S30" s="68" t="str">
        <f>IF(AND('Mapa de Riesgos'!$Y$40="Media",'Mapa de Riesgos'!$AA$40="Menor"),CONCATENATE("R5C",'Mapa de Riesgos'!$O$40),"")</f>
        <v/>
      </c>
      <c r="T30" s="68" t="str">
        <f>IF(AND('Mapa de Riesgos'!$Y$41="Media",'Mapa de Riesgos'!$AA$41="Menor"),CONCATENATE("R5C",'Mapa de Riesgos'!$O$41),"")</f>
        <v/>
      </c>
      <c r="U30" s="69" t="str">
        <f>IF(AND('Mapa de Riesgos'!$Y$42="Media",'Mapa de Riesgos'!$AA$42="Menor"),CONCATENATE("R5C",'Mapa de Riesgos'!$O$42),"")</f>
        <v/>
      </c>
      <c r="V30" s="67" t="str">
        <f>IF(AND('Mapa de Riesgos'!$Y$37="Media",'Mapa de Riesgos'!$AA$37="Moderado"),CONCATENATE("R5C",'Mapa de Riesgos'!$O$37),"")</f>
        <v/>
      </c>
      <c r="W30" s="68" t="str">
        <f>IF(AND('Mapa de Riesgos'!$Y$38="Media",'Mapa de Riesgos'!$AA$38="Moderado"),CONCATENATE("R5C",'Mapa de Riesgos'!$O$38),"")</f>
        <v/>
      </c>
      <c r="X30" s="68" t="str">
        <f>IF(AND('Mapa de Riesgos'!$Y$39="Media",'Mapa de Riesgos'!$AA$39="Moderado"),CONCATENATE("R5C",'Mapa de Riesgos'!$O$39),"")</f>
        <v/>
      </c>
      <c r="Y30" s="68" t="str">
        <f>IF(AND('Mapa de Riesgos'!$Y$40="Media",'Mapa de Riesgos'!$AA$40="Moderado"),CONCATENATE("R5C",'Mapa de Riesgos'!$O$40),"")</f>
        <v/>
      </c>
      <c r="Z30" s="68" t="str">
        <f>IF(AND('Mapa de Riesgos'!$Y$41="Media",'Mapa de Riesgos'!$AA$41="Moderado"),CONCATENATE("R5C",'Mapa de Riesgos'!$O$41),"")</f>
        <v/>
      </c>
      <c r="AA30" s="69" t="str">
        <f>IF(AND('Mapa de Riesgos'!$Y$42="Media",'Mapa de Riesgos'!$AA$42="Moderado"),CONCATENATE("R5C",'Mapa de Riesgos'!$O$42),"")</f>
        <v/>
      </c>
      <c r="AB30" s="52" t="str">
        <f>IF(AND('Mapa de Riesgos'!$Y$37="Media",'Mapa de Riesgos'!$AA$37="Mayor"),CONCATENATE("R5C",'Mapa de Riesgos'!$O$37),"")</f>
        <v/>
      </c>
      <c r="AC30" s="53" t="str">
        <f>IF(AND('Mapa de Riesgos'!$Y$38="Media",'Mapa de Riesgos'!$AA$38="Mayor"),CONCATENATE("R5C",'Mapa de Riesgos'!$O$38),"")</f>
        <v/>
      </c>
      <c r="AD30" s="53" t="str">
        <f>IF(AND('Mapa de Riesgos'!$Y$39="Media",'Mapa de Riesgos'!$AA$39="Mayor"),CONCATENATE("R5C",'Mapa de Riesgos'!$O$39),"")</f>
        <v/>
      </c>
      <c r="AE30" s="53" t="str">
        <f>IF(AND('Mapa de Riesgos'!$Y$40="Media",'Mapa de Riesgos'!$AA$40="Mayor"),CONCATENATE("R5C",'Mapa de Riesgos'!$O$40),"")</f>
        <v/>
      </c>
      <c r="AF30" s="53" t="str">
        <f>IF(AND('Mapa de Riesgos'!$Y$41="Media",'Mapa de Riesgos'!$AA$41="Mayor"),CONCATENATE("R5C",'Mapa de Riesgos'!$O$41),"")</f>
        <v/>
      </c>
      <c r="AG30" s="54" t="str">
        <f>IF(AND('Mapa de Riesgos'!$Y$42="Media",'Mapa de Riesgos'!$AA$42="Mayor"),CONCATENATE("R5C",'Mapa de Riesgos'!$O$42),"")</f>
        <v/>
      </c>
      <c r="AH30" s="55" t="str">
        <f>IF(AND('Mapa de Riesgos'!$Y$37="Media",'Mapa de Riesgos'!$AA$37="Catastrófico"),CONCATENATE("R5C",'Mapa de Riesgos'!$O$37),"")</f>
        <v/>
      </c>
      <c r="AI30" s="56" t="str">
        <f>IF(AND('Mapa de Riesgos'!$Y$38="Media",'Mapa de Riesgos'!$AA$38="Catastrófico"),CONCATENATE("R5C",'Mapa de Riesgos'!$O$38),"")</f>
        <v/>
      </c>
      <c r="AJ30" s="56" t="str">
        <f>IF(AND('Mapa de Riesgos'!$Y$39="Media",'Mapa de Riesgos'!$AA$39="Catastrófico"),CONCATENATE("R5C",'Mapa de Riesgos'!$O$39),"")</f>
        <v/>
      </c>
      <c r="AK30" s="56" t="str">
        <f>IF(AND('Mapa de Riesgos'!$Y$40="Media",'Mapa de Riesgos'!$AA$40="Catastrófico"),CONCATENATE("R5C",'Mapa de Riesgos'!$O$40),"")</f>
        <v/>
      </c>
      <c r="AL30" s="56" t="str">
        <f>IF(AND('Mapa de Riesgos'!$Y$41="Media",'Mapa de Riesgos'!$AA$41="Catastrófico"),CONCATENATE("R5C",'Mapa de Riesgos'!$O$41),"")</f>
        <v/>
      </c>
      <c r="AM30" s="57" t="str">
        <f>IF(AND('Mapa de Riesgos'!$Y$42="Media",'Mapa de Riesgos'!$AA$42="Catastrófico"),CONCATENATE("R5C",'Mapa de Riesgos'!$O$42),"")</f>
        <v/>
      </c>
      <c r="AN30" s="83"/>
      <c r="AO30" s="600"/>
      <c r="AP30" s="601"/>
      <c r="AQ30" s="601"/>
      <c r="AR30" s="601"/>
      <c r="AS30" s="601"/>
      <c r="AT30" s="60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19"/>
      <c r="C31" s="519"/>
      <c r="D31" s="520"/>
      <c r="E31" s="560"/>
      <c r="F31" s="561"/>
      <c r="G31" s="561"/>
      <c r="H31" s="561"/>
      <c r="I31" s="562"/>
      <c r="J31" s="67" t="str">
        <f>IF(AND('Mapa de Riesgos'!$Y$43="Media",'Mapa de Riesgos'!$AA$43="Leve"),CONCATENATE("R6C",'Mapa de Riesgos'!$O$43),"")</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Riesgos'!$Y$43="Media",'Mapa de Riesgos'!$AA$43="Menor"),CONCATENATE("R6C",'Mapa de Riesgos'!$O$43),"")</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Riesgos'!$Y$43="Media",'Mapa de Riesgos'!$AA$43="Moderado"),CONCATENATE("R6C",'Mapa de Riesgos'!$O$43),"")</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Riesgos'!$Y$43="Media",'Mapa de Riesgos'!$AA$43="Mayor"),CONCATENATE("R6C",'Mapa de Riesgos'!$O$43),"")</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Riesgos'!$Y$43="Media",'Mapa de Riesgos'!$AA$43="Catastrófico"),CONCATENATE("R6C",'Mapa de Riesgos'!$O$43),"")</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600"/>
      <c r="AP31" s="601"/>
      <c r="AQ31" s="601"/>
      <c r="AR31" s="601"/>
      <c r="AS31" s="601"/>
      <c r="AT31" s="60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19"/>
      <c r="C32" s="519"/>
      <c r="D32" s="520"/>
      <c r="E32" s="560"/>
      <c r="F32" s="561"/>
      <c r="G32" s="561"/>
      <c r="H32" s="561"/>
      <c r="I32" s="562"/>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600"/>
      <c r="AP32" s="601"/>
      <c r="AQ32" s="601"/>
      <c r="AR32" s="601"/>
      <c r="AS32" s="601"/>
      <c r="AT32" s="60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19"/>
      <c r="C33" s="519"/>
      <c r="D33" s="520"/>
      <c r="E33" s="560"/>
      <c r="F33" s="561"/>
      <c r="G33" s="561"/>
      <c r="H33" s="561"/>
      <c r="I33" s="562"/>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600"/>
      <c r="AP33" s="601"/>
      <c r="AQ33" s="601"/>
      <c r="AR33" s="601"/>
      <c r="AS33" s="601"/>
      <c r="AT33" s="60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19"/>
      <c r="C34" s="519"/>
      <c r="D34" s="520"/>
      <c r="E34" s="560"/>
      <c r="F34" s="561"/>
      <c r="G34" s="561"/>
      <c r="H34" s="561"/>
      <c r="I34" s="562"/>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600"/>
      <c r="AP34" s="601"/>
      <c r="AQ34" s="601"/>
      <c r="AR34" s="601"/>
      <c r="AS34" s="601"/>
      <c r="AT34" s="60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19"/>
      <c r="C35" s="519"/>
      <c r="D35" s="520"/>
      <c r="E35" s="563"/>
      <c r="F35" s="564"/>
      <c r="G35" s="564"/>
      <c r="H35" s="564"/>
      <c r="I35" s="565"/>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603"/>
      <c r="AP35" s="604"/>
      <c r="AQ35" s="604"/>
      <c r="AR35" s="604"/>
      <c r="AS35" s="604"/>
      <c r="AT35" s="60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19"/>
      <c r="C36" s="519"/>
      <c r="D36" s="520"/>
      <c r="E36" s="557" t="s">
        <v>308</v>
      </c>
      <c r="F36" s="558"/>
      <c r="G36" s="558"/>
      <c r="H36" s="558"/>
      <c r="I36" s="558"/>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88" t="s">
        <v>309</v>
      </c>
      <c r="AP36" s="589"/>
      <c r="AQ36" s="589"/>
      <c r="AR36" s="589"/>
      <c r="AS36" s="589"/>
      <c r="AT36" s="59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19"/>
      <c r="C37" s="519"/>
      <c r="D37" s="520"/>
      <c r="E37" s="576"/>
      <c r="F37" s="561"/>
      <c r="G37" s="561"/>
      <c r="H37" s="561"/>
      <c r="I37" s="561"/>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R2C1</v>
      </c>
      <c r="Q37" s="68" t="str">
        <f>IF(AND('Mapa de Riesgos'!$Y$19="Baja",'Mapa de Riesgos'!$AA$19="Menor"),CONCATENATE("R2C",'Mapa de Riesgos'!$O$19),"")</f>
        <v>R2C2</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91"/>
      <c r="AP37" s="592"/>
      <c r="AQ37" s="592"/>
      <c r="AR37" s="592"/>
      <c r="AS37" s="592"/>
      <c r="AT37" s="59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19"/>
      <c r="C38" s="519"/>
      <c r="D38" s="520"/>
      <c r="E38" s="560"/>
      <c r="F38" s="561"/>
      <c r="G38" s="561"/>
      <c r="H38" s="561"/>
      <c r="I38" s="561"/>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R3C1</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91"/>
      <c r="AP38" s="592"/>
      <c r="AQ38" s="592"/>
      <c r="AR38" s="592"/>
      <c r="AS38" s="592"/>
      <c r="AT38" s="59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19"/>
      <c r="C39" s="519"/>
      <c r="D39" s="520"/>
      <c r="E39" s="560"/>
      <c r="F39" s="561"/>
      <c r="G39" s="561"/>
      <c r="H39" s="561"/>
      <c r="I39" s="561"/>
      <c r="J39" s="76" t="str">
        <f>IF(AND('Mapa de Riesgos'!$Y$30="Baja",'Mapa de Riesgos'!$AA$30="Leve"),CONCATENATE("R4C",'Mapa de Riesgos'!$O$30),"")</f>
        <v/>
      </c>
      <c r="K39" s="77" t="str">
        <f>IF(AND('Mapa de Riesgos'!$Y$32="Baja",'Mapa de Riesgos'!$AA$32="Leve"),CONCATENATE("R4C",'Mapa de Riesgos'!$O$32),"")</f>
        <v/>
      </c>
      <c r="L39" s="77" t="str">
        <f>IF(AND('Mapa de Riesgos'!$Y$33="Baja",'Mapa de Riesgos'!$AA$33="Leve"),CONCATENATE("R4C",'Mapa de Riesgos'!$O$33),"")</f>
        <v/>
      </c>
      <c r="M39" s="77" t="str">
        <f>IF(AND('Mapa de Riesgos'!$Y$34="Baja",'Mapa de Riesgos'!$AA$34="Leve"),CONCATENATE("R4C",'Mapa de Riesgos'!$O$34),"")</f>
        <v/>
      </c>
      <c r="N39" s="77" t="str">
        <f>IF(AND('Mapa de Riesgos'!$Y$35="Baja",'Mapa de Riesgos'!$AA$35="Leve"),CONCATENATE("R4C",'Mapa de Riesgos'!$O$35),"")</f>
        <v/>
      </c>
      <c r="O39" s="78" t="str">
        <f>IF(AND('Mapa de Riesgos'!$Y$36="Baja",'Mapa de Riesgos'!$AA$36="Leve"),CONCATENATE("R4C",'Mapa de Riesgos'!$O$36),"")</f>
        <v/>
      </c>
      <c r="P39" s="67" t="str">
        <f>IF(AND('Mapa de Riesgos'!$Y$30="Baja",'Mapa de Riesgos'!$AA$30="Menor"),CONCATENATE("R4C",'Mapa de Riesgos'!$O$30),"")</f>
        <v/>
      </c>
      <c r="Q39" s="68" t="str">
        <f>IF(AND('Mapa de Riesgos'!$Y$32="Baja",'Mapa de Riesgos'!$AA$32="Menor"),CONCATENATE("R4C",'Mapa de Riesgos'!$O$32),"")</f>
        <v/>
      </c>
      <c r="R39" s="68" t="str">
        <f>IF(AND('Mapa de Riesgos'!$Y$33="Baja",'Mapa de Riesgos'!$AA$33="Menor"),CONCATENATE("R4C",'Mapa de Riesgos'!$O$33),"")</f>
        <v/>
      </c>
      <c r="S39" s="68" t="str">
        <f>IF(AND('Mapa de Riesgos'!$Y$34="Baja",'Mapa de Riesgos'!$AA$34="Menor"),CONCATENATE("R4C",'Mapa de Riesgos'!$O$34),"")</f>
        <v/>
      </c>
      <c r="T39" s="68" t="str">
        <f>IF(AND('Mapa de Riesgos'!$Y$35="Baja",'Mapa de Riesgos'!$AA$35="Menor"),CONCATENATE("R4C",'Mapa de Riesgos'!$O$35),"")</f>
        <v/>
      </c>
      <c r="U39" s="69" t="str">
        <f>IF(AND('Mapa de Riesgos'!$Y$36="Baja",'Mapa de Riesgos'!$AA$36="Menor"),CONCATENATE("R4C",'Mapa de Riesgos'!$O$36),"")</f>
        <v/>
      </c>
      <c r="V39" s="67" t="str">
        <f>IF(AND('Mapa de Riesgos'!$Y$30="Baja",'Mapa de Riesgos'!$AA$30="Moderado"),CONCATENATE("R4C",'Mapa de Riesgos'!$O$30),"")</f>
        <v/>
      </c>
      <c r="W39" s="68" t="str">
        <f>IF(AND('Mapa de Riesgos'!$Y$32="Baja",'Mapa de Riesgos'!$AA$32="Moderado"),CONCATENATE("R4C",'Mapa de Riesgos'!$O$32),"")</f>
        <v/>
      </c>
      <c r="X39" s="68" t="str">
        <f>IF(AND('Mapa de Riesgos'!$Y$33="Baja",'Mapa de Riesgos'!$AA$33="Moderado"),CONCATENATE("R4C",'Mapa de Riesgos'!$O$33),"")</f>
        <v/>
      </c>
      <c r="Y39" s="68" t="str">
        <f>IF(AND('Mapa de Riesgos'!$Y$34="Baja",'Mapa de Riesgos'!$AA$34="Moderado"),CONCATENATE("R4C",'Mapa de Riesgos'!$O$34),"")</f>
        <v/>
      </c>
      <c r="Z39" s="68" t="str">
        <f>IF(AND('Mapa de Riesgos'!$Y$35="Baja",'Mapa de Riesgos'!$AA$35="Moderado"),CONCATENATE("R4C",'Mapa de Riesgos'!$O$35),"")</f>
        <v/>
      </c>
      <c r="AA39" s="69" t="str">
        <f>IF(AND('Mapa de Riesgos'!$Y$36="Baja",'Mapa de Riesgos'!$AA$36="Moderado"),CONCATENATE("R4C",'Mapa de Riesgos'!$O$36),"")</f>
        <v/>
      </c>
      <c r="AB39" s="52" t="str">
        <f>IF(AND('Mapa de Riesgos'!$Y$30="Baja",'Mapa de Riesgos'!$AA$30="Mayor"),CONCATENATE("R4C",'Mapa de Riesgos'!$O$30),"")</f>
        <v/>
      </c>
      <c r="AC39" s="53" t="str">
        <f>IF(AND('Mapa de Riesgos'!$Y$32="Baja",'Mapa de Riesgos'!$AA$32="Mayor"),CONCATENATE("R4C",'Mapa de Riesgos'!$O$32),"")</f>
        <v/>
      </c>
      <c r="AD39" s="53" t="str">
        <f>IF(AND('Mapa de Riesgos'!$Y$33="Baja",'Mapa de Riesgos'!$AA$33="Mayor"),CONCATENATE("R4C",'Mapa de Riesgos'!$O$33),"")</f>
        <v/>
      </c>
      <c r="AE39" s="53" t="str">
        <f>IF(AND('Mapa de Riesgos'!$Y$34="Baja",'Mapa de Riesgos'!$AA$34="Mayor"),CONCATENATE("R4C",'Mapa de Riesgos'!$O$34),"")</f>
        <v/>
      </c>
      <c r="AF39" s="53" t="str">
        <f>IF(AND('Mapa de Riesgos'!$Y$35="Baja",'Mapa de Riesgos'!$AA$35="Mayor"),CONCATENATE("R4C",'Mapa de Riesgos'!$O$35),"")</f>
        <v/>
      </c>
      <c r="AG39" s="54" t="str">
        <f>IF(AND('Mapa de Riesgos'!$Y$36="Baja",'Mapa de Riesgos'!$AA$36="Mayor"),CONCATENATE("R4C",'Mapa de Riesgos'!$O$36),"")</f>
        <v/>
      </c>
      <c r="AH39" s="55" t="str">
        <f>IF(AND('Mapa de Riesgos'!$Y$30="Baja",'Mapa de Riesgos'!$AA$30="Catastrófico"),CONCATENATE("R4C",'Mapa de Riesgos'!$O$30),"")</f>
        <v/>
      </c>
      <c r="AI39" s="56" t="str">
        <f>IF(AND('Mapa de Riesgos'!$Y$32="Baja",'Mapa de Riesgos'!$AA$32="Catastrófico"),CONCATENATE("R4C",'Mapa de Riesgos'!$O$32),"")</f>
        <v/>
      </c>
      <c r="AJ39" s="56" t="str">
        <f>IF(AND('Mapa de Riesgos'!$Y$33="Baja",'Mapa de Riesgos'!$AA$33="Catastrófico"),CONCATENATE("R4C",'Mapa de Riesgos'!$O$33),"")</f>
        <v/>
      </c>
      <c r="AK39" s="56" t="str">
        <f>IF(AND('Mapa de Riesgos'!$Y$34="Baja",'Mapa de Riesgos'!$AA$34="Catastrófico"),CONCATENATE("R4C",'Mapa de Riesgos'!$O$34),"")</f>
        <v/>
      </c>
      <c r="AL39" s="56" t="str">
        <f>IF(AND('Mapa de Riesgos'!$Y$35="Baja",'Mapa de Riesgos'!$AA$35="Catastrófico"),CONCATENATE("R4C",'Mapa de Riesgos'!$O$35),"")</f>
        <v/>
      </c>
      <c r="AM39" s="57" t="str">
        <f>IF(AND('Mapa de Riesgos'!$Y$36="Baja",'Mapa de Riesgos'!$AA$36="Catastrófico"),CONCATENATE("R4C",'Mapa de Riesgos'!$O$36),"")</f>
        <v/>
      </c>
      <c r="AN39" s="83"/>
      <c r="AO39" s="591"/>
      <c r="AP39" s="592"/>
      <c r="AQ39" s="592"/>
      <c r="AR39" s="592"/>
      <c r="AS39" s="592"/>
      <c r="AT39" s="59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19"/>
      <c r="C40" s="519"/>
      <c r="D40" s="520"/>
      <c r="E40" s="560"/>
      <c r="F40" s="561"/>
      <c r="G40" s="561"/>
      <c r="H40" s="561"/>
      <c r="I40" s="561"/>
      <c r="J40" s="76" t="str">
        <f>IF(AND('Mapa de Riesgos'!$Y$37="Baja",'Mapa de Riesgos'!$AA$37="Leve"),CONCATENATE("R5C",'Mapa de Riesgos'!$O$37),"")</f>
        <v/>
      </c>
      <c r="K40" s="77" t="str">
        <f>IF(AND('Mapa de Riesgos'!$Y$38="Baja",'Mapa de Riesgos'!$AA$38="Leve"),CONCATENATE("R5C",'Mapa de Riesgos'!$O$38),"")</f>
        <v/>
      </c>
      <c r="L40" s="77" t="str">
        <f>IF(AND('Mapa de Riesgos'!$Y$39="Baja",'Mapa de Riesgos'!$AA$39="Leve"),CONCATENATE("R5C",'Mapa de Riesgos'!$O$39),"")</f>
        <v/>
      </c>
      <c r="M40" s="77" t="str">
        <f>IF(AND('Mapa de Riesgos'!$Y$40="Baja",'Mapa de Riesgos'!$AA$40="Leve"),CONCATENATE("R5C",'Mapa de Riesgos'!$O$40),"")</f>
        <v/>
      </c>
      <c r="N40" s="77" t="str">
        <f>IF(AND('Mapa de Riesgos'!$Y$41="Baja",'Mapa de Riesgos'!$AA$41="Leve"),CONCATENATE("R5C",'Mapa de Riesgos'!$O$41),"")</f>
        <v/>
      </c>
      <c r="O40" s="78" t="str">
        <f>IF(AND('Mapa de Riesgos'!$Y$42="Baja",'Mapa de Riesgos'!$AA$42="Leve"),CONCATENATE("R5C",'Mapa de Riesgos'!$O$42),"")</f>
        <v/>
      </c>
      <c r="P40" s="67" t="str">
        <f>IF(AND('Mapa de Riesgos'!$Y$37="Baja",'Mapa de Riesgos'!$AA$37="Menor"),CONCATENATE("R5C",'Mapa de Riesgos'!$O$37),"")</f>
        <v/>
      </c>
      <c r="Q40" s="68" t="str">
        <f>IF(AND('Mapa de Riesgos'!$Y$38="Baja",'Mapa de Riesgos'!$AA$38="Menor"),CONCATENATE("R5C",'Mapa de Riesgos'!$O$38),"")</f>
        <v/>
      </c>
      <c r="R40" s="68" t="str">
        <f>IF(AND('Mapa de Riesgos'!$Y$39="Baja",'Mapa de Riesgos'!$AA$39="Menor"),CONCATENATE("R5C",'Mapa de Riesgos'!$O$39),"")</f>
        <v/>
      </c>
      <c r="S40" s="68" t="str">
        <f>IF(AND('Mapa de Riesgos'!$Y$40="Baja",'Mapa de Riesgos'!$AA$40="Menor"),CONCATENATE("R5C",'Mapa de Riesgos'!$O$40),"")</f>
        <v/>
      </c>
      <c r="T40" s="68" t="str">
        <f>IF(AND('Mapa de Riesgos'!$Y$41="Baja",'Mapa de Riesgos'!$AA$41="Menor"),CONCATENATE("R5C",'Mapa de Riesgos'!$O$41),"")</f>
        <v/>
      </c>
      <c r="U40" s="69" t="str">
        <f>IF(AND('Mapa de Riesgos'!$Y$42="Baja",'Mapa de Riesgos'!$AA$42="Menor"),CONCATENATE("R5C",'Mapa de Riesgos'!$O$42),"")</f>
        <v/>
      </c>
      <c r="V40" s="67" t="str">
        <f>IF(AND('Mapa de Riesgos'!$Y$37="Baja",'Mapa de Riesgos'!$AA$37="Moderado"),CONCATENATE("R5C",'Mapa de Riesgos'!$O$37),"")</f>
        <v>R5C1</v>
      </c>
      <c r="W40" s="68" t="str">
        <f>IF(AND('Mapa de Riesgos'!$Y$38="Baja",'Mapa de Riesgos'!$AA$38="Moderado"),CONCATENATE("R5C",'Mapa de Riesgos'!$O$38),"")</f>
        <v/>
      </c>
      <c r="X40" s="68" t="str">
        <f>IF(AND('Mapa de Riesgos'!$Y$39="Baja",'Mapa de Riesgos'!$AA$39="Moderado"),CONCATENATE("R5C",'Mapa de Riesgos'!$O$39),"")</f>
        <v/>
      </c>
      <c r="Y40" s="68" t="str">
        <f>IF(AND('Mapa de Riesgos'!$Y$40="Baja",'Mapa de Riesgos'!$AA$40="Moderado"),CONCATENATE("R5C",'Mapa de Riesgos'!$O$40),"")</f>
        <v/>
      </c>
      <c r="Z40" s="68" t="str">
        <f>IF(AND('Mapa de Riesgos'!$Y$41="Baja",'Mapa de Riesgos'!$AA$41="Moderado"),CONCATENATE("R5C",'Mapa de Riesgos'!$O$41),"")</f>
        <v/>
      </c>
      <c r="AA40" s="69" t="str">
        <f>IF(AND('Mapa de Riesgos'!$Y$42="Baja",'Mapa de Riesgos'!$AA$42="Moderado"),CONCATENATE("R5C",'Mapa de Riesgos'!$O$42),"")</f>
        <v/>
      </c>
      <c r="AB40" s="52" t="str">
        <f>IF(AND('Mapa de Riesgos'!$Y$37="Baja",'Mapa de Riesgos'!$AA$37="Mayor"),CONCATENATE("R5C",'Mapa de Riesgos'!$O$37),"")</f>
        <v/>
      </c>
      <c r="AC40" s="53" t="str">
        <f>IF(AND('Mapa de Riesgos'!$Y$38="Baja",'Mapa de Riesgos'!$AA$38="Mayor"),CONCATENATE("R5C",'Mapa de Riesgos'!$O$38),"")</f>
        <v/>
      </c>
      <c r="AD40" s="53" t="str">
        <f>IF(AND('Mapa de Riesgos'!$Y$39="Baja",'Mapa de Riesgos'!$AA$39="Mayor"),CONCATENATE("R5C",'Mapa de Riesgos'!$O$39),"")</f>
        <v/>
      </c>
      <c r="AE40" s="53" t="str">
        <f>IF(AND('Mapa de Riesgos'!$Y$40="Baja",'Mapa de Riesgos'!$AA$40="Mayor"),CONCATENATE("R5C",'Mapa de Riesgos'!$O$40),"")</f>
        <v/>
      </c>
      <c r="AF40" s="53" t="str">
        <f>IF(AND('Mapa de Riesgos'!$Y$41="Baja",'Mapa de Riesgos'!$AA$41="Mayor"),CONCATENATE("R5C",'Mapa de Riesgos'!$O$41),"")</f>
        <v/>
      </c>
      <c r="AG40" s="54" t="str">
        <f>IF(AND('Mapa de Riesgos'!$Y$42="Baja",'Mapa de Riesgos'!$AA$42="Mayor"),CONCATENATE("R5C",'Mapa de Riesgos'!$O$42),"")</f>
        <v/>
      </c>
      <c r="AH40" s="55" t="str">
        <f>IF(AND('Mapa de Riesgos'!$Y$37="Baja",'Mapa de Riesgos'!$AA$37="Catastrófico"),CONCATENATE("R5C",'Mapa de Riesgos'!$O$37),"")</f>
        <v/>
      </c>
      <c r="AI40" s="56" t="str">
        <f>IF(AND('Mapa de Riesgos'!$Y$38="Baja",'Mapa de Riesgos'!$AA$38="Catastrófico"),CONCATENATE("R5C",'Mapa de Riesgos'!$O$38),"")</f>
        <v/>
      </c>
      <c r="AJ40" s="56" t="str">
        <f>IF(AND('Mapa de Riesgos'!$Y$39="Baja",'Mapa de Riesgos'!$AA$39="Catastrófico"),CONCATENATE("R5C",'Mapa de Riesgos'!$O$39),"")</f>
        <v/>
      </c>
      <c r="AK40" s="56" t="str">
        <f>IF(AND('Mapa de Riesgos'!$Y$40="Baja",'Mapa de Riesgos'!$AA$40="Catastrófico"),CONCATENATE("R5C",'Mapa de Riesgos'!$O$40),"")</f>
        <v/>
      </c>
      <c r="AL40" s="56" t="str">
        <f>IF(AND('Mapa de Riesgos'!$Y$41="Baja",'Mapa de Riesgos'!$AA$41="Catastrófico"),CONCATENATE("R5C",'Mapa de Riesgos'!$O$41),"")</f>
        <v/>
      </c>
      <c r="AM40" s="57" t="str">
        <f>IF(AND('Mapa de Riesgos'!$Y$42="Baja",'Mapa de Riesgos'!$AA$42="Catastrófico"),CONCATENATE("R5C",'Mapa de Riesgos'!$O$42),"")</f>
        <v/>
      </c>
      <c r="AN40" s="83"/>
      <c r="AO40" s="591"/>
      <c r="AP40" s="592"/>
      <c r="AQ40" s="592"/>
      <c r="AR40" s="592"/>
      <c r="AS40" s="592"/>
      <c r="AT40" s="59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19"/>
      <c r="C41" s="519"/>
      <c r="D41" s="520"/>
      <c r="E41" s="560"/>
      <c r="F41" s="561"/>
      <c r="G41" s="561"/>
      <c r="H41" s="561"/>
      <c r="I41" s="561"/>
      <c r="J41" s="76" t="str">
        <f>IF(AND('Mapa de Riesgos'!$Y$43="Baja",'Mapa de Riesgos'!$AA$43="Leve"),CONCATENATE("R6C",'Mapa de Riesgos'!$O$43),"")</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Riesgos'!$Y$43="Baja",'Mapa de Riesgos'!$AA$43="Menor"),CONCATENATE("R6C",'Mapa de Riesgos'!$O$43),"")</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Riesgos'!$Y$43="Baja",'Mapa de Riesgos'!$AA$43="Moderado"),CONCATENATE("R6C",'Mapa de Riesgos'!$O$43),"")</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Riesgos'!$Y$43="Baja",'Mapa de Riesgos'!$AA$43="Mayor"),CONCATENATE("R6C",'Mapa de Riesgos'!$O$43),"")</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Riesgos'!$Y$43="Baja",'Mapa de Riesgos'!$AA$43="Catastrófico"),CONCATENATE("R6C",'Mapa de Riesgos'!$O$43),"")</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91"/>
      <c r="AP41" s="592"/>
      <c r="AQ41" s="592"/>
      <c r="AR41" s="592"/>
      <c r="AS41" s="592"/>
      <c r="AT41" s="59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19"/>
      <c r="C42" s="519"/>
      <c r="D42" s="520"/>
      <c r="E42" s="560"/>
      <c r="F42" s="561"/>
      <c r="G42" s="561"/>
      <c r="H42" s="561"/>
      <c r="I42" s="561"/>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R7C1</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91"/>
      <c r="AP42" s="592"/>
      <c r="AQ42" s="592"/>
      <c r="AR42" s="592"/>
      <c r="AS42" s="592"/>
      <c r="AT42" s="59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19"/>
      <c r="C43" s="519"/>
      <c r="D43" s="520"/>
      <c r="E43" s="560"/>
      <c r="F43" s="561"/>
      <c r="G43" s="561"/>
      <c r="H43" s="561"/>
      <c r="I43" s="561"/>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R8C1</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91"/>
      <c r="AP43" s="592"/>
      <c r="AQ43" s="592"/>
      <c r="AR43" s="592"/>
      <c r="AS43" s="592"/>
      <c r="AT43" s="59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19"/>
      <c r="C44" s="519"/>
      <c r="D44" s="520"/>
      <c r="E44" s="560"/>
      <c r="F44" s="561"/>
      <c r="G44" s="561"/>
      <c r="H44" s="561"/>
      <c r="I44" s="561"/>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R9C1</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91"/>
      <c r="AP44" s="592"/>
      <c r="AQ44" s="592"/>
      <c r="AR44" s="592"/>
      <c r="AS44" s="592"/>
      <c r="AT44" s="59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19"/>
      <c r="C45" s="519"/>
      <c r="D45" s="520"/>
      <c r="E45" s="563"/>
      <c r="F45" s="564"/>
      <c r="G45" s="564"/>
      <c r="H45" s="564"/>
      <c r="I45" s="564"/>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R10C1</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94"/>
      <c r="AP45" s="595"/>
      <c r="AQ45" s="595"/>
      <c r="AR45" s="595"/>
      <c r="AS45" s="595"/>
      <c r="AT45" s="596"/>
    </row>
    <row r="46" spans="1:80" ht="46.5" customHeight="1" x14ac:dyDescent="0.35">
      <c r="A46" s="83"/>
      <c r="B46" s="519"/>
      <c r="C46" s="519"/>
      <c r="D46" s="520"/>
      <c r="E46" s="557" t="s">
        <v>310</v>
      </c>
      <c r="F46" s="558"/>
      <c r="G46" s="558"/>
      <c r="H46" s="558"/>
      <c r="I46" s="559"/>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19"/>
      <c r="C47" s="519"/>
      <c r="D47" s="520"/>
      <c r="E47" s="576"/>
      <c r="F47" s="561"/>
      <c r="G47" s="561"/>
      <c r="H47" s="561"/>
      <c r="I47" s="562"/>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R2C3</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19"/>
      <c r="C48" s="519"/>
      <c r="D48" s="520"/>
      <c r="E48" s="576"/>
      <c r="F48" s="561"/>
      <c r="G48" s="561"/>
      <c r="H48" s="561"/>
      <c r="I48" s="562"/>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19"/>
      <c r="C49" s="519"/>
      <c r="D49" s="520"/>
      <c r="E49" s="560"/>
      <c r="F49" s="561"/>
      <c r="G49" s="561"/>
      <c r="H49" s="561"/>
      <c r="I49" s="562"/>
      <c r="J49" s="76" t="str">
        <f>IF(AND('Mapa de Riesgos'!$Y$30="Muy Baja",'Mapa de Riesgos'!$AA$30="Leve"),CONCATENATE("R4C",'Mapa de Riesgos'!$O$30),"")</f>
        <v/>
      </c>
      <c r="K49" s="77" t="str">
        <f>IF(AND('Mapa de Riesgos'!$Y$32="Muy Baja",'Mapa de Riesgos'!$AA$32="Leve"),CONCATENATE("R4C",'Mapa de Riesgos'!$O$32),"")</f>
        <v/>
      </c>
      <c r="L49" s="77" t="str">
        <f>IF(AND('Mapa de Riesgos'!$Y$33="Muy Baja",'Mapa de Riesgos'!$AA$33="Leve"),CONCATENATE("R4C",'Mapa de Riesgos'!$O$33),"")</f>
        <v/>
      </c>
      <c r="M49" s="77" t="str">
        <f>IF(AND('Mapa de Riesgos'!$Y$34="Muy Baja",'Mapa de Riesgos'!$AA$34="Leve"),CONCATENATE("R4C",'Mapa de Riesgos'!$O$34),"")</f>
        <v/>
      </c>
      <c r="N49" s="77" t="str">
        <f>IF(AND('Mapa de Riesgos'!$Y$35="Muy Baja",'Mapa de Riesgos'!$AA$35="Leve"),CONCATENATE("R4C",'Mapa de Riesgos'!$O$35),"")</f>
        <v/>
      </c>
      <c r="O49" s="78" t="str">
        <f>IF(AND('Mapa de Riesgos'!$Y$36="Muy Baja",'Mapa de Riesgos'!$AA$36="Leve"),CONCATENATE("R4C",'Mapa de Riesgos'!$O$36),"")</f>
        <v/>
      </c>
      <c r="P49" s="76" t="str">
        <f>IF(AND('Mapa de Riesgos'!$Y$30="Muy Baja",'Mapa de Riesgos'!$AA$30="Menor"),CONCATENATE("R4C",'Mapa de Riesgos'!$O$30),"")</f>
        <v/>
      </c>
      <c r="Q49" s="77" t="str">
        <f>IF(AND('Mapa de Riesgos'!$Y$32="Muy Baja",'Mapa de Riesgos'!$AA$32="Menor"),CONCATENATE("R4C",'Mapa de Riesgos'!$O$32),"")</f>
        <v/>
      </c>
      <c r="R49" s="77" t="str">
        <f>IF(AND('Mapa de Riesgos'!$Y$33="Muy Baja",'Mapa de Riesgos'!$AA$33="Menor"),CONCATENATE("R4C",'Mapa de Riesgos'!$O$33),"")</f>
        <v/>
      </c>
      <c r="S49" s="77" t="str">
        <f>IF(AND('Mapa de Riesgos'!$Y$34="Muy Baja",'Mapa de Riesgos'!$AA$34="Menor"),CONCATENATE("R4C",'Mapa de Riesgos'!$O$34),"")</f>
        <v/>
      </c>
      <c r="T49" s="77" t="str">
        <f>IF(AND('Mapa de Riesgos'!$Y$35="Muy Baja",'Mapa de Riesgos'!$AA$35="Menor"),CONCATENATE("R4C",'Mapa de Riesgos'!$O$35),"")</f>
        <v/>
      </c>
      <c r="U49" s="78" t="str">
        <f>IF(AND('Mapa de Riesgos'!$Y$36="Muy Baja",'Mapa de Riesgos'!$AA$36="Menor"),CONCATENATE("R4C",'Mapa de Riesgos'!$O$36),"")</f>
        <v/>
      </c>
      <c r="V49" s="67" t="str">
        <f>IF(AND('Mapa de Riesgos'!$Y$30="Muy Baja",'Mapa de Riesgos'!$AA$30="Moderado"),CONCATENATE("R4C",'Mapa de Riesgos'!$O$30),"")</f>
        <v/>
      </c>
      <c r="W49" s="68" t="str">
        <f>IF(AND('Mapa de Riesgos'!$Y$32="Muy Baja",'Mapa de Riesgos'!$AA$32="Moderado"),CONCATENATE("R4C",'Mapa de Riesgos'!$O$32),"")</f>
        <v/>
      </c>
      <c r="X49" s="68" t="str">
        <f>IF(AND('Mapa de Riesgos'!$Y$33="Muy Baja",'Mapa de Riesgos'!$AA$33="Moderado"),CONCATENATE("R4C",'Mapa de Riesgos'!$O$33),"")</f>
        <v/>
      </c>
      <c r="Y49" s="68" t="str">
        <f>IF(AND('Mapa de Riesgos'!$Y$34="Muy Baja",'Mapa de Riesgos'!$AA$34="Moderado"),CONCATENATE("R4C",'Mapa de Riesgos'!$O$34),"")</f>
        <v/>
      </c>
      <c r="Z49" s="68" t="str">
        <f>IF(AND('Mapa de Riesgos'!$Y$35="Muy Baja",'Mapa de Riesgos'!$AA$35="Moderado"),CONCATENATE("R4C",'Mapa de Riesgos'!$O$35),"")</f>
        <v/>
      </c>
      <c r="AA49" s="69" t="str">
        <f>IF(AND('Mapa de Riesgos'!$Y$36="Muy Baja",'Mapa de Riesgos'!$AA$36="Moderado"),CONCATENATE("R4C",'Mapa de Riesgos'!$O$36),"")</f>
        <v/>
      </c>
      <c r="AB49" s="52" t="str">
        <f>IF(AND('Mapa de Riesgos'!$Y$30="Muy Baja",'Mapa de Riesgos'!$AA$30="Mayor"),CONCATENATE("R4C",'Mapa de Riesgos'!$O$30),"")</f>
        <v/>
      </c>
      <c r="AC49" s="53" t="str">
        <f>IF(AND('Mapa de Riesgos'!$Y$32="Muy Baja",'Mapa de Riesgos'!$AA$32="Mayor"),CONCATENATE("R4C",'Mapa de Riesgos'!$O$32),"")</f>
        <v/>
      </c>
      <c r="AD49" s="53" t="str">
        <f>IF(AND('Mapa de Riesgos'!$Y$33="Muy Baja",'Mapa de Riesgos'!$AA$33="Mayor"),CONCATENATE("R4C",'Mapa de Riesgos'!$O$33),"")</f>
        <v/>
      </c>
      <c r="AE49" s="53" t="str">
        <f>IF(AND('Mapa de Riesgos'!$Y$34="Muy Baja",'Mapa de Riesgos'!$AA$34="Mayor"),CONCATENATE("R4C",'Mapa de Riesgos'!$O$34),"")</f>
        <v/>
      </c>
      <c r="AF49" s="53" t="str">
        <f>IF(AND('Mapa de Riesgos'!$Y$35="Muy Baja",'Mapa de Riesgos'!$AA$35="Mayor"),CONCATENATE("R4C",'Mapa de Riesgos'!$O$35),"")</f>
        <v/>
      </c>
      <c r="AG49" s="54" t="str">
        <f>IF(AND('Mapa de Riesgos'!$Y$36="Muy Baja",'Mapa de Riesgos'!$AA$36="Mayor"),CONCATENATE("R4C",'Mapa de Riesgos'!$O$36),"")</f>
        <v/>
      </c>
      <c r="AH49" s="55" t="str">
        <f>IF(AND('Mapa de Riesgos'!$Y$30="Muy Baja",'Mapa de Riesgos'!$AA$30="Catastrófico"),CONCATENATE("R4C",'Mapa de Riesgos'!$O$30),"")</f>
        <v/>
      </c>
      <c r="AI49" s="56" t="str">
        <f>IF(AND('Mapa de Riesgos'!$Y$32="Muy Baja",'Mapa de Riesgos'!$AA$32="Catastrófico"),CONCATENATE("R4C",'Mapa de Riesgos'!$O$32),"")</f>
        <v/>
      </c>
      <c r="AJ49" s="56" t="str">
        <f>IF(AND('Mapa de Riesgos'!$Y$33="Muy Baja",'Mapa de Riesgos'!$AA$33="Catastrófico"),CONCATENATE("R4C",'Mapa de Riesgos'!$O$33),"")</f>
        <v/>
      </c>
      <c r="AK49" s="56" t="str">
        <f>IF(AND('Mapa de Riesgos'!$Y$34="Muy Baja",'Mapa de Riesgos'!$AA$34="Catastrófico"),CONCATENATE("R4C",'Mapa de Riesgos'!$O$34),"")</f>
        <v/>
      </c>
      <c r="AL49" s="56" t="str">
        <f>IF(AND('Mapa de Riesgos'!$Y$35="Muy Baja",'Mapa de Riesgos'!$AA$35="Catastrófico"),CONCATENATE("R4C",'Mapa de Riesgos'!$O$35),"")</f>
        <v/>
      </c>
      <c r="AM49" s="57" t="str">
        <f>IF(AND('Mapa de Riesgos'!$Y$36="Muy Baja",'Mapa de Riesgos'!$AA$36="Catastrófico"),CONCATENATE("R4C",'Mapa de Riesgos'!$O$36),"")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19"/>
      <c r="C50" s="519"/>
      <c r="D50" s="520"/>
      <c r="E50" s="560"/>
      <c r="F50" s="561"/>
      <c r="G50" s="561"/>
      <c r="H50" s="561"/>
      <c r="I50" s="562"/>
      <c r="J50" s="76" t="str">
        <f>IF(AND('Mapa de Riesgos'!$Y$37="Muy Baja",'Mapa de Riesgos'!$AA$37="Leve"),CONCATENATE("R5C",'Mapa de Riesgos'!$O$37),"")</f>
        <v/>
      </c>
      <c r="K50" s="77" t="str">
        <f>IF(AND('Mapa de Riesgos'!$Y$38="Muy Baja",'Mapa de Riesgos'!$AA$38="Leve"),CONCATENATE("R5C",'Mapa de Riesgos'!$O$38),"")</f>
        <v/>
      </c>
      <c r="L50" s="77" t="str">
        <f>IF(AND('Mapa de Riesgos'!$Y$39="Muy Baja",'Mapa de Riesgos'!$AA$39="Leve"),CONCATENATE("R5C",'Mapa de Riesgos'!$O$39),"")</f>
        <v/>
      </c>
      <c r="M50" s="77" t="str">
        <f>IF(AND('Mapa de Riesgos'!$Y$40="Muy Baja",'Mapa de Riesgos'!$AA$40="Leve"),CONCATENATE("R5C",'Mapa de Riesgos'!$O$40),"")</f>
        <v/>
      </c>
      <c r="N50" s="77" t="str">
        <f>IF(AND('Mapa de Riesgos'!$Y$41="Muy Baja",'Mapa de Riesgos'!$AA$41="Leve"),CONCATENATE("R5C",'Mapa de Riesgos'!$O$41),"")</f>
        <v/>
      </c>
      <c r="O50" s="78" t="str">
        <f>IF(AND('Mapa de Riesgos'!$Y$42="Muy Baja",'Mapa de Riesgos'!$AA$42="Leve"),CONCATENATE("R5C",'Mapa de Riesgos'!$O$42),"")</f>
        <v/>
      </c>
      <c r="P50" s="76" t="str">
        <f>IF(AND('Mapa de Riesgos'!$Y$37="Muy Baja",'Mapa de Riesgos'!$AA$37="Menor"),CONCATENATE("R5C",'Mapa de Riesgos'!$O$37),"")</f>
        <v/>
      </c>
      <c r="Q50" s="77" t="str">
        <f>IF(AND('Mapa de Riesgos'!$Y$38="Muy Baja",'Mapa de Riesgos'!$AA$38="Menor"),CONCATENATE("R5C",'Mapa de Riesgos'!$O$38),"")</f>
        <v/>
      </c>
      <c r="R50" s="77" t="str">
        <f>IF(AND('Mapa de Riesgos'!$Y$39="Muy Baja",'Mapa de Riesgos'!$AA$39="Menor"),CONCATENATE("R5C",'Mapa de Riesgos'!$O$39),"")</f>
        <v/>
      </c>
      <c r="S50" s="77" t="str">
        <f>IF(AND('Mapa de Riesgos'!$Y$40="Muy Baja",'Mapa de Riesgos'!$AA$40="Menor"),CONCATENATE("R5C",'Mapa de Riesgos'!$O$40),"")</f>
        <v/>
      </c>
      <c r="T50" s="77" t="str">
        <f>IF(AND('Mapa de Riesgos'!$Y$41="Muy Baja",'Mapa de Riesgos'!$AA$41="Menor"),CONCATENATE("R5C",'Mapa de Riesgos'!$O$41),"")</f>
        <v/>
      </c>
      <c r="U50" s="78" t="str">
        <f>IF(AND('Mapa de Riesgos'!$Y$42="Muy Baja",'Mapa de Riesgos'!$AA$42="Menor"),CONCATENATE("R5C",'Mapa de Riesgos'!$O$42),"")</f>
        <v/>
      </c>
      <c r="V50" s="67" t="str">
        <f>IF(AND('Mapa de Riesgos'!$Y$37="Muy Baja",'Mapa de Riesgos'!$AA$37="Moderado"),CONCATENATE("R5C",'Mapa de Riesgos'!$O$37),"")</f>
        <v/>
      </c>
      <c r="W50" s="68" t="str">
        <f>IF(AND('Mapa de Riesgos'!$Y$38="Muy Baja",'Mapa de Riesgos'!$AA$38="Moderado"),CONCATENATE("R5C",'Mapa de Riesgos'!$O$38),"")</f>
        <v/>
      </c>
      <c r="X50" s="68" t="str">
        <f>IF(AND('Mapa de Riesgos'!$Y$39="Muy Baja",'Mapa de Riesgos'!$AA$39="Moderado"),CONCATENATE("R5C",'Mapa de Riesgos'!$O$39),"")</f>
        <v/>
      </c>
      <c r="Y50" s="68" t="str">
        <f>IF(AND('Mapa de Riesgos'!$Y$40="Muy Baja",'Mapa de Riesgos'!$AA$40="Moderado"),CONCATENATE("R5C",'Mapa de Riesgos'!$O$40),"")</f>
        <v/>
      </c>
      <c r="Z50" s="68" t="str">
        <f>IF(AND('Mapa de Riesgos'!$Y$41="Muy Baja",'Mapa de Riesgos'!$AA$41="Moderado"),CONCATENATE("R5C",'Mapa de Riesgos'!$O$41),"")</f>
        <v/>
      </c>
      <c r="AA50" s="69" t="str">
        <f>IF(AND('Mapa de Riesgos'!$Y$42="Muy Baja",'Mapa de Riesgos'!$AA$42="Moderado"),CONCATENATE("R5C",'Mapa de Riesgos'!$O$42),"")</f>
        <v/>
      </c>
      <c r="AB50" s="52" t="str">
        <f>IF(AND('Mapa de Riesgos'!$Y$37="Muy Baja",'Mapa de Riesgos'!$AA$37="Mayor"),CONCATENATE("R5C",'Mapa de Riesgos'!$O$37),"")</f>
        <v/>
      </c>
      <c r="AC50" s="53" t="str">
        <f>IF(AND('Mapa de Riesgos'!$Y$38="Muy Baja",'Mapa de Riesgos'!$AA$38="Mayor"),CONCATENATE("R5C",'Mapa de Riesgos'!$O$38),"")</f>
        <v/>
      </c>
      <c r="AD50" s="53" t="str">
        <f>IF(AND('Mapa de Riesgos'!$Y$39="Muy Baja",'Mapa de Riesgos'!$AA$39="Mayor"),CONCATENATE("R5C",'Mapa de Riesgos'!$O$39),"")</f>
        <v/>
      </c>
      <c r="AE50" s="53" t="str">
        <f>IF(AND('Mapa de Riesgos'!$Y$40="Muy Baja",'Mapa de Riesgos'!$AA$40="Mayor"),CONCATENATE("R5C",'Mapa de Riesgos'!$O$40),"")</f>
        <v/>
      </c>
      <c r="AF50" s="53" t="str">
        <f>IF(AND('Mapa de Riesgos'!$Y$41="Muy Baja",'Mapa de Riesgos'!$AA$41="Mayor"),CONCATENATE("R5C",'Mapa de Riesgos'!$O$41),"")</f>
        <v/>
      </c>
      <c r="AG50" s="54" t="str">
        <f>IF(AND('Mapa de Riesgos'!$Y$42="Muy Baja",'Mapa de Riesgos'!$AA$42="Mayor"),CONCATENATE("R5C",'Mapa de Riesgos'!$O$42),"")</f>
        <v/>
      </c>
      <c r="AH50" s="55" t="str">
        <f>IF(AND('Mapa de Riesgos'!$Y$37="Muy Baja",'Mapa de Riesgos'!$AA$37="Catastrófico"),CONCATENATE("R5C",'Mapa de Riesgos'!$O$37),"")</f>
        <v/>
      </c>
      <c r="AI50" s="56" t="str">
        <f>IF(AND('Mapa de Riesgos'!$Y$38="Muy Baja",'Mapa de Riesgos'!$AA$38="Catastrófico"),CONCATENATE("R5C",'Mapa de Riesgos'!$O$38),"")</f>
        <v/>
      </c>
      <c r="AJ50" s="56" t="str">
        <f>IF(AND('Mapa de Riesgos'!$Y$39="Muy Baja",'Mapa de Riesgos'!$AA$39="Catastrófico"),CONCATENATE("R5C",'Mapa de Riesgos'!$O$39),"")</f>
        <v/>
      </c>
      <c r="AK50" s="56" t="str">
        <f>IF(AND('Mapa de Riesgos'!$Y$40="Muy Baja",'Mapa de Riesgos'!$AA$40="Catastrófico"),CONCATENATE("R5C",'Mapa de Riesgos'!$O$40),"")</f>
        <v/>
      </c>
      <c r="AL50" s="56" t="str">
        <f>IF(AND('Mapa de Riesgos'!$Y$41="Muy Baja",'Mapa de Riesgos'!$AA$41="Catastrófico"),CONCATENATE("R5C",'Mapa de Riesgos'!$O$41),"")</f>
        <v/>
      </c>
      <c r="AM50" s="57" t="str">
        <f>IF(AND('Mapa de Riesgos'!$Y$42="Muy Baja",'Mapa de Riesgos'!$AA$42="Catastrófico"),CONCATENATE("R5C",'Mapa de Riesgos'!$O$42),"")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19"/>
      <c r="C51" s="519"/>
      <c r="D51" s="520"/>
      <c r="E51" s="560"/>
      <c r="F51" s="561"/>
      <c r="G51" s="561"/>
      <c r="H51" s="561"/>
      <c r="I51" s="562"/>
      <c r="J51" s="76" t="str">
        <f>IF(AND('Mapa de Riesgos'!$Y$43="Muy Baja",'Mapa de Riesgos'!$AA$43="Leve"),CONCATENATE("R6C",'Mapa de Riesgos'!$O$43),"")</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Riesgos'!$Y$43="Muy Baja",'Mapa de Riesgos'!$AA$43="Menor"),CONCATENATE("R6C",'Mapa de Riesgos'!$O$43),"")</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Riesgos'!$Y$43="Muy Baja",'Mapa de Riesgos'!$AA$43="Moderado"),CONCATENATE("R6C",'Mapa de Riesgos'!$O$43),"")</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Riesgos'!$Y$43="Muy Baja",'Mapa de Riesgos'!$AA$43="Mayor"),CONCATENATE("R6C",'Mapa de Riesgos'!$O$43),"")</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Riesgos'!$Y$43="Muy Baja",'Mapa de Riesgos'!$AA$43="Catastrófico"),CONCATENATE("R6C",'Mapa de Riesgos'!$O$43),"")</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19"/>
      <c r="C52" s="519"/>
      <c r="D52" s="520"/>
      <c r="E52" s="560"/>
      <c r="F52" s="561"/>
      <c r="G52" s="561"/>
      <c r="H52" s="561"/>
      <c r="I52" s="562"/>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19"/>
      <c r="C53" s="519"/>
      <c r="D53" s="520"/>
      <c r="E53" s="560"/>
      <c r="F53" s="561"/>
      <c r="G53" s="561"/>
      <c r="H53" s="561"/>
      <c r="I53" s="562"/>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19"/>
      <c r="C54" s="519"/>
      <c r="D54" s="520"/>
      <c r="E54" s="560"/>
      <c r="F54" s="561"/>
      <c r="G54" s="561"/>
      <c r="H54" s="561"/>
      <c r="I54" s="562"/>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19"/>
      <c r="C55" s="519"/>
      <c r="D55" s="520"/>
      <c r="E55" s="563"/>
      <c r="F55" s="564"/>
      <c r="G55" s="564"/>
      <c r="H55" s="564"/>
      <c r="I55" s="565"/>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57" t="s">
        <v>311</v>
      </c>
      <c r="K56" s="558"/>
      <c r="L56" s="558"/>
      <c r="M56" s="558"/>
      <c r="N56" s="558"/>
      <c r="O56" s="559"/>
      <c r="P56" s="557" t="s">
        <v>312</v>
      </c>
      <c r="Q56" s="558"/>
      <c r="R56" s="558"/>
      <c r="S56" s="558"/>
      <c r="T56" s="558"/>
      <c r="U56" s="559"/>
      <c r="V56" s="557" t="s">
        <v>313</v>
      </c>
      <c r="W56" s="558"/>
      <c r="X56" s="558"/>
      <c r="Y56" s="558"/>
      <c r="Z56" s="558"/>
      <c r="AA56" s="559"/>
      <c r="AB56" s="557" t="s">
        <v>314</v>
      </c>
      <c r="AC56" s="566"/>
      <c r="AD56" s="558"/>
      <c r="AE56" s="558"/>
      <c r="AF56" s="558"/>
      <c r="AG56" s="559"/>
      <c r="AH56" s="557" t="s">
        <v>315</v>
      </c>
      <c r="AI56" s="558"/>
      <c r="AJ56" s="558"/>
      <c r="AK56" s="558"/>
      <c r="AL56" s="558"/>
      <c r="AM56" s="55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60"/>
      <c r="K57" s="561"/>
      <c r="L57" s="561"/>
      <c r="M57" s="561"/>
      <c r="N57" s="561"/>
      <c r="O57" s="562"/>
      <c r="P57" s="560"/>
      <c r="Q57" s="561"/>
      <c r="R57" s="561"/>
      <c r="S57" s="561"/>
      <c r="T57" s="561"/>
      <c r="U57" s="562"/>
      <c r="V57" s="560"/>
      <c r="W57" s="561"/>
      <c r="X57" s="561"/>
      <c r="Y57" s="561"/>
      <c r="Z57" s="561"/>
      <c r="AA57" s="562"/>
      <c r="AB57" s="560"/>
      <c r="AC57" s="561"/>
      <c r="AD57" s="561"/>
      <c r="AE57" s="561"/>
      <c r="AF57" s="561"/>
      <c r="AG57" s="562"/>
      <c r="AH57" s="560"/>
      <c r="AI57" s="561"/>
      <c r="AJ57" s="561"/>
      <c r="AK57" s="561"/>
      <c r="AL57" s="561"/>
      <c r="AM57" s="56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60"/>
      <c r="K58" s="561"/>
      <c r="L58" s="561"/>
      <c r="M58" s="561"/>
      <c r="N58" s="561"/>
      <c r="O58" s="562"/>
      <c r="P58" s="560"/>
      <c r="Q58" s="561"/>
      <c r="R58" s="561"/>
      <c r="S58" s="561"/>
      <c r="T58" s="561"/>
      <c r="U58" s="562"/>
      <c r="V58" s="560"/>
      <c r="W58" s="561"/>
      <c r="X58" s="561"/>
      <c r="Y58" s="561"/>
      <c r="Z58" s="561"/>
      <c r="AA58" s="562"/>
      <c r="AB58" s="560"/>
      <c r="AC58" s="561"/>
      <c r="AD58" s="561"/>
      <c r="AE58" s="561"/>
      <c r="AF58" s="561"/>
      <c r="AG58" s="562"/>
      <c r="AH58" s="560"/>
      <c r="AI58" s="561"/>
      <c r="AJ58" s="561"/>
      <c r="AK58" s="561"/>
      <c r="AL58" s="561"/>
      <c r="AM58" s="56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60"/>
      <c r="K59" s="561"/>
      <c r="L59" s="561"/>
      <c r="M59" s="561"/>
      <c r="N59" s="561"/>
      <c r="O59" s="562"/>
      <c r="P59" s="560"/>
      <c r="Q59" s="561"/>
      <c r="R59" s="561"/>
      <c r="S59" s="561"/>
      <c r="T59" s="561"/>
      <c r="U59" s="562"/>
      <c r="V59" s="560"/>
      <c r="W59" s="561"/>
      <c r="X59" s="561"/>
      <c r="Y59" s="561"/>
      <c r="Z59" s="561"/>
      <c r="AA59" s="562"/>
      <c r="AB59" s="560"/>
      <c r="AC59" s="561"/>
      <c r="AD59" s="561"/>
      <c r="AE59" s="561"/>
      <c r="AF59" s="561"/>
      <c r="AG59" s="562"/>
      <c r="AH59" s="560"/>
      <c r="AI59" s="561"/>
      <c r="AJ59" s="561"/>
      <c r="AK59" s="561"/>
      <c r="AL59" s="561"/>
      <c r="AM59" s="56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60"/>
      <c r="K60" s="561"/>
      <c r="L60" s="561"/>
      <c r="M60" s="561"/>
      <c r="N60" s="561"/>
      <c r="O60" s="562"/>
      <c r="P60" s="560"/>
      <c r="Q60" s="561"/>
      <c r="R60" s="561"/>
      <c r="S60" s="561"/>
      <c r="T60" s="561"/>
      <c r="U60" s="562"/>
      <c r="V60" s="560"/>
      <c r="W60" s="561"/>
      <c r="X60" s="561"/>
      <c r="Y60" s="561"/>
      <c r="Z60" s="561"/>
      <c r="AA60" s="562"/>
      <c r="AB60" s="560"/>
      <c r="AC60" s="561"/>
      <c r="AD60" s="561"/>
      <c r="AE60" s="561"/>
      <c r="AF60" s="561"/>
      <c r="AG60" s="562"/>
      <c r="AH60" s="560"/>
      <c r="AI60" s="561"/>
      <c r="AJ60" s="561"/>
      <c r="AK60" s="561"/>
      <c r="AL60" s="561"/>
      <c r="AM60" s="56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63"/>
      <c r="K61" s="564"/>
      <c r="L61" s="564"/>
      <c r="M61" s="564"/>
      <c r="N61" s="564"/>
      <c r="O61" s="565"/>
      <c r="P61" s="563"/>
      <c r="Q61" s="564"/>
      <c r="R61" s="564"/>
      <c r="S61" s="564"/>
      <c r="T61" s="564"/>
      <c r="U61" s="565"/>
      <c r="V61" s="563"/>
      <c r="W61" s="564"/>
      <c r="X61" s="564"/>
      <c r="Y61" s="564"/>
      <c r="Z61" s="564"/>
      <c r="AA61" s="565"/>
      <c r="AB61" s="563"/>
      <c r="AC61" s="564"/>
      <c r="AD61" s="564"/>
      <c r="AE61" s="564"/>
      <c r="AF61" s="564"/>
      <c r="AG61" s="565"/>
      <c r="AH61" s="563"/>
      <c r="AI61" s="564"/>
      <c r="AJ61" s="564"/>
      <c r="AK61" s="564"/>
      <c r="AL61" s="564"/>
      <c r="AM61" s="56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06" t="s">
        <v>317</v>
      </c>
      <c r="C1" s="606"/>
      <c r="D1" s="60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318</v>
      </c>
      <c r="D3" s="12" t="s">
        <v>301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319</v>
      </c>
      <c r="C4" s="14" t="s">
        <v>320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321</v>
      </c>
      <c r="C5" s="17" t="s">
        <v>322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323</v>
      </c>
      <c r="C6" s="17" t="s">
        <v>324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325</v>
      </c>
      <c r="C7" s="17" t="s">
        <v>326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327</v>
      </c>
      <c r="C8" s="17" t="s">
        <v>328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07" t="s">
        <v>329</v>
      </c>
      <c r="C1" s="607"/>
      <c r="D1" s="60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330</v>
      </c>
      <c r="D3" s="36" t="s">
        <v>331</v>
      </c>
      <c r="E3" s="83"/>
      <c r="F3" s="83"/>
      <c r="G3" s="83"/>
      <c r="H3" s="83"/>
      <c r="I3" s="83"/>
      <c r="J3" s="83"/>
      <c r="K3" s="83"/>
      <c r="L3" s="83"/>
      <c r="M3" s="83"/>
      <c r="N3" s="83"/>
      <c r="O3" s="83"/>
      <c r="P3" s="83"/>
      <c r="Q3" s="83"/>
      <c r="R3" s="83"/>
      <c r="S3" s="83"/>
      <c r="T3" s="83"/>
      <c r="U3" s="83"/>
    </row>
    <row r="4" spans="1:21" ht="33.75" x14ac:dyDescent="0.25">
      <c r="A4" s="100" t="s">
        <v>332</v>
      </c>
      <c r="B4" s="39" t="s">
        <v>333</v>
      </c>
      <c r="C4" s="44" t="s">
        <v>334</v>
      </c>
      <c r="D4" s="37" t="s">
        <v>335</v>
      </c>
      <c r="E4" s="83"/>
      <c r="F4" s="83"/>
      <c r="G4" s="83"/>
      <c r="H4" s="83"/>
      <c r="I4" s="83"/>
      <c r="J4" s="83"/>
      <c r="K4" s="83"/>
      <c r="L4" s="83"/>
      <c r="M4" s="83"/>
      <c r="N4" s="83"/>
      <c r="O4" s="83"/>
      <c r="P4" s="83"/>
      <c r="Q4" s="83"/>
      <c r="R4" s="83"/>
      <c r="S4" s="83"/>
      <c r="T4" s="83"/>
      <c r="U4" s="83"/>
    </row>
    <row r="5" spans="1:21" ht="67.5" x14ac:dyDescent="0.25">
      <c r="A5" s="100" t="s">
        <v>336</v>
      </c>
      <c r="B5" s="40" t="s">
        <v>337</v>
      </c>
      <c r="C5" s="45" t="s">
        <v>338</v>
      </c>
      <c r="D5" s="38" t="s">
        <v>339</v>
      </c>
      <c r="E5" s="83"/>
      <c r="F5" s="83"/>
      <c r="G5" s="83"/>
      <c r="H5" s="83"/>
      <c r="I5" s="83"/>
      <c r="J5" s="83"/>
      <c r="K5" s="83"/>
      <c r="L5" s="83"/>
      <c r="M5" s="83"/>
      <c r="N5" s="83"/>
      <c r="O5" s="83"/>
      <c r="P5" s="83"/>
      <c r="Q5" s="83"/>
      <c r="R5" s="83"/>
      <c r="S5" s="83"/>
      <c r="T5" s="83"/>
      <c r="U5" s="83"/>
    </row>
    <row r="6" spans="1:21" ht="67.5" x14ac:dyDescent="0.25">
      <c r="A6" s="100" t="s">
        <v>307</v>
      </c>
      <c r="B6" s="41" t="s">
        <v>340</v>
      </c>
      <c r="C6" s="45" t="s">
        <v>341</v>
      </c>
      <c r="D6" s="38" t="s">
        <v>342</v>
      </c>
      <c r="E6" s="83"/>
      <c r="F6" s="83"/>
      <c r="G6" s="83"/>
      <c r="H6" s="83"/>
      <c r="I6" s="83"/>
      <c r="J6" s="83"/>
      <c r="K6" s="83"/>
      <c r="L6" s="83"/>
      <c r="M6" s="83"/>
      <c r="N6" s="83"/>
      <c r="O6" s="83"/>
      <c r="P6" s="83"/>
      <c r="Q6" s="83"/>
      <c r="R6" s="83"/>
      <c r="S6" s="83"/>
      <c r="T6" s="83"/>
      <c r="U6" s="83"/>
    </row>
    <row r="7" spans="1:21" ht="101.25" x14ac:dyDescent="0.25">
      <c r="A7" s="100" t="s">
        <v>229</v>
      </c>
      <c r="B7" s="42" t="s">
        <v>343</v>
      </c>
      <c r="C7" s="45" t="s">
        <v>344</v>
      </c>
      <c r="D7" s="38" t="s">
        <v>345</v>
      </c>
      <c r="E7" s="83"/>
      <c r="F7" s="83"/>
      <c r="G7" s="83"/>
      <c r="H7" s="83"/>
      <c r="I7" s="83"/>
      <c r="J7" s="83"/>
      <c r="K7" s="83"/>
      <c r="L7" s="83"/>
      <c r="M7" s="83"/>
      <c r="N7" s="83"/>
      <c r="O7" s="83"/>
      <c r="P7" s="83"/>
      <c r="Q7" s="83"/>
      <c r="R7" s="83"/>
      <c r="S7" s="83"/>
      <c r="T7" s="83"/>
      <c r="U7" s="83"/>
    </row>
    <row r="8" spans="1:21" ht="67.5" x14ac:dyDescent="0.25">
      <c r="A8" s="100" t="s">
        <v>346</v>
      </c>
      <c r="B8" s="43" t="s">
        <v>347</v>
      </c>
      <c r="C8" s="45" t="s">
        <v>348</v>
      </c>
      <c r="D8" s="38" t="s">
        <v>349</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350</v>
      </c>
      <c r="C11" s="100" t="s">
        <v>351</v>
      </c>
      <c r="D11" s="100" t="s">
        <v>352</v>
      </c>
      <c r="E11" s="83"/>
      <c r="F11" s="83"/>
      <c r="G11" s="83"/>
      <c r="H11" s="83"/>
      <c r="I11" s="83"/>
      <c r="J11" s="83"/>
      <c r="K11" s="83"/>
      <c r="L11" s="83"/>
      <c r="M11" s="83"/>
      <c r="N11" s="83"/>
      <c r="O11" s="83"/>
      <c r="P11" s="83"/>
      <c r="Q11" s="83"/>
      <c r="R11" s="83"/>
      <c r="S11" s="83"/>
      <c r="T11" s="83"/>
      <c r="U11" s="83"/>
    </row>
    <row r="12" spans="1:21" x14ac:dyDescent="0.25">
      <c r="A12" s="100"/>
      <c r="B12" s="100" t="s">
        <v>353</v>
      </c>
      <c r="C12" s="100" t="s">
        <v>208</v>
      </c>
      <c r="D12" s="100" t="s">
        <v>354</v>
      </c>
      <c r="E12" s="83"/>
      <c r="F12" s="83"/>
      <c r="G12" s="83"/>
      <c r="H12" s="83"/>
      <c r="I12" s="83"/>
      <c r="J12" s="83"/>
      <c r="K12" s="83"/>
      <c r="L12" s="83"/>
      <c r="M12" s="83"/>
      <c r="N12" s="83"/>
      <c r="O12" s="83"/>
      <c r="P12" s="83"/>
      <c r="Q12" s="83"/>
      <c r="R12" s="83"/>
      <c r="S12" s="83"/>
      <c r="T12" s="83"/>
      <c r="U12" s="83"/>
    </row>
    <row r="13" spans="1:21" x14ac:dyDescent="0.25">
      <c r="A13" s="100"/>
      <c r="B13" s="100"/>
      <c r="C13" s="100" t="s">
        <v>274</v>
      </c>
      <c r="D13" s="100" t="s">
        <v>243</v>
      </c>
      <c r="E13" s="83"/>
      <c r="F13" s="83"/>
      <c r="G13" s="83"/>
      <c r="H13" s="83"/>
      <c r="I13" s="83"/>
      <c r="J13" s="83"/>
      <c r="K13" s="83"/>
      <c r="L13" s="83"/>
      <c r="M13" s="83"/>
      <c r="N13" s="83"/>
      <c r="O13" s="83"/>
      <c r="P13" s="83"/>
      <c r="Q13" s="83"/>
      <c r="R13" s="83"/>
      <c r="S13" s="83"/>
      <c r="T13" s="83"/>
      <c r="U13" s="83"/>
    </row>
    <row r="14" spans="1:21" x14ac:dyDescent="0.25">
      <c r="A14" s="100"/>
      <c r="B14" s="100"/>
      <c r="C14" s="100" t="s">
        <v>222</v>
      </c>
      <c r="D14" s="100" t="s">
        <v>193</v>
      </c>
      <c r="E14" s="83"/>
      <c r="F14" s="83"/>
      <c r="G14" s="83"/>
      <c r="H14" s="83"/>
      <c r="I14" s="83"/>
      <c r="J14" s="83"/>
      <c r="K14" s="83"/>
      <c r="L14" s="83"/>
      <c r="M14" s="83"/>
      <c r="N14" s="83"/>
      <c r="O14" s="83"/>
      <c r="P14" s="83"/>
      <c r="Q14" s="83"/>
      <c r="R14" s="83"/>
      <c r="S14" s="83"/>
      <c r="T14" s="83"/>
      <c r="U14" s="83"/>
    </row>
    <row r="15" spans="1:21" x14ac:dyDescent="0.25">
      <c r="A15" s="100"/>
      <c r="B15" s="100"/>
      <c r="C15" s="100" t="s">
        <v>355</v>
      </c>
      <c r="D15" s="100" t="s">
        <v>356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357</v>
      </c>
      <c r="C209" s="30" t="s">
        <v>358</v>
      </c>
      <c r="D209" s="33" t="s">
        <v>357</v>
      </c>
      <c r="E209" s="33" t="s">
        <v>358</v>
      </c>
    </row>
    <row r="210" spans="1:8" ht="21" x14ac:dyDescent="0.35">
      <c r="A210" s="83"/>
      <c r="B210" s="31" t="s">
        <v>359</v>
      </c>
      <c r="C210" s="31" t="s">
        <v>360</v>
      </c>
      <c r="D210" t="s">
        <v>359</v>
      </c>
      <c r="F210" t="str">
        <f>IF(NOT(ISBLANK(D210)),D210,IF(NOT(ISBLANK(E210)),"     "&amp;E210,FALSE))</f>
        <v>Afectación Económica o presupuestal</v>
      </c>
      <c r="G210" t="s">
        <v>359</v>
      </c>
      <c r="H210" t="str">
        <f>IF(NOT(ISERROR(MATCH(G210,_xlfn.ANCHORARRAY(B221),0))),F223&amp;"Por favor no seleccionar los criterios de impacto",G210)</f>
        <v>❌Por favor no seleccionar los criterios de impacto</v>
      </c>
    </row>
    <row r="211" spans="1:8" ht="21" x14ac:dyDescent="0.35">
      <c r="A211" s="83"/>
      <c r="B211" s="31" t="s">
        <v>359</v>
      </c>
      <c r="C211" s="31" t="s">
        <v>338</v>
      </c>
      <c r="E211" t="s">
        <v>360</v>
      </c>
      <c r="F211" t="str">
        <f t="shared" ref="F211:F221" si="0">IF(NOT(ISBLANK(D211)),D211,IF(NOT(ISBLANK(E211)),"     "&amp;E211,FALSE))</f>
        <v xml:space="preserve">     Afectación menor a 10 SMLMV .</v>
      </c>
    </row>
    <row r="212" spans="1:8" ht="21" x14ac:dyDescent="0.35">
      <c r="A212" s="83"/>
      <c r="B212" s="31" t="s">
        <v>359</v>
      </c>
      <c r="C212" s="31" t="s">
        <v>341</v>
      </c>
      <c r="E212" t="s">
        <v>338</v>
      </c>
      <c r="F212" t="str">
        <f t="shared" si="0"/>
        <v xml:space="preserve">     Entre 10 y 50 SMLMV </v>
      </c>
    </row>
    <row r="213" spans="1:8" ht="21" x14ac:dyDescent="0.35">
      <c r="A213" s="83"/>
      <c r="B213" s="31" t="s">
        <v>359</v>
      </c>
      <c r="C213" s="31" t="s">
        <v>344</v>
      </c>
      <c r="E213" t="s">
        <v>341</v>
      </c>
      <c r="F213" t="str">
        <f t="shared" si="0"/>
        <v xml:space="preserve">     Entre 50 y 100 SMLMV </v>
      </c>
    </row>
    <row r="214" spans="1:8" ht="21" x14ac:dyDescent="0.35">
      <c r="A214" s="83"/>
      <c r="B214" s="31" t="s">
        <v>359</v>
      </c>
      <c r="C214" s="31" t="s">
        <v>348</v>
      </c>
      <c r="E214" t="s">
        <v>344</v>
      </c>
      <c r="F214" t="str">
        <f t="shared" si="0"/>
        <v xml:space="preserve">     Entre 100 y 500 SMLMV </v>
      </c>
    </row>
    <row r="215" spans="1:8" ht="21" x14ac:dyDescent="0.35">
      <c r="A215" s="83"/>
      <c r="B215" s="31" t="s">
        <v>331</v>
      </c>
      <c r="C215" s="31" t="s">
        <v>335</v>
      </c>
      <c r="E215" t="s">
        <v>348</v>
      </c>
      <c r="F215" t="str">
        <f t="shared" si="0"/>
        <v xml:space="preserve">     Mayor a 500 SMLMV </v>
      </c>
    </row>
    <row r="216" spans="1:8" ht="21" x14ac:dyDescent="0.35">
      <c r="A216" s="83"/>
      <c r="B216" s="31" t="s">
        <v>331</v>
      </c>
      <c r="C216" s="31" t="s">
        <v>339</v>
      </c>
      <c r="D216" t="s">
        <v>331</v>
      </c>
      <c r="F216" t="str">
        <f t="shared" si="0"/>
        <v>Pérdida Reputacional</v>
      </c>
    </row>
    <row r="217" spans="1:8" ht="21" x14ac:dyDescent="0.35">
      <c r="A217" s="83"/>
      <c r="B217" s="31" t="s">
        <v>331</v>
      </c>
      <c r="C217" s="31" t="s">
        <v>342</v>
      </c>
      <c r="E217" t="s">
        <v>335</v>
      </c>
      <c r="F217" t="str">
        <f t="shared" si="0"/>
        <v xml:space="preserve">     El riesgo afecta la imagen de alguna área de la organización</v>
      </c>
    </row>
    <row r="218" spans="1:8" ht="21" x14ac:dyDescent="0.35">
      <c r="A218" s="83"/>
      <c r="B218" s="31" t="s">
        <v>331</v>
      </c>
      <c r="C218" s="31" t="s">
        <v>345</v>
      </c>
      <c r="E218" t="s">
        <v>339</v>
      </c>
      <c r="F218" t="str">
        <f t="shared" si="0"/>
        <v xml:space="preserve">     El riesgo afecta la imagen de la entidad internamente, de conocimiento general, nivel interno, de junta dircetiva y accionistas y/o de provedores</v>
      </c>
    </row>
    <row r="219" spans="1:8" ht="21" x14ac:dyDescent="0.35">
      <c r="A219" s="83"/>
      <c r="B219" s="31" t="s">
        <v>331</v>
      </c>
      <c r="C219" s="31" t="s">
        <v>349</v>
      </c>
      <c r="E219" t="s">
        <v>342</v>
      </c>
      <c r="F219" t="str">
        <f t="shared" si="0"/>
        <v xml:space="preserve">     El riesgo afecta la imagen de la entidad con algunos usuarios de relevancia frente al logro de los objetivos</v>
      </c>
    </row>
    <row r="220" spans="1:8" x14ac:dyDescent="0.25">
      <c r="A220" s="83"/>
      <c r="B220" s="32"/>
      <c r="C220" s="32"/>
      <c r="E220" t="s">
        <v>345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349</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361</v>
      </c>
    </row>
    <row r="224" spans="1:8" x14ac:dyDescent="0.25">
      <c r="B224" s="22"/>
      <c r="C224" s="22"/>
      <c r="F224" s="35" t="s">
        <v>362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08" t="s">
        <v>363</v>
      </c>
      <c r="C1" s="609"/>
      <c r="D1" s="609"/>
      <c r="E1" s="609"/>
      <c r="F1" s="610"/>
    </row>
    <row r="2" spans="2:6" ht="16.5" thickBot="1" x14ac:dyDescent="0.3">
      <c r="B2" s="86"/>
      <c r="C2" s="86"/>
      <c r="D2" s="86"/>
      <c r="E2" s="86"/>
      <c r="F2" s="86"/>
    </row>
    <row r="3" spans="2:6" ht="16.5" thickBot="1" x14ac:dyDescent="0.25">
      <c r="B3" s="612" t="s">
        <v>364</v>
      </c>
      <c r="C3" s="613"/>
      <c r="D3" s="613"/>
      <c r="E3" s="98" t="s">
        <v>365</v>
      </c>
      <c r="F3" s="99" t="s">
        <v>366</v>
      </c>
    </row>
    <row r="4" spans="2:6" ht="31.5" x14ac:dyDescent="0.2">
      <c r="B4" s="614" t="s">
        <v>367</v>
      </c>
      <c r="C4" s="616" t="s">
        <v>183</v>
      </c>
      <c r="D4" s="87" t="s">
        <v>195</v>
      </c>
      <c r="E4" s="88" t="s">
        <v>368</v>
      </c>
      <c r="F4" s="89">
        <v>0.25</v>
      </c>
    </row>
    <row r="5" spans="2:6" ht="47.25" x14ac:dyDescent="0.2">
      <c r="B5" s="615"/>
      <c r="C5" s="617"/>
      <c r="D5" s="90" t="s">
        <v>369</v>
      </c>
      <c r="E5" s="91" t="s">
        <v>370</v>
      </c>
      <c r="F5" s="92">
        <v>0.15</v>
      </c>
    </row>
    <row r="6" spans="2:6" ht="47.25" x14ac:dyDescent="0.2">
      <c r="B6" s="615"/>
      <c r="C6" s="617"/>
      <c r="D6" s="90" t="s">
        <v>371</v>
      </c>
      <c r="E6" s="91" t="s">
        <v>372</v>
      </c>
      <c r="F6" s="92">
        <v>0.1</v>
      </c>
    </row>
    <row r="7" spans="2:6" ht="63" x14ac:dyDescent="0.2">
      <c r="B7" s="615"/>
      <c r="C7" s="617" t="s">
        <v>184</v>
      </c>
      <c r="D7" s="90" t="s">
        <v>373</v>
      </c>
      <c r="E7" s="91" t="s">
        <v>374</v>
      </c>
      <c r="F7" s="92">
        <v>0.25</v>
      </c>
    </row>
    <row r="8" spans="2:6" ht="31.5" x14ac:dyDescent="0.2">
      <c r="B8" s="615"/>
      <c r="C8" s="617"/>
      <c r="D8" s="90" t="s">
        <v>196</v>
      </c>
      <c r="E8" s="91" t="s">
        <v>375</v>
      </c>
      <c r="F8" s="92">
        <v>0.15</v>
      </c>
    </row>
    <row r="9" spans="2:6" ht="47.25" x14ac:dyDescent="0.2">
      <c r="B9" s="615" t="s">
        <v>376</v>
      </c>
      <c r="C9" s="617" t="s">
        <v>186</v>
      </c>
      <c r="D9" s="90" t="s">
        <v>197</v>
      </c>
      <c r="E9" s="91" t="s">
        <v>377</v>
      </c>
      <c r="F9" s="93" t="s">
        <v>378</v>
      </c>
    </row>
    <row r="10" spans="2:6" ht="63" x14ac:dyDescent="0.2">
      <c r="B10" s="615"/>
      <c r="C10" s="617"/>
      <c r="D10" s="90" t="s">
        <v>379</v>
      </c>
      <c r="E10" s="91" t="s">
        <v>380</v>
      </c>
      <c r="F10" s="93" t="s">
        <v>378</v>
      </c>
    </row>
    <row r="11" spans="2:6" ht="47.25" x14ac:dyDescent="0.2">
      <c r="B11" s="615"/>
      <c r="C11" s="617" t="s">
        <v>187</v>
      </c>
      <c r="D11" s="90" t="s">
        <v>198</v>
      </c>
      <c r="E11" s="91" t="s">
        <v>381</v>
      </c>
      <c r="F11" s="93" t="s">
        <v>378</v>
      </c>
    </row>
    <row r="12" spans="2:6" ht="47.25" x14ac:dyDescent="0.2">
      <c r="B12" s="615"/>
      <c r="C12" s="617"/>
      <c r="D12" s="90" t="s">
        <v>382</v>
      </c>
      <c r="E12" s="91" t="s">
        <v>383</v>
      </c>
      <c r="F12" s="93" t="s">
        <v>378</v>
      </c>
    </row>
    <row r="13" spans="2:6" ht="31.5" x14ac:dyDescent="0.2">
      <c r="B13" s="615"/>
      <c r="C13" s="617" t="s">
        <v>188</v>
      </c>
      <c r="D13" s="90" t="s">
        <v>199</v>
      </c>
      <c r="E13" s="91" t="s">
        <v>384</v>
      </c>
      <c r="F13" s="93" t="s">
        <v>378</v>
      </c>
    </row>
    <row r="14" spans="2:6" ht="32.25" thickBot="1" x14ac:dyDescent="0.25">
      <c r="B14" s="618"/>
      <c r="C14" s="619"/>
      <c r="D14" s="94" t="s">
        <v>385</v>
      </c>
      <c r="E14" s="95" t="s">
        <v>386</v>
      </c>
      <c r="F14" s="96" t="s">
        <v>378</v>
      </c>
    </row>
    <row r="15" spans="2:6" ht="49.5" customHeight="1" x14ac:dyDescent="0.2">
      <c r="B15" s="611" t="s">
        <v>387</v>
      </c>
      <c r="C15" s="611"/>
      <c r="D15" s="611"/>
      <c r="E15" s="611"/>
      <c r="F15" s="61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388</v>
      </c>
      <c r="E2" t="s">
        <v>204</v>
      </c>
    </row>
    <row r="3" spans="2:5" x14ac:dyDescent="0.25">
      <c r="B3" t="s">
        <v>389</v>
      </c>
      <c r="E3" t="s">
        <v>239</v>
      </c>
    </row>
    <row r="4" spans="2:5" x14ac:dyDescent="0.25">
      <c r="B4" t="s">
        <v>390</v>
      </c>
      <c r="E4" t="s">
        <v>189</v>
      </c>
    </row>
    <row r="5" spans="2:5" x14ac:dyDescent="0.25">
      <c r="B5" t="s">
        <v>200</v>
      </c>
    </row>
    <row r="8" spans="2:5" x14ac:dyDescent="0.25">
      <c r="B8" t="s">
        <v>391</v>
      </c>
    </row>
    <row r="9" spans="2:5" x14ac:dyDescent="0.25">
      <c r="B9" t="s">
        <v>392</v>
      </c>
    </row>
    <row r="10" spans="2:5" x14ac:dyDescent="0.25">
      <c r="B10" t="s">
        <v>393</v>
      </c>
    </row>
    <row r="13" spans="2:5" x14ac:dyDescent="0.25">
      <c r="B13" t="s">
        <v>394</v>
      </c>
    </row>
    <row r="14" spans="2:5" x14ac:dyDescent="0.25">
      <c r="B14" t="s">
        <v>192</v>
      </c>
    </row>
    <row r="15" spans="2:5" x14ac:dyDescent="0.25">
      <c r="B15" t="s">
        <v>395</v>
      </c>
    </row>
    <row r="16" spans="2:5" x14ac:dyDescent="0.25">
      <c r="B16" t="s">
        <v>396</v>
      </c>
    </row>
    <row r="17" spans="2:2" x14ac:dyDescent="0.25">
      <c r="B17" t="s">
        <v>397</v>
      </c>
    </row>
    <row r="18" spans="2:2" x14ac:dyDescent="0.25">
      <c r="B18" t="s">
        <v>398</v>
      </c>
    </row>
    <row r="19" spans="2:2" x14ac:dyDescent="0.25">
      <c r="B19" t="s">
        <v>399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2025-04-24T22:38:12Z</dcterms:modified>
  <cp:category/>
  <cp:contentStatus/>
</cp:coreProperties>
</file>