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5E313852-19A7-4463-A74D-8C7FFB617BB4}"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 i="1" l="1"/>
  <c r="T38" i="1"/>
  <c r="Q38" i="1"/>
  <c r="H38" i="1"/>
  <c r="T31" i="1"/>
  <c r="T32" i="1"/>
  <c r="T27" i="1"/>
  <c r="T28" i="1"/>
  <c r="T29" i="1"/>
  <c r="T30" i="1"/>
  <c r="H24" i="1"/>
  <c r="I24" i="1" s="1"/>
  <c r="K26" i="1"/>
  <c r="L24" i="1" s="1"/>
  <c r="Q24" i="1"/>
  <c r="T24" i="1"/>
  <c r="T14" i="1"/>
  <c r="Q14" i="1"/>
  <c r="X26" i="1" l="1"/>
  <c r="Z24" i="1" s="1"/>
  <c r="M24" i="1"/>
  <c r="AB24" i="1" s="1"/>
  <c r="AA24" i="1" s="1"/>
  <c r="N24" i="1"/>
  <c r="Y24" i="1" l="1"/>
  <c r="AC24" i="1" s="1"/>
  <c r="Q12" i="1" l="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H12" i="1" l="1"/>
  <c r="I12" i="1" s="1"/>
  <c r="K61" i="1"/>
  <c r="K35" i="1"/>
  <c r="K19" i="1"/>
  <c r="K33" i="1"/>
  <c r="K53" i="1"/>
  <c r="K58" i="1"/>
  <c r="K34" i="1"/>
  <c r="K42" i="1"/>
  <c r="K52" i="1"/>
  <c r="K31" i="1"/>
  <c r="K39" i="1"/>
  <c r="K51" i="1"/>
  <c r="K60" i="1"/>
  <c r="K43" i="1"/>
  <c r="K28" i="1"/>
  <c r="K54" i="1"/>
  <c r="K41" i="1"/>
  <c r="K45" i="1"/>
  <c r="K23" i="1"/>
  <c r="K21" i="1"/>
  <c r="K59" i="1"/>
  <c r="K20" i="1"/>
  <c r="K36" i="1"/>
  <c r="K30" i="1"/>
  <c r="K37" i="1"/>
  <c r="K46" i="1"/>
  <c r="K22" i="1"/>
  <c r="K40" i="1"/>
  <c r="K27" i="1"/>
  <c r="K57" i="1"/>
  <c r="K47" i="1"/>
  <c r="K29"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Q37" i="1"/>
  <c r="T36" i="1"/>
  <c r="Q36" i="1"/>
  <c r="T35" i="1"/>
  <c r="Q35" i="1"/>
  <c r="T34" i="1"/>
  <c r="Q34" i="1"/>
  <c r="T33" i="1"/>
  <c r="Q33" i="1"/>
  <c r="Q32" i="1"/>
  <c r="H32" i="1"/>
  <c r="I32" i="1" s="1"/>
  <c r="Q31" i="1"/>
  <c r="Q30" i="1"/>
  <c r="Q29" i="1"/>
  <c r="Q28" i="1"/>
  <c r="Q27" i="1"/>
  <c r="H18" i="1"/>
  <c r="Q17" i="1"/>
  <c r="Q16" i="1"/>
  <c r="T23" i="1"/>
  <c r="Q23" i="1"/>
  <c r="T22" i="1"/>
  <c r="Q22" i="1"/>
  <c r="T21" i="1"/>
  <c r="Q21" i="1"/>
  <c r="T20" i="1"/>
  <c r="Q20" i="1"/>
  <c r="T19" i="1"/>
  <c r="Q19" i="1"/>
  <c r="T18" i="1"/>
  <c r="Q18" i="1"/>
  <c r="X56" i="1" l="1"/>
  <c r="X29" i="1"/>
  <c r="X40" i="1"/>
  <c r="X48" i="1"/>
  <c r="X60" i="1"/>
  <c r="X34" i="1"/>
  <c r="X31" i="1"/>
  <c r="X42" i="1"/>
  <c r="X54" i="1"/>
  <c r="X37" i="1"/>
  <c r="X36" i="1"/>
  <c r="X35" i="1"/>
  <c r="AB57" i="1"/>
  <c r="X58" i="1"/>
  <c r="X57" i="1"/>
  <c r="X33" i="1"/>
  <c r="X32" i="1"/>
  <c r="X53" i="1"/>
  <c r="X52" i="1"/>
  <c r="X55" i="1"/>
  <c r="X59" i="1"/>
  <c r="X61" i="1"/>
  <c r="X28" i="1"/>
  <c r="X30" i="1"/>
  <c r="X39" i="1"/>
  <c r="X38" i="1"/>
  <c r="X41" i="1"/>
  <c r="X43" i="1"/>
  <c r="X47" i="1"/>
  <c r="X46" i="1"/>
  <c r="X49" i="1"/>
  <c r="AB45" i="1"/>
  <c r="X45" i="1"/>
  <c r="X44" i="1"/>
  <c r="X50" i="1"/>
  <c r="AB33" i="1"/>
  <c r="AB39" i="1"/>
  <c r="AB54" i="1"/>
  <c r="AA54" i="1" s="1"/>
  <c r="AB55" i="1"/>
  <c r="AA55" i="1" s="1"/>
  <c r="I18" i="1"/>
  <c r="X18" i="1" s="1"/>
  <c r="Y56" i="1" l="1"/>
  <c r="Z56" i="1"/>
  <c r="Z57" i="1" s="1"/>
  <c r="Y55" i="1"/>
  <c r="Z55" i="1"/>
  <c r="Y54" i="1"/>
  <c r="Z54" i="1"/>
  <c r="Y50" i="1"/>
  <c r="Z50" i="1"/>
  <c r="X51" i="1" s="1"/>
  <c r="Y44" i="1"/>
  <c r="Z44" i="1"/>
  <c r="Z45" i="1" s="1"/>
  <c r="Y38" i="1"/>
  <c r="Z38" i="1"/>
  <c r="Y32" i="1"/>
  <c r="Z32" i="1"/>
  <c r="Z33" i="1" s="1"/>
  <c r="Y34" i="1" s="1"/>
  <c r="Y18" i="1"/>
  <c r="Z18" i="1"/>
  <c r="X19" i="1" s="1"/>
  <c r="X27" i="1" l="1"/>
  <c r="Y27" i="1" s="1"/>
  <c r="Y57" i="1"/>
  <c r="Y45" i="1"/>
  <c r="Y33" i="1"/>
  <c r="Y46" i="1"/>
  <c r="Z46" i="1"/>
  <c r="Z58" i="1"/>
  <c r="Y58" i="1"/>
  <c r="Z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Z27" i="1" l="1"/>
  <c r="Y28" i="1" s="1"/>
  <c r="Y59" i="1"/>
  <c r="Z59" i="1"/>
  <c r="Z28" i="1"/>
  <c r="Z29" i="1" s="1"/>
  <c r="Y52" i="1"/>
  <c r="Z52" i="1"/>
  <c r="Y51" i="1"/>
  <c r="Z51" i="1"/>
  <c r="Y39" i="1"/>
  <c r="Z39" i="1"/>
  <c r="Y40" i="1" s="1"/>
  <c r="Y36" i="1"/>
  <c r="Y19" i="1"/>
  <c r="Z19" i="1"/>
  <c r="X20" i="1" s="1"/>
  <c r="Y20" i="1" s="1"/>
  <c r="Z40" i="1" l="1"/>
  <c r="Z41" i="1" s="1"/>
  <c r="Y60" i="1"/>
  <c r="Z60" i="1"/>
  <c r="Y29" i="1"/>
  <c r="Y47" i="1"/>
  <c r="Z47" i="1"/>
  <c r="Y48" i="1" s="1"/>
  <c r="Y41" i="1"/>
  <c r="Y53" i="1"/>
  <c r="Z53" i="1"/>
  <c r="Y35" i="1"/>
  <c r="Z35" i="1"/>
  <c r="Z36" i="1"/>
  <c r="Z20" i="1"/>
  <c r="X21" i="1" s="1"/>
  <c r="Y21" i="1" s="1"/>
  <c r="Y61" i="1" l="1"/>
  <c r="Z61" i="1"/>
  <c r="Z48" i="1"/>
  <c r="Y49" i="1" s="1"/>
  <c r="Z42" i="1"/>
  <c r="Y42" i="1"/>
  <c r="Y30" i="1"/>
  <c r="Z30" i="1"/>
  <c r="Y31" i="1" s="1"/>
  <c r="Y37" i="1"/>
  <c r="Z37" i="1"/>
  <c r="Z21" i="1"/>
  <c r="X22" i="1" s="1"/>
  <c r="Z22" i="1" s="1"/>
  <c r="X23" i="1" s="1"/>
  <c r="X12" i="1"/>
  <c r="Y12" i="1" s="1"/>
  <c r="Y43" i="1" l="1"/>
  <c r="Z43" i="1"/>
  <c r="Z49" i="1"/>
  <c r="Z31" i="1"/>
  <c r="Y22" i="1"/>
  <c r="Y23" i="1"/>
  <c r="Z23" i="1"/>
  <c r="Q13" i="1"/>
  <c r="Z12" i="1" l="1"/>
  <c r="X13" i="1" s="1"/>
  <c r="Y13" i="1" l="1"/>
  <c r="Z13" i="1" l="1"/>
  <c r="X14" i="1" s="1"/>
  <c r="Z14" i="1" l="1"/>
  <c r="Y14" i="1"/>
  <c r="X16" i="1"/>
  <c r="Y16" i="1" l="1"/>
  <c r="Z16" i="1"/>
  <c r="X17" i="1" s="1"/>
  <c r="Y17" i="1" l="1"/>
  <c r="Z17" i="1"/>
  <c r="K44" i="1" l="1"/>
  <c r="L44" i="1" s="1"/>
  <c r="K32" i="1"/>
  <c r="L32" i="1" s="1"/>
  <c r="K56" i="1"/>
  <c r="L56" i="1" s="1"/>
  <c r="K50" i="1"/>
  <c r="L50" i="1" s="1"/>
  <c r="K38" i="1"/>
  <c r="L3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AB14" i="1" s="1"/>
  <c r="AA14" i="1" s="1"/>
  <c r="AC14"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32" i="1" l="1"/>
  <c r="AA32" i="1" s="1"/>
  <c r="AB44" i="1"/>
  <c r="AA44" i="1" s="1"/>
  <c r="AB56" i="1"/>
  <c r="AA56" i="1" s="1"/>
  <c r="AA12" i="1"/>
  <c r="AB18" i="1"/>
  <c r="AB50" i="1"/>
  <c r="AB38" i="1"/>
  <c r="AA38" i="1" s="1"/>
  <c r="AA50" i="1" l="1"/>
  <c r="V22" i="19" s="1"/>
  <c r="AB51" i="1"/>
  <c r="J28" i="19"/>
  <c r="AB27" i="1"/>
  <c r="AA27"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AB48" i="19"/>
  <c r="AH38" i="19"/>
  <c r="V8" i="19"/>
  <c r="J48" i="19"/>
  <c r="AH28" i="19"/>
  <c r="P48" i="19"/>
  <c r="AH48" i="19"/>
  <c r="AB18" i="19"/>
  <c r="AH18" i="19"/>
  <c r="AB8" i="19"/>
  <c r="V48" i="19"/>
  <c r="J8" i="19"/>
  <c r="V18" i="19"/>
  <c r="J18" i="19"/>
  <c r="J38" i="19"/>
  <c r="AA13" i="1"/>
  <c r="AB40" i="1"/>
  <c r="AA39" i="1"/>
  <c r="AA45" i="1"/>
  <c r="AB46" i="1"/>
  <c r="AA46" i="1" s="1"/>
  <c r="AB47" i="1"/>
  <c r="AB52" i="1"/>
  <c r="AA52" i="1" s="1"/>
  <c r="AB53" i="1"/>
  <c r="AA53" i="1" s="1"/>
  <c r="AA51" i="1"/>
  <c r="AA57" i="1"/>
  <c r="AB58" i="1"/>
  <c r="AA33" i="1"/>
  <c r="AB34" i="1"/>
  <c r="P38" i="19" l="1"/>
  <c r="AH17" i="19"/>
  <c r="P7" i="19"/>
  <c r="J7" i="19"/>
  <c r="AB17" i="19"/>
  <c r="V37" i="19"/>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1" i="1"/>
  <c r="AA20" i="1"/>
  <c r="AA34" i="1"/>
  <c r="AB35"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AC33"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30" i="1"/>
  <c r="AA30" i="1" s="1"/>
  <c r="AA29" i="1"/>
  <c r="AB31" i="1"/>
  <c r="AA31" i="1" s="1"/>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A35" i="1"/>
  <c r="AB36" i="1"/>
  <c r="AA36" i="1" s="1"/>
  <c r="AB37" i="1"/>
  <c r="AA37"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4" i="1"/>
  <c r="AD9" i="19"/>
  <c r="AJ49" i="19"/>
  <c r="L39" i="19"/>
  <c r="R19" i="19"/>
  <c r="AJ39" i="19"/>
  <c r="AJ29" i="19"/>
  <c r="AJ19" i="19"/>
  <c r="AJ9" i="19"/>
  <c r="AD49" i="19"/>
  <c r="L19" i="19"/>
  <c r="L29" i="19"/>
  <c r="R49" i="19"/>
  <c r="AA42" i="1" l="1"/>
  <c r="AB43" i="1"/>
  <c r="AA43" i="1" s="1"/>
  <c r="AG39" i="19"/>
  <c r="AG29" i="19"/>
  <c r="AM19" i="19"/>
  <c r="O39" i="19"/>
  <c r="AC3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6"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5" i="1"/>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<sst xmlns="http://schemas.openxmlformats.org/spreadsheetml/2006/main" count="493" uniqueCount="333">
  <si>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</si>
  <si>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</si>
  <si>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</si>
  <si>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</si>
  <si>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</si>
  <si>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</si>
  <si>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</si>
  <si>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</si>
  <si>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</si>
  <si>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</si>
  <si>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</si>
  <si>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</si>
  <si>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</si>
  <si>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</si>
  <si>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</si>
  <si>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</si>
  <si>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</si>
  <si>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</si>
  <si>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</si>
  <si>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</si>
  <si>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</si>
  <si>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</si>
  <si>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</si>
  <si>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</si>
  <si>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</si>
  <si>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</si>
  <si>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</si>
  <si>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</si>
  <si>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</si>
  <si>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</si>
  <si>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</si>
  <si>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</si>
  <si>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</si>
  <si>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</si>
  <si>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</si>
  <si>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</si>
  <si>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</si>
  <si>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</si>
  <si>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</si>
  <si>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</si>
  <si>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</si>
  <si>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</si>
  <si>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</si>
  <si>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</si>
  <si>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</si>
  <si>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</si>
  <si>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</si>
  <si>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</si>
  <si>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</si>
  <si>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</si>
  <si>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</si>
  <si>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</si>
  <si>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</si>
  <si>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</si>
  <si>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</si>
  <si>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</si>
  <si>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</si>
  <si>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</si>
  <si>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</si>
  <si>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</si>
  <si>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</si>
  <si>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</si>
  <si>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</si>
  <si>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</si>
  <si>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</si>
  <si>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</si>
  <si>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</si>
  <si>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</si>
  <si>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</si>
  <si>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</si>
  <si>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</si>
  <si>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</si>
  <si>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</si>
  <si>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</si>
  <si>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</si>
  <si>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</si>
  <si>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</si>
  <si>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2</t>
  </si>
  <si>
    <t>CONTEXTO ESTRATÉGICO DEL PROCESO</t>
  </si>
  <si>
    <t>PROCESO:</t>
  </si>
  <si>
    <t>Control Interno de Gestión</t>
  </si>
  <si>
    <t>ALCANCE:</t>
  </si>
  <si>
    <t>Comprende desde la planificación, definición y ejecución del Plan de Acción y Auditoríade la Oficina de Control Interno de Gestión para la respectiva vigencia; posteriormente  se  realiza  la elaboración  y  presentación  de Informes  de  resultados  de  evaluación  de  la  gestión, informes de seguimientos, Informes de auditoría, e informes de Ley establecidos para la Oficinas de Control Interno de Gestión, hasta eltratamiento de Acciones Correctivas, Preventivas y de Mejora</t>
  </si>
  <si>
    <t>CONTEXTO ESTRATÉGICO</t>
  </si>
  <si>
    <t>OBJETIVOS ESTRATÉGICOS</t>
  </si>
  <si>
    <t>OBJETIVO DEL PROCESO</t>
  </si>
  <si>
    <t>PLANEACIÓN INSTITUCIONAL</t>
  </si>
  <si>
    <t>PUNTOS DE RIESGO EN LA CADENA DE VALOR</t>
  </si>
  <si>
    <t>Desempeñar  los  roles  de  asesor,  evaluador,  integrador  y  dinamizador  del  sistema  de  control  interno  de  la Administración  Central  del Municipio  de  Bucaramanga,  así  como  también,  del  Modelo  Integrado  de  Planeación  y  Gestión-MIPG,  mediante  la  propuesta  de recomendaciones para la gestión, prevención oportuna, control y mitigación de riesgos, encaminadas al fortalecimiento de acciones para el cumplimiento de los objetivos y de la normativa legal vigente</t>
  </si>
  <si>
    <t>Plan de Acción de la OCIG aprobado.  Informes de Seguimiento, Seguimiento a los Planes de Mejoramiento e Informes de Ley</t>
  </si>
  <si>
    <t>Formulación del Plan de Acción. Auditorias Internas de Gestion.  Seguimientos a planes institucionales, Planes de Mejoramiento derivados de auditorías de Órganos de Control Externo.</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</si>
  <si>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</si>
  <si>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MATRIZ DOFA</t>
  </si>
  <si>
    <t>DEBILIDADES</t>
  </si>
  <si>
    <t>AMENAZAS</t>
  </si>
  <si>
    <t>Entrega tardía de la información por parte de las dependencias de la Administración.</t>
  </si>
  <si>
    <t>Cambios normativos permanentes.</t>
  </si>
  <si>
    <t>Resistencia al cambio de cultura sobre el control.</t>
  </si>
  <si>
    <t>Alteraciones del Orden Público.</t>
  </si>
  <si>
    <t xml:space="preserve">Información de la Entidad no se encuentra totalmente digitalizada dificultando el ejercicio de Auditoría y Seguimiento.  </t>
  </si>
  <si>
    <t>Contratación de recurso humano sin competencia para la realización de actividades de Control Interno</t>
  </si>
  <si>
    <t xml:space="preserve">No dar cumplimiento oportuno a la gestión del Plan de Mejoramiento Interno y Externo. </t>
  </si>
  <si>
    <t>Falta de autocontrol en todos los procesos.</t>
  </si>
  <si>
    <t>Formular por parte de los procesos acciones de mejora que no subsana el hallazgo planteado</t>
  </si>
  <si>
    <t>Formulación de controles no efectivos para gestionar el riesgo.</t>
  </si>
  <si>
    <t xml:space="preserve">Insuficiencia de recursos tecnológicos y fallas en el servidor o Red. </t>
  </si>
  <si>
    <t>FORTALEZAS</t>
  </si>
  <si>
    <t>OPORTUNIDADES</t>
  </si>
  <si>
    <t>Experiencia y compromiso de los servidores públicos vinculados al proceso.</t>
  </si>
  <si>
    <t>Fortalecer el Sistema de Control Interno.</t>
  </si>
  <si>
    <t>Implementación del MECI y Modelo Integrado de Planeación y Gestión - MIPG.</t>
  </si>
  <si>
    <t>Implementar Instrumentos de la caja de herramientas DAFP.</t>
  </si>
  <si>
    <t>Disponer y dar cumplimiento al Plan de Acción y Auditoría de Control Interno aprobado para cada vigencia por el Comité Institucional de Coordinación de Control Interno.</t>
  </si>
  <si>
    <t>La tecnología disponible como instrumento de apoyo al seguimiento a los procesos de la Administración Central.</t>
  </si>
  <si>
    <t>Trabajo en Equipo.</t>
  </si>
  <si>
    <t xml:space="preserve">Reglamentación del Trabajo en Casa. </t>
  </si>
  <si>
    <t>Se cuenta con un Sistema de Gestión de Calidad en permanente actualización.</t>
  </si>
  <si>
    <t>Fomento de la Cultura de Mejora Continua.</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</si>
  <si>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</si>
  <si>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</si>
  <si>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</si>
  <si>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</si>
  <si>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</si>
  <si>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</si>
  <si>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</si>
  <si>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</si>
  <si>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Matriz Mapa Riesgos de Gestión 2025</t>
  </si>
  <si>
    <t>Página:  2 de 2</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</si>
  <si>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</si>
  <si>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</si>
  <si>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</si>
  <si>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</si>
  <si>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</si>
  <si>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</si>
  <si>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</si>
  <si>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</si>
  <si>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</si>
  <si>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</si>
  <si>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</si>
  <si>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</si>
  <si>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</si>
  <si>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</si>
  <si>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</si>
  <si>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</si>
  <si>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</si>
  <si>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</si>
  <si>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</si>
  <si>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</si>
  <si>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</si>
  <si>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</si>
  <si>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</si>
  <si>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</si>
  <si>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</si>
  <si>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</si>
  <si>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</si>
  <si>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</si>
  <si>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</si>
  <si>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</si>
  <si>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</si>
  <si>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Posibilidad de afectación económica y reputacional por posibles investigaciones y sanciones disciplinarias por Entes de Control debido a la presentación de Informes definitivos de Auditorías Internas  soportados en evidencias no confiables.</t>
  </si>
  <si>
    <t>Ejecucion y Administracion de procesos</t>
  </si>
  <si>
    <t xml:space="preserve">     El riesgo afecta la imagen de la entidad con algunos usuarios de relevancia frente al logro de los objetivos</t>
  </si>
  <si>
    <t>La Jefe de Oficina de Control Interno de Gestión y el Equipo Auditor realizará cruce y convalidación de la información a través de listas de verificación, plataforma tecnológica e información suministrada por la dependencia auditada.</t>
  </si>
  <si>
    <t>Preventivo</t>
  </si>
  <si>
    <t>Manual</t>
  </si>
  <si>
    <t>Documentado</t>
  </si>
  <si>
    <t>Continua</t>
  </si>
  <si>
    <t>Con Registro</t>
  </si>
  <si>
    <t>Reducir (mitigar)</t>
  </si>
  <si>
    <t>Realizar una (01) mesa de trabajo en el desarrollo de cada auditoría con el fin de convalidar la información objeto de análisis.</t>
  </si>
  <si>
    <t>Jefe de Oficina de Control Interno de Gestión y/o Profesionales adscritos a la Oficina</t>
  </si>
  <si>
    <t xml:space="preserve">Acta de reunión por cada auditoria </t>
  </si>
  <si>
    <t>La Jefe de Oficina de Control Interno de Gestión verifica que se aplique el Formato de Carta de Representación en cada auditoria, con el fin de garantizar que la información suministrada por el Líder del proceso sea válida, integral y completa para los propósitos del proceso auditor en curso.</t>
  </si>
  <si>
    <t xml:space="preserve">Aplicar el Formato de Carta de Representación y garantizar que el auditado la allegue al Equipo Auditor. </t>
  </si>
  <si>
    <t>Auditor de la Oficina de Control Interno de Gestión y Responsable de la Dependencia Auditada</t>
  </si>
  <si>
    <t>Carta de representación una por auditoria</t>
  </si>
  <si>
    <t>El líder de Auditoría garantizará la aplicación del Formato de Carta de Compromiso en cada auditoria, con el fin de dar a conocer la información, metodologías, objetivos, alcance y demás aspectos relacionados con la ejecución de la  auditoría en procura que el proceso se realizará conforme a lo que indica el plan de auditoría.</t>
  </si>
  <si>
    <t>Aplicar el formato de Carta de compromiso en cada auditoría  y garantizar que el líder de auditoría lo allegue al equipo auditado</t>
  </si>
  <si>
    <t>Carta de compromiso una por auditoria</t>
  </si>
  <si>
    <t>Reputacional</t>
  </si>
  <si>
    <t xml:space="preserve">Debilitamiento del Sistema de Control Interno </t>
  </si>
  <si>
    <t>Posibilidad de afectación reputacional por debilitamiento del Sistema de Control Interno debido al incumplimiento en la ejecución del Plan de Acción y/o Informes de Ley asignados a la OCIG por no contar con el personal profesional suficiente y competente.</t>
  </si>
  <si>
    <t xml:space="preserve">     El riesgo afecta la imagen de la entidad internamente, de conocimiento general, nivel interno, de junta dircetiva y accionistas y/o de provedores</t>
  </si>
  <si>
    <t>La Jefe de la Oficina de Control Interno de Gestión gestionará ante la Secretaría Ordenadora del Gasto la respectiva solicitud para la contratación y/o  asignación de personal profesional competente con el fin de dar cumplimiento al Plan de Acción y Auditoria de la vigencia</t>
  </si>
  <si>
    <t>Gestionar una solicitud en cada semestre a la Secretaría Ordenadora del Gasto sobre la contratación y/o asignación de personal profesional competente con el fin de dar cumplimiento al Plan de Acción y Auditoria de la vigencia.</t>
  </si>
  <si>
    <t>Jefe de Oficina de Control Interno de Gestión</t>
  </si>
  <si>
    <t>Solicitudes de personal (2)</t>
  </si>
  <si>
    <t>Incumplimiento de la normatividad archivística en los documentos generados por la Oficina de Control Interno de Gestión</t>
  </si>
  <si>
    <t>Posibilidad de afectación reputacional por posibles investigaciones y sanciones disciplinarias por entes de control, debido al incumplimiento de la Ley 594 del 2000 en los documentos generados por la Oficina de Control Interno de Gestión</t>
  </si>
  <si>
    <t>El servidor público encargado del manejo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</si>
  <si>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100% de las Transferencias documentales primarias de la Oficina de Control Interno de Gestión en los tiempos establecidos en el cronograma para la vigencia que aplique la tabla de retención documental vigentes</t>
  </si>
  <si>
    <t>Servidor público asignado</t>
  </si>
  <si>
    <t>Acta de transferencia documental F-GDO-8600-238,37-022</t>
  </si>
  <si>
    <t>Organizar el 100% de los expedientes producidos por la Oficina de Control Interno de Gestión</t>
  </si>
  <si>
    <t>Lider de proceso y Servidor público asignado</t>
  </si>
  <si>
    <t xml:space="preserve">Informe de seguimiento a la organización documental F-GDO-8600-238,37-033 </t>
  </si>
  <si>
    <t>Elaborar el 100% de los inventarios documentales de los archivos producidos por la Oficina de Control Interno de Gestión</t>
  </si>
  <si>
    <t>Inventarios documentales F-GDO-8600-238,37-003</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</si>
  <si>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</si>
  <si>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</si>
  <si>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</si>
  <si>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</si>
  <si>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Oficina de Control Interno de Gestión, de acuerdo con los estandares establecidos en la Resolucuión 1519 de 2020</t>
  </si>
  <si>
    <t>Lider de proceso y profesional asignado</t>
  </si>
  <si>
    <t>Solicitudes de publicación enviados al área TIC</t>
  </si>
  <si>
    <t>Investigaciones disciplinarias</t>
  </si>
  <si>
    <t>Posibilidad de afectación reputacional por investigaciones disciplinarias debido al incumplimiento de las acciones correctivas en los tiempos estipulados y plasmados en los Planes de Mejoramiento suscritos</t>
  </si>
  <si>
    <t xml:space="preserve">La profesional encargada revisa las acciones correctivas establecidas y plasmadas en los Planes de Mejoramiento suscritos, a través de seguimientos con los responsables de su cumplimiento </t>
  </si>
  <si>
    <t>Realizar  un seguimiento  a las acciones establecidas en los Planes de Mejoramiento suscritos</t>
  </si>
  <si>
    <t>Lider de proceso y
Profesional encargada</t>
  </si>
  <si>
    <t>Actas de seguimiento (1)</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</si>
  <si>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</si>
  <si>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</si>
  <si>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</si>
  <si>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</si>
  <si>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</si>
  <si>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</si>
  <si>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</si>
  <si>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</si>
  <si>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</si>
  <si>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</si>
  <si>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</si>
  <si>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</si>
  <si>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</si>
  <si>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</si>
  <si>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</si>
  <si>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</si>
  <si>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</si>
  <si>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</si>
  <si>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</si>
  <si>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</si>
  <si>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</si>
  <si>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</si>
  <si>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</si>
  <si>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</si>
  <si>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</si>
  <si>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</si>
  <si>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</si>
  <si>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</si>
  <si>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</si>
  <si>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</si>
  <si>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</si>
  <si>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</si>
  <si>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</si>
  <si>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</si>
  <si>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</si>
  <si>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</si>
  <si>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</si>
  <si>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</si>
  <si>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</si>
  <si>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</si>
  <si>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</si>
  <si>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</si>
  <si>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</si>
  <si>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</si>
  <si>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</si>
  <si>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</si>
  <si>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</si>
  <si>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</si>
  <si>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</si>
  <si>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</si>
  <si>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</si>
  <si>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</si>
  <si>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</si>
  <si>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</si>
  <si>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</si>
  <si>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</si>
  <si>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</si>
  <si>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</si>
  <si>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</si>
  <si>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</si>
  <si>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</si>
  <si>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</si>
  <si>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</si>
  <si>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</si>
  <si>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</si>
  <si>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</si>
  <si>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</si>
  <si>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</si>
  <si>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</si>
  <si>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</si>
  <si>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</si>
  <si>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</si>
  <si>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</si>
  <si>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</si>
  <si>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</si>
  <si>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</si>
  <si>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</si>
  <si>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</si>
  <si>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</si>
  <si>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</si>
  <si>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</si>
  <si>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</si>
  <si>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</si>
  <si>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</si>
  <si>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</si>
  <si>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</si>
  <si>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</si>
  <si>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</si>
  <si>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</si>
  <si>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</si>
  <si>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</si>
  <si>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</si>
  <si>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</si>
  <si>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</si>
  <si>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</si>
  <si>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</si>
  <si>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</si>
  <si>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</si>
  <si>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</si>
  <si>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</si>
  <si>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</si>
  <si>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</si>
  <si>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</si>
  <si>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</si>
  <si>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</si>
  <si>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</si>
  <si>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</si>
  <si>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</si>
  <si>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</si>
  <si>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</si>
  <si>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</si>
  <si>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</si>
  <si>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</si>
  <si>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</si>
  <si>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</si>
  <si>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</si>
  <si>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</si>
  <si>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presentación de Informes definitivos de Auditorías Internas  soportados en evidencias no confiables</t>
  </si>
  <si>
    <t>investigaciones y sanciones disciplinarias por Entes de Control</t>
  </si>
  <si>
    <t>incumplimiento en la ejecución del Plan de Acción y/o Informes de Ley asignados a la OCIG por no contar con el personal profesional suficiente y competente</t>
  </si>
  <si>
    <t>investigaciones y sanciones disciplinarias por entes de control</t>
  </si>
  <si>
    <t xml:space="preserve"> incumplimiento de las acciones correctivas en los tiempos estipulados y plasmados en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</si>
</sst>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9"/>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2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tted">
        <color theme="9" tint="-0.24994659260841701"/>
      </left>
      <right/>
      <top style="dotted">
        <color theme="9" tint="-0.24994659260841701"/>
      </top>
      <bottom/>
      <diagonal/>
    </border>
    <border>
      <left/>
      <right/>
      <top style="dotted">
        <color theme="9" tint="-0.24994659260841701"/>
      </top>
      <bottom/>
      <diagonal/>
    </border>
    <border>
      <left style="dotted">
        <color theme="9" tint="-0.24994659260841701"/>
      </left>
      <right/>
      <top/>
      <bottom/>
      <diagonal/>
    </border>
    <border>
      <left style="dotted">
        <color theme="9" tint="-0.24994659260841701"/>
      </left>
      <right/>
      <top/>
      <bottom style="dotted">
        <color theme="9" tint="-0.24994659260841701"/>
      </bottom>
      <diagonal/>
    </border>
    <border>
      <left/>
      <right/>
      <top/>
      <bottom style="dotted">
        <color theme="9" tint="-0.24994659260841701"/>
      </bottom>
      <diagonal/>
    </border>
    <border>
      <left style="thin">
        <color indexed="64"/>
      </left>
      <right/>
      <top style="medium">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2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2" fillId="0" borderId="0" xfId="0" applyFont="1"/>
    <xf numFmtId="0" fontId="67" fillId="16" borderId="0" xfId="0" applyFont="1" applyFill="1" applyAlignment="1">
      <alignment horizontal="left" vertical="top" wrapText="1"/>
    </xf>
    <xf numFmtId="0" fontId="67" fillId="16" borderId="0" xfId="0" applyFont="1" applyFill="1" applyAlignment="1">
      <alignment wrapText="1"/>
    </xf>
    <xf numFmtId="0" fontId="70" fillId="17" borderId="97" xfId="0" applyFont="1" applyFill="1" applyBorder="1" applyAlignment="1">
      <alignment horizontal="left" vertical="center" wrapText="1" indent="1"/>
    </xf>
    <xf numFmtId="0" fontId="72" fillId="17" borderId="109" xfId="0" applyFont="1" applyFill="1" applyBorder="1" applyAlignment="1">
      <alignment horizontal="center" vertical="center" wrapText="1"/>
    </xf>
    <xf numFmtId="0" fontId="72" fillId="17" borderId="13" xfId="0" applyFont="1" applyFill="1" applyBorder="1" applyAlignment="1">
      <alignment horizontal="center" vertical="center" wrapText="1"/>
    </xf>
    <xf numFmtId="0" fontId="62" fillId="0" borderId="32" xfId="0" applyFont="1" applyBorder="1" applyAlignment="1">
      <alignment horizontal="center" vertical="center"/>
    </xf>
    <xf numFmtId="14" fontId="62" fillId="0" borderId="32" xfId="0" applyNumberFormat="1" applyFont="1" applyBorder="1" applyAlignment="1">
      <alignment horizontal="center" vertical="center"/>
    </xf>
    <xf numFmtId="0" fontId="62" fillId="0" borderId="32" xfId="0" applyFont="1" applyBorder="1" applyAlignment="1">
      <alignment horizontal="center" vertical="center" wrapText="1"/>
    </xf>
    <xf numFmtId="0" fontId="66" fillId="0" borderId="117" xfId="0" applyFont="1" applyBorder="1" applyAlignment="1">
      <alignment horizontal="center"/>
    </xf>
    <xf numFmtId="0" fontId="48" fillId="3" borderId="94" xfId="0" applyFont="1" applyFill="1" applyBorder="1" applyAlignment="1">
      <alignment vertical="center" wrapText="1"/>
    </xf>
    <xf numFmtId="0" fontId="70" fillId="17" borderId="40" xfId="0" applyFont="1" applyFill="1" applyBorder="1" applyAlignment="1">
      <alignment horizontal="left" vertical="center" wrapText="1" indent="1"/>
    </xf>
    <xf numFmtId="9" fontId="1" fillId="0" borderId="8" xfId="0" applyNumberFormat="1" applyFont="1" applyBorder="1" applyAlignment="1" applyProtection="1">
      <alignment horizontal="center" vertical="center" wrapText="1"/>
      <protection hidden="1"/>
    </xf>
    <xf numFmtId="14" fontId="1"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74" fillId="0" borderId="37" xfId="0" applyFont="1" applyBorder="1" applyAlignment="1">
      <alignment horizontal="left" vertical="center" wrapText="1"/>
    </xf>
    <xf numFmtId="0" fontId="74" fillId="0" borderId="38" xfId="0" applyFont="1" applyBorder="1" applyAlignment="1">
      <alignment horizontal="left" vertical="center" wrapText="1"/>
    </xf>
    <xf numFmtId="0" fontId="74" fillId="0" borderId="39" xfId="0" applyFont="1" applyBorder="1" applyAlignment="1">
      <alignment horizontal="left" vertical="center" wrapText="1"/>
    </xf>
    <xf numFmtId="0" fontId="62" fillId="0" borderId="108" xfId="0" applyFont="1" applyBorder="1" applyAlignment="1">
      <alignment horizontal="left"/>
    </xf>
    <xf numFmtId="0" fontId="62" fillId="0" borderId="100" xfId="0" applyFont="1" applyBorder="1" applyAlignment="1">
      <alignment horizontal="left"/>
    </xf>
    <xf numFmtId="0" fontId="74" fillId="0" borderId="35" xfId="0" applyFont="1" applyBorder="1" applyAlignment="1">
      <alignment horizontal="left" vertical="center" wrapText="1"/>
    </xf>
    <xf numFmtId="0" fontId="74" fillId="0" borderId="31" xfId="0" applyFont="1" applyBorder="1" applyAlignment="1">
      <alignment horizontal="left" vertical="center" wrapText="1"/>
    </xf>
    <xf numFmtId="0" fontId="74" fillId="0" borderId="36" xfId="0" applyFont="1" applyBorder="1" applyAlignment="1">
      <alignment horizontal="left" vertical="center" wrapText="1"/>
    </xf>
    <xf numFmtId="0" fontId="62" fillId="0" borderId="35" xfId="0" applyFont="1" applyBorder="1" applyAlignment="1">
      <alignment horizontal="left" vertical="center" wrapText="1"/>
    </xf>
    <xf numFmtId="0" fontId="62" fillId="0" borderId="36" xfId="0" applyFont="1" applyBorder="1" applyAlignment="1">
      <alignment horizontal="left" vertical="center" wrapText="1"/>
    </xf>
    <xf numFmtId="0" fontId="62" fillId="0" borderId="31" xfId="0" applyFont="1" applyBorder="1" applyAlignment="1">
      <alignment horizontal="left" vertical="center" wrapText="1"/>
    </xf>
    <xf numFmtId="0" fontId="62" fillId="0" borderId="104" xfId="0" applyFont="1" applyBorder="1" applyAlignment="1">
      <alignment horizontal="left"/>
    </xf>
    <xf numFmtId="0" fontId="62" fillId="0" borderId="77" xfId="0" applyFont="1" applyBorder="1" applyAlignment="1">
      <alignment horizontal="left"/>
    </xf>
    <xf numFmtId="0" fontId="62" fillId="0" borderId="105" xfId="0" applyFont="1" applyBorder="1" applyAlignment="1">
      <alignment horizontal="left"/>
    </xf>
    <xf numFmtId="0" fontId="71" fillId="0" borderId="109" xfId="0" applyFont="1" applyBorder="1" applyAlignment="1">
      <alignment horizontal="center" vertical="center" wrapText="1"/>
    </xf>
    <xf numFmtId="0" fontId="71" fillId="0" borderId="73" xfId="0" applyFont="1" applyBorder="1" applyAlignment="1">
      <alignment horizontal="center" vertical="center" wrapText="1"/>
    </xf>
    <xf numFmtId="0" fontId="71" fillId="0" borderId="110" xfId="0" applyFont="1" applyBorder="1" applyAlignment="1">
      <alignment horizontal="center" vertical="center" wrapText="1"/>
    </xf>
    <xf numFmtId="0" fontId="71" fillId="0" borderId="111" xfId="0" applyFont="1" applyBorder="1" applyAlignment="1">
      <alignment horizontal="center" vertical="center" wrapText="1"/>
    </xf>
    <xf numFmtId="0" fontId="71" fillId="0" borderId="112" xfId="0" applyFont="1" applyBorder="1" applyAlignment="1">
      <alignment horizontal="center" vertical="center" wrapText="1"/>
    </xf>
    <xf numFmtId="0" fontId="71" fillId="0" borderId="113" xfId="0" applyFont="1" applyBorder="1" applyAlignment="1">
      <alignment horizontal="center" vertical="center" wrapText="1"/>
    </xf>
    <xf numFmtId="0" fontId="71" fillId="0" borderId="114" xfId="0" applyFont="1" applyBorder="1" applyAlignment="1">
      <alignment horizontal="center" vertical="center" wrapText="1"/>
    </xf>
    <xf numFmtId="0" fontId="71" fillId="0" borderId="115" xfId="0" applyFont="1" applyBorder="1" applyAlignment="1">
      <alignment horizontal="center" vertical="center" wrapText="1"/>
    </xf>
    <xf numFmtId="0" fontId="71" fillId="0" borderId="116" xfId="0" applyFont="1" applyBorder="1" applyAlignment="1">
      <alignment horizontal="center" vertical="center" wrapText="1"/>
    </xf>
    <xf numFmtId="0" fontId="73" fillId="0" borderId="14" xfId="0" applyFont="1" applyBorder="1" applyAlignment="1">
      <alignment horizontal="left" vertical="center" wrapText="1"/>
    </xf>
    <xf numFmtId="0" fontId="73" fillId="0" borderId="15" xfId="0" applyFont="1" applyBorder="1" applyAlignment="1">
      <alignment horizontal="left" vertical="center" wrapText="1"/>
    </xf>
    <xf numFmtId="0" fontId="73" fillId="0" borderId="16" xfId="0" applyFont="1" applyBorder="1" applyAlignment="1">
      <alignment horizontal="left" vertical="center" wrapText="1"/>
    </xf>
    <xf numFmtId="0" fontId="73" fillId="0" borderId="17" xfId="0" applyFont="1" applyBorder="1" applyAlignment="1">
      <alignment horizontal="left" vertical="center" wrapText="1"/>
    </xf>
    <xf numFmtId="0" fontId="74" fillId="0" borderId="35" xfId="0" applyFont="1" applyBorder="1" applyAlignment="1">
      <alignment horizontal="left" wrapText="1"/>
    </xf>
    <xf numFmtId="0" fontId="74" fillId="0" borderId="36" xfId="0" applyFont="1" applyBorder="1" applyAlignment="1">
      <alignment horizontal="left" wrapText="1"/>
    </xf>
    <xf numFmtId="0" fontId="62" fillId="0" borderId="35" xfId="0" applyFont="1" applyBorder="1" applyAlignment="1">
      <alignment horizontal="left" wrapText="1"/>
    </xf>
    <xf numFmtId="0" fontId="62" fillId="0" borderId="36" xfId="0" applyFont="1" applyBorder="1" applyAlignment="1">
      <alignment horizontal="left" wrapText="1"/>
    </xf>
    <xf numFmtId="0" fontId="62" fillId="0" borderId="96" xfId="0" applyFont="1" applyBorder="1" applyAlignment="1">
      <alignment horizontal="left" vertical="center" wrapText="1"/>
    </xf>
    <xf numFmtId="0" fontId="62" fillId="0" borderId="101" xfId="0" applyFont="1" applyBorder="1" applyAlignment="1">
      <alignment horizontal="left" vertical="center" wrapText="1"/>
    </xf>
    <xf numFmtId="0" fontId="62" fillId="0" borderId="102" xfId="0" applyFont="1" applyBorder="1" applyAlignment="1">
      <alignment horizontal="left" vertical="center" wrapText="1"/>
    </xf>
    <xf numFmtId="0" fontId="74" fillId="0" borderId="96" xfId="0" applyFont="1" applyBorder="1" applyAlignment="1">
      <alignment horizontal="left" wrapText="1"/>
    </xf>
    <xf numFmtId="0" fontId="74" fillId="0" borderId="102" xfId="0" applyFont="1" applyBorder="1" applyAlignment="1">
      <alignment horizontal="left" wrapText="1"/>
    </xf>
    <xf numFmtId="0" fontId="62" fillId="0" borderId="31" xfId="0" applyFont="1" applyBorder="1" applyAlignment="1">
      <alignment horizontal="left" wrapText="1"/>
    </xf>
    <xf numFmtId="0" fontId="62" fillId="3" borderId="35" xfId="0" applyFont="1" applyFill="1" applyBorder="1" applyAlignment="1">
      <alignment horizontal="left" vertical="center"/>
    </xf>
    <xf numFmtId="0" fontId="62" fillId="3" borderId="31" xfId="0" applyFont="1" applyFill="1" applyBorder="1" applyAlignment="1">
      <alignment horizontal="left" vertical="center"/>
    </xf>
    <xf numFmtId="0" fontId="62" fillId="3" borderId="36" xfId="0" applyFont="1" applyFill="1" applyBorder="1" applyAlignment="1">
      <alignment horizontal="left" vertical="center"/>
    </xf>
    <xf numFmtId="0" fontId="74" fillId="0" borderId="104" xfId="0" applyFont="1" applyBorder="1" applyAlignment="1">
      <alignment horizontal="left" vertical="center"/>
    </xf>
    <xf numFmtId="0" fontId="74" fillId="0" borderId="105" xfId="0" applyFont="1" applyBorder="1" applyAlignment="1">
      <alignment horizontal="left" vertical="center"/>
    </xf>
    <xf numFmtId="0" fontId="62" fillId="3" borderId="37" xfId="0" applyFont="1" applyFill="1" applyBorder="1" applyAlignment="1">
      <alignment horizontal="left" vertical="center"/>
    </xf>
    <xf numFmtId="0" fontId="62" fillId="3" borderId="38" xfId="0" applyFont="1" applyFill="1" applyBorder="1" applyAlignment="1">
      <alignment horizontal="left" vertical="center"/>
    </xf>
    <xf numFmtId="0" fontId="62" fillId="3" borderId="39" xfId="0" applyFont="1" applyFill="1" applyBorder="1" applyAlignment="1">
      <alignment horizontal="left" vertical="center"/>
    </xf>
    <xf numFmtId="0" fontId="74" fillId="0" borderId="107" xfId="0" applyFont="1" applyBorder="1" applyAlignment="1">
      <alignment horizontal="left" wrapText="1"/>
    </xf>
    <xf numFmtId="0" fontId="74" fillId="0" borderId="39" xfId="0" applyFont="1" applyBorder="1" applyAlignment="1">
      <alignment horizontal="left" wrapText="1"/>
    </xf>
    <xf numFmtId="0" fontId="70" fillId="20" borderId="14" xfId="0" applyFont="1" applyFill="1" applyBorder="1" applyAlignment="1">
      <alignment horizontal="center" vertical="center" wrapText="1"/>
    </xf>
    <xf numFmtId="0" fontId="70" fillId="20" borderId="0" xfId="0" applyFont="1" applyFill="1" applyAlignment="1">
      <alignment horizontal="center" vertical="center" wrapText="1"/>
    </xf>
    <xf numFmtId="0" fontId="70" fillId="20" borderId="33" xfId="0" applyFont="1" applyFill="1" applyBorder="1" applyAlignment="1">
      <alignment horizontal="center" vertical="center" wrapText="1"/>
    </xf>
    <xf numFmtId="0" fontId="70" fillId="20" borderId="45" xfId="0" applyFont="1" applyFill="1" applyBorder="1" applyAlignment="1">
      <alignment horizontal="center" vertical="center" wrapText="1"/>
    </xf>
    <xf numFmtId="0" fontId="74" fillId="0" borderId="106" xfId="0" applyFont="1" applyBorder="1" applyAlignment="1">
      <alignment horizontal="left" vertical="center"/>
    </xf>
    <xf numFmtId="0" fontId="74" fillId="0" borderId="36" xfId="0" applyFont="1" applyBorder="1" applyAlignment="1">
      <alignment horizontal="left" vertical="center"/>
    </xf>
    <xf numFmtId="0" fontId="62" fillId="0" borderId="106" xfId="0" applyFont="1" applyBorder="1" applyAlignment="1">
      <alignment horizontal="left" vertical="center" wrapText="1"/>
    </xf>
    <xf numFmtId="0" fontId="62" fillId="0" borderId="106" xfId="0" applyFont="1" applyBorder="1" applyAlignment="1">
      <alignment horizontal="left" vertical="center"/>
    </xf>
    <xf numFmtId="0" fontId="62" fillId="0" borderId="36" xfId="0" applyFont="1" applyBorder="1" applyAlignment="1">
      <alignment horizontal="left" vertical="center"/>
    </xf>
    <xf numFmtId="0" fontId="62" fillId="3" borderId="35" xfId="0" applyFont="1" applyFill="1" applyBorder="1" applyAlignment="1">
      <alignment horizontal="left" vertical="center" wrapText="1"/>
    </xf>
    <xf numFmtId="0" fontId="62" fillId="3" borderId="31" xfId="0" applyFont="1" applyFill="1" applyBorder="1" applyAlignment="1">
      <alignment horizontal="left" vertical="center" wrapText="1"/>
    </xf>
    <xf numFmtId="0" fontId="62" fillId="3" borderId="36" xfId="0" applyFont="1" applyFill="1" applyBorder="1" applyAlignment="1">
      <alignment horizontal="left" vertical="center" wrapText="1"/>
    </xf>
    <xf numFmtId="0" fontId="69" fillId="0" borderId="92" xfId="0" applyFont="1" applyBorder="1" applyAlignment="1">
      <alignment vertical="top" wrapText="1"/>
    </xf>
    <xf numFmtId="0" fontId="69" fillId="0" borderId="94" xfId="0" applyFont="1" applyBorder="1" applyAlignment="1">
      <alignment vertical="top" wrapText="1"/>
    </xf>
    <xf numFmtId="0" fontId="75" fillId="0" borderId="12" xfId="0" applyFont="1" applyBorder="1" applyAlignment="1">
      <alignment horizontal="center" vertical="center" wrapText="1"/>
    </xf>
    <xf numFmtId="0" fontId="75" fillId="0" borderId="19" xfId="0" applyFont="1" applyBorder="1" applyAlignment="1">
      <alignment horizontal="center" vertical="center" wrapText="1"/>
    </xf>
    <xf numFmtId="0" fontId="75" fillId="0" borderId="14" xfId="0" applyFont="1" applyBorder="1" applyAlignment="1">
      <alignment horizontal="center" vertical="center" wrapText="1"/>
    </xf>
    <xf numFmtId="0" fontId="75" fillId="0" borderId="0" xfId="0" applyFont="1" applyAlignment="1">
      <alignment horizontal="center" vertical="center" wrapText="1"/>
    </xf>
    <xf numFmtId="0" fontId="45" fillId="18" borderId="124"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59" fillId="18" borderId="98" xfId="0" applyFont="1" applyFill="1" applyBorder="1" applyAlignment="1">
      <alignment horizontal="left" vertical="center" wrapText="1" indent="1"/>
    </xf>
    <xf numFmtId="0" fontId="59" fillId="18" borderId="99" xfId="0" applyFont="1" applyFill="1" applyBorder="1" applyAlignment="1">
      <alignment horizontal="left" vertical="center" wrapText="1" indent="1"/>
    </xf>
    <xf numFmtId="0" fontId="59" fillId="18" borderId="100" xfId="0" applyFont="1" applyFill="1" applyBorder="1" applyAlignment="1">
      <alignment horizontal="left" vertical="center" wrapText="1" indent="1"/>
    </xf>
    <xf numFmtId="0" fontId="60" fillId="19" borderId="0" xfId="0" applyFont="1" applyFill="1" applyAlignment="1">
      <alignment horizontal="center" vertical="center" wrapText="1"/>
    </xf>
    <xf numFmtId="0" fontId="60" fillId="20" borderId="42" xfId="0" applyFont="1" applyFill="1" applyBorder="1" applyAlignment="1">
      <alignment horizontal="center" vertical="center" wrapText="1"/>
    </xf>
    <xf numFmtId="0" fontId="60" fillId="20" borderId="43" xfId="0" applyFont="1" applyFill="1" applyBorder="1" applyAlignment="1">
      <alignment horizontal="center" vertical="center" wrapText="1"/>
    </xf>
    <xf numFmtId="0" fontId="60" fillId="20" borderId="44" xfId="0" applyFont="1" applyFill="1" applyBorder="1" applyAlignment="1">
      <alignment horizontal="center" vertical="center" wrapText="1"/>
    </xf>
    <xf numFmtId="0" fontId="70" fillId="17" borderId="12" xfId="0" applyFont="1" applyFill="1" applyBorder="1" applyAlignment="1">
      <alignment horizontal="center" vertical="center" wrapText="1"/>
    </xf>
    <xf numFmtId="0" fontId="70" fillId="17" borderId="19"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72" fillId="17" borderId="12" xfId="0" applyFont="1" applyFill="1" applyBorder="1" applyAlignment="1">
      <alignment horizontal="center" vertical="center" wrapText="1"/>
    </xf>
    <xf numFmtId="0" fontId="72" fillId="17" borderId="109" xfId="0" applyFont="1" applyFill="1" applyBorder="1" applyAlignment="1">
      <alignment horizontal="center" vertical="center" wrapText="1"/>
    </xf>
    <xf numFmtId="0" fontId="61" fillId="0" borderId="0" xfId="0" applyFont="1" applyAlignment="1">
      <alignment horizontal="center" vertical="center"/>
    </xf>
    <xf numFmtId="0" fontId="73" fillId="0" borderId="12" xfId="0" applyFont="1" applyBorder="1" applyAlignment="1">
      <alignment horizontal="left" vertical="center" wrapText="1"/>
    </xf>
    <xf numFmtId="0" fontId="73" fillId="0" borderId="13" xfId="0" applyFont="1" applyBorder="1" applyAlignment="1">
      <alignment horizontal="left" vertical="center" wrapText="1"/>
    </xf>
    <xf numFmtId="0" fontId="76" fillId="0" borderId="14" xfId="0" applyFont="1" applyBorder="1" applyAlignment="1">
      <alignment horizontal="left" vertical="center" wrapText="1"/>
    </xf>
    <xf numFmtId="0" fontId="76" fillId="0" borderId="15" xfId="0" applyFont="1" applyBorder="1" applyAlignment="1">
      <alignment horizontal="left" vertical="center" wrapText="1"/>
    </xf>
    <xf numFmtId="0" fontId="74" fillId="0" borderId="106" xfId="0" applyFont="1" applyBorder="1" applyAlignment="1">
      <alignment horizontal="left" vertical="center" wrapText="1"/>
    </xf>
    <xf numFmtId="0" fontId="70" fillId="20" borderId="34" xfId="0" applyFont="1" applyFill="1" applyBorder="1" applyAlignment="1">
      <alignment horizontal="center" vertical="center" wrapText="1"/>
    </xf>
    <xf numFmtId="0" fontId="66" fillId="0" borderId="117" xfId="0" applyFont="1" applyBorder="1" applyAlignment="1">
      <alignment horizontal="center" vertical="center"/>
    </xf>
    <xf numFmtId="0" fontId="66" fillId="0" borderId="117" xfId="0" applyFont="1" applyBorder="1" applyAlignment="1">
      <alignment horizontal="center"/>
    </xf>
    <xf numFmtId="0" fontId="62" fillId="0" borderId="118" xfId="0" applyFont="1" applyBorder="1" applyAlignment="1">
      <alignment horizontal="center" vertical="center" wrapText="1"/>
    </xf>
    <xf numFmtId="0" fontId="62" fillId="0" borderId="72" xfId="0" applyFont="1" applyBorder="1" applyAlignment="1">
      <alignment horizontal="center" vertical="center" wrapText="1"/>
    </xf>
    <xf numFmtId="0" fontId="62" fillId="3" borderId="96" xfId="0" applyFont="1" applyFill="1" applyBorder="1" applyAlignment="1">
      <alignment horizontal="left" vertical="center" wrapText="1"/>
    </xf>
    <xf numFmtId="0" fontId="62" fillId="3" borderId="101" xfId="0" applyFont="1" applyFill="1" applyBorder="1" applyAlignment="1">
      <alignment horizontal="left" vertical="center" wrapText="1"/>
    </xf>
    <xf numFmtId="0" fontId="62" fillId="3" borderId="102" xfId="0" applyFont="1" applyFill="1" applyBorder="1" applyAlignment="1">
      <alignment horizontal="left" vertical="center" wrapText="1"/>
    </xf>
    <xf numFmtId="0" fontId="62" fillId="0" borderId="103" xfId="0" applyFont="1" applyBorder="1" applyAlignment="1">
      <alignment horizontal="left" vertical="center"/>
    </xf>
    <xf numFmtId="0" fontId="62" fillId="0" borderId="102" xfId="0" applyFont="1" applyBorder="1" applyAlignment="1">
      <alignment horizontal="left" vertical="center"/>
    </xf>
    <xf numFmtId="0" fontId="62" fillId="3" borderId="104" xfId="0" applyFont="1" applyFill="1" applyBorder="1" applyAlignment="1">
      <alignment horizontal="left" vertical="center"/>
    </xf>
    <xf numFmtId="0" fontId="62" fillId="3" borderId="77" xfId="0" applyFont="1" applyFill="1" applyBorder="1" applyAlignment="1">
      <alignment horizontal="left" vertical="center"/>
    </xf>
    <xf numFmtId="0" fontId="62" fillId="3" borderId="105" xfId="0" applyFont="1" applyFill="1" applyBorder="1" applyAlignment="1">
      <alignment horizontal="left" vertical="center"/>
    </xf>
    <xf numFmtId="0" fontId="74" fillId="3" borderId="35" xfId="0" applyFont="1" applyFill="1" applyBorder="1" applyAlignment="1">
      <alignment horizontal="left" wrapText="1"/>
    </xf>
    <xf numFmtId="0" fontId="74" fillId="3" borderId="31" xfId="0" applyFont="1" applyFill="1" applyBorder="1" applyAlignment="1">
      <alignment horizontal="left" wrapText="1"/>
    </xf>
    <xf numFmtId="0" fontId="74" fillId="3" borderId="36" xfId="0" applyFont="1" applyFill="1" applyBorder="1" applyAlignment="1">
      <alignment horizontal="left"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wrapText="1"/>
    </xf>
    <xf numFmtId="14" fontId="64" fillId="2" borderId="6" xfId="0" applyNumberFormat="1" applyFont="1" applyFill="1" applyBorder="1" applyAlignment="1" applyProtection="1">
      <alignment horizontal="center" vertical="center"/>
      <protection locked="0"/>
    </xf>
    <xf numFmtId="14" fontId="64" fillId="2" borderId="10" xfId="0" applyNumberFormat="1" applyFont="1" applyFill="1" applyBorder="1" applyAlignment="1" applyProtection="1">
      <alignment horizontal="center" vertical="center"/>
      <protection locked="0"/>
    </xf>
    <xf numFmtId="14" fontId="64" fillId="2" borderId="7" xfId="0" applyNumberFormat="1" applyFont="1" applyFill="1" applyBorder="1" applyAlignment="1" applyProtection="1">
      <alignment horizontal="center" vertical="center"/>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48" fillId="2" borderId="6" xfId="0" applyFont="1" applyFill="1" applyBorder="1" applyAlignment="1">
      <alignment horizontal="left" vertical="center" wrapText="1"/>
    </xf>
    <xf numFmtId="0" fontId="48" fillId="2" borderId="10" xfId="0" applyFont="1" applyFill="1" applyBorder="1" applyAlignment="1">
      <alignment horizontal="left" vertical="center" wrapText="1"/>
    </xf>
    <xf numFmtId="0" fontId="48" fillId="2" borderId="7" xfId="0" applyFont="1" applyFill="1" applyBorder="1" applyAlignment="1">
      <alignment horizontal="left" vertical="center" wrapText="1"/>
    </xf>
    <xf numFmtId="0" fontId="4" fillId="2" borderId="9" xfId="0" applyFont="1" applyFill="1" applyBorder="1" applyAlignment="1">
      <alignment horizontal="center" vertical="center" wrapText="1"/>
    </xf>
    <xf numFmtId="14" fontId="48" fillId="2" borderId="6" xfId="0" applyNumberFormat="1" applyFont="1" applyFill="1" applyBorder="1" applyAlignment="1">
      <alignment horizontal="left" vertical="center" wrapText="1"/>
    </xf>
    <xf numFmtId="14" fontId="48" fillId="2" borderId="10" xfId="0" applyNumberFormat="1" applyFont="1" applyFill="1" applyBorder="1" applyAlignment="1">
      <alignment horizontal="left" vertical="center" wrapText="1"/>
    </xf>
    <xf numFmtId="14" fontId="48" fillId="2" borderId="7" xfId="0" applyNumberFormat="1" applyFont="1" applyFill="1" applyBorder="1" applyAlignment="1">
      <alignment horizontal="left" vertical="center" wrapText="1"/>
    </xf>
    <xf numFmtId="0" fontId="63" fillId="2" borderId="119" xfId="0" applyFont="1" applyFill="1" applyBorder="1" applyAlignment="1">
      <alignment horizontal="center" vertical="center" wrapText="1"/>
    </xf>
    <xf numFmtId="0" fontId="63" fillId="2" borderId="120" xfId="0" applyFont="1" applyFill="1" applyBorder="1" applyAlignment="1">
      <alignment horizontal="center" vertical="center" wrapText="1"/>
    </xf>
    <xf numFmtId="0" fontId="63" fillId="2" borderId="121" xfId="0" applyFont="1" applyFill="1" applyBorder="1" applyAlignment="1">
      <alignment horizontal="center" vertical="center" wrapText="1"/>
    </xf>
    <xf numFmtId="0" fontId="63" fillId="2" borderId="0" xfId="0" applyFont="1" applyFill="1" applyAlignment="1">
      <alignment horizontal="center" vertical="center" wrapText="1"/>
    </xf>
    <xf numFmtId="0" fontId="63" fillId="2" borderId="122" xfId="0" applyFont="1" applyFill="1" applyBorder="1" applyAlignment="1">
      <alignment horizontal="center" vertical="center" wrapText="1"/>
    </xf>
    <xf numFmtId="0" fontId="63" fillId="2" borderId="123" xfId="0" applyFont="1" applyFill="1" applyBorder="1" applyAlignment="1">
      <alignment horizontal="center" vertical="center" wrapTex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7" t="s">
        <v>0</v>
      </c>
      <c r="C2" s="228"/>
      <c r="D2" s="228"/>
      <c r="E2" s="228"/>
      <c r="F2" s="228"/>
      <c r="G2" s="228"/>
      <c r="H2" s="229"/>
    </row>
    <row r="3" spans="1:8" x14ac:dyDescent="0.25">
      <c r="B3" s="118"/>
      <c r="C3" s="119"/>
      <c r="D3" s="119"/>
      <c r="E3" s="119"/>
      <c r="F3" s="119"/>
      <c r="G3" s="119"/>
      <c r="H3" s="120"/>
    </row>
    <row r="4" spans="1:8" ht="63" customHeight="1" x14ac:dyDescent="0.25">
      <c r="B4" s="230" t="s">
        <v>1</v>
      </c>
      <c r="C4" s="231"/>
      <c r="D4" s="231"/>
      <c r="E4" s="231"/>
      <c r="F4" s="231"/>
      <c r="G4" s="231"/>
      <c r="H4" s="232"/>
    </row>
    <row r="5" spans="1:8" ht="63" customHeight="1" x14ac:dyDescent="0.25">
      <c r="B5" s="233"/>
      <c r="C5" s="234"/>
      <c r="D5" s="234"/>
      <c r="E5" s="234"/>
      <c r="F5" s="234"/>
      <c r="G5" s="234"/>
      <c r="H5" s="235"/>
    </row>
    <row r="6" spans="1:8" ht="16.5" x14ac:dyDescent="0.25">
      <c r="A6" s="121"/>
      <c r="B6" s="236" t="s">
        <v>2</v>
      </c>
      <c r="C6" s="237"/>
      <c r="D6" s="237"/>
      <c r="E6" s="237"/>
      <c r="F6" s="237"/>
      <c r="G6" s="237"/>
      <c r="H6" s="238"/>
    </row>
    <row r="7" spans="1:8" ht="95.25" customHeight="1" x14ac:dyDescent="0.25">
      <c r="A7" s="121"/>
      <c r="B7" s="239" t="s">
        <v>3</v>
      </c>
      <c r="C7" s="239"/>
      <c r="D7" s="239"/>
      <c r="E7" s="239"/>
      <c r="F7" s="239"/>
      <c r="G7" s="239"/>
      <c r="H7" s="240"/>
    </row>
    <row r="8" spans="1:8" ht="16.5" x14ac:dyDescent="0.25">
      <c r="A8" s="121"/>
      <c r="B8" s="122"/>
      <c r="C8" s="123"/>
      <c r="D8" s="123"/>
      <c r="E8" s="123"/>
      <c r="F8" s="123"/>
      <c r="G8" s="123"/>
      <c r="H8" s="124"/>
    </row>
    <row r="9" spans="1:8" ht="16.5" customHeight="1" x14ac:dyDescent="0.25">
      <c r="A9" s="121"/>
      <c r="B9" s="241" t="s">
        <v>4</v>
      </c>
      <c r="C9" s="241"/>
      <c r="D9" s="241"/>
      <c r="E9" s="241"/>
      <c r="F9" s="241"/>
      <c r="G9" s="241"/>
      <c r="H9" s="242"/>
    </row>
    <row r="10" spans="1:8" ht="16.5" customHeight="1" x14ac:dyDescent="0.25">
      <c r="A10" s="121"/>
      <c r="B10" s="241"/>
      <c r="C10" s="241"/>
      <c r="D10" s="241"/>
      <c r="E10" s="241"/>
      <c r="F10" s="241"/>
      <c r="G10" s="241"/>
      <c r="H10" s="242"/>
    </row>
    <row r="11" spans="1:8" ht="11.65" customHeight="1" x14ac:dyDescent="0.25">
      <c r="A11" s="121"/>
      <c r="B11" s="241"/>
      <c r="C11" s="241"/>
      <c r="D11" s="241"/>
      <c r="E11" s="241"/>
      <c r="F11" s="241"/>
      <c r="G11" s="241"/>
      <c r="H11" s="242"/>
    </row>
    <row r="12" spans="1:8" ht="11.65" customHeight="1" thickBot="1" x14ac:dyDescent="0.3">
      <c r="A12" s="121"/>
      <c r="B12" s="125"/>
      <c r="C12" s="125"/>
      <c r="D12" s="125"/>
      <c r="E12" s="125"/>
      <c r="F12" s="125"/>
      <c r="G12" s="125"/>
      <c r="H12" s="126"/>
    </row>
    <row r="13" spans="1:8" ht="14.25" customHeight="1" thickTop="1" x14ac:dyDescent="0.25">
      <c r="A13" s="121"/>
      <c r="B13" s="125"/>
      <c r="C13" s="226" t="s">
        <v>5</v>
      </c>
      <c r="D13" s="219"/>
      <c r="E13" s="220" t="s">
        <v>6</v>
      </c>
      <c r="F13" s="221"/>
      <c r="G13" s="125"/>
      <c r="H13" s="126"/>
    </row>
    <row r="14" spans="1:8" ht="23.25" customHeight="1" x14ac:dyDescent="0.25">
      <c r="A14" s="121"/>
      <c r="B14" s="125"/>
      <c r="C14" s="207" t="s">
        <v>7</v>
      </c>
      <c r="D14" s="208"/>
      <c r="E14" s="209" t="s">
        <v>8</v>
      </c>
      <c r="F14" s="204"/>
      <c r="G14" s="125"/>
      <c r="H14" s="126"/>
    </row>
    <row r="15" spans="1:8" ht="27" customHeight="1" x14ac:dyDescent="0.25">
      <c r="A15" s="121"/>
      <c r="B15" s="125"/>
      <c r="C15" s="207" t="s">
        <v>9</v>
      </c>
      <c r="D15" s="208"/>
      <c r="E15" s="209" t="s">
        <v>10</v>
      </c>
      <c r="F15" s="204"/>
      <c r="G15" s="125"/>
      <c r="H15" s="126"/>
    </row>
    <row r="16" spans="1:8" ht="39" customHeight="1" x14ac:dyDescent="0.25">
      <c r="A16" s="121"/>
      <c r="B16" s="125"/>
      <c r="C16" s="207" t="s">
        <v>11</v>
      </c>
      <c r="D16" s="208"/>
      <c r="E16" s="209" t="s">
        <v>12</v>
      </c>
      <c r="F16" s="204"/>
      <c r="G16" s="125"/>
      <c r="H16" s="126"/>
    </row>
    <row r="17" spans="1:8" ht="24.75" customHeight="1" x14ac:dyDescent="0.25">
      <c r="A17" s="121"/>
      <c r="B17" s="125"/>
      <c r="C17" s="207" t="s">
        <v>13</v>
      </c>
      <c r="D17" s="208"/>
      <c r="E17" s="209" t="s">
        <v>14</v>
      </c>
      <c r="F17" s="204"/>
      <c r="G17" s="125"/>
      <c r="H17" s="127"/>
    </row>
    <row r="18" spans="1:8" ht="12.4" customHeight="1" x14ac:dyDescent="0.25">
      <c r="A18" s="121"/>
      <c r="B18" s="125"/>
      <c r="C18" s="207" t="s">
        <v>15</v>
      </c>
      <c r="D18" s="208"/>
      <c r="E18" s="210" t="s">
        <v>16</v>
      </c>
      <c r="F18" s="204"/>
      <c r="G18" s="125"/>
      <c r="H18" s="126"/>
    </row>
    <row r="19" spans="1:8" ht="24" customHeight="1" thickBot="1" x14ac:dyDescent="0.3">
      <c r="A19" s="121"/>
      <c r="B19" s="125"/>
      <c r="C19" s="211" t="s">
        <v>17</v>
      </c>
      <c r="D19" s="212"/>
      <c r="E19" s="213" t="s">
        <v>18</v>
      </c>
      <c r="F19" s="214"/>
      <c r="G19" s="125"/>
      <c r="H19" s="126"/>
    </row>
    <row r="20" spans="1:8" ht="11.65" customHeight="1" thickTop="1" x14ac:dyDescent="0.25">
      <c r="A20" s="121"/>
      <c r="B20" s="125"/>
      <c r="C20" s="128"/>
      <c r="D20" s="128"/>
      <c r="E20" s="128"/>
      <c r="F20" s="128"/>
      <c r="G20" s="125"/>
      <c r="H20" s="126"/>
    </row>
    <row r="21" spans="1:8" ht="27.4" customHeight="1" thickBot="1" x14ac:dyDescent="0.3">
      <c r="A21" s="121"/>
      <c r="B21" s="215" t="s">
        <v>19</v>
      </c>
      <c r="C21" s="216"/>
      <c r="D21" s="216"/>
      <c r="E21" s="216"/>
      <c r="F21" s="216"/>
      <c r="G21" s="216"/>
      <c r="H21" s="217"/>
    </row>
    <row r="22" spans="1:8" ht="15.75" thickTop="1" x14ac:dyDescent="0.25">
      <c r="A22" s="121"/>
      <c r="B22" s="129"/>
      <c r="C22" s="218" t="s">
        <v>5</v>
      </c>
      <c r="D22" s="219"/>
      <c r="E22" s="220" t="s">
        <v>6</v>
      </c>
      <c r="F22" s="221"/>
      <c r="G22" s="128"/>
      <c r="H22" s="130"/>
    </row>
    <row r="23" spans="1:8" ht="13.5" customHeight="1" x14ac:dyDescent="0.25">
      <c r="A23" s="121"/>
      <c r="B23" s="131"/>
      <c r="C23" s="222" t="s">
        <v>7</v>
      </c>
      <c r="D23" s="223"/>
      <c r="E23" s="224" t="s">
        <v>20</v>
      </c>
      <c r="F23" s="225"/>
      <c r="G23" s="132"/>
      <c r="H23" s="133"/>
    </row>
    <row r="24" spans="1:8" ht="13.5" customHeight="1" x14ac:dyDescent="0.25">
      <c r="A24" s="121"/>
      <c r="B24" s="131"/>
      <c r="C24" s="201" t="s">
        <v>21</v>
      </c>
      <c r="D24" s="202"/>
      <c r="E24" s="203" t="s">
        <v>22</v>
      </c>
      <c r="F24" s="204"/>
      <c r="G24" s="132"/>
      <c r="H24" s="133"/>
    </row>
    <row r="25" spans="1:8" ht="13.5" customHeight="1" x14ac:dyDescent="0.25">
      <c r="A25" s="121"/>
      <c r="B25" s="131"/>
      <c r="C25" s="201" t="s">
        <v>9</v>
      </c>
      <c r="D25" s="202"/>
      <c r="E25" s="203" t="s">
        <v>23</v>
      </c>
      <c r="F25" s="204"/>
      <c r="G25" s="132"/>
      <c r="H25" s="133"/>
    </row>
    <row r="26" spans="1:8" ht="22.9" customHeight="1" x14ac:dyDescent="0.25">
      <c r="A26" s="121"/>
      <c r="B26" s="131"/>
      <c r="C26" s="201" t="s">
        <v>24</v>
      </c>
      <c r="D26" s="202"/>
      <c r="E26" s="205" t="s">
        <v>25</v>
      </c>
      <c r="F26" s="206"/>
      <c r="G26" s="132"/>
      <c r="H26" s="133"/>
    </row>
    <row r="27" spans="1:8" ht="39.75" customHeight="1" x14ac:dyDescent="0.25">
      <c r="A27" s="121"/>
      <c r="B27" s="131"/>
      <c r="C27" s="192" t="s">
        <v>26</v>
      </c>
      <c r="D27" s="200"/>
      <c r="E27" s="193" t="s">
        <v>27</v>
      </c>
      <c r="F27" s="194"/>
      <c r="G27" s="132"/>
      <c r="H27" s="134"/>
    </row>
    <row r="28" spans="1:8" ht="34.5" customHeight="1" x14ac:dyDescent="0.25">
      <c r="B28" s="135"/>
      <c r="C28" s="199" t="s">
        <v>28</v>
      </c>
      <c r="D28" s="200"/>
      <c r="E28" s="193" t="s">
        <v>29</v>
      </c>
      <c r="F28" s="194"/>
      <c r="G28" s="132"/>
      <c r="H28" s="134"/>
    </row>
    <row r="29" spans="1:8" ht="27.75" customHeight="1" x14ac:dyDescent="0.25">
      <c r="B29" s="135"/>
      <c r="C29" s="199" t="s">
        <v>30</v>
      </c>
      <c r="D29" s="200"/>
      <c r="E29" s="193" t="s">
        <v>31</v>
      </c>
      <c r="F29" s="194"/>
      <c r="G29" s="132"/>
      <c r="H29" s="134"/>
    </row>
    <row r="30" spans="1:8" ht="72" customHeight="1" x14ac:dyDescent="0.25">
      <c r="B30" s="135"/>
      <c r="C30" s="199" t="s">
        <v>32</v>
      </c>
      <c r="D30" s="200"/>
      <c r="E30" s="193" t="s">
        <v>33</v>
      </c>
      <c r="F30" s="194"/>
      <c r="G30" s="132"/>
      <c r="H30" s="134"/>
    </row>
    <row r="31" spans="1:8" ht="72.75" customHeight="1" x14ac:dyDescent="0.25">
      <c r="B31" s="135"/>
      <c r="C31" s="199" t="s">
        <v>34</v>
      </c>
      <c r="D31" s="200"/>
      <c r="E31" s="193" t="s">
        <v>35</v>
      </c>
      <c r="F31" s="194"/>
      <c r="G31" s="132"/>
      <c r="H31" s="134"/>
    </row>
    <row r="32" spans="1:8" ht="64.5" customHeight="1" x14ac:dyDescent="0.25">
      <c r="B32" s="135"/>
      <c r="C32" s="199" t="s">
        <v>36</v>
      </c>
      <c r="D32" s="200"/>
      <c r="E32" s="193" t="s">
        <v>37</v>
      </c>
      <c r="F32" s="194"/>
      <c r="G32" s="132"/>
      <c r="H32" s="134"/>
    </row>
    <row r="33" spans="2:8" ht="71.25" customHeight="1" x14ac:dyDescent="0.25">
      <c r="B33" s="135"/>
      <c r="C33" s="191" t="s">
        <v>38</v>
      </c>
      <c r="D33" s="192"/>
      <c r="E33" s="193" t="s">
        <v>39</v>
      </c>
      <c r="F33" s="194"/>
      <c r="G33" s="132"/>
      <c r="H33" s="134"/>
    </row>
    <row r="34" spans="2:8" ht="55.5" customHeight="1" x14ac:dyDescent="0.25">
      <c r="B34" s="135"/>
      <c r="C34" s="191" t="s">
        <v>40</v>
      </c>
      <c r="D34" s="192"/>
      <c r="E34" s="193" t="s">
        <v>41</v>
      </c>
      <c r="F34" s="194"/>
      <c r="G34" s="132"/>
      <c r="H34" s="134"/>
    </row>
    <row r="35" spans="2:8" ht="42" customHeight="1" x14ac:dyDescent="0.25">
      <c r="B35" s="135"/>
      <c r="C35" s="191" t="s">
        <v>42</v>
      </c>
      <c r="D35" s="192"/>
      <c r="E35" s="193" t="s">
        <v>43</v>
      </c>
      <c r="F35" s="194"/>
      <c r="G35" s="132"/>
      <c r="H35" s="134"/>
    </row>
    <row r="36" spans="2:8" ht="59.25" customHeight="1" x14ac:dyDescent="0.25">
      <c r="B36" s="135"/>
      <c r="C36" s="191" t="s">
        <v>44</v>
      </c>
      <c r="D36" s="192"/>
      <c r="E36" s="193" t="s">
        <v>45</v>
      </c>
      <c r="F36" s="194"/>
      <c r="G36" s="132"/>
      <c r="H36" s="134"/>
    </row>
    <row r="37" spans="2:8" ht="23.25" customHeight="1" x14ac:dyDescent="0.25">
      <c r="B37" s="135"/>
      <c r="C37" s="191" t="s">
        <v>46</v>
      </c>
      <c r="D37" s="192"/>
      <c r="E37" s="193" t="s">
        <v>47</v>
      </c>
      <c r="F37" s="194"/>
      <c r="G37" s="132"/>
      <c r="H37" s="134"/>
    </row>
    <row r="38" spans="2:8" ht="30.75" customHeight="1" x14ac:dyDescent="0.25">
      <c r="B38" s="135"/>
      <c r="C38" s="191" t="s">
        <v>48</v>
      </c>
      <c r="D38" s="192"/>
      <c r="E38" s="193" t="s">
        <v>49</v>
      </c>
      <c r="F38" s="194"/>
      <c r="G38" s="132"/>
      <c r="H38" s="134"/>
    </row>
    <row r="39" spans="2:8" ht="35.25" customHeight="1" x14ac:dyDescent="0.25">
      <c r="B39" s="135"/>
      <c r="C39" s="191" t="s">
        <v>48</v>
      </c>
      <c r="D39" s="192"/>
      <c r="E39" s="193" t="s">
        <v>49</v>
      </c>
      <c r="F39" s="194"/>
      <c r="G39" s="132"/>
      <c r="H39" s="134"/>
    </row>
    <row r="40" spans="2:8" ht="33" customHeight="1" x14ac:dyDescent="0.25">
      <c r="B40" s="135"/>
      <c r="C40" s="191" t="s">
        <v>50</v>
      </c>
      <c r="D40" s="192"/>
      <c r="E40" s="193" t="s">
        <v>51</v>
      </c>
      <c r="F40" s="194"/>
      <c r="G40" s="132"/>
      <c r="H40" s="134"/>
    </row>
    <row r="41" spans="2:8" ht="30" customHeight="1" x14ac:dyDescent="0.25">
      <c r="B41" s="135"/>
      <c r="C41" s="191" t="s">
        <v>52</v>
      </c>
      <c r="D41" s="192"/>
      <c r="E41" s="193" t="s">
        <v>53</v>
      </c>
      <c r="F41" s="194"/>
      <c r="G41" s="132"/>
      <c r="H41" s="134"/>
    </row>
    <row r="42" spans="2:8" ht="35.25" customHeight="1" x14ac:dyDescent="0.25">
      <c r="B42" s="135"/>
      <c r="C42" s="191" t="s">
        <v>54</v>
      </c>
      <c r="D42" s="192"/>
      <c r="E42" s="193" t="s">
        <v>55</v>
      </c>
      <c r="F42" s="194"/>
      <c r="G42" s="132"/>
      <c r="H42" s="134"/>
    </row>
    <row r="43" spans="2:8" ht="31.5" customHeight="1" x14ac:dyDescent="0.25">
      <c r="B43" s="135"/>
      <c r="C43" s="191" t="s">
        <v>56</v>
      </c>
      <c r="D43" s="192"/>
      <c r="E43" s="193" t="s">
        <v>57</v>
      </c>
      <c r="F43" s="194"/>
      <c r="G43" s="132"/>
      <c r="H43" s="134"/>
    </row>
    <row r="44" spans="2:8" ht="54" customHeight="1" x14ac:dyDescent="0.25">
      <c r="B44" s="135"/>
      <c r="C44" s="191" t="s">
        <v>58</v>
      </c>
      <c r="D44" s="192"/>
      <c r="E44" s="193" t="s">
        <v>59</v>
      </c>
      <c r="F44" s="194"/>
      <c r="G44" s="132"/>
      <c r="H44" s="134"/>
    </row>
    <row r="45" spans="2:8" ht="59.25" customHeight="1" x14ac:dyDescent="0.25">
      <c r="B45" s="135"/>
      <c r="C45" s="191" t="s">
        <v>60</v>
      </c>
      <c r="D45" s="192"/>
      <c r="E45" s="193" t="s">
        <v>61</v>
      </c>
      <c r="F45" s="194"/>
      <c r="G45" s="132"/>
      <c r="H45" s="134"/>
    </row>
    <row r="46" spans="2:8" ht="84" customHeight="1" x14ac:dyDescent="0.25">
      <c r="B46" s="135"/>
      <c r="C46" s="191" t="s">
        <v>62</v>
      </c>
      <c r="D46" s="192"/>
      <c r="E46" s="193" t="s">
        <v>63</v>
      </c>
      <c r="F46" s="194"/>
      <c r="G46" s="132"/>
      <c r="H46" s="134"/>
    </row>
    <row r="47" spans="2:8" ht="46.5" customHeight="1" thickBot="1" x14ac:dyDescent="0.3">
      <c r="B47" s="135"/>
      <c r="C47" s="195"/>
      <c r="D47" s="196"/>
      <c r="E47" s="197"/>
      <c r="F47" s="198"/>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163</v>
      </c>
      <c r="D3" s="10" t="s">
        <v>318</v>
      </c>
    </row>
    <row r="4" spans="1:4" ht="51" x14ac:dyDescent="0.2">
      <c r="A4" s="10" t="s">
        <v>286</v>
      </c>
      <c r="D4" s="10" t="s">
        <v>319</v>
      </c>
    </row>
    <row r="5" spans="1:4" ht="51" x14ac:dyDescent="0.2">
      <c r="A5" s="10" t="s">
        <v>288</v>
      </c>
      <c r="D5" s="10" t="s">
        <v>320</v>
      </c>
    </row>
    <row r="6" spans="1:4" ht="89.25" x14ac:dyDescent="0.2">
      <c r="A6" s="10" t="s">
        <v>290</v>
      </c>
      <c r="D6" s="10" t="s">
        <v>321</v>
      </c>
    </row>
    <row r="7" spans="1:4" ht="63.75" x14ac:dyDescent="0.2">
      <c r="A7" s="10" t="s">
        <v>164</v>
      </c>
      <c r="D7" s="10" t="s">
        <v>322</v>
      </c>
    </row>
    <row r="8" spans="1:4" x14ac:dyDescent="0.2">
      <c r="A8" s="10" t="s">
        <v>165</v>
      </c>
      <c r="D8" s="10"/>
    </row>
    <row r="9" spans="1:4" x14ac:dyDescent="0.2">
      <c r="A9" s="10" t="s">
        <v>296</v>
      </c>
    </row>
    <row r="10" spans="1:4" x14ac:dyDescent="0.2">
      <c r="A10" s="10" t="s">
        <v>166</v>
      </c>
      <c r="D10" s="10" t="s">
        <v>323</v>
      </c>
    </row>
    <row r="11" spans="1:4" x14ac:dyDescent="0.2">
      <c r="A11" s="10" t="s">
        <v>299</v>
      </c>
    </row>
    <row r="12" spans="1:4" x14ac:dyDescent="0.2">
      <c r="A12" s="10" t="s">
        <v>324</v>
      </c>
      <c r="D12" s="10"/>
    </row>
    <row r="13" spans="1:4" x14ac:dyDescent="0.2">
      <c r="A13" s="10" t="s">
        <v>325</v>
      </c>
    </row>
    <row r="14" spans="1:4" x14ac:dyDescent="0.2">
      <c r="A14" s="10" t="s">
        <v>326</v>
      </c>
    </row>
    <row r="16" spans="1:4" x14ac:dyDescent="0.2">
      <c r="A16" s="10" t="s">
        <v>327</v>
      </c>
    </row>
    <row r="17" spans="1:1" x14ac:dyDescent="0.2">
      <c r="A17" s="10" t="s">
        <v>305</v>
      </c>
    </row>
    <row r="18" spans="1:1" x14ac:dyDescent="0.2">
      <c r="A18" s="10" t="s">
        <v>307</v>
      </c>
    </row>
    <row r="20" spans="1:1" x14ac:dyDescent="0.2">
      <c r="A20" s="10" t="s">
        <v>310</v>
      </c>
    </row>
    <row r="21" spans="1:1" x14ac:dyDescent="0.2">
      <c r="A21" s="10"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zoomScale="91" zoomScaleNormal="91" workbookViewId="0">
      <selection activeCell="C7" sqref="C7:F7"/>
    </sheetView>
  </sheetViews>
  <sheetFormatPr baseColWidth="10" defaultColWidth="11.42578125" defaultRowHeight="14.25" x14ac:dyDescent="0.2"/>
  <cols>
    <col min="1" max="1" width="7.5703125" style="171" customWidth="1"/>
    <col min="2" max="2" width="16.7109375" style="171" customWidth="1" collapsed="1"/>
    <col min="3" max="3" width="29.7109375" style="171" customWidth="1" collapsed="1"/>
    <col min="4" max="4" width="43.7109375" style="171" customWidth="1" collapsed="1"/>
    <col min="5" max="5" width="39.28515625" style="171" customWidth="1" collapsed="1"/>
    <col min="6" max="6" width="39.28515625" style="171" customWidth="1"/>
    <col min="7" max="14" width="11.42578125" style="171"/>
    <col min="15" max="15" width="37" style="171" customWidth="1"/>
    <col min="16" max="50" width="11.42578125" style="171"/>
    <col min="51" max="51" width="6.140625" style="171" customWidth="1"/>
    <col min="52" max="52" width="130.5703125" style="171" customWidth="1"/>
    <col min="53" max="16384" width="11.42578125" style="171"/>
  </cols>
  <sheetData>
    <row r="1" spans="2:52" ht="16.5" customHeight="1" thickBot="1" x14ac:dyDescent="0.25">
      <c r="AZ1" s="172" t="s">
        <v>69</v>
      </c>
    </row>
    <row r="2" spans="2:52" ht="18" customHeight="1" thickBot="1" x14ac:dyDescent="0.25">
      <c r="B2" s="302"/>
      <c r="C2" s="304" t="s">
        <v>70</v>
      </c>
      <c r="D2" s="305"/>
      <c r="E2" s="305"/>
      <c r="F2" s="144" t="s">
        <v>71</v>
      </c>
      <c r="AZ2" s="172" t="s">
        <v>72</v>
      </c>
    </row>
    <row r="3" spans="2:52" ht="18" customHeight="1" thickBot="1" x14ac:dyDescent="0.25">
      <c r="B3" s="303"/>
      <c r="C3" s="306"/>
      <c r="D3" s="307"/>
      <c r="E3" s="307"/>
      <c r="F3" s="145" t="s">
        <v>73</v>
      </c>
      <c r="AZ3" s="172" t="s">
        <v>74</v>
      </c>
    </row>
    <row r="4" spans="2:52" ht="18" customHeight="1" thickBot="1" x14ac:dyDescent="0.25">
      <c r="B4" s="303"/>
      <c r="C4" s="306"/>
      <c r="D4" s="307"/>
      <c r="E4" s="307"/>
      <c r="F4" s="170" t="s">
        <v>75</v>
      </c>
      <c r="AZ4" s="172" t="s">
        <v>76</v>
      </c>
    </row>
    <row r="5" spans="2:52" ht="18" customHeight="1" thickBot="1" x14ac:dyDescent="0.25">
      <c r="B5" s="303"/>
      <c r="C5" s="306"/>
      <c r="D5" s="307"/>
      <c r="E5" s="307"/>
      <c r="F5" s="181" t="s">
        <v>77</v>
      </c>
      <c r="AZ5" s="173"/>
    </row>
    <row r="6" spans="2:52" ht="18" customHeight="1" thickBot="1" x14ac:dyDescent="0.25">
      <c r="B6" s="315" t="s">
        <v>78</v>
      </c>
      <c r="C6" s="316"/>
      <c r="D6" s="316"/>
      <c r="E6" s="316"/>
      <c r="F6" s="317"/>
      <c r="AZ6" s="173"/>
    </row>
    <row r="7" spans="2:52" ht="33.4" customHeight="1" x14ac:dyDescent="0.2">
      <c r="B7" s="182" t="s">
        <v>79</v>
      </c>
      <c r="C7" s="308" t="s">
        <v>80</v>
      </c>
      <c r="D7" s="309"/>
      <c r="E7" s="309"/>
      <c r="F7" s="310"/>
      <c r="AZ7" s="173"/>
    </row>
    <row r="8" spans="2:52" ht="53.25" customHeight="1" thickBot="1" x14ac:dyDescent="0.25">
      <c r="B8" s="174" t="s">
        <v>81</v>
      </c>
      <c r="C8" s="311" t="s">
        <v>82</v>
      </c>
      <c r="D8" s="312"/>
      <c r="E8" s="312"/>
      <c r="F8" s="313"/>
      <c r="AZ8" s="173"/>
    </row>
    <row r="9" spans="2:52" ht="16.5" thickBot="1" x14ac:dyDescent="0.25">
      <c r="B9" s="314"/>
      <c r="C9" s="314"/>
      <c r="D9" s="314"/>
      <c r="E9" s="314"/>
      <c r="F9" s="314"/>
    </row>
    <row r="10" spans="2:52" ht="15.6" customHeight="1" thickBot="1" x14ac:dyDescent="0.25">
      <c r="B10" s="318" t="s">
        <v>83</v>
      </c>
      <c r="C10" s="319"/>
      <c r="D10" s="319"/>
      <c r="E10" s="319"/>
      <c r="F10" s="320"/>
    </row>
    <row r="11" spans="2:52" ht="32.25" thickBot="1" x14ac:dyDescent="0.25">
      <c r="B11" s="321" t="s">
        <v>84</v>
      </c>
      <c r="C11" s="322"/>
      <c r="D11" s="175" t="s">
        <v>85</v>
      </c>
      <c r="E11" s="175" t="s">
        <v>86</v>
      </c>
      <c r="F11" s="176" t="s">
        <v>87</v>
      </c>
    </row>
    <row r="12" spans="2:52" ht="23.25" customHeight="1" x14ac:dyDescent="0.2">
      <c r="B12" s="324"/>
      <c r="C12" s="325"/>
      <c r="D12" s="257" t="s">
        <v>88</v>
      </c>
      <c r="E12" s="260" t="s">
        <v>89</v>
      </c>
      <c r="F12" s="263" t="s">
        <v>90</v>
      </c>
    </row>
    <row r="13" spans="2:52" ht="162" customHeight="1" x14ac:dyDescent="0.2">
      <c r="B13" s="326" t="s">
        <v>91</v>
      </c>
      <c r="C13" s="327"/>
      <c r="D13" s="258"/>
      <c r="E13" s="261"/>
      <c r="F13" s="264"/>
    </row>
    <row r="14" spans="2:52" ht="13.5" customHeight="1" x14ac:dyDescent="0.2">
      <c r="B14" s="266"/>
      <c r="C14" s="267"/>
      <c r="D14" s="258"/>
      <c r="E14" s="261"/>
      <c r="F14" s="264"/>
    </row>
    <row r="15" spans="2:52" ht="13.5" customHeight="1" x14ac:dyDescent="0.2">
      <c r="B15" s="266"/>
      <c r="C15" s="267"/>
      <c r="D15" s="258"/>
      <c r="E15" s="261"/>
      <c r="F15" s="264"/>
    </row>
    <row r="16" spans="2:52" ht="13.5" customHeight="1" x14ac:dyDescent="0.2">
      <c r="B16" s="266"/>
      <c r="C16" s="267"/>
      <c r="D16" s="258"/>
      <c r="E16" s="261"/>
      <c r="F16" s="264"/>
    </row>
    <row r="17" spans="2:6" ht="13.5" customHeight="1" thickBot="1" x14ac:dyDescent="0.25">
      <c r="B17" s="268"/>
      <c r="C17" s="269"/>
      <c r="D17" s="259"/>
      <c r="E17" s="262"/>
      <c r="F17" s="265"/>
    </row>
    <row r="18" spans="2:6" ht="18.75" thickBot="1" x14ac:dyDescent="0.25">
      <c r="B18" s="323" t="s">
        <v>92</v>
      </c>
      <c r="C18" s="323"/>
      <c r="D18" s="323"/>
      <c r="E18" s="323"/>
      <c r="F18" s="323"/>
    </row>
    <row r="19" spans="2:6" ht="16.5" thickBot="1" x14ac:dyDescent="0.25">
      <c r="B19" s="292" t="s">
        <v>93</v>
      </c>
      <c r="C19" s="329"/>
      <c r="D19" s="293"/>
      <c r="E19" s="292" t="s">
        <v>94</v>
      </c>
      <c r="F19" s="293"/>
    </row>
    <row r="20" spans="2:6" ht="15" customHeight="1" x14ac:dyDescent="0.2">
      <c r="B20" s="334" t="s">
        <v>95</v>
      </c>
      <c r="C20" s="335"/>
      <c r="D20" s="336"/>
      <c r="E20" s="337" t="s">
        <v>96</v>
      </c>
      <c r="F20" s="338"/>
    </row>
    <row r="21" spans="2:6" ht="15" customHeight="1" x14ac:dyDescent="0.2">
      <c r="B21" s="339" t="s">
        <v>97</v>
      </c>
      <c r="C21" s="340"/>
      <c r="D21" s="341"/>
      <c r="E21" s="328" t="s">
        <v>98</v>
      </c>
      <c r="F21" s="250"/>
    </row>
    <row r="22" spans="2:6" ht="30" customHeight="1" x14ac:dyDescent="0.2">
      <c r="B22" s="299" t="s">
        <v>99</v>
      </c>
      <c r="C22" s="300"/>
      <c r="D22" s="301"/>
      <c r="E22" s="328" t="s">
        <v>100</v>
      </c>
      <c r="F22" s="250"/>
    </row>
    <row r="23" spans="2:6" ht="15" customHeight="1" x14ac:dyDescent="0.2">
      <c r="B23" s="299" t="s">
        <v>101</v>
      </c>
      <c r="C23" s="300"/>
      <c r="D23" s="301"/>
      <c r="E23" s="297" t="s">
        <v>102</v>
      </c>
      <c r="F23" s="298"/>
    </row>
    <row r="24" spans="2:6" ht="15" customHeight="1" x14ac:dyDescent="0.2">
      <c r="B24" s="342" t="s">
        <v>103</v>
      </c>
      <c r="C24" s="343"/>
      <c r="D24" s="344"/>
      <c r="E24" s="296" t="s">
        <v>104</v>
      </c>
      <c r="F24" s="252"/>
    </row>
    <row r="25" spans="2:6" ht="15" customHeight="1" x14ac:dyDescent="0.2">
      <c r="B25" s="342" t="s">
        <v>105</v>
      </c>
      <c r="C25" s="343"/>
      <c r="D25" s="344"/>
      <c r="E25" s="296"/>
      <c r="F25" s="252"/>
    </row>
    <row r="26" spans="2:6" ht="15" customHeight="1" x14ac:dyDescent="0.2">
      <c r="B26" s="280"/>
      <c r="C26" s="281"/>
      <c r="D26" s="282"/>
      <c r="E26" s="328"/>
      <c r="F26" s="250"/>
    </row>
    <row r="27" spans="2:6" ht="15.75" customHeight="1" x14ac:dyDescent="0.2">
      <c r="B27" s="251"/>
      <c r="C27" s="253"/>
      <c r="D27" s="252"/>
      <c r="E27" s="296"/>
      <c r="F27" s="252"/>
    </row>
    <row r="28" spans="2:6" x14ac:dyDescent="0.2">
      <c r="B28" s="280"/>
      <c r="C28" s="281"/>
      <c r="D28" s="282"/>
      <c r="E28" s="297"/>
      <c r="F28" s="298"/>
    </row>
    <row r="29" spans="2:6" ht="15" customHeight="1" x14ac:dyDescent="0.2">
      <c r="B29" s="299"/>
      <c r="C29" s="300"/>
      <c r="D29" s="301"/>
      <c r="E29" s="294"/>
      <c r="F29" s="295"/>
    </row>
    <row r="30" spans="2:6" ht="15" customHeight="1" x14ac:dyDescent="0.2">
      <c r="B30" s="280"/>
      <c r="C30" s="281"/>
      <c r="D30" s="282"/>
      <c r="E30" s="294"/>
      <c r="F30" s="295"/>
    </row>
    <row r="31" spans="2:6" ht="15" customHeight="1" x14ac:dyDescent="0.2">
      <c r="B31" s="280"/>
      <c r="C31" s="281"/>
      <c r="D31" s="282"/>
      <c r="E31" s="294"/>
      <c r="F31" s="295"/>
    </row>
    <row r="32" spans="2:6" ht="15" customHeight="1" x14ac:dyDescent="0.2">
      <c r="B32" s="280"/>
      <c r="C32" s="281"/>
      <c r="D32" s="282"/>
      <c r="E32" s="283"/>
      <c r="F32" s="284"/>
    </row>
    <row r="33" spans="2:6" ht="15" customHeight="1" thickBot="1" x14ac:dyDescent="0.25">
      <c r="B33" s="285"/>
      <c r="C33" s="286"/>
      <c r="D33" s="287"/>
      <c r="E33" s="288"/>
      <c r="F33" s="289"/>
    </row>
    <row r="34" spans="2:6" ht="15" customHeight="1" thickBot="1" x14ac:dyDescent="0.25">
      <c r="B34" s="290" t="s">
        <v>106</v>
      </c>
      <c r="C34" s="291"/>
      <c r="D34" s="291"/>
      <c r="E34" s="292" t="s">
        <v>107</v>
      </c>
      <c r="F34" s="293"/>
    </row>
    <row r="35" spans="2:6" ht="15.75" customHeight="1" x14ac:dyDescent="0.2">
      <c r="B35" s="274" t="s">
        <v>108</v>
      </c>
      <c r="C35" s="275"/>
      <c r="D35" s="276"/>
      <c r="E35" s="277" t="s">
        <v>109</v>
      </c>
      <c r="F35" s="278"/>
    </row>
    <row r="36" spans="2:6" x14ac:dyDescent="0.2">
      <c r="B36" s="272" t="s">
        <v>110</v>
      </c>
      <c r="C36" s="279"/>
      <c r="D36" s="273"/>
      <c r="E36" s="251" t="s">
        <v>111</v>
      </c>
      <c r="F36" s="252"/>
    </row>
    <row r="37" spans="2:6" ht="28.5" customHeight="1" x14ac:dyDescent="0.2">
      <c r="B37" s="251" t="s">
        <v>112</v>
      </c>
      <c r="C37" s="253"/>
      <c r="D37" s="252"/>
      <c r="E37" s="248" t="s">
        <v>113</v>
      </c>
      <c r="F37" s="250"/>
    </row>
    <row r="38" spans="2:6" x14ac:dyDescent="0.2">
      <c r="B38" s="248" t="s">
        <v>114</v>
      </c>
      <c r="C38" s="249"/>
      <c r="D38" s="250"/>
      <c r="E38" s="270" t="s">
        <v>115</v>
      </c>
      <c r="F38" s="271"/>
    </row>
    <row r="39" spans="2:6" x14ac:dyDescent="0.2">
      <c r="B39" s="248" t="s">
        <v>116</v>
      </c>
      <c r="C39" s="249"/>
      <c r="D39" s="250"/>
      <c r="E39" s="272" t="s">
        <v>117</v>
      </c>
      <c r="F39" s="273"/>
    </row>
    <row r="40" spans="2:6" x14ac:dyDescent="0.2">
      <c r="B40" s="248"/>
      <c r="C40" s="249"/>
      <c r="D40" s="250"/>
      <c r="E40" s="248"/>
      <c r="F40" s="250"/>
    </row>
    <row r="41" spans="2:6" x14ac:dyDescent="0.2">
      <c r="B41" s="248"/>
      <c r="C41" s="249"/>
      <c r="D41" s="250"/>
      <c r="E41" s="251"/>
      <c r="F41" s="252"/>
    </row>
    <row r="42" spans="2:6" x14ac:dyDescent="0.2">
      <c r="B42" s="248"/>
      <c r="C42" s="249"/>
      <c r="D42" s="250"/>
      <c r="E42" s="251"/>
      <c r="F42" s="252"/>
    </row>
    <row r="43" spans="2:6" x14ac:dyDescent="0.2">
      <c r="B43" s="251"/>
      <c r="C43" s="253"/>
      <c r="D43" s="252"/>
      <c r="E43" s="251"/>
      <c r="F43" s="252"/>
    </row>
    <row r="44" spans="2:6" x14ac:dyDescent="0.2">
      <c r="B44" s="254"/>
      <c r="C44" s="255"/>
      <c r="D44" s="256"/>
      <c r="E44" s="254"/>
      <c r="F44" s="256"/>
    </row>
    <row r="45" spans="2:6" ht="15" thickBot="1" x14ac:dyDescent="0.25">
      <c r="B45" s="243"/>
      <c r="C45" s="244"/>
      <c r="D45" s="245"/>
      <c r="E45" s="246"/>
      <c r="F45" s="247"/>
    </row>
    <row r="46" spans="2:6" ht="15" thickBot="1" x14ac:dyDescent="0.25"/>
    <row r="47" spans="2:6" ht="16.5" thickTop="1" thickBot="1" x14ac:dyDescent="0.25">
      <c r="B47" s="330" t="s">
        <v>118</v>
      </c>
      <c r="C47" s="330"/>
      <c r="D47" s="330"/>
      <c r="E47" s="330"/>
      <c r="F47" s="330"/>
    </row>
    <row r="48" spans="2:6" ht="16.5" thickTop="1" thickBot="1" x14ac:dyDescent="0.3">
      <c r="B48" s="180" t="s">
        <v>119</v>
      </c>
      <c r="C48" s="180" t="s">
        <v>120</v>
      </c>
      <c r="D48" s="331" t="s">
        <v>121</v>
      </c>
      <c r="E48" s="331"/>
      <c r="F48" s="180" t="s">
        <v>122</v>
      </c>
    </row>
    <row r="49" spans="2:6" ht="44.25" customHeight="1" thickTop="1" x14ac:dyDescent="0.2">
      <c r="B49" s="177" t="s">
        <v>123</v>
      </c>
      <c r="C49" s="178">
        <v>45723</v>
      </c>
      <c r="D49" s="332" t="s">
        <v>124</v>
      </c>
      <c r="E49" s="333"/>
      <c r="F49" s="179" t="s">
        <v>125</v>
      </c>
    </row>
  </sheetData>
  <mergeCells count="75">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B27:D27"/>
    <mergeCell ref="E27:F27"/>
    <mergeCell ref="B28:D28"/>
    <mergeCell ref="E28:F28"/>
    <mergeCell ref="B29:D29"/>
    <mergeCell ref="E29:F29"/>
    <mergeCell ref="B30:D30"/>
    <mergeCell ref="E30:F30"/>
    <mergeCell ref="B31:D31"/>
    <mergeCell ref="E31:F31"/>
    <mergeCell ref="E36:F36"/>
    <mergeCell ref="B37:D37"/>
    <mergeCell ref="E37:F37"/>
    <mergeCell ref="B32:D32"/>
    <mergeCell ref="E32:F32"/>
    <mergeCell ref="B33:D33"/>
    <mergeCell ref="E33:F33"/>
    <mergeCell ref="B34:D34"/>
    <mergeCell ref="E34:F3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45:D45"/>
    <mergeCell ref="E45:F45"/>
    <mergeCell ref="B42:D42"/>
    <mergeCell ref="E42:F42"/>
    <mergeCell ref="B43:D43"/>
    <mergeCell ref="E43:F43"/>
    <mergeCell ref="B44:D44"/>
    <mergeCell ref="E44:F4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tabSelected="1" zoomScale="90" zoomScaleNormal="9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4.28515625" style="2" customWidth="1"/>
    <col min="4" max="4" width="27.7109375" style="2" customWidth="1"/>
    <col min="5" max="5" width="38"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6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 style="1" customWidth="1"/>
    <col min="32" max="32" width="29.7109375" style="1" customWidth="1"/>
    <col min="33" max="33" width="18.85546875" style="1" customWidth="1"/>
    <col min="34" max="35" width="14.5703125" style="1" customWidth="1"/>
    <col min="36" max="16384" width="11.42578125" style="1"/>
  </cols>
  <sheetData>
    <row r="1" spans="1:67" ht="15" customHeight="1" x14ac:dyDescent="0.3">
      <c r="A1" s="397"/>
      <c r="B1" s="398"/>
      <c r="C1" s="398"/>
      <c r="D1" s="398"/>
      <c r="E1" s="450" t="s">
        <v>126</v>
      </c>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43" t="s">
        <v>71</v>
      </c>
      <c r="AH1" s="444"/>
      <c r="AI1" s="445"/>
    </row>
    <row r="2" spans="1:67" ht="15" customHeight="1" x14ac:dyDescent="0.3">
      <c r="A2" s="399"/>
      <c r="B2" s="400"/>
      <c r="C2" s="400"/>
      <c r="D2" s="400"/>
      <c r="E2" s="452"/>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43" t="s">
        <v>73</v>
      </c>
      <c r="AH2" s="444"/>
      <c r="AI2" s="445"/>
    </row>
    <row r="3" spans="1:67" ht="15" customHeight="1" x14ac:dyDescent="0.3">
      <c r="A3" s="399"/>
      <c r="B3" s="400"/>
      <c r="C3" s="400"/>
      <c r="D3" s="400"/>
      <c r="E3" s="452"/>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47" t="s">
        <v>75</v>
      </c>
      <c r="AH3" s="448"/>
      <c r="AI3" s="449"/>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1"/>
      <c r="B4" s="402"/>
      <c r="C4" s="402"/>
      <c r="D4" s="402"/>
      <c r="E4" s="454"/>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43" t="s">
        <v>127</v>
      </c>
      <c r="AH4" s="444"/>
      <c r="AI4" s="44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626" t="s">
        <v>128</v>
      </c>
      <c r="B6" s="627"/>
      <c r="C6" s="403" t="s">
        <v>80</v>
      </c>
      <c r="D6" s="404"/>
      <c r="E6" s="404"/>
      <c r="F6" s="404"/>
      <c r="G6" s="404"/>
      <c r="H6" s="404"/>
      <c r="I6" s="404"/>
      <c r="J6" s="404"/>
      <c r="K6" s="404"/>
      <c r="L6" s="404"/>
      <c r="M6" s="404"/>
      <c r="N6" s="405"/>
      <c r="O6" s="380"/>
      <c r="P6" s="380"/>
      <c r="Q6" s="38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59.25" customHeight="1" x14ac:dyDescent="0.3">
      <c r="A7" s="626" t="s">
        <v>129</v>
      </c>
      <c r="B7" s="627"/>
      <c r="C7" s="423" t="s">
        <v>88</v>
      </c>
      <c r="D7" s="424"/>
      <c r="E7" s="424"/>
      <c r="F7" s="424"/>
      <c r="G7" s="424"/>
      <c r="H7" s="424"/>
      <c r="I7" s="424"/>
      <c r="J7" s="424"/>
      <c r="K7" s="424"/>
      <c r="L7" s="424"/>
      <c r="M7" s="424"/>
      <c r="N7" s="425"/>
      <c r="O7" s="8"/>
      <c r="P7" s="16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8.5" customHeight="1" x14ac:dyDescent="0.3">
      <c r="A8" s="626" t="s">
        <v>130</v>
      </c>
      <c r="B8" s="627"/>
      <c r="C8" s="423" t="s">
        <v>82</v>
      </c>
      <c r="D8" s="424"/>
      <c r="E8" s="424"/>
      <c r="F8" s="424"/>
      <c r="G8" s="424"/>
      <c r="H8" s="424"/>
      <c r="I8" s="424"/>
      <c r="J8" s="424"/>
      <c r="K8" s="424"/>
      <c r="L8" s="424"/>
      <c r="M8" s="424"/>
      <c r="N8" s="425"/>
      <c r="O8" s="8"/>
      <c r="P8" s="16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81" t="s">
        <v>131</v>
      </c>
      <c r="B9" s="382"/>
      <c r="C9" s="382"/>
      <c r="D9" s="382"/>
      <c r="E9" s="382"/>
      <c r="F9" s="382"/>
      <c r="G9" s="383"/>
      <c r="H9" s="381" t="s">
        <v>132</v>
      </c>
      <c r="I9" s="382"/>
      <c r="J9" s="382"/>
      <c r="K9" s="382"/>
      <c r="L9" s="382"/>
      <c r="M9" s="382"/>
      <c r="N9" s="383"/>
      <c r="O9" s="381" t="s">
        <v>133</v>
      </c>
      <c r="P9" s="382"/>
      <c r="Q9" s="382"/>
      <c r="R9" s="382"/>
      <c r="S9" s="382"/>
      <c r="T9" s="382"/>
      <c r="U9" s="382"/>
      <c r="V9" s="382"/>
      <c r="W9" s="383"/>
      <c r="X9" s="381" t="s">
        <v>134</v>
      </c>
      <c r="Y9" s="382"/>
      <c r="Z9" s="382"/>
      <c r="AA9" s="382"/>
      <c r="AB9" s="382"/>
      <c r="AC9" s="382"/>
      <c r="AD9" s="383"/>
      <c r="AE9" s="391" t="s">
        <v>135</v>
      </c>
      <c r="AF9" s="392"/>
      <c r="AG9" s="392"/>
      <c r="AH9" s="392"/>
      <c r="AI9" s="393"/>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17" t="s">
        <v>136</v>
      </c>
      <c r="B10" s="420" t="s">
        <v>26</v>
      </c>
      <c r="C10" s="379" t="s">
        <v>28</v>
      </c>
      <c r="D10" s="379" t="s">
        <v>30</v>
      </c>
      <c r="E10" s="419" t="s">
        <v>32</v>
      </c>
      <c r="F10" s="378" t="s">
        <v>34</v>
      </c>
      <c r="G10" s="379" t="s">
        <v>137</v>
      </c>
      <c r="H10" s="427" t="s">
        <v>138</v>
      </c>
      <c r="I10" s="415" t="s">
        <v>139</v>
      </c>
      <c r="J10" s="378" t="s">
        <v>140</v>
      </c>
      <c r="K10" s="378" t="s">
        <v>141</v>
      </c>
      <c r="L10" s="446" t="s">
        <v>142</v>
      </c>
      <c r="M10" s="415" t="s">
        <v>139</v>
      </c>
      <c r="N10" s="379" t="s">
        <v>40</v>
      </c>
      <c r="O10" s="421" t="s">
        <v>143</v>
      </c>
      <c r="P10" s="390" t="s">
        <v>42</v>
      </c>
      <c r="Q10" s="378" t="s">
        <v>44</v>
      </c>
      <c r="R10" s="390" t="s">
        <v>144</v>
      </c>
      <c r="S10" s="390"/>
      <c r="T10" s="390"/>
      <c r="U10" s="390"/>
      <c r="V10" s="390"/>
      <c r="W10" s="390"/>
      <c r="X10" s="426" t="s">
        <v>145</v>
      </c>
      <c r="Y10" s="426" t="s">
        <v>146</v>
      </c>
      <c r="Z10" s="426" t="s">
        <v>139</v>
      </c>
      <c r="AA10" s="426" t="s">
        <v>147</v>
      </c>
      <c r="AB10" s="426" t="s">
        <v>139</v>
      </c>
      <c r="AC10" s="426" t="s">
        <v>148</v>
      </c>
      <c r="AD10" s="421" t="s">
        <v>60</v>
      </c>
      <c r="AE10" s="390" t="s">
        <v>135</v>
      </c>
      <c r="AF10" s="390" t="s">
        <v>122</v>
      </c>
      <c r="AG10" s="390" t="s">
        <v>149</v>
      </c>
      <c r="AH10" s="390" t="s">
        <v>150</v>
      </c>
      <c r="AI10" s="378" t="s">
        <v>151</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18"/>
      <c r="B11" s="420"/>
      <c r="C11" s="390"/>
      <c r="D11" s="390"/>
      <c r="E11" s="420"/>
      <c r="F11" s="379"/>
      <c r="G11" s="390"/>
      <c r="H11" s="379"/>
      <c r="I11" s="416"/>
      <c r="J11" s="379"/>
      <c r="K11" s="379"/>
      <c r="L11" s="416"/>
      <c r="M11" s="416"/>
      <c r="N11" s="390"/>
      <c r="O11" s="422"/>
      <c r="P11" s="390"/>
      <c r="Q11" s="379"/>
      <c r="R11" s="7" t="s">
        <v>152</v>
      </c>
      <c r="S11" s="7" t="s">
        <v>153</v>
      </c>
      <c r="T11" s="7" t="s">
        <v>154</v>
      </c>
      <c r="U11" s="7" t="s">
        <v>155</v>
      </c>
      <c r="V11" s="7" t="s">
        <v>156</v>
      </c>
      <c r="W11" s="7" t="s">
        <v>157</v>
      </c>
      <c r="X11" s="426"/>
      <c r="Y11" s="426"/>
      <c r="Z11" s="426"/>
      <c r="AA11" s="426"/>
      <c r="AB11" s="426"/>
      <c r="AC11" s="426"/>
      <c r="AD11" s="422"/>
      <c r="AE11" s="390"/>
      <c r="AF11" s="390"/>
      <c r="AG11" s="390"/>
      <c r="AH11" s="390"/>
      <c r="AI11" s="379"/>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79.5" customHeight="1" x14ac:dyDescent="0.25">
      <c r="A12" s="357">
        <v>1</v>
      </c>
      <c r="B12" s="360" t="s">
        <v>158</v>
      </c>
      <c r="C12" s="360" t="s">
        <v>329</v>
      </c>
      <c r="D12" s="360" t="s">
        <v>328</v>
      </c>
      <c r="E12" s="412" t="s">
        <v>159</v>
      </c>
      <c r="F12" s="360" t="s">
        <v>160</v>
      </c>
      <c r="G12" s="465">
        <v>5</v>
      </c>
      <c r="H12" s="437" t="str">
        <f>IF(G12&lt;=0,"",IF(G12&lt;=2,"Muy Baja",IF(G12&lt;=24,"Baja",IF(G12&lt;=500,"Media",IF(G12&lt;=5000,"Alta","Muy Alta")))))</f>
        <v>Baja</v>
      </c>
      <c r="I12" s="431">
        <f>IF(H12="","",IF(H12="Muy Baja",0.2,IF(H12="Baja",0.4,IF(H12="Media",0.6,IF(H12="Alta",0.8,IF(H12="Muy Alta",1,))))))</f>
        <v>0.4</v>
      </c>
      <c r="J12" s="434" t="s">
        <v>161</v>
      </c>
      <c r="K12" s="431"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37" t="str">
        <f>IF(OR(K12='Tabla Impacto'!$C$11,K12='Tabla Impacto'!$D$11),"Leve",IF(OR(K12='Tabla Impacto'!$C$12,K12='Tabla Impacto'!$D$12),"Menor",IF(OR(K12='Tabla Impacto'!$C$13,K12='Tabla Impacto'!$D$13),"Moderado",IF(OR(K12='Tabla Impacto'!$C$14,K12='Tabla Impacto'!$D$14),"Mayor",IF(OR(K12='Tabla Impacto'!$C$15,K12='Tabla Impacto'!$D$15),"Catastrófico","")))))</f>
        <v>Moderado</v>
      </c>
      <c r="M12" s="431">
        <f>IF(L12="","",IF(L12="Leve",0.2,IF(L12="Menor",0.4,IF(L12="Moderado",0.6,IF(L12="Mayor",0.8,IF(L12="Catastrófico",1,))))))</f>
        <v>0.6</v>
      </c>
      <c r="N12" s="42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65" t="s">
        <v>162</v>
      </c>
      <c r="Q12" s="151" t="str">
        <f>IF(OR(R12="Preventivo",R12="Detectivo"),"Probabilidad",IF(R12="Correctivo","Impacto",""))</f>
        <v>Probabilidad</v>
      </c>
      <c r="R12" s="146" t="s">
        <v>163</v>
      </c>
      <c r="S12" s="146" t="s">
        <v>164</v>
      </c>
      <c r="T12" s="147" t="str">
        <f>IF(AND(R12="Preventivo",S12="Automático"),"50%",IF(AND(R12="Preventivo",S12="Manual"),"40%",IF(AND(R12="Detectivo",S12="Automático"),"40%",IF(AND(R12="Detectivo",S12="Manual"),"30%",IF(AND(R12="Correctivo",S12="Automático"),"35%",IF(AND(R12="Correctivo",S12="Manual"),"25%",""))))))</f>
        <v>40%</v>
      </c>
      <c r="U12" s="146" t="s">
        <v>165</v>
      </c>
      <c r="V12" s="146" t="s">
        <v>166</v>
      </c>
      <c r="W12" s="146" t="s">
        <v>167</v>
      </c>
      <c r="X12" s="148">
        <f>IFERROR(IF(Q12="Probabilidad",(I12-(+I12*T12)),IF(Q12="Impacto",I12,"")),"")</f>
        <v>0.24</v>
      </c>
      <c r="Y12" s="149" t="str">
        <f>IFERROR(IF(X12="","",IF(X12&lt;=0.2,"Muy Baja",IF(X12&lt;=0.4,"Baja",IF(X12&lt;=0.6,"Media",IF(X12&lt;=0.8,"Alta","Muy Alta"))))),"")</f>
        <v>Baja</v>
      </c>
      <c r="Z12" s="150">
        <f>+X12</f>
        <v>0.24</v>
      </c>
      <c r="AA12" s="149" t="str">
        <f>IFERROR(IF(AB12="","",IF(AB12&lt;=0.2,"Leve",IF(AB12&lt;=0.4,"Menor",IF(AB12&lt;=0.6,"Moderado",IF(AB12&lt;=0.8,"Mayor","Catastrófico"))))),"")</f>
        <v>Moderado</v>
      </c>
      <c r="AB12" s="150">
        <f>IFERROR(IF(Q12="Impacto",(M12-(+M12*T12)),IF(Q12="Probabilidad",M12,"")),"")</f>
        <v>0.6</v>
      </c>
      <c r="AC12" s="15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52" t="s">
        <v>168</v>
      </c>
      <c r="AE12" s="165" t="s">
        <v>169</v>
      </c>
      <c r="AF12" s="162" t="s">
        <v>170</v>
      </c>
      <c r="AG12" s="162" t="s">
        <v>171</v>
      </c>
      <c r="AH12" s="163">
        <v>45717</v>
      </c>
      <c r="AI12" s="163">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79.5" customHeight="1" x14ac:dyDescent="0.3">
      <c r="A13" s="358"/>
      <c r="B13" s="361"/>
      <c r="C13" s="361"/>
      <c r="D13" s="361"/>
      <c r="E13" s="413"/>
      <c r="F13" s="361"/>
      <c r="G13" s="466"/>
      <c r="H13" s="438"/>
      <c r="I13" s="432"/>
      <c r="J13" s="435"/>
      <c r="K13" s="432">
        <f>IF(NOT(ISERROR(MATCH(J13,_xlfn.ANCHORARRAY(E24),0))),I28&amp;"Por favor no seleccionar los criterios de impacto",J13)</f>
        <v>0</v>
      </c>
      <c r="L13" s="438"/>
      <c r="M13" s="432"/>
      <c r="N13" s="429"/>
      <c r="O13" s="6">
        <v>2</v>
      </c>
      <c r="P13" s="165" t="s">
        <v>172</v>
      </c>
      <c r="Q13" s="151" t="str">
        <f>IF(OR(R13="Preventivo",R13="Detectivo"),"Probabilidad",IF(R13="Correctivo","Impacto",""))</f>
        <v>Probabilidad</v>
      </c>
      <c r="R13" s="146" t="s">
        <v>163</v>
      </c>
      <c r="S13" s="146" t="s">
        <v>164</v>
      </c>
      <c r="T13" s="147" t="str">
        <f t="shared" ref="T13:T17" si="0">IF(AND(R13="Preventivo",S13="Automático"),"50%",IF(AND(R13="Preventivo",S13="Manual"),"40%",IF(AND(R13="Detectivo",S13="Automático"),"40%",IF(AND(R13="Detectivo",S13="Manual"),"30%",IF(AND(R13="Correctivo",S13="Automático"),"35%",IF(AND(R13="Correctivo",S13="Manual"),"25%",""))))))</f>
        <v>40%</v>
      </c>
      <c r="U13" s="146" t="s">
        <v>165</v>
      </c>
      <c r="V13" s="146" t="s">
        <v>166</v>
      </c>
      <c r="W13" s="146" t="s">
        <v>167</v>
      </c>
      <c r="X13" s="148">
        <f>IFERROR(IF(AND(Q12="Probabilidad",Q13="Probabilidad"),(Z12-(+Z12*T13)),IF(Q13="Probabilidad",(I12-(+I12*T13)),IF(Q13="Impacto",Z12,""))),"")</f>
        <v>0.14399999999999999</v>
      </c>
      <c r="Y13" s="149" t="str">
        <f t="shared" ref="Y13:Y73" si="1">IFERROR(IF(X13="","",IF(X13&lt;=0.2,"Muy Baja",IF(X13&lt;=0.4,"Baja",IF(X13&lt;=0.6,"Media",IF(X13&lt;=0.8,"Alta","Muy Alta"))))),"")</f>
        <v>Muy Baja</v>
      </c>
      <c r="Z13" s="150">
        <f t="shared" ref="Z13:Z17" si="2">+X13</f>
        <v>0.14399999999999999</v>
      </c>
      <c r="AA13" s="149" t="str">
        <f t="shared" ref="AA13:AA73" si="3">IFERROR(IF(AB13="","",IF(AB13&lt;=0.2,"Leve",IF(AB13&lt;=0.4,"Menor",IF(AB13&lt;=0.6,"Moderado",IF(AB13&lt;=0.8,"Mayor","Catastrófico"))))),"")</f>
        <v>Moderado</v>
      </c>
      <c r="AB13" s="150">
        <f>IFERROR(IF(AND(Q12="Impacto",Q13="Impacto"),(AB12-(+AB12*T13)),IF(Q13="Impacto",(M12-(+M12*T13)),IF(Q13="Probabilidad",AB12,""))),"")</f>
        <v>0.6</v>
      </c>
      <c r="AC13" s="153"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52" t="s">
        <v>168</v>
      </c>
      <c r="AE13" s="165" t="s">
        <v>173</v>
      </c>
      <c r="AF13" s="162" t="s">
        <v>174</v>
      </c>
      <c r="AG13" s="162" t="s">
        <v>175</v>
      </c>
      <c r="AH13" s="163">
        <v>45689</v>
      </c>
      <c r="AI13" s="163">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79.5" customHeight="1" x14ac:dyDescent="0.3">
      <c r="A14" s="358"/>
      <c r="B14" s="361"/>
      <c r="C14" s="361"/>
      <c r="D14" s="361"/>
      <c r="E14" s="413"/>
      <c r="F14" s="361"/>
      <c r="G14" s="466"/>
      <c r="H14" s="438"/>
      <c r="I14" s="432"/>
      <c r="J14" s="435"/>
      <c r="K14" s="432">
        <f>IF(NOT(ISERROR(MATCH(J14,_xlfn.ANCHORARRAY(E27),0))),I29&amp;"Por favor no seleccionar los criterios de impacto",J14)</f>
        <v>0</v>
      </c>
      <c r="L14" s="438"/>
      <c r="M14" s="432"/>
      <c r="N14" s="429"/>
      <c r="O14" s="6">
        <v>3</v>
      </c>
      <c r="P14" s="165" t="s">
        <v>176</v>
      </c>
      <c r="Q14" s="151" t="str">
        <f>IF(OR(R14="Preventivo",R14="Detectivo"),"Probabilidad",IF(R14="Correctivo","Impacto",""))</f>
        <v>Probabilidad</v>
      </c>
      <c r="R14" s="146" t="s">
        <v>163</v>
      </c>
      <c r="S14" s="146" t="s">
        <v>164</v>
      </c>
      <c r="T14" s="147" t="str">
        <f t="shared" ref="T14" si="5">IF(AND(R14="Preventivo",S14="Automático"),"50%",IF(AND(R14="Preventivo",S14="Manual"),"40%",IF(AND(R14="Detectivo",S14="Automático"),"40%",IF(AND(R14="Detectivo",S14="Manual"),"30%",IF(AND(R14="Correctivo",S14="Automático"),"35%",IF(AND(R14="Correctivo",S14="Manual"),"25%",""))))))</f>
        <v>40%</v>
      </c>
      <c r="U14" s="146" t="s">
        <v>165</v>
      </c>
      <c r="V14" s="146" t="s">
        <v>166</v>
      </c>
      <c r="W14" s="146" t="s">
        <v>167</v>
      </c>
      <c r="X14" s="148">
        <f>IFERROR(IF(AND(Q13="Probabilidad",Q14="Probabilidad"),(Z13-(+Z13*T14)),IF(Q14="Probabilidad",(I13-(+I13*T14)),IF(Q14="Impacto",Z13,""))),"")</f>
        <v>8.6399999999999991E-2</v>
      </c>
      <c r="Y14" s="149" t="str">
        <f t="shared" ref="Y14" si="6">IFERROR(IF(X14="","",IF(X14&lt;=0.2,"Muy Baja",IF(X14&lt;=0.4,"Baja",IF(X14&lt;=0.6,"Media",IF(X14&lt;=0.8,"Alta","Muy Alta"))))),"")</f>
        <v>Muy Baja</v>
      </c>
      <c r="Z14" s="150">
        <f t="shared" ref="Z14" si="7">+X14</f>
        <v>8.6399999999999991E-2</v>
      </c>
      <c r="AA14" s="149" t="str">
        <f t="shared" ref="AA14" si="8">IFERROR(IF(AB14="","",IF(AB14&lt;=0.2,"Leve",IF(AB14&lt;=0.4,"Menor",IF(AB14&lt;=0.6,"Moderado",IF(AB14&lt;=0.8,"Mayor","Catastrófico"))))),"")</f>
        <v>Moderado</v>
      </c>
      <c r="AB14" s="150">
        <f>IFERROR(IF(AND(Q13="Impacto",Q14="Impacto"),(AB13-(+AB13*T14)),IF(Q14="Impacto",(M13-(+M13*T14)),IF(Q14="Probabilidad",AB13,""))),"")</f>
        <v>0.6</v>
      </c>
      <c r="AC14" s="153" t="str">
        <f t="shared" ref="AC14" si="9">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160" t="s">
        <v>168</v>
      </c>
      <c r="AE14" s="165" t="s">
        <v>177</v>
      </c>
      <c r="AF14" s="162" t="s">
        <v>170</v>
      </c>
      <c r="AG14" s="162" t="s">
        <v>178</v>
      </c>
      <c r="AH14" s="163">
        <v>45689</v>
      </c>
      <c r="AI14" s="163">
        <v>46010</v>
      </c>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58"/>
      <c r="B15" s="361"/>
      <c r="C15" s="361"/>
      <c r="D15" s="361"/>
      <c r="E15" s="413"/>
      <c r="F15" s="361"/>
      <c r="G15" s="466"/>
      <c r="H15" s="438"/>
      <c r="I15" s="432"/>
      <c r="J15" s="435"/>
      <c r="K15" s="432">
        <f>IF(NOT(ISERROR(MATCH(J15,_xlfn.ANCHORARRAY(E28),0))),I30&amp;"Por favor no seleccionar los criterios de impacto",J15)</f>
        <v>0</v>
      </c>
      <c r="L15" s="438"/>
      <c r="M15" s="432"/>
      <c r="N15" s="429"/>
      <c r="O15" s="106">
        <v>4</v>
      </c>
      <c r="P15" s="165"/>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58"/>
      <c r="B16" s="361"/>
      <c r="C16" s="361"/>
      <c r="D16" s="361"/>
      <c r="E16" s="413"/>
      <c r="F16" s="361"/>
      <c r="G16" s="466"/>
      <c r="H16" s="438"/>
      <c r="I16" s="432"/>
      <c r="J16" s="435"/>
      <c r="K16" s="432">
        <f>IF(NOT(ISERROR(MATCH(J16,_xlfn.ANCHORARRAY(E29),0))),I31&amp;"Por favor no seleccionar los criterios de impacto",J16)</f>
        <v>0</v>
      </c>
      <c r="L16" s="438"/>
      <c r="M16" s="432"/>
      <c r="N16" s="429"/>
      <c r="O16" s="106">
        <v>5</v>
      </c>
      <c r="P16" s="165"/>
      <c r="Q16" s="107" t="str">
        <f t="shared" ref="Q16:Q17" si="10">IF(OR(R16="Preventivo",R16="Detectivo"),"Probabilidad",IF(R16="Correctivo","Impacto",""))</f>
        <v/>
      </c>
      <c r="R16" s="108"/>
      <c r="S16" s="108"/>
      <c r="T16" s="109" t="str">
        <f t="shared" si="0"/>
        <v/>
      </c>
      <c r="U16" s="108"/>
      <c r="V16" s="108"/>
      <c r="W16" s="108"/>
      <c r="X16" s="110" t="str">
        <f t="shared" ref="X16:X17" si="11">IFERROR(IF(AND(Q15="Probabilidad",Q16="Probabilidad"),(Z15-(+Z15*T16)),IF(AND(Q15="Impacto",Q16="Probabilidad"),(Z14-(+Z14*T16)),IF(Q16="Impacto",Z15,""))),"")</f>
        <v/>
      </c>
      <c r="Y16" s="111" t="str">
        <f t="shared" si="1"/>
        <v/>
      </c>
      <c r="Z16" s="112" t="str">
        <f t="shared" si="2"/>
        <v/>
      </c>
      <c r="AA16" s="111" t="str">
        <f t="shared" si="3"/>
        <v/>
      </c>
      <c r="AB16" s="112" t="str">
        <f t="shared" ref="AB16:AB17" si="12">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59"/>
      <c r="B17" s="362"/>
      <c r="C17" s="362"/>
      <c r="D17" s="362"/>
      <c r="E17" s="414"/>
      <c r="F17" s="362"/>
      <c r="G17" s="467"/>
      <c r="H17" s="439"/>
      <c r="I17" s="433"/>
      <c r="J17" s="436"/>
      <c r="K17" s="433">
        <f>IF(NOT(ISERROR(MATCH(J17,_xlfn.ANCHORARRAY(E30),0))),I32&amp;"Por favor no seleccionar los criterios de impacto",J17)</f>
        <v>0</v>
      </c>
      <c r="L17" s="439"/>
      <c r="M17" s="433"/>
      <c r="N17" s="430"/>
      <c r="O17" s="106">
        <v>6</v>
      </c>
      <c r="P17" s="165"/>
      <c r="Q17" s="107" t="str">
        <f t="shared" si="10"/>
        <v/>
      </c>
      <c r="R17" s="108"/>
      <c r="S17" s="108"/>
      <c r="T17" s="109" t="str">
        <f t="shared" si="0"/>
        <v/>
      </c>
      <c r="U17" s="108"/>
      <c r="V17" s="108"/>
      <c r="W17" s="108"/>
      <c r="X17" s="110" t="str">
        <f t="shared" si="11"/>
        <v/>
      </c>
      <c r="Y17" s="111" t="str">
        <f t="shared" si="1"/>
        <v/>
      </c>
      <c r="Z17" s="112" t="str">
        <f t="shared" si="2"/>
        <v/>
      </c>
      <c r="AA17" s="111" t="str">
        <f t="shared" si="3"/>
        <v/>
      </c>
      <c r="AB17" s="112" t="str">
        <f t="shared" si="12"/>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82.5" customHeight="1" x14ac:dyDescent="0.3">
      <c r="A18" s="357">
        <v>2</v>
      </c>
      <c r="B18" s="360" t="s">
        <v>179</v>
      </c>
      <c r="C18" s="360" t="s">
        <v>180</v>
      </c>
      <c r="D18" s="360" t="s">
        <v>330</v>
      </c>
      <c r="E18" s="412" t="s">
        <v>181</v>
      </c>
      <c r="F18" s="360" t="s">
        <v>160</v>
      </c>
      <c r="G18" s="351">
        <v>56</v>
      </c>
      <c r="H18" s="354" t="str">
        <f>IF(G18&lt;=0,"",IF(G18&lt;=2,"Muy Baja",IF(G18&lt;=24,"Baja",IF(G18&lt;=500,"Media",IF(G18&lt;=5000,"Alta","Muy Alta")))))</f>
        <v>Media</v>
      </c>
      <c r="I18" s="384">
        <f>IF(H18="","",IF(H18="Muy Baja",0.2,IF(H18="Baja",0.4,IF(H18="Media",0.6,IF(H18="Alta",0.8,IF(H18="Muy Alta",1,))))))</f>
        <v>0.6</v>
      </c>
      <c r="J18" s="363" t="s">
        <v>182</v>
      </c>
      <c r="K18" s="384" t="str">
        <f>IF(NOT(ISERROR(MATCH(J18,'Tabla Impacto'!$B$221:$B$223,0))),'Tabla Impacto'!$F$223&amp;"Por favor no seleccionar los criterios de impacto(Afectación Económica o presupuestal y Pérdida Reputacional)",J18)</f>
        <v xml:space="preserve">     El riesgo afecta la imagen de la entidad internamente, de conocimiento general, nivel interno, de junta dircetiva y accionistas y/o de provedores</v>
      </c>
      <c r="L18" s="354" t="str">
        <f>IF(OR(K18='Tabla Impacto'!$C$11,K18='Tabla Impacto'!$D$11),"Leve",IF(OR(K18='Tabla Impacto'!$C$12,K18='Tabla Impacto'!$D$12),"Menor",IF(OR(K18='Tabla Impacto'!$C$13,K18='Tabla Impacto'!$D$13),"Moderado",IF(OR(K18='Tabla Impacto'!$C$14,K18='Tabla Impacto'!$D$14),"Mayor",IF(OR(K18='Tabla Impacto'!$C$15,K18='Tabla Impacto'!$D$15),"Catastrófico","")))))</f>
        <v>Menor</v>
      </c>
      <c r="M18" s="384">
        <f>IF(L18="","",IF(L18="Leve",0.2,IF(L18="Menor",0.4,IF(L18="Moderado",0.6,IF(L18="Mayor",0.8,IF(L18="Catastrófico",1,))))))</f>
        <v>0.4</v>
      </c>
      <c r="N18" s="387"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6">
        <v>1</v>
      </c>
      <c r="P18" s="165" t="s">
        <v>183</v>
      </c>
      <c r="Q18" s="151" t="str">
        <f>IF(OR(R18="Preventivo",R18="Detectivo"),"Probabilidad",IF(R18="Correctivo","Impacto",""))</f>
        <v>Probabilidad</v>
      </c>
      <c r="R18" s="155" t="s">
        <v>163</v>
      </c>
      <c r="S18" s="155" t="s">
        <v>164</v>
      </c>
      <c r="T18" s="156" t="str">
        <f>IF(AND(R18="Preventivo",S18="Automático"),"50%",IF(AND(R18="Preventivo",S18="Manual"),"40%",IF(AND(R18="Detectivo",S18="Automático"),"40%",IF(AND(R18="Detectivo",S18="Manual"),"30%",IF(AND(R18="Correctivo",S18="Automático"),"35%",IF(AND(R18="Correctivo",S18="Manual"),"25%",""))))))</f>
        <v>40%</v>
      </c>
      <c r="U18" s="155" t="s">
        <v>165</v>
      </c>
      <c r="V18" s="155" t="s">
        <v>166</v>
      </c>
      <c r="W18" s="155" t="s">
        <v>167</v>
      </c>
      <c r="X18" s="148">
        <f>IFERROR(IF(Q18="Probabilidad",(I18-(+I18*T18)),IF(Q18="Impacto",I18,"")),"")</f>
        <v>0.36</v>
      </c>
      <c r="Y18" s="157" t="str">
        <f>IFERROR(IF(X18="","",IF(X18&lt;=0.2,"Muy Baja",IF(X18&lt;=0.4,"Baja",IF(X18&lt;=0.6,"Media",IF(X18&lt;=0.8,"Alta","Muy Alta"))))),"")</f>
        <v>Baja</v>
      </c>
      <c r="Z18" s="158">
        <f>+X18</f>
        <v>0.36</v>
      </c>
      <c r="AA18" s="157" t="str">
        <f>IFERROR(IF(AB18="","",IF(AB18&lt;=0.2,"Leve",IF(AB18&lt;=0.4,"Menor",IF(AB18&lt;=0.6,"Moderado",IF(AB18&lt;=0.8,"Mayor","Catastrófico"))))),"")</f>
        <v>Menor</v>
      </c>
      <c r="AB18" s="158">
        <f>IFERROR(IF(Q18="Impacto",(M18-(+M18*T18)),IF(Q18="Probabilidad",M18,"")),"")</f>
        <v>0.4</v>
      </c>
      <c r="AC18" s="15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0" t="s">
        <v>168</v>
      </c>
      <c r="AE18" s="165" t="s">
        <v>184</v>
      </c>
      <c r="AF18" s="162" t="s">
        <v>185</v>
      </c>
      <c r="AG18" s="184" t="s">
        <v>186</v>
      </c>
      <c r="AH18" s="163">
        <v>45658</v>
      </c>
      <c r="AI18" s="163">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58"/>
      <c r="B19" s="361"/>
      <c r="C19" s="361"/>
      <c r="D19" s="361"/>
      <c r="E19" s="413"/>
      <c r="F19" s="361"/>
      <c r="G19" s="352"/>
      <c r="H19" s="355"/>
      <c r="I19" s="385"/>
      <c r="J19" s="364"/>
      <c r="K19" s="385">
        <f>IF(NOT(ISERROR(MATCH(J19,_xlfn.ANCHORARRAY(E32),0))),I34&amp;"Por favor no seleccionar los criterios de impacto",J19)</f>
        <v>0</v>
      </c>
      <c r="L19" s="355"/>
      <c r="M19" s="385"/>
      <c r="N19" s="388"/>
      <c r="O19" s="106">
        <v>2</v>
      </c>
      <c r="P19" s="165"/>
      <c r="Q19" s="151" t="str">
        <f>IF(OR(R19="Preventivo",R19="Detectivo"),"Probabilidad",IF(R19="Correctivo","Impacto",""))</f>
        <v/>
      </c>
      <c r="R19" s="155"/>
      <c r="S19" s="155"/>
      <c r="T19" s="156" t="str">
        <f t="shared" ref="T19:T23" si="13">IF(AND(R19="Preventivo",S19="Automático"),"50%",IF(AND(R19="Preventivo",S19="Manual"),"40%",IF(AND(R19="Detectivo",S19="Automático"),"40%",IF(AND(R19="Detectivo",S19="Manual"),"30%",IF(AND(R19="Correctivo",S19="Automático"),"35%",IF(AND(R19="Correctivo",S19="Manual"),"25%",""))))))</f>
        <v/>
      </c>
      <c r="U19" s="155"/>
      <c r="V19" s="155"/>
      <c r="W19" s="155"/>
      <c r="X19" s="148" t="str">
        <f>IFERROR(IF(AND(Q18="Probabilidad",Q19="Probabilidad"),(Z18-(+Z18*T19)),IF(Q19="Probabilidad",(I18-(+I18*T19)),IF(Q19="Impacto",Z18,""))),"")</f>
        <v/>
      </c>
      <c r="Y19" s="157" t="str">
        <f t="shared" si="1"/>
        <v/>
      </c>
      <c r="Z19" s="158" t="str">
        <f t="shared" ref="Z19:Z23" si="14">+X19</f>
        <v/>
      </c>
      <c r="AA19" s="157" t="str">
        <f t="shared" si="3"/>
        <v/>
      </c>
      <c r="AB19" s="158" t="str">
        <f>IFERROR(IF(AND(Q18="Impacto",Q19="Impacto"),(AB18-(+AB18*T19)),IF(Q19="Impacto",(M18-(+M18*T19)),IF(Q19="Probabilidad",AB18,""))),"")</f>
        <v/>
      </c>
      <c r="AC19" s="159" t="str">
        <f t="shared" ref="AC19:AC20" si="15">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0"/>
      <c r="AE19" s="162"/>
      <c r="AF19" s="162"/>
      <c r="AG19" s="162"/>
      <c r="AH19" s="163"/>
      <c r="AI19" s="163"/>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58"/>
      <c r="B20" s="361"/>
      <c r="C20" s="361"/>
      <c r="D20" s="361"/>
      <c r="E20" s="413"/>
      <c r="F20" s="361"/>
      <c r="G20" s="352"/>
      <c r="H20" s="355"/>
      <c r="I20" s="385"/>
      <c r="J20" s="364"/>
      <c r="K20" s="385">
        <f>IF(NOT(ISERROR(MATCH(J20,_xlfn.ANCHORARRAY(E33),0))),I35&amp;"Por favor no seleccionar los criterios de impacto",J20)</f>
        <v>0</v>
      </c>
      <c r="L20" s="355"/>
      <c r="M20" s="385"/>
      <c r="N20" s="388"/>
      <c r="O20" s="106">
        <v>3</v>
      </c>
      <c r="P20" s="167"/>
      <c r="Q20" s="151" t="str">
        <f>IF(OR(R20="Preventivo",R20="Detectivo"),"Probabilidad",IF(R20="Correctivo","Impacto",""))</f>
        <v/>
      </c>
      <c r="R20" s="155"/>
      <c r="S20" s="155"/>
      <c r="T20" s="156" t="str">
        <f t="shared" si="13"/>
        <v/>
      </c>
      <c r="U20" s="155"/>
      <c r="V20" s="155"/>
      <c r="W20" s="155"/>
      <c r="X20" s="148" t="str">
        <f>IFERROR(IF(AND(Q19="Probabilidad",Q20="Probabilidad"),(Z19-(+Z19*T20)),IF(AND(Q19="Impacto",Q20="Probabilidad"),(Z18-(+Z18*T20)),IF(Q20="Impacto",Z19,""))),"")</f>
        <v/>
      </c>
      <c r="Y20" s="157" t="str">
        <f t="shared" si="1"/>
        <v/>
      </c>
      <c r="Z20" s="158" t="str">
        <f t="shared" si="14"/>
        <v/>
      </c>
      <c r="AA20" s="157" t="str">
        <f t="shared" si="3"/>
        <v/>
      </c>
      <c r="AB20" s="158" t="str">
        <f>IFERROR(IF(AND(Q19="Impacto",Q20="Impacto"),(AB19-(+AB19*T20)),IF(AND(Q19="Probabilidad",Q20="Impacto"),(AB18-(+AB18*T20)),IF(Q20="Probabilidad",AB19,""))),"")</f>
        <v/>
      </c>
      <c r="AC20" s="159" t="str">
        <f t="shared" si="15"/>
        <v/>
      </c>
      <c r="AD20" s="160"/>
      <c r="AE20" s="162"/>
      <c r="AF20" s="164"/>
      <c r="AG20" s="164"/>
      <c r="AH20" s="163"/>
      <c r="AI20" s="163"/>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58"/>
      <c r="B21" s="361"/>
      <c r="C21" s="361"/>
      <c r="D21" s="361"/>
      <c r="E21" s="413"/>
      <c r="F21" s="361"/>
      <c r="G21" s="352"/>
      <c r="H21" s="355"/>
      <c r="I21" s="385"/>
      <c r="J21" s="364"/>
      <c r="K21" s="385">
        <f>IF(NOT(ISERROR(MATCH(J21,_xlfn.ANCHORARRAY(E34),0))),I36&amp;"Por favor no seleccionar los criterios de impacto",J21)</f>
        <v>0</v>
      </c>
      <c r="L21" s="355"/>
      <c r="M21" s="385"/>
      <c r="N21" s="388"/>
      <c r="O21" s="106">
        <v>4</v>
      </c>
      <c r="P21" s="165"/>
      <c r="Q21" s="107" t="str">
        <f t="shared" ref="Q21:Q23" si="16">IF(OR(R21="Preventivo",R21="Detectivo"),"Probabilidad",IF(R21="Correctivo","Impacto",""))</f>
        <v/>
      </c>
      <c r="R21" s="108"/>
      <c r="S21" s="108"/>
      <c r="T21" s="109" t="str">
        <f t="shared" si="13"/>
        <v/>
      </c>
      <c r="U21" s="108"/>
      <c r="V21" s="108"/>
      <c r="W21" s="108"/>
      <c r="X21" s="110" t="str">
        <f t="shared" ref="X21:X23" si="17">IFERROR(IF(AND(Q20="Probabilidad",Q21="Probabilidad"),(Z20-(+Z20*T21)),IF(AND(Q20="Impacto",Q21="Probabilidad"),(Z19-(+Z19*T21)),IF(Q21="Impacto",Z20,""))),"")</f>
        <v/>
      </c>
      <c r="Y21" s="111" t="str">
        <f t="shared" si="1"/>
        <v/>
      </c>
      <c r="Z21" s="112" t="str">
        <f t="shared" si="14"/>
        <v/>
      </c>
      <c r="AA21" s="111" t="str">
        <f t="shared" si="3"/>
        <v/>
      </c>
      <c r="AB21" s="112" t="str">
        <f t="shared" ref="AB21:AB23" si="18">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6"/>
      <c r="AH21" s="117"/>
      <c r="AI21" s="11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58"/>
      <c r="B22" s="361"/>
      <c r="C22" s="361"/>
      <c r="D22" s="361"/>
      <c r="E22" s="413"/>
      <c r="F22" s="361"/>
      <c r="G22" s="352"/>
      <c r="H22" s="355"/>
      <c r="I22" s="385"/>
      <c r="J22" s="364"/>
      <c r="K22" s="385">
        <f>IF(NOT(ISERROR(MATCH(J22,_xlfn.ANCHORARRAY(E35),0))),I37&amp;"Por favor no seleccionar los criterios de impacto",J22)</f>
        <v>0</v>
      </c>
      <c r="L22" s="355"/>
      <c r="M22" s="385"/>
      <c r="N22" s="388"/>
      <c r="O22" s="106">
        <v>5</v>
      </c>
      <c r="P22" s="165"/>
      <c r="Q22" s="107" t="str">
        <f t="shared" si="16"/>
        <v/>
      </c>
      <c r="R22" s="108"/>
      <c r="S22" s="108"/>
      <c r="T22" s="109" t="str">
        <f t="shared" si="13"/>
        <v/>
      </c>
      <c r="U22" s="108"/>
      <c r="V22" s="108"/>
      <c r="W22" s="108"/>
      <c r="X22" s="110" t="str">
        <f t="shared" si="17"/>
        <v/>
      </c>
      <c r="Y22" s="111" t="str">
        <f t="shared" si="1"/>
        <v/>
      </c>
      <c r="Z22" s="112" t="str">
        <f t="shared" si="14"/>
        <v/>
      </c>
      <c r="AA22" s="111" t="str">
        <f t="shared" si="3"/>
        <v/>
      </c>
      <c r="AB22" s="112" t="str">
        <f t="shared" si="18"/>
        <v/>
      </c>
      <c r="AC22" s="113" t="str">
        <f t="shared" ref="AC22:AC23" si="19">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59"/>
      <c r="B23" s="362"/>
      <c r="C23" s="362"/>
      <c r="D23" s="362"/>
      <c r="E23" s="414"/>
      <c r="F23" s="362"/>
      <c r="G23" s="353"/>
      <c r="H23" s="356"/>
      <c r="I23" s="386"/>
      <c r="J23" s="365"/>
      <c r="K23" s="386">
        <f>IF(NOT(ISERROR(MATCH(J23,_xlfn.ANCHORARRAY(E36),0))),I38&amp;"Por favor no seleccionar los criterios de impacto",J23)</f>
        <v>0</v>
      </c>
      <c r="L23" s="356"/>
      <c r="M23" s="386"/>
      <c r="N23" s="389"/>
      <c r="O23" s="106">
        <v>6</v>
      </c>
      <c r="P23" s="165"/>
      <c r="Q23" s="107" t="str">
        <f t="shared" si="16"/>
        <v/>
      </c>
      <c r="R23" s="108"/>
      <c r="S23" s="108"/>
      <c r="T23" s="109" t="str">
        <f t="shared" si="13"/>
        <v/>
      </c>
      <c r="U23" s="108"/>
      <c r="V23" s="108"/>
      <c r="W23" s="108"/>
      <c r="X23" s="110" t="str">
        <f t="shared" si="17"/>
        <v/>
      </c>
      <c r="Y23" s="111" t="str">
        <f t="shared" si="1"/>
        <v/>
      </c>
      <c r="Z23" s="112" t="str">
        <f t="shared" si="14"/>
        <v/>
      </c>
      <c r="AA23" s="111" t="str">
        <f t="shared" si="3"/>
        <v/>
      </c>
      <c r="AB23" s="112" t="str">
        <f t="shared" si="18"/>
        <v/>
      </c>
      <c r="AC23" s="113" t="str">
        <f t="shared" si="19"/>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2.75" customHeight="1" x14ac:dyDescent="0.3">
      <c r="A24" s="357">
        <v>3</v>
      </c>
      <c r="B24" s="360" t="s">
        <v>179</v>
      </c>
      <c r="C24" s="360" t="s">
        <v>331</v>
      </c>
      <c r="D24" s="360" t="s">
        <v>187</v>
      </c>
      <c r="E24" s="409" t="s">
        <v>188</v>
      </c>
      <c r="F24" s="360" t="s">
        <v>160</v>
      </c>
      <c r="G24" s="351">
        <v>62</v>
      </c>
      <c r="H24" s="354" t="str">
        <f>IF(G24&lt;=0,"",IF(G24&lt;=2,"Muy Baja",IF(G24&lt;=24,"Baja",IF(G24&lt;=500,"Media",IF(G24&lt;=5000,"Alta","Muy Alta")))))</f>
        <v>Media</v>
      </c>
      <c r="I24" s="384">
        <f>IF(H24="","",IF(H24="Muy Baja",0.2,IF(H24="Baja",0.4,IF(H24="Media",0.6,IF(H24="Alta",0.8,IF(H24="Muy Alta",1,))))))</f>
        <v>0.6</v>
      </c>
      <c r="J24" s="363" t="s">
        <v>161</v>
      </c>
      <c r="K24" s="183"/>
      <c r="L24" s="354" t="str">
        <f>IF(OR(K26='Tabla Impacto'!$C$11,K26='Tabla Impacto'!$D$11),"Leve",IF(OR(K26='Tabla Impacto'!$C$12,K26='Tabla Impacto'!$D$12),"Menor",IF(OR(K26='Tabla Impacto'!$C$13,K26='Tabla Impacto'!$D$13),"Moderado",IF(OR(K26='Tabla Impacto'!$C$14,K26='Tabla Impacto'!$D$14),"Mayor",IF(OR(K26='Tabla Impacto'!$C$15,K26='Tabla Impacto'!$D$15),"Catastrófico","")))))</f>
        <v>Moderado</v>
      </c>
      <c r="M24" s="384">
        <f>IF(L24="","",IF(L24="Leve",0.2,IF(L24="Menor",0.4,IF(L24="Moderado",0.6,IF(L24="Mayor",0.8,IF(L24="Catastrófico",1,))))))</f>
        <v>0.6</v>
      </c>
      <c r="N24" s="387"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471">
        <v>1</v>
      </c>
      <c r="P24" s="468" t="s">
        <v>189</v>
      </c>
      <c r="Q24" s="474" t="str">
        <f>IF(OR(R24="Preventivo",R24="Detectivo"),"Probabilidad",IF(R24="Correctivo","Impacto",""))</f>
        <v>Probabilidad</v>
      </c>
      <c r="R24" s="440" t="s">
        <v>163</v>
      </c>
      <c r="S24" s="440" t="s">
        <v>164</v>
      </c>
      <c r="T24" s="459" t="str">
        <f>IF(AND(R24="Preventivo",S24="Automático"),"50%",IF(AND(R24="Preventivo",S24="Manual"),"40%",IF(AND(R24="Detectivo",S24="Automático"),"40%",IF(AND(R24="Detectivo",S24="Manual"),"30%",IF(AND(R24="Correctivo",S24="Automático"),"35%",IF(AND(R24="Correctivo",S24="Manual"),"25%",""))))))</f>
        <v>40%</v>
      </c>
      <c r="U24" s="440" t="s">
        <v>165</v>
      </c>
      <c r="V24" s="440" t="s">
        <v>166</v>
      </c>
      <c r="W24" s="440" t="s">
        <v>167</v>
      </c>
      <c r="X24" s="110"/>
      <c r="Y24" s="456" t="str">
        <f>IFERROR(IF(X26="","",IF(X26&lt;=0.2,"Muy Baja",IF(X26&lt;=0.4,"Baja",IF(X26&lt;=0.6,"Media",IF(X26&lt;=0.8,"Alta","Muy Alta"))))),"")</f>
        <v>Baja</v>
      </c>
      <c r="Z24" s="459">
        <f>+X26</f>
        <v>0.36</v>
      </c>
      <c r="AA24" s="456" t="str">
        <f>IFERROR(IF(AB24="","",IF(AB24&lt;=0.2,"Leve",IF(AB24&lt;=0.4,"Menor",IF(AB24&lt;=0.6,"Moderado",IF(AB24&lt;=0.8,"Mayor","Catastrófico"))))),"")</f>
        <v>Moderado</v>
      </c>
      <c r="AB24" s="459">
        <f>IFERROR(IF(Q24="Impacto",(M24-(+M24*T24)),IF(Q24="Probabilidad",M24,"")),"")</f>
        <v>0.6</v>
      </c>
      <c r="AC24" s="46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440" t="s">
        <v>168</v>
      </c>
      <c r="AE24" s="185" t="s">
        <v>190</v>
      </c>
      <c r="AF24" s="186" t="s">
        <v>191</v>
      </c>
      <c r="AG24" s="187" t="s">
        <v>192</v>
      </c>
      <c r="AH24" s="163">
        <v>45658</v>
      </c>
      <c r="AI24" s="163">
        <v>45746</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57.75" customHeight="1" x14ac:dyDescent="0.3">
      <c r="A25" s="358"/>
      <c r="B25" s="361"/>
      <c r="C25" s="361"/>
      <c r="D25" s="361"/>
      <c r="E25" s="410"/>
      <c r="F25" s="361"/>
      <c r="G25" s="352"/>
      <c r="H25" s="355"/>
      <c r="I25" s="385"/>
      <c r="J25" s="364"/>
      <c r="K25" s="183"/>
      <c r="L25" s="355"/>
      <c r="M25" s="385"/>
      <c r="N25" s="388"/>
      <c r="O25" s="472"/>
      <c r="P25" s="469"/>
      <c r="Q25" s="475"/>
      <c r="R25" s="441"/>
      <c r="S25" s="441"/>
      <c r="T25" s="460"/>
      <c r="U25" s="441"/>
      <c r="V25" s="441"/>
      <c r="W25" s="441"/>
      <c r="X25" s="110"/>
      <c r="Y25" s="457"/>
      <c r="Z25" s="460"/>
      <c r="AA25" s="457"/>
      <c r="AB25" s="460"/>
      <c r="AC25" s="463"/>
      <c r="AD25" s="441"/>
      <c r="AE25" s="185" t="s">
        <v>193</v>
      </c>
      <c r="AF25" s="186" t="s">
        <v>194</v>
      </c>
      <c r="AG25" s="187" t="s">
        <v>195</v>
      </c>
      <c r="AH25" s="163">
        <v>45658</v>
      </c>
      <c r="AI25" s="163">
        <v>46021</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69.75" customHeight="1" x14ac:dyDescent="0.3">
      <c r="A26" s="358"/>
      <c r="B26" s="361"/>
      <c r="C26" s="361"/>
      <c r="D26" s="361"/>
      <c r="E26" s="410"/>
      <c r="F26" s="361"/>
      <c r="G26" s="352"/>
      <c r="H26" s="355"/>
      <c r="I26" s="385"/>
      <c r="J26" s="364"/>
      <c r="K26" s="384"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6" s="355"/>
      <c r="M26" s="385"/>
      <c r="N26" s="388"/>
      <c r="O26" s="473"/>
      <c r="P26" s="470"/>
      <c r="Q26" s="476"/>
      <c r="R26" s="442"/>
      <c r="S26" s="442"/>
      <c r="T26" s="461"/>
      <c r="U26" s="442"/>
      <c r="V26" s="442"/>
      <c r="W26" s="442"/>
      <c r="X26" s="148">
        <f>IFERROR(IF(Q24="Probabilidad",(I24-(+I24*T24)),IF(Q24="Impacto",I24,"")),"")</f>
        <v>0.36</v>
      </c>
      <c r="Y26" s="458"/>
      <c r="Z26" s="461"/>
      <c r="AA26" s="458"/>
      <c r="AB26" s="461"/>
      <c r="AC26" s="464"/>
      <c r="AD26" s="442"/>
      <c r="AE26" s="185" t="s">
        <v>196</v>
      </c>
      <c r="AF26" s="186" t="s">
        <v>194</v>
      </c>
      <c r="AG26" s="187" t="s">
        <v>197</v>
      </c>
      <c r="AH26" s="163">
        <v>45658</v>
      </c>
      <c r="AI26" s="163">
        <v>46021</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58"/>
      <c r="B27" s="361"/>
      <c r="C27" s="361"/>
      <c r="D27" s="361"/>
      <c r="E27" s="410"/>
      <c r="F27" s="361"/>
      <c r="G27" s="352"/>
      <c r="H27" s="355"/>
      <c r="I27" s="385"/>
      <c r="J27" s="364"/>
      <c r="K27" s="385">
        <f>IF(NOT(ISERROR(MATCH(J27,_xlfn.ANCHORARRAY(E38),0))),I40&amp;"Por favor no seleccionar los criterios de impacto",J27)</f>
        <v>0</v>
      </c>
      <c r="L27" s="355"/>
      <c r="M27" s="385"/>
      <c r="N27" s="388"/>
      <c r="O27" s="106">
        <v>2</v>
      </c>
      <c r="P27" s="165"/>
      <c r="Q27" s="107" t="str">
        <f>IF(OR(R27="Preventivo",R27="Detectivo"),"Probabilidad",IF(R27="Correctivo","Impacto",""))</f>
        <v/>
      </c>
      <c r="R27" s="155"/>
      <c r="S27" s="155"/>
      <c r="T27" s="156" t="str">
        <f t="shared" ref="T27:T32" si="20">IF(AND(R27="Preventivo",S27="Automático"),"50%",IF(AND(R27="Preventivo",S27="Manual"),"40%",IF(AND(R27="Detectivo",S27="Automático"),"40%",IF(AND(R27="Detectivo",S27="Manual"),"30%",IF(AND(R27="Correctivo",S27="Automático"),"35%",IF(AND(R27="Correctivo",S27="Manual"),"25%",""))))))</f>
        <v/>
      </c>
      <c r="U27" s="155"/>
      <c r="V27" s="155"/>
      <c r="W27" s="155"/>
      <c r="X27" s="148" t="str">
        <f>IFERROR(IF(AND(Q24="Probabilidad",Q27="Probabilidad"),(Z24-(+Z24*T27)),IF(Q27="Probabilidad",(I24-(+I24*T27)),IF(Q27="Impacto",Z24,""))),"")</f>
        <v/>
      </c>
      <c r="Y27" s="157" t="str">
        <f t="shared" si="1"/>
        <v/>
      </c>
      <c r="Z27" s="158" t="str">
        <f t="shared" ref="Z27:Z31" si="21">+X27</f>
        <v/>
      </c>
      <c r="AA27" s="157" t="str">
        <f t="shared" si="3"/>
        <v/>
      </c>
      <c r="AB27" s="158" t="str">
        <f>IFERROR(IF(AND(Q24="Impacto",Q27="Impacto"),(AB24-(+AB24*T27)),IF(Q27="Impacto",(M24-(+M24*T27)),IF(Q27="Probabilidad",AB24,""))),"")</f>
        <v/>
      </c>
      <c r="AC27" s="159" t="str">
        <f t="shared" ref="AC27:AC28" si="22">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60"/>
      <c r="AE27" s="162"/>
      <c r="AF27" s="161"/>
      <c r="AG27" s="161"/>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358"/>
      <c r="B28" s="361"/>
      <c r="C28" s="361"/>
      <c r="D28" s="361"/>
      <c r="E28" s="410"/>
      <c r="F28" s="361"/>
      <c r="G28" s="352"/>
      <c r="H28" s="355"/>
      <c r="I28" s="385"/>
      <c r="J28" s="364"/>
      <c r="K28" s="385">
        <f>IF(NOT(ISERROR(MATCH(J28,_xlfn.ANCHORARRAY(E39),0))),I41&amp;"Por favor no seleccionar los criterios de impacto",J28)</f>
        <v>0</v>
      </c>
      <c r="L28" s="355"/>
      <c r="M28" s="385"/>
      <c r="N28" s="388"/>
      <c r="O28" s="106">
        <v>3</v>
      </c>
      <c r="P28" s="166"/>
      <c r="Q28" s="107" t="str">
        <f>IF(OR(R28="Preventivo",R28="Detectivo"),"Probabilidad",IF(R28="Correctivo","Impacto",""))</f>
        <v/>
      </c>
      <c r="R28" s="108"/>
      <c r="S28" s="108"/>
      <c r="T28" s="109" t="str">
        <f t="shared" si="20"/>
        <v/>
      </c>
      <c r="U28" s="108"/>
      <c r="V28" s="108"/>
      <c r="W28" s="108"/>
      <c r="X28" s="110" t="str">
        <f>IFERROR(IF(AND(Q27="Probabilidad",Q28="Probabilidad"),(Z27-(+Z27*T28)),IF(AND(Q27="Impacto",Q28="Probabilidad"),(Z24-(+Z24*T28)),IF(Q28="Impacto",Z27,""))),"")</f>
        <v/>
      </c>
      <c r="Y28" s="111" t="str">
        <f t="shared" si="1"/>
        <v/>
      </c>
      <c r="Z28" s="112" t="str">
        <f t="shared" si="21"/>
        <v/>
      </c>
      <c r="AA28" s="111" t="str">
        <f t="shared" si="3"/>
        <v/>
      </c>
      <c r="AB28" s="112" t="str">
        <f>IFERROR(IF(AND(Q27="Impacto",Q28="Impacto"),(AB27-(+AB27*T28)),IF(AND(Q27="Probabilidad",Q28="Impacto"),(AB24-(+AB24*T28)),IF(Q28="Probabilidad",AB27,""))),"")</f>
        <v/>
      </c>
      <c r="AC28" s="113" t="str">
        <f t="shared" si="22"/>
        <v/>
      </c>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358"/>
      <c r="B29" s="361"/>
      <c r="C29" s="361"/>
      <c r="D29" s="361"/>
      <c r="E29" s="410"/>
      <c r="F29" s="361"/>
      <c r="G29" s="352"/>
      <c r="H29" s="355"/>
      <c r="I29" s="385"/>
      <c r="J29" s="364"/>
      <c r="K29" s="385">
        <f>IF(NOT(ISERROR(MATCH(J29,_xlfn.ANCHORARRAY(E40),0))),I42&amp;"Por favor no seleccionar los criterios de impacto",J29)</f>
        <v>0</v>
      </c>
      <c r="L29" s="355"/>
      <c r="M29" s="385"/>
      <c r="N29" s="388"/>
      <c r="O29" s="106">
        <v>4</v>
      </c>
      <c r="P29" s="165"/>
      <c r="Q29" s="107" t="str">
        <f t="shared" ref="Q29:Q31" si="23">IF(OR(R29="Preventivo",R29="Detectivo"),"Probabilidad",IF(R29="Correctivo","Impacto",""))</f>
        <v/>
      </c>
      <c r="R29" s="108"/>
      <c r="S29" s="108"/>
      <c r="T29" s="109" t="str">
        <f t="shared" si="20"/>
        <v/>
      </c>
      <c r="U29" s="108"/>
      <c r="V29" s="108"/>
      <c r="W29" s="108"/>
      <c r="X29" s="110" t="str">
        <f t="shared" ref="X29:X31" si="24">IFERROR(IF(AND(Q28="Probabilidad",Q29="Probabilidad"),(Z28-(+Z28*T29)),IF(AND(Q28="Impacto",Q29="Probabilidad"),(Z27-(+Z27*T29)),IF(Q29="Impacto",Z28,""))),"")</f>
        <v/>
      </c>
      <c r="Y29" s="111" t="str">
        <f t="shared" si="1"/>
        <v/>
      </c>
      <c r="Z29" s="112" t="str">
        <f t="shared" si="21"/>
        <v/>
      </c>
      <c r="AA29" s="111" t="str">
        <f t="shared" si="3"/>
        <v/>
      </c>
      <c r="AB29" s="112" t="str">
        <f t="shared" ref="AB29:AB31" si="25">IFERROR(IF(AND(Q28="Impacto",Q29="Impacto"),(AB28-(+AB28*T29)),IF(AND(Q28="Probabilidad",Q29="Impacto"),(AB27-(+AB27*T29)),IF(Q29="Probabilidad",AB28,""))),"")</f>
        <v/>
      </c>
      <c r="AC29" s="113"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15"/>
      <c r="AF29" s="116"/>
      <c r="AG29" s="116"/>
      <c r="AH29" s="117"/>
      <c r="AI29" s="11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58"/>
      <c r="B30" s="361"/>
      <c r="C30" s="361"/>
      <c r="D30" s="361"/>
      <c r="E30" s="410"/>
      <c r="F30" s="361"/>
      <c r="G30" s="352"/>
      <c r="H30" s="355"/>
      <c r="I30" s="385"/>
      <c r="J30" s="364"/>
      <c r="K30" s="385">
        <f>IF(NOT(ISERROR(MATCH(J30,_xlfn.ANCHORARRAY(E41),0))),I43&amp;"Por favor no seleccionar los criterios de impacto",J30)</f>
        <v>0</v>
      </c>
      <c r="L30" s="355"/>
      <c r="M30" s="385"/>
      <c r="N30" s="388"/>
      <c r="O30" s="106">
        <v>5</v>
      </c>
      <c r="P30" s="165"/>
      <c r="Q30" s="107" t="str">
        <f t="shared" si="23"/>
        <v/>
      </c>
      <c r="R30" s="108"/>
      <c r="S30" s="108"/>
      <c r="T30" s="109" t="str">
        <f t="shared" si="20"/>
        <v/>
      </c>
      <c r="U30" s="108"/>
      <c r="V30" s="108"/>
      <c r="W30" s="108"/>
      <c r="X30" s="110" t="str">
        <f t="shared" si="24"/>
        <v/>
      </c>
      <c r="Y30" s="111" t="str">
        <f t="shared" si="1"/>
        <v/>
      </c>
      <c r="Z30" s="112" t="str">
        <f t="shared" si="21"/>
        <v/>
      </c>
      <c r="AA30" s="111" t="str">
        <f t="shared" si="3"/>
        <v/>
      </c>
      <c r="AB30" s="112" t="str">
        <f t="shared" si="25"/>
        <v/>
      </c>
      <c r="AC30" s="113" t="str">
        <f t="shared" ref="AC30:AC31" si="26">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14"/>
      <c r="AE30" s="115"/>
      <c r="AF30" s="116"/>
      <c r="AG30" s="116"/>
      <c r="AH30" s="117"/>
      <c r="AI30" s="117"/>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59"/>
      <c r="B31" s="362"/>
      <c r="C31" s="362"/>
      <c r="D31" s="362"/>
      <c r="E31" s="411"/>
      <c r="F31" s="362"/>
      <c r="G31" s="353"/>
      <c r="H31" s="356"/>
      <c r="I31" s="386"/>
      <c r="J31" s="365"/>
      <c r="K31" s="386">
        <f>IF(NOT(ISERROR(MATCH(J31,_xlfn.ANCHORARRAY(E42),0))),I44&amp;"Por favor no seleccionar los criterios de impacto",J31)</f>
        <v>0</v>
      </c>
      <c r="L31" s="356"/>
      <c r="M31" s="386"/>
      <c r="N31" s="389"/>
      <c r="O31" s="106">
        <v>6</v>
      </c>
      <c r="P31" s="165"/>
      <c r="Q31" s="107" t="str">
        <f t="shared" si="23"/>
        <v/>
      </c>
      <c r="R31" s="108"/>
      <c r="S31" s="108"/>
      <c r="T31" s="109" t="str">
        <f t="shared" si="20"/>
        <v/>
      </c>
      <c r="U31" s="108"/>
      <c r="V31" s="108"/>
      <c r="W31" s="108"/>
      <c r="X31" s="110" t="str">
        <f t="shared" si="24"/>
        <v/>
      </c>
      <c r="Y31" s="111" t="str">
        <f t="shared" si="1"/>
        <v/>
      </c>
      <c r="Z31" s="112" t="str">
        <f t="shared" si="21"/>
        <v/>
      </c>
      <c r="AA31" s="111" t="str">
        <f t="shared" si="3"/>
        <v/>
      </c>
      <c r="AB31" s="112" t="str">
        <f t="shared" si="25"/>
        <v/>
      </c>
      <c r="AC31" s="113" t="str">
        <f t="shared" si="26"/>
        <v/>
      </c>
      <c r="AD31" s="114"/>
      <c r="AE31" s="115"/>
      <c r="AF31" s="116"/>
      <c r="AG31" s="116"/>
      <c r="AH31" s="117"/>
      <c r="AI31" s="117"/>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66.75" customHeight="1" x14ac:dyDescent="0.3">
      <c r="A32" s="357">
        <v>4</v>
      </c>
      <c r="B32" s="360" t="s">
        <v>179</v>
      </c>
      <c r="C32" s="360" t="s">
        <v>198</v>
      </c>
      <c r="D32" s="360" t="s">
        <v>199</v>
      </c>
      <c r="E32" s="409" t="s">
        <v>200</v>
      </c>
      <c r="F32" s="360" t="s">
        <v>160</v>
      </c>
      <c r="G32" s="351">
        <v>360</v>
      </c>
      <c r="H32" s="354" t="str">
        <f>IF(G32&lt;=0,"",IF(G32&lt;=2,"Muy Baja",IF(G32&lt;=24,"Baja",IF(G32&lt;=500,"Media",IF(G32&lt;=5000,"Alta","Muy Alta")))))</f>
        <v>Media</v>
      </c>
      <c r="I32" s="384">
        <f>IF(H32="","",IF(H32="Muy Baja",0.2,IF(H32="Baja",0.4,IF(H32="Media",0.6,IF(H32="Alta",0.8,IF(H32="Muy Alta",1,))))))</f>
        <v>0.6</v>
      </c>
      <c r="J32" s="363" t="s">
        <v>161</v>
      </c>
      <c r="K32" s="384" t="str">
        <f>IF(NOT(ISERROR(MATCH(J32,'Tabla Impacto'!$B$221:$B$223,0))),'Tabla Impacto'!$F$223&amp;"Por favor no seleccionar los criterios de impacto(Afectación Económica o presupuestal y Pérdida Reputacional)",J32)</f>
        <v xml:space="preserve">     El riesgo afecta la imagen de la entidad con algunos usuarios de relevancia frente al logro de los objetivos</v>
      </c>
      <c r="L32" s="354" t="str">
        <f>IF(OR(K32='Tabla Impacto'!$C$11,K32='Tabla Impacto'!$D$11),"Leve",IF(OR(K32='Tabla Impacto'!$C$12,K32='Tabla Impacto'!$D$12),"Menor",IF(OR(K32='Tabla Impacto'!$C$13,K32='Tabla Impacto'!$D$13),"Moderado",IF(OR(K32='Tabla Impacto'!$C$14,K32='Tabla Impacto'!$D$14),"Mayor",IF(OR(K32='Tabla Impacto'!$C$15,K32='Tabla Impacto'!$D$15),"Catastrófico","")))))</f>
        <v>Moderado</v>
      </c>
      <c r="M32" s="384">
        <f>IF(L32="","",IF(L32="Leve",0.2,IF(L32="Menor",0.4,IF(L32="Moderado",0.6,IF(L32="Mayor",0.8,IF(L32="Catastrófico",1,))))))</f>
        <v>0.6</v>
      </c>
      <c r="N32" s="387"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106">
        <v>1</v>
      </c>
      <c r="P32" s="165" t="s">
        <v>201</v>
      </c>
      <c r="Q32" s="151" t="str">
        <f>IF(OR(R32="Preventivo",R32="Detectivo"),"Probabilidad",IF(R32="Correctivo","Impacto",""))</f>
        <v>Probabilidad</v>
      </c>
      <c r="R32" s="155" t="s">
        <v>163</v>
      </c>
      <c r="S32" s="155" t="s">
        <v>164</v>
      </c>
      <c r="T32" s="156" t="str">
        <f t="shared" si="20"/>
        <v>40%</v>
      </c>
      <c r="U32" s="155" t="s">
        <v>165</v>
      </c>
      <c r="V32" s="155" t="s">
        <v>166</v>
      </c>
      <c r="W32" s="155" t="s">
        <v>167</v>
      </c>
      <c r="X32" s="148">
        <f>IFERROR(IF(Q32="Probabilidad",(I32-(+I32*T32)),IF(Q32="Impacto",I32,"")),"")</f>
        <v>0.36</v>
      </c>
      <c r="Y32" s="157" t="str">
        <f>IFERROR(IF(X32="","",IF(X32&lt;=0.2,"Muy Baja",IF(X32&lt;=0.4,"Baja",IF(X32&lt;=0.6,"Media",IF(X32&lt;=0.8,"Alta","Muy Alta"))))),"")</f>
        <v>Baja</v>
      </c>
      <c r="Z32" s="158">
        <f>+X32</f>
        <v>0.36</v>
      </c>
      <c r="AA32" s="157" t="str">
        <f>IFERROR(IF(AB32="","",IF(AB32&lt;=0.2,"Leve",IF(AB32&lt;=0.4,"Menor",IF(AB32&lt;=0.6,"Moderado",IF(AB32&lt;=0.8,"Mayor","Catastrófico"))))),"")</f>
        <v>Moderado</v>
      </c>
      <c r="AB32" s="158">
        <f>IFERROR(IF(Q32="Impacto",(M32-(+M32*T32)),IF(Q32="Probabilidad",M32,"")),"")</f>
        <v>0.6</v>
      </c>
      <c r="AC32" s="15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60" t="s">
        <v>168</v>
      </c>
      <c r="AE32" s="185" t="s">
        <v>202</v>
      </c>
      <c r="AF32" s="154" t="s">
        <v>203</v>
      </c>
      <c r="AG32" s="187" t="s">
        <v>204</v>
      </c>
      <c r="AH32" s="163">
        <v>45658</v>
      </c>
      <c r="AI32" s="163">
        <v>46021</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358"/>
      <c r="B33" s="361"/>
      <c r="C33" s="361"/>
      <c r="D33" s="361"/>
      <c r="E33" s="410"/>
      <c r="F33" s="361"/>
      <c r="G33" s="352"/>
      <c r="H33" s="355"/>
      <c r="I33" s="385"/>
      <c r="J33" s="364"/>
      <c r="K33" s="385">
        <f>IF(NOT(ISERROR(MATCH(J33,_xlfn.ANCHORARRAY(E44),0))),I46&amp;"Por favor no seleccionar los criterios de impacto",J33)</f>
        <v>0</v>
      </c>
      <c r="L33" s="355"/>
      <c r="M33" s="385"/>
      <c r="N33" s="388"/>
      <c r="O33" s="106">
        <v>2</v>
      </c>
      <c r="P33" s="165"/>
      <c r="Q33" s="107" t="str">
        <f>IF(OR(R33="Preventivo",R33="Detectivo"),"Probabilidad",IF(R33="Correctivo","Impacto",""))</f>
        <v/>
      </c>
      <c r="R33" s="108"/>
      <c r="S33" s="108"/>
      <c r="T33" s="109" t="str">
        <f t="shared" ref="T33:T38" si="27">IF(AND(R33="Preventivo",S33="Automático"),"50%",IF(AND(R33="Preventivo",S33="Manual"),"40%",IF(AND(R33="Detectivo",S33="Automático"),"40%",IF(AND(R33="Detectivo",S33="Manual"),"30%",IF(AND(R33="Correctivo",S33="Automático"),"35%",IF(AND(R33="Correctivo",S33="Manual"),"25%",""))))))</f>
        <v/>
      </c>
      <c r="U33" s="108"/>
      <c r="V33" s="108"/>
      <c r="W33" s="108"/>
      <c r="X33" s="110" t="str">
        <f>IFERROR(IF(AND(Q32="Probabilidad",Q33="Probabilidad"),(Z32-(+Z32*T33)),IF(Q33="Probabilidad",(I32-(+I32*T33)),IF(Q33="Impacto",Z32,""))),"")</f>
        <v/>
      </c>
      <c r="Y33" s="111" t="str">
        <f t="shared" si="1"/>
        <v/>
      </c>
      <c r="Z33" s="112" t="str">
        <f t="shared" ref="Z33:Z37" si="28">+X33</f>
        <v/>
      </c>
      <c r="AA33" s="111" t="str">
        <f t="shared" si="3"/>
        <v/>
      </c>
      <c r="AB33" s="112" t="str">
        <f>IFERROR(IF(AND(Q32="Impacto",Q33="Impacto"),(AB32-(+AB32*T33)),IF(Q33="Impacto",(M32-(+M32*T33)),IF(Q33="Probabilidad",AB32,""))),"")</f>
        <v/>
      </c>
      <c r="AC33" s="113" t="str">
        <f t="shared" ref="AC33:AC34" si="29">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16"/>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58"/>
      <c r="B34" s="361"/>
      <c r="C34" s="361"/>
      <c r="D34" s="361"/>
      <c r="E34" s="410"/>
      <c r="F34" s="361"/>
      <c r="G34" s="352"/>
      <c r="H34" s="355"/>
      <c r="I34" s="385"/>
      <c r="J34" s="364"/>
      <c r="K34" s="385">
        <f>IF(NOT(ISERROR(MATCH(J34,_xlfn.ANCHORARRAY(E45),0))),I47&amp;"Por favor no seleccionar los criterios de impacto",J34)</f>
        <v>0</v>
      </c>
      <c r="L34" s="355"/>
      <c r="M34" s="385"/>
      <c r="N34" s="388"/>
      <c r="O34" s="106">
        <v>3</v>
      </c>
      <c r="P34" s="166"/>
      <c r="Q34" s="107" t="str">
        <f>IF(OR(R34="Preventivo",R34="Detectivo"),"Probabilidad",IF(R34="Correctivo","Impacto",""))</f>
        <v/>
      </c>
      <c r="R34" s="108"/>
      <c r="S34" s="108"/>
      <c r="T34" s="109" t="str">
        <f t="shared" si="27"/>
        <v/>
      </c>
      <c r="U34" s="108"/>
      <c r="V34" s="108"/>
      <c r="W34" s="108"/>
      <c r="X34" s="110" t="str">
        <f>IFERROR(IF(AND(Q33="Probabilidad",Q34="Probabilidad"),(Z33-(+Z33*T34)),IF(AND(Q33="Impacto",Q34="Probabilidad"),(Z32-(+Z32*T34)),IF(Q34="Impacto",Z33,""))),"")</f>
        <v/>
      </c>
      <c r="Y34" s="111" t="str">
        <f t="shared" si="1"/>
        <v/>
      </c>
      <c r="Z34" s="112" t="str">
        <f t="shared" si="28"/>
        <v/>
      </c>
      <c r="AA34" s="111" t="str">
        <f t="shared" si="3"/>
        <v/>
      </c>
      <c r="AB34" s="112" t="str">
        <f>IFERROR(IF(AND(Q33="Impacto",Q34="Impacto"),(AB33-(+AB33*T34)),IF(AND(Q33="Probabilidad",Q34="Impacto"),(AB32-(+AB32*T34)),IF(Q34="Probabilidad",AB33,""))),"")</f>
        <v/>
      </c>
      <c r="AC34" s="113" t="str">
        <f t="shared" si="29"/>
        <v/>
      </c>
      <c r="AD34" s="114"/>
      <c r="AE34" s="115"/>
      <c r="AF34" s="116"/>
      <c r="AG34" s="116"/>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58"/>
      <c r="B35" s="361"/>
      <c r="C35" s="361"/>
      <c r="D35" s="361"/>
      <c r="E35" s="410"/>
      <c r="F35" s="361"/>
      <c r="G35" s="352"/>
      <c r="H35" s="355"/>
      <c r="I35" s="385"/>
      <c r="J35" s="364"/>
      <c r="K35" s="385">
        <f>IF(NOT(ISERROR(MATCH(J35,_xlfn.ANCHORARRAY(E46),0))),I48&amp;"Por favor no seleccionar los criterios de impacto",J35)</f>
        <v>0</v>
      </c>
      <c r="L35" s="355"/>
      <c r="M35" s="385"/>
      <c r="N35" s="388"/>
      <c r="O35" s="106">
        <v>4</v>
      </c>
      <c r="P35" s="165"/>
      <c r="Q35" s="107" t="str">
        <f t="shared" ref="Q35:Q38" si="30">IF(OR(R35="Preventivo",R35="Detectivo"),"Probabilidad",IF(R35="Correctivo","Impacto",""))</f>
        <v/>
      </c>
      <c r="R35" s="108"/>
      <c r="S35" s="108"/>
      <c r="T35" s="109" t="str">
        <f t="shared" si="27"/>
        <v/>
      </c>
      <c r="U35" s="108"/>
      <c r="V35" s="108"/>
      <c r="W35" s="108"/>
      <c r="X35" s="110" t="str">
        <f t="shared" ref="X35:X37" si="31">IFERROR(IF(AND(Q34="Probabilidad",Q35="Probabilidad"),(Z34-(+Z34*T35)),IF(AND(Q34="Impacto",Q35="Probabilidad"),(Z33-(+Z33*T35)),IF(Q35="Impacto",Z34,""))),"")</f>
        <v/>
      </c>
      <c r="Y35" s="111" t="str">
        <f t="shared" si="1"/>
        <v/>
      </c>
      <c r="Z35" s="112" t="str">
        <f t="shared" si="28"/>
        <v/>
      </c>
      <c r="AA35" s="111" t="str">
        <f t="shared" si="3"/>
        <v/>
      </c>
      <c r="AB35" s="112" t="str">
        <f t="shared" ref="AB35:AB37" si="32">IFERROR(IF(AND(Q34="Impacto",Q35="Impacto"),(AB34-(+AB34*T35)),IF(AND(Q34="Probabilidad",Q35="Impacto"),(AB33-(+AB33*T35)),IF(Q35="Probabilidad",AB34,""))),"")</f>
        <v/>
      </c>
      <c r="AC35" s="113"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16"/>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58"/>
      <c r="B36" s="361"/>
      <c r="C36" s="361"/>
      <c r="D36" s="361"/>
      <c r="E36" s="410"/>
      <c r="F36" s="361"/>
      <c r="G36" s="352"/>
      <c r="H36" s="355"/>
      <c r="I36" s="385"/>
      <c r="J36" s="364"/>
      <c r="K36" s="385">
        <f>IF(NOT(ISERROR(MATCH(J36,_xlfn.ANCHORARRAY(E47),0))),I49&amp;"Por favor no seleccionar los criterios de impacto",J36)</f>
        <v>0</v>
      </c>
      <c r="L36" s="355"/>
      <c r="M36" s="385"/>
      <c r="N36" s="388"/>
      <c r="O36" s="106">
        <v>5</v>
      </c>
      <c r="P36" s="165"/>
      <c r="Q36" s="107" t="str">
        <f t="shared" si="30"/>
        <v/>
      </c>
      <c r="R36" s="108"/>
      <c r="S36" s="108"/>
      <c r="T36" s="109" t="str">
        <f t="shared" si="27"/>
        <v/>
      </c>
      <c r="U36" s="108"/>
      <c r="V36" s="108"/>
      <c r="W36" s="108"/>
      <c r="X36" s="110" t="str">
        <f t="shared" si="31"/>
        <v/>
      </c>
      <c r="Y36" s="111" t="str">
        <f>IFERROR(IF(X36="","",IF(X36&lt;=0.2,"Muy Baja",IF(X36&lt;=0.4,"Baja",IF(X36&lt;=0.6,"Media",IF(X36&lt;=0.8,"Alta","Muy Alta"))))),"")</f>
        <v/>
      </c>
      <c r="Z36" s="112" t="str">
        <f t="shared" si="28"/>
        <v/>
      </c>
      <c r="AA36" s="111" t="str">
        <f t="shared" si="3"/>
        <v/>
      </c>
      <c r="AB36" s="112" t="str">
        <f t="shared" si="32"/>
        <v/>
      </c>
      <c r="AC36" s="113" t="str">
        <f t="shared" ref="AC36:AC37" si="33">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16"/>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59"/>
      <c r="B37" s="362"/>
      <c r="C37" s="362"/>
      <c r="D37" s="362"/>
      <c r="E37" s="411"/>
      <c r="F37" s="362"/>
      <c r="G37" s="353"/>
      <c r="H37" s="356"/>
      <c r="I37" s="386"/>
      <c r="J37" s="365"/>
      <c r="K37" s="386">
        <f>IF(NOT(ISERROR(MATCH(J37,_xlfn.ANCHORARRAY(E48),0))),I50&amp;"Por favor no seleccionar los criterios de impacto",J37)</f>
        <v>0</v>
      </c>
      <c r="L37" s="356"/>
      <c r="M37" s="386"/>
      <c r="N37" s="389"/>
      <c r="O37" s="106">
        <v>6</v>
      </c>
      <c r="P37" s="165"/>
      <c r="Q37" s="107" t="str">
        <f t="shared" si="30"/>
        <v/>
      </c>
      <c r="R37" s="108"/>
      <c r="S37" s="108"/>
      <c r="T37" s="109" t="str">
        <f t="shared" si="27"/>
        <v/>
      </c>
      <c r="U37" s="108"/>
      <c r="V37" s="108"/>
      <c r="W37" s="108"/>
      <c r="X37" s="110" t="str">
        <f t="shared" si="31"/>
        <v/>
      </c>
      <c r="Y37" s="111" t="str">
        <f t="shared" si="1"/>
        <v/>
      </c>
      <c r="Z37" s="112" t="str">
        <f t="shared" si="28"/>
        <v/>
      </c>
      <c r="AA37" s="111" t="str">
        <f t="shared" si="3"/>
        <v/>
      </c>
      <c r="AB37" s="112" t="str">
        <f t="shared" si="32"/>
        <v/>
      </c>
      <c r="AC37" s="113" t="str">
        <f t="shared" si="33"/>
        <v/>
      </c>
      <c r="AD37" s="114"/>
      <c r="AE37" s="115"/>
      <c r="AF37" s="116"/>
      <c r="AG37" s="116"/>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56.25" customHeight="1" x14ac:dyDescent="0.3">
      <c r="A38" s="357">
        <v>5</v>
      </c>
      <c r="B38" s="360" t="s">
        <v>179</v>
      </c>
      <c r="C38" s="363" t="s">
        <v>205</v>
      </c>
      <c r="D38" s="363" t="s">
        <v>332</v>
      </c>
      <c r="E38" s="409" t="s">
        <v>206</v>
      </c>
      <c r="F38" s="360" t="s">
        <v>160</v>
      </c>
      <c r="G38" s="351">
        <v>1</v>
      </c>
      <c r="H38" s="354" t="str">
        <f>IF(G38&lt;=0,"",IF(G38&lt;=2,"Muy Baja",IF(G38&lt;=24,"Baja",IF(G38&lt;=500,"Media",IF(G38&lt;=5000,"Alta","Muy Alta")))))</f>
        <v>Muy Baja</v>
      </c>
      <c r="I38" s="384">
        <f>IF(H38="","",IF(H38="Muy Baja",0.2,IF(H38="Baja",0.4,IF(H38="Media",0.6,IF(H38="Alta",0.8,IF(H38="Muy Alta",1,))))))</f>
        <v>0.2</v>
      </c>
      <c r="J38" s="363" t="s">
        <v>161</v>
      </c>
      <c r="K38" s="384" t="str">
        <f>IF(NOT(ISERROR(MATCH(J38,'Tabla Impacto'!$B$221:$B$223,0))),'Tabla Impacto'!$F$223&amp;"Por favor no seleccionar los criterios de impacto(Afectación Económica o presupuestal y Pérdida Reputacional)",J38)</f>
        <v xml:space="preserve">     El riesgo afecta la imagen de la entidad con algunos usuarios de relevancia frente al logro de los objetivos</v>
      </c>
      <c r="L38" s="354" t="str">
        <f>IF(OR(K38='Tabla Impacto'!$C$11,K38='Tabla Impacto'!$D$11),"Leve",IF(OR(K38='Tabla Impacto'!$C$12,K38='Tabla Impacto'!$D$12),"Menor",IF(OR(K38='Tabla Impacto'!$C$13,K38='Tabla Impacto'!$D$13),"Moderado",IF(OR(K38='Tabla Impacto'!$C$14,K38='Tabla Impacto'!$D$14),"Mayor",IF(OR(K38='Tabla Impacto'!$C$15,K38='Tabla Impacto'!$D$15),"Catastrófico","")))))</f>
        <v>Moderado</v>
      </c>
      <c r="M38" s="384">
        <f>IF(L38="","",IF(L38="Leve",0.2,IF(L38="Menor",0.4,IF(L38="Moderado",0.6,IF(L38="Mayor",0.8,IF(L38="Catastrófico",1,))))))</f>
        <v>0.6</v>
      </c>
      <c r="N38" s="387"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Moderado</v>
      </c>
      <c r="O38" s="106">
        <v>1</v>
      </c>
      <c r="P38" s="165" t="s">
        <v>207</v>
      </c>
      <c r="Q38" s="151" t="str">
        <f t="shared" si="30"/>
        <v>Probabilidad</v>
      </c>
      <c r="R38" s="155" t="s">
        <v>163</v>
      </c>
      <c r="S38" s="155" t="s">
        <v>164</v>
      </c>
      <c r="T38" s="156" t="str">
        <f t="shared" si="27"/>
        <v>40%</v>
      </c>
      <c r="U38" s="155" t="s">
        <v>165</v>
      </c>
      <c r="V38" s="155" t="s">
        <v>166</v>
      </c>
      <c r="W38" s="155" t="s">
        <v>167</v>
      </c>
      <c r="X38" s="148">
        <f>IFERROR(IF(Q38="Probabilidad",(I38-(+I38*T38)),IF(Q38="Impacto",I38,"")),"")</f>
        <v>0.12</v>
      </c>
      <c r="Y38" s="157" t="str">
        <f>IFERROR(IF(X38="","",IF(X38&lt;=0.2,"Muy Baja",IF(X38&lt;=0.4,"Baja",IF(X38&lt;=0.6,"Media",IF(X38&lt;=0.8,"Alta","Muy Alta"))))),"")</f>
        <v>Muy Baja</v>
      </c>
      <c r="Z38" s="158">
        <f>+X38</f>
        <v>0.12</v>
      </c>
      <c r="AA38" s="157" t="str">
        <f>IFERROR(IF(AB38="","",IF(AB38&lt;=0.2,"Leve",IF(AB38&lt;=0.4,"Menor",IF(AB38&lt;=0.6,"Moderado",IF(AB38&lt;=0.8,"Mayor","Catastrófico"))))),"")</f>
        <v>Moderado</v>
      </c>
      <c r="AB38" s="158">
        <f>IFERROR(IF(Q38="Impacto",(M38-(+M38*T38)),IF(Q38="Probabilidad",M38,"")),"")</f>
        <v>0.6</v>
      </c>
      <c r="AC38" s="159"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160" t="s">
        <v>168</v>
      </c>
      <c r="AE38" s="185" t="s">
        <v>208</v>
      </c>
      <c r="AF38" s="188" t="s">
        <v>209</v>
      </c>
      <c r="AG38" s="188" t="s">
        <v>210</v>
      </c>
      <c r="AH38" s="189">
        <v>45870</v>
      </c>
      <c r="AI38" s="190">
        <v>46010</v>
      </c>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58"/>
      <c r="B39" s="361"/>
      <c r="C39" s="364"/>
      <c r="D39" s="364"/>
      <c r="E39" s="410"/>
      <c r="F39" s="361"/>
      <c r="G39" s="352"/>
      <c r="H39" s="355"/>
      <c r="I39" s="385"/>
      <c r="J39" s="364"/>
      <c r="K39" s="385">
        <f>IF(NOT(ISERROR(MATCH(J39,_xlfn.ANCHORARRAY(E50),0))),I52&amp;"Por favor no seleccionar los criterios de impacto",J39)</f>
        <v>0</v>
      </c>
      <c r="L39" s="355"/>
      <c r="M39" s="385"/>
      <c r="N39" s="388"/>
      <c r="O39" s="106">
        <v>2</v>
      </c>
      <c r="P39" s="165"/>
      <c r="Q39" s="107" t="str">
        <f>IF(OR(R39="Preventivo",R39="Detectivo"),"Probabilidad",IF(R39="Correctivo","Impacto",""))</f>
        <v/>
      </c>
      <c r="R39" s="108"/>
      <c r="S39" s="108"/>
      <c r="T39" s="109" t="str">
        <f t="shared" ref="T39:T43" si="34">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1"/>
        <v/>
      </c>
      <c r="Z39" s="112" t="str">
        <f t="shared" ref="Z39:Z43" si="35">+X39</f>
        <v/>
      </c>
      <c r="AA39" s="111" t="str">
        <f t="shared" si="3"/>
        <v/>
      </c>
      <c r="AB39" s="112" t="str">
        <f>IFERROR(IF(AND(Q38="Impacto",Q39="Impacto"),(AB38-(+AB38*T39)),IF(Q39="Impacto",(M38-(+M38*T39)),IF(Q39="Probabilidad",AB38,""))),"")</f>
        <v/>
      </c>
      <c r="AC39" s="113" t="str">
        <f t="shared" ref="AC39:AC40" si="36">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358"/>
      <c r="B40" s="361"/>
      <c r="C40" s="364"/>
      <c r="D40" s="364"/>
      <c r="E40" s="410"/>
      <c r="F40" s="361"/>
      <c r="G40" s="352"/>
      <c r="H40" s="355"/>
      <c r="I40" s="385"/>
      <c r="J40" s="364"/>
      <c r="K40" s="385">
        <f>IF(NOT(ISERROR(MATCH(J40,_xlfn.ANCHORARRAY(E51),0))),I53&amp;"Por favor no seleccionar los criterios de impacto",J40)</f>
        <v>0</v>
      </c>
      <c r="L40" s="355"/>
      <c r="M40" s="385"/>
      <c r="N40" s="388"/>
      <c r="O40" s="106">
        <v>3</v>
      </c>
      <c r="P40" s="166"/>
      <c r="Q40" s="107" t="str">
        <f>IF(OR(R40="Preventivo",R40="Detectivo"),"Probabilidad",IF(R40="Correctivo","Impacto",""))</f>
        <v/>
      </c>
      <c r="R40" s="108"/>
      <c r="S40" s="108"/>
      <c r="T40" s="109" t="str">
        <f t="shared" si="34"/>
        <v/>
      </c>
      <c r="U40" s="108"/>
      <c r="V40" s="108"/>
      <c r="W40" s="108"/>
      <c r="X40" s="110" t="str">
        <f>IFERROR(IF(AND(Q39="Probabilidad",Q40="Probabilidad"),(Z39-(+Z39*T40)),IF(AND(Q39="Impacto",Q40="Probabilidad"),(Z38-(+Z38*T40)),IF(Q40="Impacto",Z39,""))),"")</f>
        <v/>
      </c>
      <c r="Y40" s="111" t="str">
        <f t="shared" si="1"/>
        <v/>
      </c>
      <c r="Z40" s="112" t="str">
        <f t="shared" si="35"/>
        <v/>
      </c>
      <c r="AA40" s="111" t="str">
        <f t="shared" si="3"/>
        <v/>
      </c>
      <c r="AB40" s="112" t="str">
        <f>IFERROR(IF(AND(Q39="Impacto",Q40="Impacto"),(AB39-(+AB39*T40)),IF(AND(Q39="Probabilidad",Q40="Impacto"),(AB38-(+AB38*T40)),IF(Q40="Probabilidad",AB39,""))),"")</f>
        <v/>
      </c>
      <c r="AC40" s="113" t="str">
        <f t="shared" si="36"/>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58"/>
      <c r="B41" s="361"/>
      <c r="C41" s="364"/>
      <c r="D41" s="364"/>
      <c r="E41" s="410"/>
      <c r="F41" s="361"/>
      <c r="G41" s="352"/>
      <c r="H41" s="355"/>
      <c r="I41" s="385"/>
      <c r="J41" s="364"/>
      <c r="K41" s="385">
        <f>IF(NOT(ISERROR(MATCH(J41,_xlfn.ANCHORARRAY(E52),0))),I54&amp;"Por favor no seleccionar los criterios de impacto",J41)</f>
        <v>0</v>
      </c>
      <c r="L41" s="355"/>
      <c r="M41" s="385"/>
      <c r="N41" s="388"/>
      <c r="O41" s="106">
        <v>4</v>
      </c>
      <c r="P41" s="165"/>
      <c r="Q41" s="107" t="str">
        <f t="shared" ref="Q41:Q43" si="37">IF(OR(R41="Preventivo",R41="Detectivo"),"Probabilidad",IF(R41="Correctivo","Impacto",""))</f>
        <v/>
      </c>
      <c r="R41" s="108"/>
      <c r="S41" s="108"/>
      <c r="T41" s="109" t="str">
        <f t="shared" si="34"/>
        <v/>
      </c>
      <c r="U41" s="108"/>
      <c r="V41" s="108"/>
      <c r="W41" s="108"/>
      <c r="X41" s="110" t="str">
        <f t="shared" ref="X41:X43" si="38">IFERROR(IF(AND(Q40="Probabilidad",Q41="Probabilidad"),(Z40-(+Z40*T41)),IF(AND(Q40="Impacto",Q41="Probabilidad"),(Z39-(+Z39*T41)),IF(Q41="Impacto",Z40,""))),"")</f>
        <v/>
      </c>
      <c r="Y41" s="111" t="str">
        <f t="shared" si="1"/>
        <v/>
      </c>
      <c r="Z41" s="112" t="str">
        <f t="shared" si="35"/>
        <v/>
      </c>
      <c r="AA41" s="111" t="str">
        <f t="shared" si="3"/>
        <v/>
      </c>
      <c r="AB41" s="112" t="str">
        <f t="shared" ref="AB41:AB43" si="39">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58"/>
      <c r="B42" s="361"/>
      <c r="C42" s="364"/>
      <c r="D42" s="364"/>
      <c r="E42" s="410"/>
      <c r="F42" s="361"/>
      <c r="G42" s="352"/>
      <c r="H42" s="355"/>
      <c r="I42" s="385"/>
      <c r="J42" s="364"/>
      <c r="K42" s="385">
        <f>IF(NOT(ISERROR(MATCH(J42,_xlfn.ANCHORARRAY(E53),0))),I55&amp;"Por favor no seleccionar los criterios de impacto",J42)</f>
        <v>0</v>
      </c>
      <c r="L42" s="355"/>
      <c r="M42" s="385"/>
      <c r="N42" s="388"/>
      <c r="O42" s="106">
        <v>5</v>
      </c>
      <c r="P42" s="165"/>
      <c r="Q42" s="107" t="str">
        <f t="shared" si="37"/>
        <v/>
      </c>
      <c r="R42" s="108"/>
      <c r="S42" s="108"/>
      <c r="T42" s="109" t="str">
        <f t="shared" si="34"/>
        <v/>
      </c>
      <c r="U42" s="108"/>
      <c r="V42" s="108"/>
      <c r="W42" s="108"/>
      <c r="X42" s="110" t="str">
        <f t="shared" si="38"/>
        <v/>
      </c>
      <c r="Y42" s="111" t="str">
        <f t="shared" si="1"/>
        <v/>
      </c>
      <c r="Z42" s="112" t="str">
        <f t="shared" si="35"/>
        <v/>
      </c>
      <c r="AA42" s="111" t="str">
        <f t="shared" si="3"/>
        <v/>
      </c>
      <c r="AB42" s="112" t="str">
        <f t="shared" si="39"/>
        <v/>
      </c>
      <c r="AC42" s="113" t="str">
        <f t="shared" ref="AC42:AC43" si="40">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59"/>
      <c r="B43" s="362"/>
      <c r="C43" s="365"/>
      <c r="D43" s="365"/>
      <c r="E43" s="411"/>
      <c r="F43" s="362"/>
      <c r="G43" s="353"/>
      <c r="H43" s="356"/>
      <c r="I43" s="386"/>
      <c r="J43" s="365"/>
      <c r="K43" s="386">
        <f>IF(NOT(ISERROR(MATCH(J43,_xlfn.ANCHORARRAY(E54),0))),I56&amp;"Por favor no seleccionar los criterios de impacto",J43)</f>
        <v>0</v>
      </c>
      <c r="L43" s="356"/>
      <c r="M43" s="386"/>
      <c r="N43" s="389"/>
      <c r="O43" s="106">
        <v>6</v>
      </c>
      <c r="P43" s="165"/>
      <c r="Q43" s="107" t="str">
        <f t="shared" si="37"/>
        <v/>
      </c>
      <c r="R43" s="108"/>
      <c r="S43" s="108"/>
      <c r="T43" s="109" t="str">
        <f t="shared" si="34"/>
        <v/>
      </c>
      <c r="U43" s="108"/>
      <c r="V43" s="108"/>
      <c r="W43" s="108"/>
      <c r="X43" s="110" t="str">
        <f t="shared" si="38"/>
        <v/>
      </c>
      <c r="Y43" s="111" t="str">
        <f t="shared" si="1"/>
        <v/>
      </c>
      <c r="Z43" s="112" t="str">
        <f t="shared" si="35"/>
        <v/>
      </c>
      <c r="AA43" s="111" t="str">
        <f t="shared" si="3"/>
        <v/>
      </c>
      <c r="AB43" s="112" t="str">
        <f t="shared" si="39"/>
        <v/>
      </c>
      <c r="AC43" s="113" t="str">
        <f t="shared" si="40"/>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57">
        <v>6</v>
      </c>
      <c r="B44" s="366"/>
      <c r="C44" s="366"/>
      <c r="D44" s="366"/>
      <c r="E44" s="369"/>
      <c r="F44" s="366"/>
      <c r="G44" s="372"/>
      <c r="H44" s="348" t="str">
        <f>IF(G44&lt;=0,"",IF(G44&lt;=2,"Muy Baja",IF(G44&lt;=24,"Baja",IF(G44&lt;=500,"Media",IF(G44&lt;=5000,"Alta","Muy Alta")))))</f>
        <v/>
      </c>
      <c r="I44" s="345" t="str">
        <f>IF(H44="","",IF(H44="Muy Baja",0.2,IF(H44="Baja",0.4,IF(H44="Media",0.6,IF(H44="Alta",0.8,IF(H44="Muy Alta",1,))))))</f>
        <v/>
      </c>
      <c r="J44" s="394"/>
      <c r="K44" s="345">
        <f>IF(NOT(ISERROR(MATCH(J44,'Tabla Impacto'!$B$221:$B$223,0))),'Tabla Impacto'!$F$223&amp;"Por favor no seleccionar los criterios de impacto(Afectación Económica o presupuestal y Pérdida Reputacional)",J44)</f>
        <v>0</v>
      </c>
      <c r="L44" s="348" t="str">
        <f>IF(OR(K44='Tabla Impacto'!$C$11,K44='Tabla Impacto'!$D$11),"Leve",IF(OR(K44='Tabla Impacto'!$C$12,K44='Tabla Impacto'!$D$12),"Menor",IF(OR(K44='Tabla Impacto'!$C$13,K44='Tabla Impacto'!$D$13),"Moderado",IF(OR(K44='Tabla Impacto'!$C$14,K44='Tabla Impacto'!$D$14),"Mayor",IF(OR(K44='Tabla Impacto'!$C$15,K44='Tabla Impacto'!$D$15),"Catastrófico","")))))</f>
        <v/>
      </c>
      <c r="M44" s="345" t="str">
        <f>IF(L44="","",IF(L44="Leve",0.2,IF(L44="Menor",0.4,IF(L44="Moderado",0.6,IF(L44="Mayor",0.8,IF(L44="Catastrófico",1,))))))</f>
        <v/>
      </c>
      <c r="N44" s="375"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65"/>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61"/>
      <c r="AF44" s="115"/>
      <c r="AG44" s="115"/>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58"/>
      <c r="B45" s="367"/>
      <c r="C45" s="367"/>
      <c r="D45" s="367"/>
      <c r="E45" s="370"/>
      <c r="F45" s="367"/>
      <c r="G45" s="373"/>
      <c r="H45" s="349"/>
      <c r="I45" s="346"/>
      <c r="J45" s="395"/>
      <c r="K45" s="346">
        <f>IF(NOT(ISERROR(MATCH(J45,_xlfn.ANCHORARRAY(E56),0))),I58&amp;"Por favor no seleccionar los criterios de impacto",J45)</f>
        <v>0</v>
      </c>
      <c r="L45" s="349"/>
      <c r="M45" s="346"/>
      <c r="N45" s="376"/>
      <c r="O45" s="106">
        <v>2</v>
      </c>
      <c r="P45" s="165"/>
      <c r="Q45" s="107" t="str">
        <f>IF(OR(R45="Preventivo",R45="Detectivo"),"Probabilidad",IF(R45="Correctivo","Impacto",""))</f>
        <v/>
      </c>
      <c r="R45" s="108"/>
      <c r="S45" s="108"/>
      <c r="T45" s="109" t="str">
        <f t="shared" ref="T45:T49" si="41">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42">+X45</f>
        <v/>
      </c>
      <c r="AA45" s="111" t="str">
        <f t="shared" si="3"/>
        <v/>
      </c>
      <c r="AB45" s="112" t="str">
        <f>IFERROR(IF(AND(Q44="Impacto",Q45="Impacto"),(AB44-(+AB44*T45)),IF(Q45="Impacto",(M44-(+M44*T45)),IF(Q45="Probabilidad",AB44,""))),"")</f>
        <v/>
      </c>
      <c r="AC45" s="113" t="str">
        <f t="shared" ref="AC45:AC46" si="43">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58"/>
      <c r="B46" s="367"/>
      <c r="C46" s="367"/>
      <c r="D46" s="367"/>
      <c r="E46" s="370"/>
      <c r="F46" s="367"/>
      <c r="G46" s="373"/>
      <c r="H46" s="349"/>
      <c r="I46" s="346"/>
      <c r="J46" s="395"/>
      <c r="K46" s="346">
        <f>IF(NOT(ISERROR(MATCH(J46,_xlfn.ANCHORARRAY(E57),0))),I59&amp;"Por favor no seleccionar los criterios de impacto",J46)</f>
        <v>0</v>
      </c>
      <c r="L46" s="349"/>
      <c r="M46" s="346"/>
      <c r="N46" s="376"/>
      <c r="O46" s="106">
        <v>3</v>
      </c>
      <c r="P46" s="166"/>
      <c r="Q46" s="107" t="str">
        <f>IF(OR(R46="Preventivo",R46="Detectivo"),"Probabilidad",IF(R46="Correctivo","Impacto",""))</f>
        <v/>
      </c>
      <c r="R46" s="108"/>
      <c r="S46" s="108"/>
      <c r="T46" s="109" t="str">
        <f t="shared" si="41"/>
        <v/>
      </c>
      <c r="U46" s="108"/>
      <c r="V46" s="108"/>
      <c r="W46" s="108"/>
      <c r="X46" s="110" t="str">
        <f>IFERROR(IF(AND(Q45="Probabilidad",Q46="Probabilidad"),(Z45-(+Z45*T46)),IF(AND(Q45="Impacto",Q46="Probabilidad"),(Z44-(+Z44*T46)),IF(Q46="Impacto",Z45,""))),"")</f>
        <v/>
      </c>
      <c r="Y46" s="111" t="str">
        <f t="shared" si="1"/>
        <v/>
      </c>
      <c r="Z46" s="112" t="str">
        <f t="shared" si="42"/>
        <v/>
      </c>
      <c r="AA46" s="111" t="str">
        <f t="shared" si="3"/>
        <v/>
      </c>
      <c r="AB46" s="112" t="str">
        <f>IFERROR(IF(AND(Q45="Impacto",Q46="Impacto"),(AB45-(+AB45*T46)),IF(AND(Q45="Probabilidad",Q46="Impacto"),(AB44-(+AB44*T46)),IF(Q46="Probabilidad",AB45,""))),"")</f>
        <v/>
      </c>
      <c r="AC46" s="113" t="str">
        <f t="shared" si="43"/>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58"/>
      <c r="B47" s="367"/>
      <c r="C47" s="367"/>
      <c r="D47" s="367"/>
      <c r="E47" s="370"/>
      <c r="F47" s="367"/>
      <c r="G47" s="373"/>
      <c r="H47" s="349"/>
      <c r="I47" s="346"/>
      <c r="J47" s="395"/>
      <c r="K47" s="346">
        <f>IF(NOT(ISERROR(MATCH(J47,_xlfn.ANCHORARRAY(E58),0))),I60&amp;"Por favor no seleccionar los criterios de impacto",J47)</f>
        <v>0</v>
      </c>
      <c r="L47" s="349"/>
      <c r="M47" s="346"/>
      <c r="N47" s="376"/>
      <c r="O47" s="106">
        <v>4</v>
      </c>
      <c r="P47" s="165"/>
      <c r="Q47" s="107" t="str">
        <f t="shared" ref="Q47:Q49" si="44">IF(OR(R47="Preventivo",R47="Detectivo"),"Probabilidad",IF(R47="Correctivo","Impacto",""))</f>
        <v/>
      </c>
      <c r="R47" s="108"/>
      <c r="S47" s="108"/>
      <c r="T47" s="109" t="str">
        <f t="shared" si="41"/>
        <v/>
      </c>
      <c r="U47" s="108"/>
      <c r="V47" s="108"/>
      <c r="W47" s="108"/>
      <c r="X47" s="110" t="str">
        <f t="shared" ref="X47:X49" si="45">IFERROR(IF(AND(Q46="Probabilidad",Q47="Probabilidad"),(Z46-(+Z46*T47)),IF(AND(Q46="Impacto",Q47="Probabilidad"),(Z45-(+Z45*T47)),IF(Q47="Impacto",Z46,""))),"")</f>
        <v/>
      </c>
      <c r="Y47" s="111" t="str">
        <f t="shared" si="1"/>
        <v/>
      </c>
      <c r="Z47" s="112" t="str">
        <f t="shared" si="42"/>
        <v/>
      </c>
      <c r="AA47" s="111" t="str">
        <f t="shared" si="3"/>
        <v/>
      </c>
      <c r="AB47" s="112" t="str">
        <f t="shared" ref="AB47:AB49" si="46">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58"/>
      <c r="B48" s="367"/>
      <c r="C48" s="367"/>
      <c r="D48" s="367"/>
      <c r="E48" s="370"/>
      <c r="F48" s="367"/>
      <c r="G48" s="373"/>
      <c r="H48" s="349"/>
      <c r="I48" s="346"/>
      <c r="J48" s="395"/>
      <c r="K48" s="346">
        <f>IF(NOT(ISERROR(MATCH(J48,_xlfn.ANCHORARRAY(E59),0))),I61&amp;"Por favor no seleccionar los criterios de impacto",J48)</f>
        <v>0</v>
      </c>
      <c r="L48" s="349"/>
      <c r="M48" s="346"/>
      <c r="N48" s="376"/>
      <c r="O48" s="106">
        <v>5</v>
      </c>
      <c r="P48" s="165"/>
      <c r="Q48" s="107" t="str">
        <f t="shared" si="44"/>
        <v/>
      </c>
      <c r="R48" s="108"/>
      <c r="S48" s="108"/>
      <c r="T48" s="109" t="str">
        <f t="shared" si="41"/>
        <v/>
      </c>
      <c r="U48" s="108"/>
      <c r="V48" s="108"/>
      <c r="W48" s="108"/>
      <c r="X48" s="110" t="str">
        <f t="shared" si="45"/>
        <v/>
      </c>
      <c r="Y48" s="111" t="str">
        <f t="shared" si="1"/>
        <v/>
      </c>
      <c r="Z48" s="112" t="str">
        <f t="shared" si="42"/>
        <v/>
      </c>
      <c r="AA48" s="111" t="str">
        <f t="shared" si="3"/>
        <v/>
      </c>
      <c r="AB48" s="112" t="str">
        <f t="shared" si="46"/>
        <v/>
      </c>
      <c r="AC48" s="113" t="str">
        <f t="shared" ref="AC48" si="47">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59"/>
      <c r="B49" s="368"/>
      <c r="C49" s="368"/>
      <c r="D49" s="368"/>
      <c r="E49" s="371"/>
      <c r="F49" s="368"/>
      <c r="G49" s="374"/>
      <c r="H49" s="350"/>
      <c r="I49" s="347"/>
      <c r="J49" s="396"/>
      <c r="K49" s="347">
        <f>IF(NOT(ISERROR(MATCH(J49,_xlfn.ANCHORARRAY(E60),0))),I62&amp;"Por favor no seleccionar los criterios de impacto",J49)</f>
        <v>0</v>
      </c>
      <c r="L49" s="350"/>
      <c r="M49" s="347"/>
      <c r="N49" s="377"/>
      <c r="O49" s="106">
        <v>6</v>
      </c>
      <c r="P49" s="165"/>
      <c r="Q49" s="107" t="str">
        <f t="shared" si="44"/>
        <v/>
      </c>
      <c r="R49" s="108"/>
      <c r="S49" s="108"/>
      <c r="T49" s="109" t="str">
        <f t="shared" si="41"/>
        <v/>
      </c>
      <c r="U49" s="108"/>
      <c r="V49" s="108"/>
      <c r="W49" s="108"/>
      <c r="X49" s="110" t="str">
        <f t="shared" si="45"/>
        <v/>
      </c>
      <c r="Y49" s="111" t="str">
        <f t="shared" si="1"/>
        <v/>
      </c>
      <c r="Z49" s="112" t="str">
        <f t="shared" si="42"/>
        <v/>
      </c>
      <c r="AA49" s="111" t="str">
        <f>IFERROR(IF(AB49="","",IF(AB49&lt;=0.2,"Leve",IF(AB49&lt;=0.4,"Menor",IF(AB49&lt;=0.6,"Moderado",IF(AB49&lt;=0.8,"Mayor","Catastrófico"))))),"")</f>
        <v/>
      </c>
      <c r="AB49" s="112" t="str">
        <f t="shared" si="46"/>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57">
        <v>7</v>
      </c>
      <c r="B50" s="366"/>
      <c r="C50" s="366"/>
      <c r="D50" s="366"/>
      <c r="E50" s="369"/>
      <c r="F50" s="366"/>
      <c r="G50" s="372"/>
      <c r="H50" s="348" t="str">
        <f>IF(G50&lt;=0,"",IF(G50&lt;=2,"Muy Baja",IF(G50&lt;=24,"Baja",IF(G50&lt;=500,"Media",IF(G50&lt;=5000,"Alta","Muy Alta")))))</f>
        <v/>
      </c>
      <c r="I50" s="345" t="str">
        <f>IF(H50="","",IF(H50="Muy Baja",0.2,IF(H50="Baja",0.4,IF(H50="Media",0.6,IF(H50="Alta",0.8,IF(H50="Muy Alta",1,))))))</f>
        <v/>
      </c>
      <c r="J50" s="394"/>
      <c r="K50" s="345">
        <f>IF(NOT(ISERROR(MATCH(J50,'Tabla Impacto'!$B$221:$B$223,0))),'Tabla Impacto'!$F$223&amp;"Por favor no seleccionar los criterios de impacto(Afectación Económica o presupuestal y Pérdida Reputacional)",J50)</f>
        <v>0</v>
      </c>
      <c r="L50" s="348" t="str">
        <f>IF(OR(K50='Tabla Impacto'!$C$11,K50='Tabla Impacto'!$D$11),"Leve",IF(OR(K50='Tabla Impacto'!$C$12,K50='Tabla Impacto'!$D$12),"Menor",IF(OR(K50='Tabla Impacto'!$C$13,K50='Tabla Impacto'!$D$13),"Moderado",IF(OR(K50='Tabla Impacto'!$C$14,K50='Tabla Impacto'!$D$14),"Mayor",IF(OR(K50='Tabla Impacto'!$C$15,K50='Tabla Impacto'!$D$15),"Catastrófico","")))))</f>
        <v/>
      </c>
      <c r="M50" s="345" t="str">
        <f>IF(L50="","",IF(L50="Leve",0.2,IF(L50="Menor",0.4,IF(L50="Moderado",0.6,IF(L50="Mayor",0.8,IF(L50="Catastrófico",1,))))))</f>
        <v/>
      </c>
      <c r="N50" s="375"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65"/>
      <c r="Q50" s="151" t="str">
        <f>IF(OR(R50="Preventivo",R50="Detectivo"),"Probabilidad",IF(R50="Correctivo","Impacto",""))</f>
        <v/>
      </c>
      <c r="R50" s="155"/>
      <c r="S50" s="155"/>
      <c r="T50" s="156" t="str">
        <f>IF(AND(R50="Preventivo",S50="Automático"),"50%",IF(AND(R50="Preventivo",S50="Manual"),"40%",IF(AND(R50="Detectivo",S50="Automático"),"40%",IF(AND(R50="Detectivo",S50="Manual"),"30%",IF(AND(R50="Correctivo",S50="Automático"),"35%",IF(AND(R50="Correctivo",S50="Manual"),"25%",""))))))</f>
        <v/>
      </c>
      <c r="U50" s="155"/>
      <c r="V50" s="155"/>
      <c r="W50" s="155"/>
      <c r="X50" s="148" t="str">
        <f>IFERROR(IF(Q50="Probabilidad",(I50-(+I50*T50)),IF(Q50="Impacto",I50,"")),"")</f>
        <v/>
      </c>
      <c r="Y50" s="157" t="str">
        <f>IFERROR(IF(X50="","",IF(X50&lt;=0.2,"Muy Baja",IF(X50&lt;=0.4,"Baja",IF(X50&lt;=0.6,"Media",IF(X50&lt;=0.8,"Alta","Muy Alta"))))),"")</f>
        <v/>
      </c>
      <c r="Z50" s="158" t="str">
        <f>+X50</f>
        <v/>
      </c>
      <c r="AA50" s="157" t="str">
        <f>IFERROR(IF(AB50="","",IF(AB50&lt;=0.2,"Leve",IF(AB50&lt;=0.4,"Menor",IF(AB50&lt;=0.6,"Moderado",IF(AB50&lt;=0.8,"Mayor","Catastrófico"))))),"")</f>
        <v/>
      </c>
      <c r="AB50" s="158" t="str">
        <f>IFERROR(IF(Q50="Impacto",(M50-(+M50*T50)),IF(Q50="Probabilidad",M50,"")),"")</f>
        <v/>
      </c>
      <c r="AC50" s="159"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0"/>
      <c r="AE50" s="115"/>
      <c r="AF50" s="115"/>
      <c r="AG50" s="115"/>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58"/>
      <c r="B51" s="367"/>
      <c r="C51" s="367"/>
      <c r="D51" s="367"/>
      <c r="E51" s="370"/>
      <c r="F51" s="367"/>
      <c r="G51" s="373"/>
      <c r="H51" s="349"/>
      <c r="I51" s="346"/>
      <c r="J51" s="395"/>
      <c r="K51" s="346">
        <f>IF(NOT(ISERROR(MATCH(J51,_xlfn.ANCHORARRAY(E62),0))),I64&amp;"Por favor no seleccionar los criterios de impacto",J51)</f>
        <v>0</v>
      </c>
      <c r="L51" s="349"/>
      <c r="M51" s="346"/>
      <c r="N51" s="376"/>
      <c r="O51" s="106">
        <v>2</v>
      </c>
      <c r="P51" s="165"/>
      <c r="Q51" s="151" t="str">
        <f>IF(OR(R51="Preventivo",R51="Detectivo"),"Probabilidad",IF(R51="Correctivo","Impacto",""))</f>
        <v/>
      </c>
      <c r="R51" s="155"/>
      <c r="S51" s="155"/>
      <c r="T51" s="156" t="str">
        <f t="shared" ref="T51:T55" si="48">IF(AND(R51="Preventivo",S51="Automático"),"50%",IF(AND(R51="Preventivo",S51="Manual"),"40%",IF(AND(R51="Detectivo",S51="Automático"),"40%",IF(AND(R51="Detectivo",S51="Manual"),"30%",IF(AND(R51="Correctivo",S51="Automático"),"35%",IF(AND(R51="Correctivo",S51="Manual"),"25%",""))))))</f>
        <v/>
      </c>
      <c r="U51" s="155"/>
      <c r="V51" s="155"/>
      <c r="W51" s="155"/>
      <c r="X51" s="148" t="str">
        <f>IFERROR(IF(AND(Q50="Probabilidad",Q51="Probabilidad"),(Z50-(+Z50*T51)),IF(Q51="Probabilidad",(I50-(+I50*T51)),IF(Q51="Impacto",Z50,""))),"")</f>
        <v/>
      </c>
      <c r="Y51" s="157" t="str">
        <f t="shared" si="1"/>
        <v/>
      </c>
      <c r="Z51" s="158" t="str">
        <f t="shared" ref="Z51:Z55" si="49">+X51</f>
        <v/>
      </c>
      <c r="AA51" s="157" t="str">
        <f t="shared" si="3"/>
        <v/>
      </c>
      <c r="AB51" s="158" t="str">
        <f>IFERROR(IF(AND(Q50="Impacto",Q51="Impacto"),(AB50-(+AB50*T51)),IF(Q51="Impacto",(M50-(+M50*T51)),IF(Q51="Probabilidad",AB50,""))),"")</f>
        <v/>
      </c>
      <c r="AC51" s="159" t="str">
        <f t="shared" ref="AC51:AC52" si="50">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0"/>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58"/>
      <c r="B52" s="367"/>
      <c r="C52" s="367"/>
      <c r="D52" s="367"/>
      <c r="E52" s="370"/>
      <c r="F52" s="367"/>
      <c r="G52" s="373"/>
      <c r="H52" s="349"/>
      <c r="I52" s="346"/>
      <c r="J52" s="395"/>
      <c r="K52" s="346">
        <f>IF(NOT(ISERROR(MATCH(J52,_xlfn.ANCHORARRAY(E63),0))),I65&amp;"Por favor no seleccionar los criterios de impacto",J52)</f>
        <v>0</v>
      </c>
      <c r="L52" s="349"/>
      <c r="M52" s="346"/>
      <c r="N52" s="376"/>
      <c r="O52" s="106">
        <v>3</v>
      </c>
      <c r="P52" s="166"/>
      <c r="Q52" s="107" t="str">
        <f>IF(OR(R52="Preventivo",R52="Detectivo"),"Probabilidad",IF(R52="Correctivo","Impacto",""))</f>
        <v/>
      </c>
      <c r="R52" s="108"/>
      <c r="S52" s="108"/>
      <c r="T52" s="109" t="str">
        <f t="shared" si="48"/>
        <v/>
      </c>
      <c r="U52" s="108"/>
      <c r="V52" s="108"/>
      <c r="W52" s="108"/>
      <c r="X52" s="110" t="str">
        <f>IFERROR(IF(AND(Q51="Probabilidad",Q52="Probabilidad"),(Z51-(+Z51*T52)),IF(AND(Q51="Impacto",Q52="Probabilidad"),(Z50-(+Z50*T52)),IF(Q52="Impacto",Z51,""))),"")</f>
        <v/>
      </c>
      <c r="Y52" s="111" t="str">
        <f t="shared" si="1"/>
        <v/>
      </c>
      <c r="Z52" s="112" t="str">
        <f t="shared" si="49"/>
        <v/>
      </c>
      <c r="AA52" s="111" t="str">
        <f t="shared" si="3"/>
        <v/>
      </c>
      <c r="AB52" s="112" t="str">
        <f>IFERROR(IF(AND(Q51="Impacto",Q52="Impacto"),(AB51-(+AB51*T52)),IF(AND(Q51="Probabilidad",Q52="Impacto"),(AB50-(+AB50*T52)),IF(Q52="Probabilidad",AB51,""))),"")</f>
        <v/>
      </c>
      <c r="AC52" s="113" t="str">
        <f t="shared" si="50"/>
        <v/>
      </c>
      <c r="AD52" s="114"/>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58"/>
      <c r="B53" s="367"/>
      <c r="C53" s="367"/>
      <c r="D53" s="367"/>
      <c r="E53" s="370"/>
      <c r="F53" s="367"/>
      <c r="G53" s="373"/>
      <c r="H53" s="349"/>
      <c r="I53" s="346"/>
      <c r="J53" s="395"/>
      <c r="K53" s="346">
        <f>IF(NOT(ISERROR(MATCH(J53,_xlfn.ANCHORARRAY(E64),0))),I66&amp;"Por favor no seleccionar los criterios de impacto",J53)</f>
        <v>0</v>
      </c>
      <c r="L53" s="349"/>
      <c r="M53" s="346"/>
      <c r="N53" s="376"/>
      <c r="O53" s="106">
        <v>4</v>
      </c>
      <c r="P53" s="165"/>
      <c r="Q53" s="107" t="str">
        <f t="shared" ref="Q53:Q55" si="51">IF(OR(R53="Preventivo",R53="Detectivo"),"Probabilidad",IF(R53="Correctivo","Impacto",""))</f>
        <v/>
      </c>
      <c r="R53" s="108"/>
      <c r="S53" s="108"/>
      <c r="T53" s="109" t="str">
        <f t="shared" si="48"/>
        <v/>
      </c>
      <c r="U53" s="108"/>
      <c r="V53" s="108"/>
      <c r="W53" s="108"/>
      <c r="X53" s="110" t="str">
        <f t="shared" ref="X53:X55" si="52">IFERROR(IF(AND(Q52="Probabilidad",Q53="Probabilidad"),(Z52-(+Z52*T53)),IF(AND(Q52="Impacto",Q53="Probabilidad"),(Z51-(+Z51*T53)),IF(Q53="Impacto",Z52,""))),"")</f>
        <v/>
      </c>
      <c r="Y53" s="111" t="str">
        <f t="shared" si="1"/>
        <v/>
      </c>
      <c r="Z53" s="112" t="str">
        <f t="shared" si="49"/>
        <v/>
      </c>
      <c r="AA53" s="111" t="str">
        <f t="shared" si="3"/>
        <v/>
      </c>
      <c r="AB53" s="112" t="str">
        <f t="shared" ref="AB53:AB55" si="53">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58"/>
      <c r="B54" s="367"/>
      <c r="C54" s="367"/>
      <c r="D54" s="367"/>
      <c r="E54" s="370"/>
      <c r="F54" s="367"/>
      <c r="G54" s="373"/>
      <c r="H54" s="349"/>
      <c r="I54" s="346"/>
      <c r="J54" s="395"/>
      <c r="K54" s="346">
        <f>IF(NOT(ISERROR(MATCH(J54,_xlfn.ANCHORARRAY(E65),0))),I67&amp;"Por favor no seleccionar los criterios de impacto",J54)</f>
        <v>0</v>
      </c>
      <c r="L54" s="349"/>
      <c r="M54" s="346"/>
      <c r="N54" s="376"/>
      <c r="O54" s="106">
        <v>5</v>
      </c>
      <c r="P54" s="165"/>
      <c r="Q54" s="107" t="str">
        <f t="shared" si="51"/>
        <v/>
      </c>
      <c r="R54" s="108"/>
      <c r="S54" s="108"/>
      <c r="T54" s="109" t="str">
        <f t="shared" si="48"/>
        <v/>
      </c>
      <c r="U54" s="108"/>
      <c r="V54" s="108"/>
      <c r="W54" s="108"/>
      <c r="X54" s="110" t="str">
        <f t="shared" si="52"/>
        <v/>
      </c>
      <c r="Y54" s="111" t="str">
        <f t="shared" si="1"/>
        <v/>
      </c>
      <c r="Z54" s="112" t="str">
        <f t="shared" si="49"/>
        <v/>
      </c>
      <c r="AA54" s="111" t="str">
        <f t="shared" si="3"/>
        <v/>
      </c>
      <c r="AB54" s="112" t="str">
        <f t="shared" si="53"/>
        <v/>
      </c>
      <c r="AC54" s="113" t="str">
        <f t="shared" ref="AC54:AC55" si="54">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59"/>
      <c r="B55" s="368"/>
      <c r="C55" s="368"/>
      <c r="D55" s="368"/>
      <c r="E55" s="371"/>
      <c r="F55" s="368"/>
      <c r="G55" s="374"/>
      <c r="H55" s="350"/>
      <c r="I55" s="347"/>
      <c r="J55" s="396"/>
      <c r="K55" s="347">
        <f>IF(NOT(ISERROR(MATCH(J55,_xlfn.ANCHORARRAY(E66),0))),I68&amp;"Por favor no seleccionar los criterios de impacto",J55)</f>
        <v>0</v>
      </c>
      <c r="L55" s="350"/>
      <c r="M55" s="347"/>
      <c r="N55" s="377"/>
      <c r="O55" s="106">
        <v>6</v>
      </c>
      <c r="P55" s="165"/>
      <c r="Q55" s="107" t="str">
        <f t="shared" si="51"/>
        <v/>
      </c>
      <c r="R55" s="108"/>
      <c r="S55" s="108"/>
      <c r="T55" s="109" t="str">
        <f t="shared" si="48"/>
        <v/>
      </c>
      <c r="U55" s="108"/>
      <c r="V55" s="108"/>
      <c r="W55" s="108"/>
      <c r="X55" s="110" t="str">
        <f t="shared" si="52"/>
        <v/>
      </c>
      <c r="Y55" s="111" t="str">
        <f t="shared" si="1"/>
        <v/>
      </c>
      <c r="Z55" s="112" t="str">
        <f t="shared" si="49"/>
        <v/>
      </c>
      <c r="AA55" s="111" t="str">
        <f t="shared" si="3"/>
        <v/>
      </c>
      <c r="AB55" s="112" t="str">
        <f t="shared" si="53"/>
        <v/>
      </c>
      <c r="AC55" s="113" t="str">
        <f t="shared" si="54"/>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57">
        <v>8</v>
      </c>
      <c r="B56" s="366"/>
      <c r="C56" s="366"/>
      <c r="D56" s="366"/>
      <c r="E56" s="369"/>
      <c r="F56" s="366"/>
      <c r="G56" s="372"/>
      <c r="H56" s="348" t="str">
        <f>IF(G56&lt;=0,"",IF(G56&lt;=2,"Muy Baja",IF(G56&lt;=24,"Baja",IF(G56&lt;=500,"Media",IF(G56&lt;=5000,"Alta","Muy Alta")))))</f>
        <v/>
      </c>
      <c r="I56" s="345" t="str">
        <f>IF(H56="","",IF(H56="Muy Baja",0.2,IF(H56="Baja",0.4,IF(H56="Media",0.6,IF(H56="Alta",0.8,IF(H56="Muy Alta",1,))))))</f>
        <v/>
      </c>
      <c r="J56" s="394"/>
      <c r="K56" s="345">
        <f>IF(NOT(ISERROR(MATCH(J56,'Tabla Impacto'!$B$221:$B$223,0))),'Tabla Impacto'!$F$223&amp;"Por favor no seleccionar los criterios de impacto(Afectación Económica o presupuestal y Pérdida Reputacional)",J56)</f>
        <v>0</v>
      </c>
      <c r="L56" s="348" t="str">
        <f>IF(OR(K56='Tabla Impacto'!$C$11,K56='Tabla Impacto'!$D$11),"Leve",IF(OR(K56='Tabla Impacto'!$C$12,K56='Tabla Impacto'!$D$12),"Menor",IF(OR(K56='Tabla Impacto'!$C$13,K56='Tabla Impacto'!$D$13),"Moderado",IF(OR(K56='Tabla Impacto'!$C$14,K56='Tabla Impacto'!$D$14),"Mayor",IF(OR(K56='Tabla Impacto'!$C$15,K56='Tabla Impacto'!$D$15),"Catastrófico","")))))</f>
        <v/>
      </c>
      <c r="M56" s="345" t="str">
        <f>IF(L56="","",IF(L56="Leve",0.2,IF(L56="Menor",0.4,IF(L56="Moderado",0.6,IF(L56="Mayor",0.8,IF(L56="Catastrófico",1,))))))</f>
        <v/>
      </c>
      <c r="N56" s="375"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65"/>
      <c r="Q56" s="151"/>
      <c r="R56" s="155"/>
      <c r="S56" s="155"/>
      <c r="T56" s="156" t="str">
        <f>IF(AND(R56="Preventivo",S56="Automático"),"50%",IF(AND(R56="Preventivo",S56="Manual"),"40%",IF(AND(R56="Detectivo",S56="Automático"),"40%",IF(AND(R56="Detectivo",S56="Manual"),"30%",IF(AND(R56="Correctivo",S56="Automático"),"35%",IF(AND(R56="Correctivo",S56="Manual"),"25%",""))))))</f>
        <v/>
      </c>
      <c r="U56" s="155"/>
      <c r="V56" s="155"/>
      <c r="W56" s="155"/>
      <c r="X56" s="148" t="str">
        <f>IFERROR(IF(Q56="Probabilidad",(I56-(+I56*T56)),IF(Q56="Impacto",I56,"")),"")</f>
        <v/>
      </c>
      <c r="Y56" s="157" t="str">
        <f>IFERROR(IF(X56="","",IF(X56&lt;=0.2,"Muy Baja",IF(X56&lt;=0.4,"Baja",IF(X56&lt;=0.6,"Media",IF(X56&lt;=0.8,"Alta","Muy Alta"))))),"")</f>
        <v/>
      </c>
      <c r="Z56" s="158" t="str">
        <f>+X56</f>
        <v/>
      </c>
      <c r="AA56" s="157" t="str">
        <f>IFERROR(IF(AB56="","",IF(AB56&lt;=0.2,"Leve",IF(AB56&lt;=0.4,"Menor",IF(AB56&lt;=0.6,"Moderado",IF(AB56&lt;=0.8,"Mayor","Catastrófico"))))),"")</f>
        <v/>
      </c>
      <c r="AB56" s="158" t="str">
        <f>IFERROR(IF(Q56="Impacto",(M56-(+M56*T56)),IF(Q56="Probabilidad",M56,"")),"")</f>
        <v/>
      </c>
      <c r="AC56" s="159"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60"/>
      <c r="AE56" s="115"/>
      <c r="AF56" s="115"/>
      <c r="AG56" s="115"/>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58"/>
      <c r="B57" s="367"/>
      <c r="C57" s="367"/>
      <c r="D57" s="367"/>
      <c r="E57" s="370"/>
      <c r="F57" s="367"/>
      <c r="G57" s="373"/>
      <c r="H57" s="349"/>
      <c r="I57" s="346"/>
      <c r="J57" s="395"/>
      <c r="K57" s="346">
        <f>IF(NOT(ISERROR(MATCH(J57,_xlfn.ANCHORARRAY(E68),0))),I70&amp;"Por favor no seleccionar los criterios de impacto",J57)</f>
        <v>0</v>
      </c>
      <c r="L57" s="349"/>
      <c r="M57" s="346"/>
      <c r="N57" s="376"/>
      <c r="O57" s="106">
        <v>2</v>
      </c>
      <c r="P57" s="165"/>
      <c r="Q57" s="107" t="str">
        <f>IF(OR(R57="Preventivo",R57="Detectivo"),"Probabilidad",IF(R57="Correctivo","Impacto",""))</f>
        <v/>
      </c>
      <c r="R57" s="108"/>
      <c r="S57" s="108"/>
      <c r="T57" s="109" t="str">
        <f t="shared" ref="T57:T61" si="55">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56">+X57</f>
        <v/>
      </c>
      <c r="AA57" s="111" t="str">
        <f t="shared" si="3"/>
        <v/>
      </c>
      <c r="AB57" s="112" t="str">
        <f>IFERROR(IF(AND(Q56="Impacto",Q57="Impacto"),(AB56-(+AB56*T57)),IF(Q57="Impacto",(M56-(+M56*T57)),IF(Q57="Probabilidad",AB56,""))),"")</f>
        <v/>
      </c>
      <c r="AC57" s="113" t="str">
        <f t="shared" ref="AC57:AC58" si="57">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58"/>
      <c r="B58" s="367"/>
      <c r="C58" s="367"/>
      <c r="D58" s="367"/>
      <c r="E58" s="370"/>
      <c r="F58" s="367"/>
      <c r="G58" s="373"/>
      <c r="H58" s="349"/>
      <c r="I58" s="346"/>
      <c r="J58" s="395"/>
      <c r="K58" s="346">
        <f>IF(NOT(ISERROR(MATCH(J58,_xlfn.ANCHORARRAY(E69),0))),I71&amp;"Por favor no seleccionar los criterios de impacto",J58)</f>
        <v>0</v>
      </c>
      <c r="L58" s="349"/>
      <c r="M58" s="346"/>
      <c r="N58" s="376"/>
      <c r="O58" s="106">
        <v>3</v>
      </c>
      <c r="P58" s="166"/>
      <c r="Q58" s="107" t="str">
        <f>IF(OR(R58="Preventivo",R58="Detectivo"),"Probabilidad",IF(R58="Correctivo","Impacto",""))</f>
        <v/>
      </c>
      <c r="R58" s="108"/>
      <c r="S58" s="108"/>
      <c r="T58" s="109" t="str">
        <f t="shared" si="55"/>
        <v/>
      </c>
      <c r="U58" s="108"/>
      <c r="V58" s="108"/>
      <c r="W58" s="108"/>
      <c r="X58" s="110" t="str">
        <f>IFERROR(IF(AND(Q57="Probabilidad",Q58="Probabilidad"),(Z57-(+Z57*T58)),IF(AND(Q57="Impacto",Q58="Probabilidad"),(Z56-(+Z56*T58)),IF(Q58="Impacto",Z57,""))),"")</f>
        <v/>
      </c>
      <c r="Y58" s="111" t="str">
        <f t="shared" si="1"/>
        <v/>
      </c>
      <c r="Z58" s="112" t="str">
        <f t="shared" si="56"/>
        <v/>
      </c>
      <c r="AA58" s="111" t="str">
        <f t="shared" si="3"/>
        <v/>
      </c>
      <c r="AB58" s="112" t="str">
        <f>IFERROR(IF(AND(Q57="Impacto",Q58="Impacto"),(AB57-(+AB57*T58)),IF(AND(Q57="Probabilidad",Q58="Impacto"),(AB56-(+AB56*T58)),IF(Q58="Probabilidad",AB57,""))),"")</f>
        <v/>
      </c>
      <c r="AC58" s="113" t="str">
        <f t="shared" si="57"/>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58"/>
      <c r="B59" s="367"/>
      <c r="C59" s="367"/>
      <c r="D59" s="367"/>
      <c r="E59" s="370"/>
      <c r="F59" s="367"/>
      <c r="G59" s="373"/>
      <c r="H59" s="349"/>
      <c r="I59" s="346"/>
      <c r="J59" s="395"/>
      <c r="K59" s="346">
        <f>IF(NOT(ISERROR(MATCH(J59,_xlfn.ANCHORARRAY(E70),0))),I72&amp;"Por favor no seleccionar los criterios de impacto",J59)</f>
        <v>0</v>
      </c>
      <c r="L59" s="349"/>
      <c r="M59" s="346"/>
      <c r="N59" s="376"/>
      <c r="O59" s="106">
        <v>4</v>
      </c>
      <c r="P59" s="165"/>
      <c r="Q59" s="107" t="str">
        <f t="shared" ref="Q59:Q61" si="58">IF(OR(R59="Preventivo",R59="Detectivo"),"Probabilidad",IF(R59="Correctivo","Impacto",""))</f>
        <v/>
      </c>
      <c r="R59" s="108"/>
      <c r="S59" s="108"/>
      <c r="T59" s="109" t="str">
        <f t="shared" si="55"/>
        <v/>
      </c>
      <c r="U59" s="108"/>
      <c r="V59" s="108"/>
      <c r="W59" s="108"/>
      <c r="X59" s="110" t="str">
        <f t="shared" ref="X59:X61" si="59">IFERROR(IF(AND(Q58="Probabilidad",Q59="Probabilidad"),(Z58-(+Z58*T59)),IF(AND(Q58="Impacto",Q59="Probabilidad"),(Z57-(+Z57*T59)),IF(Q59="Impacto",Z58,""))),"")</f>
        <v/>
      </c>
      <c r="Y59" s="111" t="str">
        <f t="shared" si="1"/>
        <v/>
      </c>
      <c r="Z59" s="112" t="str">
        <f t="shared" si="56"/>
        <v/>
      </c>
      <c r="AA59" s="111" t="str">
        <f t="shared" si="3"/>
        <v/>
      </c>
      <c r="AB59" s="112" t="str">
        <f t="shared" ref="AB59:AB61" si="60">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58"/>
      <c r="B60" s="367"/>
      <c r="C60" s="367"/>
      <c r="D60" s="367"/>
      <c r="E60" s="370"/>
      <c r="F60" s="367"/>
      <c r="G60" s="373"/>
      <c r="H60" s="349"/>
      <c r="I60" s="346"/>
      <c r="J60" s="395"/>
      <c r="K60" s="346">
        <f>IF(NOT(ISERROR(MATCH(J60,_xlfn.ANCHORARRAY(E71),0))),I73&amp;"Por favor no seleccionar los criterios de impacto",J60)</f>
        <v>0</v>
      </c>
      <c r="L60" s="349"/>
      <c r="M60" s="346"/>
      <c r="N60" s="376"/>
      <c r="O60" s="106">
        <v>5</v>
      </c>
      <c r="P60" s="165"/>
      <c r="Q60" s="107" t="str">
        <f t="shared" si="58"/>
        <v/>
      </c>
      <c r="R60" s="108"/>
      <c r="S60" s="108"/>
      <c r="T60" s="109" t="str">
        <f t="shared" si="55"/>
        <v/>
      </c>
      <c r="U60" s="108"/>
      <c r="V60" s="108"/>
      <c r="W60" s="108"/>
      <c r="X60" s="110" t="str">
        <f t="shared" si="59"/>
        <v/>
      </c>
      <c r="Y60" s="111" t="str">
        <f t="shared" si="1"/>
        <v/>
      </c>
      <c r="Z60" s="112" t="str">
        <f t="shared" si="56"/>
        <v/>
      </c>
      <c r="AA60" s="111" t="str">
        <f t="shared" si="3"/>
        <v/>
      </c>
      <c r="AB60" s="112" t="str">
        <f t="shared" si="60"/>
        <v/>
      </c>
      <c r="AC60" s="113" t="str">
        <f t="shared" ref="AC60:AC61" si="61">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59"/>
      <c r="B61" s="368"/>
      <c r="C61" s="368"/>
      <c r="D61" s="368"/>
      <c r="E61" s="371"/>
      <c r="F61" s="368"/>
      <c r="G61" s="374"/>
      <c r="H61" s="350"/>
      <c r="I61" s="347"/>
      <c r="J61" s="396"/>
      <c r="K61" s="347">
        <f>IF(NOT(ISERROR(MATCH(J61,_xlfn.ANCHORARRAY(E72),0))),I74&amp;"Por favor no seleccionar los criterios de impacto",J61)</f>
        <v>0</v>
      </c>
      <c r="L61" s="350"/>
      <c r="M61" s="347"/>
      <c r="N61" s="377"/>
      <c r="O61" s="106">
        <v>6</v>
      </c>
      <c r="P61" s="165"/>
      <c r="Q61" s="107" t="str">
        <f t="shared" si="58"/>
        <v/>
      </c>
      <c r="R61" s="108"/>
      <c r="S61" s="108"/>
      <c r="T61" s="109" t="str">
        <f t="shared" si="55"/>
        <v/>
      </c>
      <c r="U61" s="108"/>
      <c r="V61" s="108"/>
      <c r="W61" s="108"/>
      <c r="X61" s="110" t="str">
        <f t="shared" si="59"/>
        <v/>
      </c>
      <c r="Y61" s="111" t="str">
        <f t="shared" si="1"/>
        <v/>
      </c>
      <c r="Z61" s="112" t="str">
        <f t="shared" si="56"/>
        <v/>
      </c>
      <c r="AA61" s="111" t="str">
        <f t="shared" si="3"/>
        <v/>
      </c>
      <c r="AB61" s="112" t="str">
        <f t="shared" si="60"/>
        <v/>
      </c>
      <c r="AC61" s="113" t="str">
        <f t="shared" si="61"/>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57">
        <v>9</v>
      </c>
      <c r="B62" s="366"/>
      <c r="C62" s="366"/>
      <c r="D62" s="366"/>
      <c r="E62" s="369"/>
      <c r="F62" s="366"/>
      <c r="G62" s="372"/>
      <c r="H62" s="348" t="str">
        <f>IF(G62&lt;=0,"",IF(G62&lt;=2,"Muy Baja",IF(G62&lt;=24,"Baja",IF(G62&lt;=500,"Media",IF(G62&lt;=5000,"Alta","Muy Alta")))))</f>
        <v/>
      </c>
      <c r="I62" s="345" t="str">
        <f>IF(H62="","",IF(H62="Muy Baja",0.2,IF(H62="Baja",0.4,IF(H62="Media",0.6,IF(H62="Alta",0.8,IF(H62="Muy Alta",1,))))))</f>
        <v/>
      </c>
      <c r="J62" s="394"/>
      <c r="K62" s="345">
        <f>IF(NOT(ISERROR(MATCH(J62,'Tabla Impacto'!$B$221:$B$223,0))),'Tabla Impacto'!$F$223&amp;"Por favor no seleccionar los criterios de impacto(Afectación Económica o presupuestal y Pérdida Reputacional)",J62)</f>
        <v>0</v>
      </c>
      <c r="L62" s="348" t="str">
        <f>IF(OR(K62='Tabla Impacto'!$C$11,K62='Tabla Impacto'!$D$11),"Leve",IF(OR(K62='Tabla Impacto'!$C$12,K62='Tabla Impacto'!$D$12),"Menor",IF(OR(K62='Tabla Impacto'!$C$13,K62='Tabla Impacto'!$D$13),"Moderado",IF(OR(K62='Tabla Impacto'!$C$14,K62='Tabla Impacto'!$D$14),"Mayor",IF(OR(K62='Tabla Impacto'!$C$15,K62='Tabla Impacto'!$D$15),"Catastrófico","")))))</f>
        <v/>
      </c>
      <c r="M62" s="345" t="str">
        <f>IF(L62="","",IF(L62="Leve",0.2,IF(L62="Menor",0.4,IF(L62="Moderado",0.6,IF(L62="Mayor",0.8,IF(L62="Catastrófico",1,))))))</f>
        <v/>
      </c>
      <c r="N62" s="375"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65"/>
      <c r="Q62" s="151"/>
      <c r="R62" s="155"/>
      <c r="S62" s="155"/>
      <c r="T62" s="156" t="str">
        <f>IF(AND(R62="Preventivo",S62="Automático"),"50%",IF(AND(R62="Preventivo",S62="Manual"),"40%",IF(AND(R62="Detectivo",S62="Automático"),"40%",IF(AND(R62="Detectivo",S62="Manual"),"30%",IF(AND(R62="Correctivo",S62="Automático"),"35%",IF(AND(R62="Correctivo",S62="Manual"),"25%",""))))))</f>
        <v/>
      </c>
      <c r="U62" s="155"/>
      <c r="V62" s="155"/>
      <c r="W62" s="155"/>
      <c r="X62" s="148" t="str">
        <f>IFERROR(IF(Q62="Probabilidad",(I62-(+I62*T62)),IF(Q62="Impacto",I62,"")),"")</f>
        <v/>
      </c>
      <c r="Y62" s="157" t="str">
        <f>IFERROR(IF(X62="","",IF(X62&lt;=0.2,"Muy Baja",IF(X62&lt;=0.4,"Baja",IF(X62&lt;=0.6,"Media",IF(X62&lt;=0.8,"Alta","Muy Alta"))))),"")</f>
        <v/>
      </c>
      <c r="Z62" s="158" t="str">
        <f>+X62</f>
        <v/>
      </c>
      <c r="AA62" s="157" t="str">
        <f>IFERROR(IF(AB62="","",IF(AB62&lt;=0.2,"Leve",IF(AB62&lt;=0.4,"Menor",IF(AB62&lt;=0.6,"Moderado",IF(AB62&lt;=0.8,"Mayor","Catastrófico"))))),"")</f>
        <v/>
      </c>
      <c r="AB62" s="158" t="str">
        <f>IFERROR(IF(Q62="Impacto",(M62-(+M62*T62)),IF(Q62="Probabilidad",M62,"")),"")</f>
        <v/>
      </c>
      <c r="AC62" s="159"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60"/>
      <c r="AE62" s="115"/>
      <c r="AF62" s="115"/>
      <c r="AG62" s="115"/>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58"/>
      <c r="B63" s="367"/>
      <c r="C63" s="367"/>
      <c r="D63" s="367"/>
      <c r="E63" s="370"/>
      <c r="F63" s="367"/>
      <c r="G63" s="373"/>
      <c r="H63" s="349"/>
      <c r="I63" s="346"/>
      <c r="J63" s="395"/>
      <c r="K63" s="346">
        <f>IF(NOT(ISERROR(MATCH(J63,_xlfn.ANCHORARRAY(E74),0))),I76&amp;"Por favor no seleccionar los criterios de impacto",J63)</f>
        <v>0</v>
      </c>
      <c r="L63" s="349"/>
      <c r="M63" s="346"/>
      <c r="N63" s="376"/>
      <c r="O63" s="106">
        <v>2</v>
      </c>
      <c r="P63" s="165"/>
      <c r="Q63" s="107" t="str">
        <f>IF(OR(R63="Preventivo",R63="Detectivo"),"Probabilidad",IF(R63="Correctivo","Impacto",""))</f>
        <v/>
      </c>
      <c r="R63" s="108"/>
      <c r="S63" s="108"/>
      <c r="T63" s="109" t="str">
        <f t="shared" ref="T63:T67" si="62">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63">+X63</f>
        <v/>
      </c>
      <c r="AA63" s="111" t="str">
        <f t="shared" si="3"/>
        <v/>
      </c>
      <c r="AB63" s="112" t="str">
        <f>IFERROR(IF(AND(Q62="Impacto",Q63="Impacto"),(AB62-(+AB62*T63)),IF(Q63="Impacto",(M62-(+M62*T63)),IF(Q63="Probabilidad",AB62,""))),"")</f>
        <v/>
      </c>
      <c r="AC63" s="113" t="str">
        <f t="shared" ref="AC63:AC64" si="64">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58"/>
      <c r="B64" s="367"/>
      <c r="C64" s="367"/>
      <c r="D64" s="367"/>
      <c r="E64" s="370"/>
      <c r="F64" s="367"/>
      <c r="G64" s="373"/>
      <c r="H64" s="349"/>
      <c r="I64" s="346"/>
      <c r="J64" s="395"/>
      <c r="K64" s="346">
        <f>IF(NOT(ISERROR(MATCH(J64,_xlfn.ANCHORARRAY(E75),0))),I77&amp;"Por favor no seleccionar los criterios de impacto",J64)</f>
        <v>0</v>
      </c>
      <c r="L64" s="349"/>
      <c r="M64" s="346"/>
      <c r="N64" s="376"/>
      <c r="O64" s="106">
        <v>3</v>
      </c>
      <c r="P64" s="166"/>
      <c r="Q64" s="107" t="str">
        <f>IF(OR(R64="Preventivo",R64="Detectivo"),"Probabilidad",IF(R64="Correctivo","Impacto",""))</f>
        <v/>
      </c>
      <c r="R64" s="108"/>
      <c r="S64" s="108"/>
      <c r="T64" s="109" t="str">
        <f t="shared" si="62"/>
        <v/>
      </c>
      <c r="U64" s="108"/>
      <c r="V64" s="108"/>
      <c r="W64" s="108"/>
      <c r="X64" s="110" t="str">
        <f>IFERROR(IF(AND(Q63="Probabilidad",Q64="Probabilidad"),(Z63-(+Z63*T64)),IF(AND(Q63="Impacto",Q64="Probabilidad"),(Z62-(+Z62*T64)),IF(Q64="Impacto",Z63,""))),"")</f>
        <v/>
      </c>
      <c r="Y64" s="111" t="str">
        <f t="shared" si="1"/>
        <v/>
      </c>
      <c r="Z64" s="112" t="str">
        <f t="shared" si="63"/>
        <v/>
      </c>
      <c r="AA64" s="111" t="str">
        <f t="shared" si="3"/>
        <v/>
      </c>
      <c r="AB64" s="112" t="str">
        <f>IFERROR(IF(AND(Q63="Impacto",Q64="Impacto"),(AB63-(+AB63*T64)),IF(AND(Q63="Probabilidad",Q64="Impacto"),(AB62-(+AB62*T64)),IF(Q64="Probabilidad",AB63,""))),"")</f>
        <v/>
      </c>
      <c r="AC64" s="113" t="str">
        <f t="shared" si="64"/>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58"/>
      <c r="B65" s="367"/>
      <c r="C65" s="367"/>
      <c r="D65" s="367"/>
      <c r="E65" s="370"/>
      <c r="F65" s="367"/>
      <c r="G65" s="373"/>
      <c r="H65" s="349"/>
      <c r="I65" s="346"/>
      <c r="J65" s="395"/>
      <c r="K65" s="346">
        <f>IF(NOT(ISERROR(MATCH(J65,_xlfn.ANCHORARRAY(E76),0))),I78&amp;"Por favor no seleccionar los criterios de impacto",J65)</f>
        <v>0</v>
      </c>
      <c r="L65" s="349"/>
      <c r="M65" s="346"/>
      <c r="N65" s="376"/>
      <c r="O65" s="106">
        <v>4</v>
      </c>
      <c r="P65" s="165"/>
      <c r="Q65" s="107" t="str">
        <f t="shared" ref="Q65:Q67" si="65">IF(OR(R65="Preventivo",R65="Detectivo"),"Probabilidad",IF(R65="Correctivo","Impacto",""))</f>
        <v/>
      </c>
      <c r="R65" s="108"/>
      <c r="S65" s="108"/>
      <c r="T65" s="109" t="str">
        <f t="shared" si="62"/>
        <v/>
      </c>
      <c r="U65" s="108"/>
      <c r="V65" s="108"/>
      <c r="W65" s="108"/>
      <c r="X65" s="110" t="str">
        <f t="shared" ref="X65:X66" si="66">IFERROR(IF(AND(Q64="Probabilidad",Q65="Probabilidad"),(Z64-(+Z64*T65)),IF(AND(Q64="Impacto",Q65="Probabilidad"),(Z63-(+Z63*T65)),IF(Q65="Impacto",Z64,""))),"")</f>
        <v/>
      </c>
      <c r="Y65" s="111" t="str">
        <f t="shared" si="1"/>
        <v/>
      </c>
      <c r="Z65" s="112" t="str">
        <f t="shared" si="63"/>
        <v/>
      </c>
      <c r="AA65" s="111" t="str">
        <f t="shared" si="3"/>
        <v/>
      </c>
      <c r="AB65" s="112" t="str">
        <f t="shared" ref="AB65:AB66" si="67">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58"/>
      <c r="B66" s="367"/>
      <c r="C66" s="367"/>
      <c r="D66" s="367"/>
      <c r="E66" s="370"/>
      <c r="F66" s="367"/>
      <c r="G66" s="373"/>
      <c r="H66" s="349"/>
      <c r="I66" s="346"/>
      <c r="J66" s="395"/>
      <c r="K66" s="346">
        <f>IF(NOT(ISERROR(MATCH(J66,_xlfn.ANCHORARRAY(E77),0))),I79&amp;"Por favor no seleccionar los criterios de impacto",J66)</f>
        <v>0</v>
      </c>
      <c r="L66" s="349"/>
      <c r="M66" s="346"/>
      <c r="N66" s="376"/>
      <c r="O66" s="106">
        <v>5</v>
      </c>
      <c r="P66" s="165"/>
      <c r="Q66" s="107" t="str">
        <f t="shared" si="65"/>
        <v/>
      </c>
      <c r="R66" s="108"/>
      <c r="S66" s="108"/>
      <c r="T66" s="109" t="str">
        <f t="shared" si="62"/>
        <v/>
      </c>
      <c r="U66" s="108"/>
      <c r="V66" s="108"/>
      <c r="W66" s="108"/>
      <c r="X66" s="110" t="str">
        <f t="shared" si="66"/>
        <v/>
      </c>
      <c r="Y66" s="111" t="str">
        <f t="shared" si="1"/>
        <v/>
      </c>
      <c r="Z66" s="112" t="str">
        <f t="shared" si="63"/>
        <v/>
      </c>
      <c r="AA66" s="111" t="str">
        <f t="shared" si="3"/>
        <v/>
      </c>
      <c r="AB66" s="112" t="str">
        <f t="shared" si="67"/>
        <v/>
      </c>
      <c r="AC66" s="113" t="str">
        <f t="shared" ref="AC66:AC67" si="68">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59"/>
      <c r="B67" s="368"/>
      <c r="C67" s="368"/>
      <c r="D67" s="368"/>
      <c r="E67" s="371"/>
      <c r="F67" s="368"/>
      <c r="G67" s="374"/>
      <c r="H67" s="350"/>
      <c r="I67" s="347"/>
      <c r="J67" s="396"/>
      <c r="K67" s="347">
        <f>IF(NOT(ISERROR(MATCH(J67,_xlfn.ANCHORARRAY(E78),0))),I80&amp;"Por favor no seleccionar los criterios de impacto",J67)</f>
        <v>0</v>
      </c>
      <c r="L67" s="350"/>
      <c r="M67" s="347"/>
      <c r="N67" s="377"/>
      <c r="O67" s="106">
        <v>6</v>
      </c>
      <c r="P67" s="165"/>
      <c r="Q67" s="107" t="str">
        <f t="shared" si="65"/>
        <v/>
      </c>
      <c r="R67" s="108"/>
      <c r="S67" s="108"/>
      <c r="T67" s="109" t="str">
        <f t="shared" si="62"/>
        <v/>
      </c>
      <c r="U67" s="108"/>
      <c r="V67" s="108"/>
      <c r="W67" s="108"/>
      <c r="X67" s="110" t="str">
        <f>IFERROR(IF(AND(Q66="Probabilidad",Q67="Probabilidad"),(Z66-(+Z66*T67)),IF(AND(Q66="Impacto",Q67="Probabilidad"),(Z65-(+Z65*T67)),IF(Q67="Impacto",Z66,""))),"")</f>
        <v/>
      </c>
      <c r="Y67" s="111" t="str">
        <f t="shared" si="1"/>
        <v/>
      </c>
      <c r="Z67" s="112" t="str">
        <f t="shared" si="63"/>
        <v/>
      </c>
      <c r="AA67" s="111" t="str">
        <f t="shared" si="3"/>
        <v/>
      </c>
      <c r="AB67" s="112" t="str">
        <f>IFERROR(IF(AND(Q66="Impacto",Q67="Impacto"),(AB66-(+AB66*T67)),IF(AND(Q66="Probabilidad",Q67="Impacto"),(AB65-(+AB65*T67)),IF(Q67="Probabilidad",AB66,""))),"")</f>
        <v/>
      </c>
      <c r="AC67" s="113" t="str">
        <f t="shared" si="68"/>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57">
        <v>10</v>
      </c>
      <c r="B68" s="366"/>
      <c r="C68" s="366"/>
      <c r="D68" s="366"/>
      <c r="E68" s="369"/>
      <c r="F68" s="366"/>
      <c r="G68" s="372"/>
      <c r="H68" s="348" t="str">
        <f>IF(G68&lt;=0,"",IF(G68&lt;=2,"Muy Baja",IF(G68&lt;=24,"Baja",IF(G68&lt;=500,"Media",IF(G68&lt;=5000,"Alta","Muy Alta")))))</f>
        <v/>
      </c>
      <c r="I68" s="345" t="str">
        <f>IF(H68="","",IF(H68="Muy Baja",0.2,IF(H68="Baja",0.4,IF(H68="Media",0.6,IF(H68="Alta",0.8,IF(H68="Muy Alta",1,))))))</f>
        <v/>
      </c>
      <c r="J68" s="394"/>
      <c r="K68" s="345">
        <f>IF(NOT(ISERROR(MATCH(J68,'Tabla Impacto'!$B$221:$B$223,0))),'Tabla Impacto'!$F$223&amp;"Por favor no seleccionar los criterios de impacto(Afectación Económica o presupuestal y Pérdida Reputacional)",J68)</f>
        <v>0</v>
      </c>
      <c r="L68" s="348" t="str">
        <f>IF(OR(K68='Tabla Impacto'!$C$11,K68='Tabla Impacto'!$D$11),"Leve",IF(OR(K68='Tabla Impacto'!$C$12,K68='Tabla Impacto'!$D$12),"Menor",IF(OR(K68='Tabla Impacto'!$C$13,K68='Tabla Impacto'!$D$13),"Moderado",IF(OR(K68='Tabla Impacto'!$C$14,K68='Tabla Impacto'!$D$14),"Mayor",IF(OR(K68='Tabla Impacto'!$C$15,K68='Tabla Impacto'!$D$15),"Catastrófico","")))))</f>
        <v/>
      </c>
      <c r="M68" s="345" t="str">
        <f>IF(L68="","",IF(L68="Leve",0.2,IF(L68="Menor",0.4,IF(L68="Moderado",0.6,IF(L68="Mayor",0.8,IF(L68="Catastrófico",1,))))))</f>
        <v/>
      </c>
      <c r="N68" s="375"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65"/>
      <c r="Q68" s="151"/>
      <c r="R68" s="155"/>
      <c r="S68" s="155"/>
      <c r="T68" s="156" t="str">
        <f>IF(AND(R68="Preventivo",S68="Automático"),"50%",IF(AND(R68="Preventivo",S68="Manual"),"40%",IF(AND(R68="Detectivo",S68="Automático"),"40%",IF(AND(R68="Detectivo",S68="Manual"),"30%",IF(AND(R68="Correctivo",S68="Automático"),"35%",IF(AND(R68="Correctivo",S68="Manual"),"25%",""))))))</f>
        <v/>
      </c>
      <c r="U68" s="155"/>
      <c r="V68" s="155"/>
      <c r="W68" s="155"/>
      <c r="X68" s="148" t="str">
        <f>IFERROR(IF(Q68="Probabilidad",(I68-(+I68*T68)),IF(Q68="Impacto",I68,"")),"")</f>
        <v/>
      </c>
      <c r="Y68" s="157" t="str">
        <f>IFERROR(IF(X68="","",IF(X68&lt;=0.2,"Muy Baja",IF(X68&lt;=0.4,"Baja",IF(X68&lt;=0.6,"Media",IF(X68&lt;=0.8,"Alta","Muy Alta"))))),"")</f>
        <v/>
      </c>
      <c r="Z68" s="158" t="str">
        <f>+X68</f>
        <v/>
      </c>
      <c r="AA68" s="157" t="str">
        <f>IFERROR(IF(AB68="","",IF(AB68&lt;=0.2,"Leve",IF(AB68&lt;=0.4,"Menor",IF(AB68&lt;=0.6,"Moderado",IF(AB68&lt;=0.8,"Mayor","Catastrófico"))))),"")</f>
        <v/>
      </c>
      <c r="AB68" s="158" t="str">
        <f>IFERROR(IF(Q68="Impacto",(M68-(+M68*T68)),IF(Q68="Probabilidad",M68,"")),"")</f>
        <v/>
      </c>
      <c r="AC68" s="159"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60"/>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58"/>
      <c r="B69" s="367"/>
      <c r="C69" s="367"/>
      <c r="D69" s="367"/>
      <c r="E69" s="370"/>
      <c r="F69" s="367"/>
      <c r="G69" s="373"/>
      <c r="H69" s="349"/>
      <c r="I69" s="346"/>
      <c r="J69" s="395"/>
      <c r="K69" s="346">
        <f>IF(NOT(ISERROR(MATCH(J69,_xlfn.ANCHORARRAY(E80),0))),I82&amp;"Por favor no seleccionar los criterios de impacto",J69)</f>
        <v>0</v>
      </c>
      <c r="L69" s="349"/>
      <c r="M69" s="346"/>
      <c r="N69" s="376"/>
      <c r="O69" s="106">
        <v>2</v>
      </c>
      <c r="P69" s="165"/>
      <c r="Q69" s="107" t="str">
        <f>IF(OR(R69="Preventivo",R69="Detectivo"),"Probabilidad",IF(R69="Correctivo","Impacto",""))</f>
        <v/>
      </c>
      <c r="R69" s="108"/>
      <c r="S69" s="108"/>
      <c r="T69" s="109" t="str">
        <f t="shared" ref="T69:T73" si="69">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70">+X69</f>
        <v/>
      </c>
      <c r="AA69" s="111" t="str">
        <f t="shared" si="3"/>
        <v/>
      </c>
      <c r="AB69" s="112" t="str">
        <f>IFERROR(IF(AND(Q68="Impacto",Q69="Impacto"),(AB68-(+AB68*T69)),IF(Q69="Impacto",(M68-(+M68*T69)),IF(Q69="Probabilidad",AB68,""))),"")</f>
        <v/>
      </c>
      <c r="AC69" s="113" t="str">
        <f t="shared" ref="AC69:AC70" si="71">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6"/>
      <c r="AH69" s="117"/>
      <c r="AI69" s="117"/>
    </row>
    <row r="70" spans="1:67" ht="18" hidden="1" customHeight="1" x14ac:dyDescent="0.3">
      <c r="A70" s="358"/>
      <c r="B70" s="367"/>
      <c r="C70" s="367"/>
      <c r="D70" s="367"/>
      <c r="E70" s="370"/>
      <c r="F70" s="367"/>
      <c r="G70" s="373"/>
      <c r="H70" s="349"/>
      <c r="I70" s="346"/>
      <c r="J70" s="395"/>
      <c r="K70" s="346">
        <f>IF(NOT(ISERROR(MATCH(J70,_xlfn.ANCHORARRAY(E81),0))),I83&amp;"Por favor no seleccionar los criterios de impacto",J70)</f>
        <v>0</v>
      </c>
      <c r="L70" s="349"/>
      <c r="M70" s="346"/>
      <c r="N70" s="376"/>
      <c r="O70" s="106">
        <v>3</v>
      </c>
      <c r="P70" s="166"/>
      <c r="Q70" s="107" t="str">
        <f>IF(OR(R70="Preventivo",R70="Detectivo"),"Probabilidad",IF(R70="Correctivo","Impacto",""))</f>
        <v/>
      </c>
      <c r="R70" s="108"/>
      <c r="S70" s="108"/>
      <c r="T70" s="109" t="str">
        <f t="shared" si="69"/>
        <v/>
      </c>
      <c r="U70" s="108"/>
      <c r="V70" s="108"/>
      <c r="W70" s="108"/>
      <c r="X70" s="110" t="str">
        <f>IFERROR(IF(AND(Q69="Probabilidad",Q70="Probabilidad"),(Z69-(+Z69*T70)),IF(AND(Q69="Impacto",Q70="Probabilidad"),(Z68-(+Z68*T70)),IF(Q70="Impacto",Z69,""))),"")</f>
        <v/>
      </c>
      <c r="Y70" s="111" t="str">
        <f t="shared" si="1"/>
        <v/>
      </c>
      <c r="Z70" s="112" t="str">
        <f t="shared" si="70"/>
        <v/>
      </c>
      <c r="AA70" s="111" t="str">
        <f t="shared" si="3"/>
        <v/>
      </c>
      <c r="AB70" s="112" t="str">
        <f>IFERROR(IF(AND(Q69="Impacto",Q70="Impacto"),(AB69-(+AB69*T70)),IF(AND(Q69="Probabilidad",Q70="Impacto"),(AB68-(+AB68*T70)),IF(Q70="Probabilidad",AB69,""))),"")</f>
        <v/>
      </c>
      <c r="AC70" s="113" t="str">
        <f t="shared" si="71"/>
        <v/>
      </c>
      <c r="AD70" s="114"/>
      <c r="AE70" s="115"/>
      <c r="AF70" s="116"/>
      <c r="AG70" s="116"/>
      <c r="AH70" s="117"/>
      <c r="AI70" s="117"/>
    </row>
    <row r="71" spans="1:67" ht="18" hidden="1" customHeight="1" x14ac:dyDescent="0.3">
      <c r="A71" s="358"/>
      <c r="B71" s="367"/>
      <c r="C71" s="367"/>
      <c r="D71" s="367"/>
      <c r="E71" s="370"/>
      <c r="F71" s="367"/>
      <c r="G71" s="373"/>
      <c r="H71" s="349"/>
      <c r="I71" s="346"/>
      <c r="J71" s="395"/>
      <c r="K71" s="346">
        <f>IF(NOT(ISERROR(MATCH(J71,_xlfn.ANCHORARRAY(E82),0))),I84&amp;"Por favor no seleccionar los criterios de impacto",J71)</f>
        <v>0</v>
      </c>
      <c r="L71" s="349"/>
      <c r="M71" s="346"/>
      <c r="N71" s="376"/>
      <c r="O71" s="106">
        <v>4</v>
      </c>
      <c r="P71" s="165"/>
      <c r="Q71" s="107" t="str">
        <f t="shared" ref="Q71:Q73" si="72">IF(OR(R71="Preventivo",R71="Detectivo"),"Probabilidad",IF(R71="Correctivo","Impacto",""))</f>
        <v/>
      </c>
      <c r="R71" s="108"/>
      <c r="S71" s="108"/>
      <c r="T71" s="109" t="str">
        <f t="shared" si="69"/>
        <v/>
      </c>
      <c r="U71" s="108"/>
      <c r="V71" s="108"/>
      <c r="W71" s="108"/>
      <c r="X71" s="110" t="str">
        <f t="shared" ref="X71:X72" si="73">IFERROR(IF(AND(Q70="Probabilidad",Q71="Probabilidad"),(Z70-(+Z70*T71)),IF(AND(Q70="Impacto",Q71="Probabilidad"),(Z69-(+Z69*T71)),IF(Q71="Impacto",Z70,""))),"")</f>
        <v/>
      </c>
      <c r="Y71" s="111" t="str">
        <f t="shared" si="1"/>
        <v/>
      </c>
      <c r="Z71" s="112" t="str">
        <f t="shared" si="70"/>
        <v/>
      </c>
      <c r="AA71" s="111" t="str">
        <f t="shared" si="3"/>
        <v/>
      </c>
      <c r="AB71" s="112" t="str">
        <f t="shared" ref="AB71:AB72" si="74">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58"/>
      <c r="B72" s="367"/>
      <c r="C72" s="367"/>
      <c r="D72" s="367"/>
      <c r="E72" s="370"/>
      <c r="F72" s="367"/>
      <c r="G72" s="373"/>
      <c r="H72" s="349"/>
      <c r="I72" s="346"/>
      <c r="J72" s="395"/>
      <c r="K72" s="346">
        <f>IF(NOT(ISERROR(MATCH(J72,_xlfn.ANCHORARRAY(E83),0))),I85&amp;"Por favor no seleccionar los criterios de impacto",J72)</f>
        <v>0</v>
      </c>
      <c r="L72" s="349"/>
      <c r="M72" s="346"/>
      <c r="N72" s="376"/>
      <c r="O72" s="106">
        <v>5</v>
      </c>
      <c r="P72" s="165"/>
      <c r="Q72" s="107" t="str">
        <f t="shared" si="72"/>
        <v/>
      </c>
      <c r="R72" s="108"/>
      <c r="S72" s="108"/>
      <c r="T72" s="109" t="str">
        <f t="shared" si="69"/>
        <v/>
      </c>
      <c r="U72" s="108"/>
      <c r="V72" s="108"/>
      <c r="W72" s="108"/>
      <c r="X72" s="110" t="str">
        <f t="shared" si="73"/>
        <v/>
      </c>
      <c r="Y72" s="111" t="str">
        <f t="shared" si="1"/>
        <v/>
      </c>
      <c r="Z72" s="112" t="str">
        <f t="shared" si="70"/>
        <v/>
      </c>
      <c r="AA72" s="111" t="str">
        <f t="shared" si="3"/>
        <v/>
      </c>
      <c r="AB72" s="112" t="str">
        <f t="shared" si="74"/>
        <v/>
      </c>
      <c r="AC72" s="113" t="str">
        <f t="shared" ref="AC72:AC73" si="75">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59"/>
      <c r="B73" s="368"/>
      <c r="C73" s="368"/>
      <c r="D73" s="368"/>
      <c r="E73" s="371"/>
      <c r="F73" s="368"/>
      <c r="G73" s="374"/>
      <c r="H73" s="350"/>
      <c r="I73" s="347"/>
      <c r="J73" s="396"/>
      <c r="K73" s="347">
        <f>IF(NOT(ISERROR(MATCH(J73,_xlfn.ANCHORARRAY(E84),0))),I86&amp;"Por favor no seleccionar los criterios de impacto",J73)</f>
        <v>0</v>
      </c>
      <c r="L73" s="350"/>
      <c r="M73" s="347"/>
      <c r="N73" s="377"/>
      <c r="O73" s="106">
        <v>6</v>
      </c>
      <c r="P73" s="165"/>
      <c r="Q73" s="107" t="str">
        <f t="shared" si="72"/>
        <v/>
      </c>
      <c r="R73" s="108"/>
      <c r="S73" s="108"/>
      <c r="T73" s="109" t="str">
        <f t="shared" si="69"/>
        <v/>
      </c>
      <c r="U73" s="108"/>
      <c r="V73" s="108"/>
      <c r="W73" s="108"/>
      <c r="X73" s="110" t="str">
        <f>IFERROR(IF(AND(Q72="Probabilidad",Q73="Probabilidad"),(Z72-(+Z72*T73)),IF(AND(Q72="Impacto",Q73="Probabilidad"),(Z71-(+Z71*T73)),IF(Q73="Impacto",Z72,""))),"")</f>
        <v/>
      </c>
      <c r="Y73" s="111" t="str">
        <f t="shared" si="1"/>
        <v/>
      </c>
      <c r="Z73" s="112" t="str">
        <f t="shared" si="70"/>
        <v/>
      </c>
      <c r="AA73" s="111" t="str">
        <f t="shared" si="3"/>
        <v/>
      </c>
      <c r="AB73" s="112" t="str">
        <f>IFERROR(IF(AND(Q72="Impacto",Q73="Impacto"),(AB72-(+AB72*T73)),IF(AND(Q72="Probabilidad",Q73="Impacto"),(AB71-(+AB71*T73)),IF(Q73="Probabilidad",AB72,""))),"")</f>
        <v/>
      </c>
      <c r="AC73" s="113" t="str">
        <f t="shared" si="75"/>
        <v/>
      </c>
      <c r="AD73" s="114"/>
      <c r="AE73" s="115"/>
      <c r="AF73" s="116"/>
      <c r="AG73" s="116"/>
      <c r="AH73" s="117"/>
      <c r="AI73" s="117"/>
    </row>
    <row r="74" spans="1:67" ht="34.5" customHeight="1" x14ac:dyDescent="0.3">
      <c r="A74" s="6"/>
      <c r="B74" s="406" t="s">
        <v>211</v>
      </c>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8"/>
    </row>
    <row r="76" spans="1:67" x14ac:dyDescent="0.3">
      <c r="A76" s="1"/>
      <c r="B76" s="24" t="s">
        <v>212</v>
      </c>
      <c r="C76" s="1"/>
      <c r="D76" s="1"/>
      <c r="F76" s="1"/>
    </row>
  </sheetData>
  <dataConsolidate/>
  <mergeCells count="204">
    <mergeCell ref="R24:R26"/>
    <mergeCell ref="S24:S26"/>
    <mergeCell ref="T24:T26"/>
    <mergeCell ref="U24:U26"/>
    <mergeCell ref="M24:M31"/>
    <mergeCell ref="N24:N31"/>
    <mergeCell ref="F24:F31"/>
    <mergeCell ref="G24:G31"/>
    <mergeCell ref="H24:H31"/>
    <mergeCell ref="I24:I31"/>
    <mergeCell ref="P24:P26"/>
    <mergeCell ref="O24:O26"/>
    <mergeCell ref="Q24:Q26"/>
    <mergeCell ref="M12:M17"/>
    <mergeCell ref="V24:V26"/>
    <mergeCell ref="W24:W26"/>
    <mergeCell ref="AG1:AI1"/>
    <mergeCell ref="J10:J11"/>
    <mergeCell ref="K10:K11"/>
    <mergeCell ref="Q10:Q11"/>
    <mergeCell ref="R10:W10"/>
    <mergeCell ref="L10:L11"/>
    <mergeCell ref="M10:M11"/>
    <mergeCell ref="AG2:AI2"/>
    <mergeCell ref="AG3:AI3"/>
    <mergeCell ref="AG4:AI4"/>
    <mergeCell ref="E1:AF4"/>
    <mergeCell ref="AE10:AE11"/>
    <mergeCell ref="AH10:AH11"/>
    <mergeCell ref="AF10:AF11"/>
    <mergeCell ref="Y24:Y26"/>
    <mergeCell ref="Z24:Z26"/>
    <mergeCell ref="AA24:AA26"/>
    <mergeCell ref="AB24:AB26"/>
    <mergeCell ref="AC24:AC26"/>
    <mergeCell ref="AD24:AD26"/>
    <mergeCell ref="J24:J31"/>
    <mergeCell ref="AD10:AD11"/>
    <mergeCell ref="C7:N7"/>
    <mergeCell ref="C8:N8"/>
    <mergeCell ref="O10:O11"/>
    <mergeCell ref="AC10:AC11"/>
    <mergeCell ref="AB10:AB11"/>
    <mergeCell ref="X10:X11"/>
    <mergeCell ref="P10:P11"/>
    <mergeCell ref="AA10:AA11"/>
    <mergeCell ref="Y10:Y11"/>
    <mergeCell ref="Z10:Z11"/>
    <mergeCell ref="G10:G11"/>
    <mergeCell ref="H10:H11"/>
    <mergeCell ref="N10:N11"/>
    <mergeCell ref="M18:M23"/>
    <mergeCell ref="N18:N23"/>
    <mergeCell ref="K26:K31"/>
    <mergeCell ref="F18:F23"/>
    <mergeCell ref="G18:G23"/>
    <mergeCell ref="H18:H23"/>
    <mergeCell ref="I18:I23"/>
    <mergeCell ref="J18:J23"/>
    <mergeCell ref="A6:B6"/>
    <mergeCell ref="A7:B7"/>
    <mergeCell ref="A8:B8"/>
    <mergeCell ref="A10:A11"/>
    <mergeCell ref="F10:F11"/>
    <mergeCell ref="E10:E11"/>
    <mergeCell ref="D10:D11"/>
    <mergeCell ref="C10:C11"/>
    <mergeCell ref="B10:B11"/>
    <mergeCell ref="A12:A17"/>
    <mergeCell ref="B12:B17"/>
    <mergeCell ref="C12:C17"/>
    <mergeCell ref="D12:D17"/>
    <mergeCell ref="E12:E17"/>
    <mergeCell ref="N12:N17"/>
    <mergeCell ref="I12:I17"/>
    <mergeCell ref="I10:I11"/>
    <mergeCell ref="B24:B31"/>
    <mergeCell ref="C24:C31"/>
    <mergeCell ref="D24:D31"/>
    <mergeCell ref="E24:E31"/>
    <mergeCell ref="G32:G37"/>
    <mergeCell ref="H32:H37"/>
    <mergeCell ref="I32:I37"/>
    <mergeCell ref="L18:L23"/>
    <mergeCell ref="J12:J17"/>
    <mergeCell ref="K12:K17"/>
    <mergeCell ref="L12:L17"/>
    <mergeCell ref="L24:L31"/>
    <mergeCell ref="F12:F17"/>
    <mergeCell ref="G12:G17"/>
    <mergeCell ref="H12:H17"/>
    <mergeCell ref="A18:A23"/>
    <mergeCell ref="D56:D61"/>
    <mergeCell ref="C44:C49"/>
    <mergeCell ref="D44:D49"/>
    <mergeCell ref="E44:E49"/>
    <mergeCell ref="F44:F49"/>
    <mergeCell ref="D38:D43"/>
    <mergeCell ref="E38:E43"/>
    <mergeCell ref="F38:F43"/>
    <mergeCell ref="A32:A37"/>
    <mergeCell ref="B32:B37"/>
    <mergeCell ref="C32:C37"/>
    <mergeCell ref="D32:D37"/>
    <mergeCell ref="E32:E37"/>
    <mergeCell ref="F32:F37"/>
    <mergeCell ref="C50:C55"/>
    <mergeCell ref="B44:B49"/>
    <mergeCell ref="E50:E55"/>
    <mergeCell ref="D50:D55"/>
    <mergeCell ref="A24:A31"/>
    <mergeCell ref="B18:B23"/>
    <mergeCell ref="C18:C23"/>
    <mergeCell ref="D18:D23"/>
    <mergeCell ref="E18:E23"/>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K68:K73"/>
    <mergeCell ref="L68:L73"/>
    <mergeCell ref="M68:M73"/>
    <mergeCell ref="N68:N73"/>
    <mergeCell ref="I68:I73"/>
    <mergeCell ref="AI10:AI11"/>
    <mergeCell ref="O6:Q6"/>
    <mergeCell ref="O9:W9"/>
    <mergeCell ref="X9:AD9"/>
    <mergeCell ref="J32:J37"/>
    <mergeCell ref="K32:K37"/>
    <mergeCell ref="L32:L37"/>
    <mergeCell ref="M32:M37"/>
    <mergeCell ref="N32:N37"/>
    <mergeCell ref="K18:K23"/>
    <mergeCell ref="M38:M43"/>
    <mergeCell ref="N38:N43"/>
    <mergeCell ref="M44:M49"/>
    <mergeCell ref="AG10:AG11"/>
    <mergeCell ref="AE9:AI9"/>
    <mergeCell ref="J50:J55"/>
    <mergeCell ref="K50:K55"/>
    <mergeCell ref="L50:L55"/>
    <mergeCell ref="J44:J49"/>
    <mergeCell ref="K44:K49"/>
    <mergeCell ref="L44:L49"/>
    <mergeCell ref="G38:G43"/>
    <mergeCell ref="H38:H43"/>
    <mergeCell ref="A38:A43"/>
    <mergeCell ref="B38:B43"/>
    <mergeCell ref="C38:C43"/>
    <mergeCell ref="A44:A49"/>
    <mergeCell ref="A62:A67"/>
    <mergeCell ref="B62:B67"/>
    <mergeCell ref="C62:C67"/>
    <mergeCell ref="D62:D67"/>
    <mergeCell ref="E62:E67"/>
    <mergeCell ref="F62:F67"/>
    <mergeCell ref="G62:G67"/>
    <mergeCell ref="H62:H67"/>
    <mergeCell ref="I62:I67"/>
  </mergeCells>
  <conditionalFormatting sqref="H12 H18 Y27:Y73 Y24">
    <cfRule type="cellIs" dxfId="117" priority="521" operator="equal">
      <formula>"Muy Alta"</formula>
    </cfRule>
    <cfRule type="cellIs" dxfId="116" priority="522" operator="equal">
      <formula>"Alta"</formula>
    </cfRule>
    <cfRule type="cellIs" dxfId="115" priority="523" operator="equal">
      <formula>"Media"</formula>
    </cfRule>
    <cfRule type="cellIs" dxfId="114" priority="524" operator="equal">
      <formula>"Baja"</formula>
    </cfRule>
    <cfRule type="cellIs" dxfId="113" priority="525" operator="equal">
      <formula>"Muy Baja"</formula>
    </cfRule>
  </conditionalFormatting>
  <conditionalFormatting sqref="H24">
    <cfRule type="cellIs" dxfId="112" priority="423" operator="equal">
      <formula>"Muy Alta"</formula>
    </cfRule>
    <cfRule type="cellIs" dxfId="111" priority="424" operator="equal">
      <formula>"Alta"</formula>
    </cfRule>
    <cfRule type="cellIs" dxfId="110" priority="425" operator="equal">
      <formula>"Media"</formula>
    </cfRule>
    <cfRule type="cellIs" dxfId="109" priority="426" operator="equal">
      <formula>"Baja"</formula>
    </cfRule>
    <cfRule type="cellIs" dxfId="108" priority="427" operator="equal">
      <formula>"Muy Baja"</formula>
    </cfRule>
  </conditionalFormatting>
  <conditionalFormatting sqref="H32 H38">
    <cfRule type="cellIs" dxfId="107" priority="395" operator="equal">
      <formula>"Muy Alta"</formula>
    </cfRule>
    <cfRule type="cellIs" dxfId="106" priority="396" operator="equal">
      <formula>"Alta"</formula>
    </cfRule>
    <cfRule type="cellIs" dxfId="105" priority="397" operator="equal">
      <formula>"Media"</formula>
    </cfRule>
    <cfRule type="cellIs" dxfId="104" priority="398" operator="equal">
      <formula>"Baja"</formula>
    </cfRule>
    <cfRule type="cellIs" dxfId="103" priority="399" operator="equal">
      <formula>"Muy Baja"</formula>
    </cfRule>
  </conditionalFormatting>
  <conditionalFormatting sqref="H44">
    <cfRule type="cellIs" dxfId="102" priority="339" operator="equal">
      <formula>"Muy Alta"</formula>
    </cfRule>
    <cfRule type="cellIs" dxfId="101" priority="340" operator="equal">
      <formula>"Alta"</formula>
    </cfRule>
    <cfRule type="cellIs" dxfId="100" priority="341" operator="equal">
      <formula>"Media"</formula>
    </cfRule>
    <cfRule type="cellIs" dxfId="99" priority="342" operator="equal">
      <formula>"Baja"</formula>
    </cfRule>
    <cfRule type="cellIs" dxfId="98" priority="343" operator="equal">
      <formula>"Muy Baja"</formula>
    </cfRule>
  </conditionalFormatting>
  <conditionalFormatting sqref="H50">
    <cfRule type="cellIs" dxfId="97" priority="311" operator="equal">
      <formula>"Muy Alta"</formula>
    </cfRule>
    <cfRule type="cellIs" dxfId="96" priority="312" operator="equal">
      <formula>"Alta"</formula>
    </cfRule>
    <cfRule type="cellIs" dxfId="95" priority="313" operator="equal">
      <formula>"Media"</formula>
    </cfRule>
    <cfRule type="cellIs" dxfId="94" priority="314" operator="equal">
      <formula>"Baja"</formula>
    </cfRule>
    <cfRule type="cellIs" dxfId="93" priority="315" operator="equal">
      <formula>"Muy Baja"</formula>
    </cfRule>
  </conditionalFormatting>
  <conditionalFormatting sqref="H56">
    <cfRule type="cellIs" dxfId="92" priority="283" operator="equal">
      <formula>"Muy Alta"</formula>
    </cfRule>
    <cfRule type="cellIs" dxfId="91" priority="284" operator="equal">
      <formula>"Alta"</formula>
    </cfRule>
    <cfRule type="cellIs" dxfId="90" priority="285" operator="equal">
      <formula>"Media"</formula>
    </cfRule>
    <cfRule type="cellIs" dxfId="89" priority="286" operator="equal">
      <formula>"Baja"</formula>
    </cfRule>
    <cfRule type="cellIs" dxfId="88" priority="287" operator="equal">
      <formula>"Muy Baja"</formula>
    </cfRule>
  </conditionalFormatting>
  <conditionalFormatting sqref="H62">
    <cfRule type="cellIs" dxfId="87" priority="255" operator="equal">
      <formula>"Muy Alta"</formula>
    </cfRule>
    <cfRule type="cellIs" dxfId="86" priority="256" operator="equal">
      <formula>"Alta"</formula>
    </cfRule>
    <cfRule type="cellIs" dxfId="85" priority="257" operator="equal">
      <formula>"Media"</formula>
    </cfRule>
    <cfRule type="cellIs" dxfId="84" priority="258" operator="equal">
      <formula>"Baja"</formula>
    </cfRule>
    <cfRule type="cellIs" dxfId="83" priority="259" operator="equal">
      <formula>"Muy Baja"</formula>
    </cfRule>
  </conditionalFormatting>
  <conditionalFormatting sqref="H68">
    <cfRule type="cellIs" dxfId="82" priority="227" operator="equal">
      <formula>"Muy Alta"</formula>
    </cfRule>
    <cfRule type="cellIs" dxfId="81" priority="228" operator="equal">
      <formula>"Alta"</formula>
    </cfRule>
    <cfRule type="cellIs" dxfId="80" priority="229" operator="equal">
      <formula>"Media"</formula>
    </cfRule>
    <cfRule type="cellIs" dxfId="79" priority="230" operator="equal">
      <formula>"Baja"</formula>
    </cfRule>
    <cfRule type="cellIs" dxfId="78" priority="231" operator="equal">
      <formula>"Muy Baja"</formula>
    </cfRule>
  </conditionalFormatting>
  <conditionalFormatting sqref="K12:K73">
    <cfRule type="containsText" dxfId="77" priority="203" operator="containsText" text="❌">
      <formula>NOT(ISERROR(SEARCH("❌",K12)))</formula>
    </cfRule>
  </conditionalFormatting>
  <conditionalFormatting sqref="L12 L18 L24 L32 L38 L44 L50 L56 L62 L68 AA27:AA73 AA24">
    <cfRule type="cellIs" dxfId="76" priority="516" operator="equal">
      <formula>"Catastrófico"</formula>
    </cfRule>
    <cfRule type="cellIs" dxfId="75" priority="517" operator="equal">
      <formula>"Mayor"</formula>
    </cfRule>
    <cfRule type="cellIs" dxfId="74" priority="518" operator="equal">
      <formula>"Moderado"</formula>
    </cfRule>
    <cfRule type="cellIs" dxfId="73" priority="519" operator="equal">
      <formula>"Menor"</formula>
    </cfRule>
    <cfRule type="cellIs" dxfId="72" priority="520" operator="equal">
      <formula>"Leve"</formula>
    </cfRule>
  </conditionalFormatting>
  <conditionalFormatting sqref="N12 AC27:AC73 AC24">
    <cfRule type="cellIs" dxfId="71" priority="512" operator="equal">
      <formula>"Extremo"</formula>
    </cfRule>
    <cfRule type="cellIs" dxfId="70" priority="513" operator="equal">
      <formula>"Alto"</formula>
    </cfRule>
    <cfRule type="cellIs" dxfId="69" priority="514" operator="equal">
      <formula>"Moderado"</formula>
    </cfRule>
    <cfRule type="cellIs" dxfId="68" priority="515" operator="equal">
      <formula>"Bajo"</formula>
    </cfRule>
  </conditionalFormatting>
  <conditionalFormatting sqref="N18">
    <cfRule type="cellIs" dxfId="67" priority="442" operator="equal">
      <formula>"Extremo"</formula>
    </cfRule>
    <cfRule type="cellIs" dxfId="66" priority="443" operator="equal">
      <formula>"Alto"</formula>
    </cfRule>
    <cfRule type="cellIs" dxfId="65" priority="444" operator="equal">
      <formula>"Moderado"</formula>
    </cfRule>
    <cfRule type="cellIs" dxfId="64" priority="445" operator="equal">
      <formula>"Bajo"</formula>
    </cfRule>
  </conditionalFormatting>
  <conditionalFormatting sqref="N24">
    <cfRule type="cellIs" dxfId="63" priority="414" operator="equal">
      <formula>"Extremo"</formula>
    </cfRule>
    <cfRule type="cellIs" dxfId="62" priority="415" operator="equal">
      <formula>"Alto"</formula>
    </cfRule>
    <cfRule type="cellIs" dxfId="61" priority="416" operator="equal">
      <formula>"Moderado"</formula>
    </cfRule>
    <cfRule type="cellIs" dxfId="60" priority="417" operator="equal">
      <formula>"Bajo"</formula>
    </cfRule>
  </conditionalFormatting>
  <conditionalFormatting sqref="N32">
    <cfRule type="cellIs" dxfId="59" priority="386" operator="equal">
      <formula>"Extremo"</formula>
    </cfRule>
    <cfRule type="cellIs" dxfId="58" priority="387" operator="equal">
      <formula>"Alto"</formula>
    </cfRule>
    <cfRule type="cellIs" dxfId="57" priority="388" operator="equal">
      <formula>"Moderado"</formula>
    </cfRule>
    <cfRule type="cellIs" dxfId="56" priority="389" operator="equal">
      <formula>"Bajo"</formula>
    </cfRule>
  </conditionalFormatting>
  <conditionalFormatting sqref="N38">
    <cfRule type="cellIs" dxfId="55" priority="358" operator="equal">
      <formula>"Extremo"</formula>
    </cfRule>
    <cfRule type="cellIs" dxfId="54" priority="359" operator="equal">
      <formula>"Alto"</formula>
    </cfRule>
    <cfRule type="cellIs" dxfId="53" priority="360" operator="equal">
      <formula>"Moderado"</formula>
    </cfRule>
    <cfRule type="cellIs" dxfId="52" priority="361" operator="equal">
      <formula>"Bajo"</formula>
    </cfRule>
  </conditionalFormatting>
  <conditionalFormatting sqref="N44">
    <cfRule type="cellIs" dxfId="51" priority="330" operator="equal">
      <formula>"Extremo"</formula>
    </cfRule>
    <cfRule type="cellIs" dxfId="50" priority="331" operator="equal">
      <formula>"Alto"</formula>
    </cfRule>
    <cfRule type="cellIs" dxfId="49" priority="332" operator="equal">
      <formula>"Moderado"</formula>
    </cfRule>
    <cfRule type="cellIs" dxfId="48" priority="333" operator="equal">
      <formula>"Bajo"</formula>
    </cfRule>
  </conditionalFormatting>
  <conditionalFormatting sqref="N50">
    <cfRule type="cellIs" dxfId="47" priority="302" operator="equal">
      <formula>"Extremo"</formula>
    </cfRule>
    <cfRule type="cellIs" dxfId="46" priority="303" operator="equal">
      <formula>"Alto"</formula>
    </cfRule>
    <cfRule type="cellIs" dxfId="45" priority="304" operator="equal">
      <formula>"Moderado"</formula>
    </cfRule>
    <cfRule type="cellIs" dxfId="44" priority="305" operator="equal">
      <formula>"Bajo"</formula>
    </cfRule>
  </conditionalFormatting>
  <conditionalFormatting sqref="N56">
    <cfRule type="cellIs" dxfId="43" priority="274" operator="equal">
      <formula>"Extremo"</formula>
    </cfRule>
    <cfRule type="cellIs" dxfId="42" priority="275" operator="equal">
      <formula>"Alto"</formula>
    </cfRule>
    <cfRule type="cellIs" dxfId="41" priority="276" operator="equal">
      <formula>"Moderado"</formula>
    </cfRule>
    <cfRule type="cellIs" dxfId="40" priority="277" operator="equal">
      <formula>"Bajo"</formula>
    </cfRule>
  </conditionalFormatting>
  <conditionalFormatting sqref="N62">
    <cfRule type="cellIs" dxfId="39" priority="246" operator="equal">
      <formula>"Extremo"</formula>
    </cfRule>
    <cfRule type="cellIs" dxfId="38" priority="247" operator="equal">
      <formula>"Alto"</formula>
    </cfRule>
    <cfRule type="cellIs" dxfId="37" priority="248" operator="equal">
      <formula>"Moderado"</formula>
    </cfRule>
    <cfRule type="cellIs" dxfId="36" priority="249" operator="equal">
      <formula>"Bajo"</formula>
    </cfRule>
  </conditionalFormatting>
  <conditionalFormatting sqref="N68">
    <cfRule type="cellIs" dxfId="35" priority="218" operator="equal">
      <formula>"Extremo"</formula>
    </cfRule>
    <cfRule type="cellIs" dxfId="34" priority="219" operator="equal">
      <formula>"Alto"</formula>
    </cfRule>
    <cfRule type="cellIs" dxfId="33" priority="220" operator="equal">
      <formula>"Moderado"</formula>
    </cfRule>
    <cfRule type="cellIs" dxfId="32" priority="221" operator="equal">
      <formula>"Bajo"</formula>
    </cfRule>
  </conditionalFormatting>
  <conditionalFormatting sqref="Y12:Y13 Y15:Y23">
    <cfRule type="cellIs" dxfId="31" priority="213" operator="equal">
      <formula>"Muy Alta"</formula>
    </cfRule>
    <cfRule type="cellIs" dxfId="30" priority="214" operator="equal">
      <formula>"Alta"</formula>
    </cfRule>
    <cfRule type="cellIs" dxfId="29" priority="215" operator="equal">
      <formula>"Media"</formula>
    </cfRule>
    <cfRule type="cellIs" dxfId="28" priority="216" operator="equal">
      <formula>"Baja"</formula>
    </cfRule>
    <cfRule type="cellIs" dxfId="27" priority="217" operator="equal">
      <formula>"Muy Baja"</formula>
    </cfRule>
  </conditionalFormatting>
  <conditionalFormatting sqref="AA12:AA13 AA15:AA23">
    <cfRule type="cellIs" dxfId="26" priority="208" operator="equal">
      <formula>"Catastrófico"</formula>
    </cfRule>
    <cfRule type="cellIs" dxfId="25" priority="209" operator="equal">
      <formula>"Mayor"</formula>
    </cfRule>
    <cfRule type="cellIs" dxfId="24" priority="210" operator="equal">
      <formula>"Moderado"</formula>
    </cfRule>
    <cfRule type="cellIs" dxfId="23" priority="211" operator="equal">
      <formula>"Menor"</formula>
    </cfRule>
    <cfRule type="cellIs" dxfId="22" priority="212" operator="equal">
      <formula>"Leve"</formula>
    </cfRule>
  </conditionalFormatting>
  <conditionalFormatting sqref="AC12:AC13 AC15:AC23">
    <cfRule type="cellIs" dxfId="21" priority="204" operator="equal">
      <formula>"Extremo"</formula>
    </cfRule>
    <cfRule type="cellIs" dxfId="20" priority="205" operator="equal">
      <formula>"Alto"</formula>
    </cfRule>
    <cfRule type="cellIs" dxfId="19" priority="206" operator="equal">
      <formula>"Moderado"</formula>
    </cfRule>
    <cfRule type="cellIs" dxfId="18" priority="207" operator="equal">
      <formula>"Bajo"</formula>
    </cfRule>
  </conditionalFormatting>
  <conditionalFormatting sqref="Y14">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4">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4">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R27:R73 R12:R24</xm:sqref>
        </x14:dataValidation>
        <x14:dataValidation type="list" allowBlank="1" showInputMessage="1" showErrorMessage="1" xr:uid="{00000000-0002-0000-0200-000001000000}">
          <x14:formula1>
            <xm:f>'Tabla Valoración controles'!$D$7:$D$8</xm:f>
          </x14:formula1>
          <xm:sqref>S27:S73 S12:S24</xm:sqref>
        </x14:dataValidation>
        <x14:dataValidation type="list" allowBlank="1" showInputMessage="1" showErrorMessage="1" xr:uid="{00000000-0002-0000-0200-000002000000}">
          <x14:formula1>
            <xm:f>'Tabla Valoración controles'!$D$9:$D$10</xm:f>
          </x14:formula1>
          <xm:sqref>U27:U73 U12:U24</xm:sqref>
        </x14:dataValidation>
        <x14:dataValidation type="list" allowBlank="1" showInputMessage="1" showErrorMessage="1" xr:uid="{00000000-0002-0000-0200-000003000000}">
          <x14:formula1>
            <xm:f>'Tabla Valoración controles'!$D$11:$D$12</xm:f>
          </x14:formula1>
          <xm:sqref>V27:V73 V12:V24</xm:sqref>
        </x14:dataValidation>
        <x14:dataValidation type="list" allowBlank="1" showInputMessage="1" showErrorMessage="1" xr:uid="{00000000-0002-0000-0200-000004000000}">
          <x14:formula1>
            <xm:f>'Tabla Valoración controles'!$D$13:$D$14</xm:f>
          </x14:formula1>
          <xm:sqref>W27:W73 W12:W24</xm:sqref>
        </x14:dataValidation>
        <x14:dataValidation type="list" allowBlank="1" showInputMessage="1" showErrorMessage="1" xr:uid="{00000000-0002-0000-0200-000005000000}">
          <x14:formula1>
            <xm:f>'Opciones Tratamiento'!$B$13:$B$19</xm:f>
          </x14:formula1>
          <xm:sqref>F32:F73 F12:F24</xm:sqref>
        </x14:dataValidation>
        <x14:dataValidation type="list" allowBlank="1" showInputMessage="1" showErrorMessage="1" xr:uid="{00000000-0002-0000-0200-000006000000}">
          <x14:formula1>
            <xm:f>'Opciones Tratamiento'!$E$2:$E$4</xm:f>
          </x14:formula1>
          <xm:sqref>B32:B73 B12:B24</xm:sqref>
        </x14:dataValidation>
        <x14:dataValidation type="list" allowBlank="1" showInputMessage="1" showErrorMessage="1" xr:uid="{00000000-0002-0000-0200-000007000000}">
          <x14:formula1>
            <xm:f>'Opciones Tratamiento'!$B$2:$B$5</xm:f>
          </x14:formula1>
          <xm:sqref>AD27:AD73 AD12:AD24</xm:sqref>
        </x14:dataValidation>
        <x14:dataValidation type="list" allowBlank="1" showInputMessage="1" showErrorMessage="1" xr:uid="{00000000-0002-0000-0200-000008000000}">
          <x14:formula1>
            <xm:f>'Tabla Impacto'!$F$210:$F$221</xm:f>
          </x14:formula1>
          <xm:sqref>J32:J73 J12:J24</xm:sqref>
        </x14:dataValidation>
        <x14:dataValidation type="custom" allowBlank="1" showInputMessage="1" showErrorMessage="1" error="Recuerde que las acciones se generan bajo la medida de mitigar el riesgo" xr:uid="{00000000-0002-0000-0200-000009000000}">
          <x14:formula1>
            <xm:f>IF(OR(AD15='Opciones Tratamiento'!$B$2,AD15='Opciones Tratamiento'!$B$3,AD15='Opciones Tratamiento'!$B$4),ISBLANK(AD15),ISTEXT(AD15))</xm:f>
          </x14:formula1>
          <xm:sqref>AE15:AE17 AE19:AE23 AE27:AE31 AE33:AE37 AE39:AE73</xm:sqref>
        </x14:dataValidation>
        <x14:dataValidation type="custom" allowBlank="1" showInputMessage="1" showErrorMessage="1" error="Recuerde que las acciones se generan bajo la medida de mitigar el riesgo" xr:uid="{00000000-0002-0000-0200-00000A000000}">
          <x14:formula1>
            <xm:f>IF(OR(AD15='Opciones Tratamiento'!$B$2,AD15='Opciones Tratamiento'!$B$3,AD15='Opciones Tratamiento'!$B$4),ISBLANK(AD15),ISTEXT(AD15))</xm:f>
          </x14:formula1>
          <xm:sqref>AF15:AG17 AF19:AG23 AF27:AG31 AF33:AG37 AF39:AG73</xm:sqref>
        </x14:dataValidation>
        <x14:dataValidation type="custom" allowBlank="1" showInputMessage="1" showErrorMessage="1" error="Recuerde que las acciones se generan bajo la medida de mitigar el riesgo" xr:uid="{00000000-0002-0000-0200-00000B000000}">
          <x14:formula1>
            <xm:f>IF(OR(AD15='Opciones Tratamiento'!$B$2,AD15='Opciones Tratamiento'!$B$3,AD15='Opciones Tratamiento'!$B$4),ISBLANK(AD15),ISTEXT(AD15))</xm:f>
          </x14:formula1>
          <xm:sqref>AH15:AI17 AH19:AI23 AH27:AI31 AH33:AI37 AH39:AI73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62" t="s">
        <v>213</v>
      </c>
      <c r="C2" s="562"/>
      <c r="D2" s="562"/>
      <c r="E2" s="562"/>
      <c r="F2" s="562"/>
      <c r="G2" s="562"/>
      <c r="H2" s="562"/>
      <c r="I2" s="562"/>
      <c r="J2" s="530" t="s">
        <v>26</v>
      </c>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62"/>
      <c r="C3" s="562"/>
      <c r="D3" s="562"/>
      <c r="E3" s="562"/>
      <c r="F3" s="562"/>
      <c r="G3" s="562"/>
      <c r="H3" s="562"/>
      <c r="I3" s="562"/>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62"/>
      <c r="C4" s="562"/>
      <c r="D4" s="562"/>
      <c r="E4" s="562"/>
      <c r="F4" s="562"/>
      <c r="G4" s="562"/>
      <c r="H4" s="562"/>
      <c r="I4" s="562"/>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77" t="s">
        <v>214</v>
      </c>
      <c r="C6" s="477"/>
      <c r="D6" s="478"/>
      <c r="E6" s="515" t="s">
        <v>215</v>
      </c>
      <c r="F6" s="516"/>
      <c r="G6" s="516"/>
      <c r="H6" s="516"/>
      <c r="I6" s="517"/>
      <c r="J6" s="526" t="str">
        <f>IF(AND('Mapa de Riesgos'!$H$12="Muy Alta",'Mapa de Riesgos'!$L$12="Leve"),CONCATENATE("R",'Mapa de Riesgos'!$A$12),"")</f>
        <v/>
      </c>
      <c r="K6" s="527"/>
      <c r="L6" s="527" t="str">
        <f>IF(AND('Mapa de Riesgos'!$H$18="Muy Alta",'Mapa de Riesgos'!$L$18="Leve"),CONCATENATE("R",'Mapa de Riesgos'!$A$18),"")</f>
        <v/>
      </c>
      <c r="M6" s="527"/>
      <c r="N6" s="527" t="str">
        <f>IF(AND('Mapa de Riesgos'!$H$24="Muy Alta",'Mapa de Riesgos'!$L$24="Leve"),CONCATENATE("R",'Mapa de Riesgos'!$A$24),"")</f>
        <v/>
      </c>
      <c r="O6" s="529"/>
      <c r="P6" s="526" t="str">
        <f>IF(AND('Mapa de Riesgos'!$H$12="Muy Alta",'Mapa de Riesgos'!$L$12="Menor"),CONCATENATE("R",'Mapa de Riesgos'!$A$12),"")</f>
        <v/>
      </c>
      <c r="Q6" s="527"/>
      <c r="R6" s="527" t="str">
        <f>IF(AND('Mapa de Riesgos'!$H$18="Muy Alta",'Mapa de Riesgos'!$L$18="Menor"),CONCATENATE("R",'Mapa de Riesgos'!$A$18),"")</f>
        <v/>
      </c>
      <c r="S6" s="527"/>
      <c r="T6" s="527" t="str">
        <f>IF(AND('Mapa de Riesgos'!$H$24="Muy Alta",'Mapa de Riesgos'!$L$24="Menor"),CONCATENATE("R",'Mapa de Riesgos'!$A$24),"")</f>
        <v/>
      </c>
      <c r="U6" s="529"/>
      <c r="V6" s="526" t="str">
        <f>IF(AND('Mapa de Riesgos'!$H$12="Muy Alta",'Mapa de Riesgos'!$L$12="Moderado"),CONCATENATE("R",'Mapa de Riesgos'!$A$12),"")</f>
        <v/>
      </c>
      <c r="W6" s="527"/>
      <c r="X6" s="527" t="str">
        <f>IF(AND('Mapa de Riesgos'!$H$18="Muy Alta",'Mapa de Riesgos'!$L$18="Moderado"),CONCATENATE("R",'Mapa de Riesgos'!$A$18),"")</f>
        <v/>
      </c>
      <c r="Y6" s="527"/>
      <c r="Z6" s="527" t="str">
        <f>IF(AND('Mapa de Riesgos'!$H$24="Muy Alta",'Mapa de Riesgos'!$L$24="Moderado"),CONCATENATE("R",'Mapa de Riesgos'!$A$24),"")</f>
        <v/>
      </c>
      <c r="AA6" s="529"/>
      <c r="AB6" s="526" t="str">
        <f>IF(AND('Mapa de Riesgos'!$H$12="Muy Alta",'Mapa de Riesgos'!$L$12="Mayor"),CONCATENATE("R",'Mapa de Riesgos'!$A$12),"")</f>
        <v/>
      </c>
      <c r="AC6" s="527"/>
      <c r="AD6" s="527" t="str">
        <f>IF(AND('Mapa de Riesgos'!$H$18="Muy Alta",'Mapa de Riesgos'!$L$18="Mayor"),CONCATENATE("R",'Mapa de Riesgos'!$A$18),"")</f>
        <v/>
      </c>
      <c r="AE6" s="527"/>
      <c r="AF6" s="527" t="str">
        <f>IF(AND('Mapa de Riesgos'!$H$24="Muy Alta",'Mapa de Riesgos'!$L$24="Mayor"),CONCATENATE("R",'Mapa de Riesgos'!$A$24),"")</f>
        <v/>
      </c>
      <c r="AG6" s="529"/>
      <c r="AH6" s="541" t="str">
        <f>IF(AND('Mapa de Riesgos'!$H$12="Muy Alta",'Mapa de Riesgos'!$L$12="Catastrófico"),CONCATENATE("R",'Mapa de Riesgos'!$A$12),"")</f>
        <v/>
      </c>
      <c r="AI6" s="542"/>
      <c r="AJ6" s="542" t="str">
        <f>IF(AND('Mapa de Riesgos'!$H$18="Muy Alta",'Mapa de Riesgos'!$L$18="Catastrófico"),CONCATENATE("R",'Mapa de Riesgos'!$A$18),"")</f>
        <v/>
      </c>
      <c r="AK6" s="542"/>
      <c r="AL6" s="542" t="str">
        <f>IF(AND('Mapa de Riesgos'!$H$24="Muy Alta",'Mapa de Riesgos'!$L$24="Catastrófico"),CONCATENATE("R",'Mapa de Riesgos'!$A$24),"")</f>
        <v/>
      </c>
      <c r="AM6" s="543"/>
      <c r="AO6" s="479" t="s">
        <v>216</v>
      </c>
      <c r="AP6" s="480"/>
      <c r="AQ6" s="480"/>
      <c r="AR6" s="480"/>
      <c r="AS6" s="480"/>
      <c r="AT6" s="48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77"/>
      <c r="C7" s="477"/>
      <c r="D7" s="478"/>
      <c r="E7" s="518"/>
      <c r="F7" s="519"/>
      <c r="G7" s="519"/>
      <c r="H7" s="519"/>
      <c r="I7" s="520"/>
      <c r="J7" s="528"/>
      <c r="K7" s="524"/>
      <c r="L7" s="524"/>
      <c r="M7" s="524"/>
      <c r="N7" s="524"/>
      <c r="O7" s="525"/>
      <c r="P7" s="528"/>
      <c r="Q7" s="524"/>
      <c r="R7" s="524"/>
      <c r="S7" s="524"/>
      <c r="T7" s="524"/>
      <c r="U7" s="525"/>
      <c r="V7" s="528"/>
      <c r="W7" s="524"/>
      <c r="X7" s="524"/>
      <c r="Y7" s="524"/>
      <c r="Z7" s="524"/>
      <c r="AA7" s="525"/>
      <c r="AB7" s="528"/>
      <c r="AC7" s="524"/>
      <c r="AD7" s="524"/>
      <c r="AE7" s="524"/>
      <c r="AF7" s="524"/>
      <c r="AG7" s="525"/>
      <c r="AH7" s="535"/>
      <c r="AI7" s="536"/>
      <c r="AJ7" s="536"/>
      <c r="AK7" s="536"/>
      <c r="AL7" s="536"/>
      <c r="AM7" s="537"/>
      <c r="AN7" s="83"/>
      <c r="AO7" s="482"/>
      <c r="AP7" s="483"/>
      <c r="AQ7" s="483"/>
      <c r="AR7" s="483"/>
      <c r="AS7" s="483"/>
      <c r="AT7" s="48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77"/>
      <c r="C8" s="477"/>
      <c r="D8" s="478"/>
      <c r="E8" s="518"/>
      <c r="F8" s="519"/>
      <c r="G8" s="519"/>
      <c r="H8" s="519"/>
      <c r="I8" s="520"/>
      <c r="J8" s="528" t="str">
        <f>IF(AND('Mapa de Riesgos'!$H$32="Muy Alta",'Mapa de Riesgos'!$L$32="Leve"),CONCATENATE("R",'Mapa de Riesgos'!$A$32),"")</f>
        <v/>
      </c>
      <c r="K8" s="524"/>
      <c r="L8" s="524" t="str">
        <f>IF(AND('Mapa de Riesgos'!$H$38="Muy Alta",'Mapa de Riesgos'!$L$38="Leve"),CONCATENATE("R",'Mapa de Riesgos'!$A$38),"")</f>
        <v/>
      </c>
      <c r="M8" s="524"/>
      <c r="N8" s="524" t="str">
        <f>IF(AND('Mapa de Riesgos'!$H$44="Muy Alta",'Mapa de Riesgos'!$L$44="Leve"),CONCATENATE("R",'Mapa de Riesgos'!$A$44),"")</f>
        <v/>
      </c>
      <c r="O8" s="525"/>
      <c r="P8" s="528" t="str">
        <f>IF(AND('Mapa de Riesgos'!$H$32="Muy Alta",'Mapa de Riesgos'!$L$32="Menor"),CONCATENATE("R",'Mapa de Riesgos'!$A$32),"")</f>
        <v/>
      </c>
      <c r="Q8" s="524"/>
      <c r="R8" s="524" t="str">
        <f>IF(AND('Mapa de Riesgos'!$H$38="Muy Alta",'Mapa de Riesgos'!$L$38="Menor"),CONCATENATE("R",'Mapa de Riesgos'!$A$38),"")</f>
        <v/>
      </c>
      <c r="S8" s="524"/>
      <c r="T8" s="524" t="str">
        <f>IF(AND('Mapa de Riesgos'!$H$44="Muy Alta",'Mapa de Riesgos'!$L$44="Menor"),CONCATENATE("R",'Mapa de Riesgos'!$A$44),"")</f>
        <v/>
      </c>
      <c r="U8" s="525"/>
      <c r="V8" s="528" t="str">
        <f>IF(AND('Mapa de Riesgos'!$H$32="Muy Alta",'Mapa de Riesgos'!$L$32="Moderado"),CONCATENATE("R",'Mapa de Riesgos'!$A$32),"")</f>
        <v/>
      </c>
      <c r="W8" s="524"/>
      <c r="X8" s="524" t="str">
        <f>IF(AND('Mapa de Riesgos'!$H$38="Muy Alta",'Mapa de Riesgos'!$L$38="Moderado"),CONCATENATE("R",'Mapa de Riesgos'!$A$38),"")</f>
        <v/>
      </c>
      <c r="Y8" s="524"/>
      <c r="Z8" s="524" t="str">
        <f>IF(AND('Mapa de Riesgos'!$H$44="Muy Alta",'Mapa de Riesgos'!$L$44="Moderado"),CONCATENATE("R",'Mapa de Riesgos'!$A$44),"")</f>
        <v/>
      </c>
      <c r="AA8" s="525"/>
      <c r="AB8" s="528" t="str">
        <f>IF(AND('Mapa de Riesgos'!$H$32="Muy Alta",'Mapa de Riesgos'!$L$32="Mayor"),CONCATENATE("R",'Mapa de Riesgos'!$A$32),"")</f>
        <v/>
      </c>
      <c r="AC8" s="524"/>
      <c r="AD8" s="524" t="str">
        <f>IF(AND('Mapa de Riesgos'!$H$38="Muy Alta",'Mapa de Riesgos'!$L$38="Mayor"),CONCATENATE("R",'Mapa de Riesgos'!$A$38),"")</f>
        <v/>
      </c>
      <c r="AE8" s="524"/>
      <c r="AF8" s="524" t="str">
        <f>IF(AND('Mapa de Riesgos'!$H$44="Muy Alta",'Mapa de Riesgos'!$L$44="Mayor"),CONCATENATE("R",'Mapa de Riesgos'!$A$44),"")</f>
        <v/>
      </c>
      <c r="AG8" s="525"/>
      <c r="AH8" s="535" t="str">
        <f>IF(AND('Mapa de Riesgos'!$H$32="Muy Alta",'Mapa de Riesgos'!$L$32="Catastrófico"),CONCATENATE("R",'Mapa de Riesgos'!$A$32),"")</f>
        <v/>
      </c>
      <c r="AI8" s="536"/>
      <c r="AJ8" s="536" t="str">
        <f>IF(AND('Mapa de Riesgos'!$H$38="Muy Alta",'Mapa de Riesgos'!$L$38="Catastrófico"),CONCATENATE("R",'Mapa de Riesgos'!$A$38),"")</f>
        <v/>
      </c>
      <c r="AK8" s="536"/>
      <c r="AL8" s="536" t="str">
        <f>IF(AND('Mapa de Riesgos'!$H$44="Muy Alta",'Mapa de Riesgos'!$L$44="Catastrófico"),CONCATENATE("R",'Mapa de Riesgos'!$A$44),"")</f>
        <v/>
      </c>
      <c r="AM8" s="537"/>
      <c r="AN8" s="83"/>
      <c r="AO8" s="482"/>
      <c r="AP8" s="483"/>
      <c r="AQ8" s="483"/>
      <c r="AR8" s="483"/>
      <c r="AS8" s="483"/>
      <c r="AT8" s="48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77"/>
      <c r="C9" s="477"/>
      <c r="D9" s="478"/>
      <c r="E9" s="518"/>
      <c r="F9" s="519"/>
      <c r="G9" s="519"/>
      <c r="H9" s="519"/>
      <c r="I9" s="520"/>
      <c r="J9" s="528"/>
      <c r="K9" s="524"/>
      <c r="L9" s="524"/>
      <c r="M9" s="524"/>
      <c r="N9" s="524"/>
      <c r="O9" s="525"/>
      <c r="P9" s="528"/>
      <c r="Q9" s="524"/>
      <c r="R9" s="524"/>
      <c r="S9" s="524"/>
      <c r="T9" s="524"/>
      <c r="U9" s="525"/>
      <c r="V9" s="528"/>
      <c r="W9" s="524"/>
      <c r="X9" s="524"/>
      <c r="Y9" s="524"/>
      <c r="Z9" s="524"/>
      <c r="AA9" s="525"/>
      <c r="AB9" s="528"/>
      <c r="AC9" s="524"/>
      <c r="AD9" s="524"/>
      <c r="AE9" s="524"/>
      <c r="AF9" s="524"/>
      <c r="AG9" s="525"/>
      <c r="AH9" s="535"/>
      <c r="AI9" s="536"/>
      <c r="AJ9" s="536"/>
      <c r="AK9" s="536"/>
      <c r="AL9" s="536"/>
      <c r="AM9" s="537"/>
      <c r="AN9" s="83"/>
      <c r="AO9" s="482"/>
      <c r="AP9" s="483"/>
      <c r="AQ9" s="483"/>
      <c r="AR9" s="483"/>
      <c r="AS9" s="483"/>
      <c r="AT9" s="48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77"/>
      <c r="C10" s="477"/>
      <c r="D10" s="478"/>
      <c r="E10" s="518"/>
      <c r="F10" s="519"/>
      <c r="G10" s="519"/>
      <c r="H10" s="519"/>
      <c r="I10" s="520"/>
      <c r="J10" s="528" t="str">
        <f>IF(AND('Mapa de Riesgos'!$H$50="Muy Alta",'Mapa de Riesgos'!$L$50="Leve"),CONCATENATE("R",'Mapa de Riesgos'!$A$50),"")</f>
        <v/>
      </c>
      <c r="K10" s="524"/>
      <c r="L10" s="524" t="str">
        <f>IF(AND('Mapa de Riesgos'!$H$56="Muy Alta",'Mapa de Riesgos'!$L$56="Leve"),CONCATENATE("R",'Mapa de Riesgos'!$A$56),"")</f>
        <v/>
      </c>
      <c r="M10" s="524"/>
      <c r="N10" s="524" t="str">
        <f>IF(AND('Mapa de Riesgos'!$H$62="Muy Alta",'Mapa de Riesgos'!$L$62="Leve"),CONCATENATE("R",'Mapa de Riesgos'!$A$62),"")</f>
        <v/>
      </c>
      <c r="O10" s="525"/>
      <c r="P10" s="528" t="str">
        <f>IF(AND('Mapa de Riesgos'!$H$50="Muy Alta",'Mapa de Riesgos'!$L$50="Menor"),CONCATENATE("R",'Mapa de Riesgos'!$A$50),"")</f>
        <v/>
      </c>
      <c r="Q10" s="524"/>
      <c r="R10" s="524" t="str">
        <f>IF(AND('Mapa de Riesgos'!$H$56="Muy Alta",'Mapa de Riesgos'!$L$56="Menor"),CONCATENATE("R",'Mapa de Riesgos'!$A$56),"")</f>
        <v/>
      </c>
      <c r="S10" s="524"/>
      <c r="T10" s="524" t="str">
        <f>IF(AND('Mapa de Riesgos'!$H$62="Muy Alta",'Mapa de Riesgos'!$L$62="Menor"),CONCATENATE("R",'Mapa de Riesgos'!$A$62),"")</f>
        <v/>
      </c>
      <c r="U10" s="525"/>
      <c r="V10" s="528" t="str">
        <f>IF(AND('Mapa de Riesgos'!$H$50="Muy Alta",'Mapa de Riesgos'!$L$50="Moderado"),CONCATENATE("R",'Mapa de Riesgos'!$A$50),"")</f>
        <v/>
      </c>
      <c r="W10" s="524"/>
      <c r="X10" s="524" t="str">
        <f>IF(AND('Mapa de Riesgos'!$H$56="Muy Alta",'Mapa de Riesgos'!$L$56="Moderado"),CONCATENATE("R",'Mapa de Riesgos'!$A$56),"")</f>
        <v/>
      </c>
      <c r="Y10" s="524"/>
      <c r="Z10" s="524" t="str">
        <f>IF(AND('Mapa de Riesgos'!$H$62="Muy Alta",'Mapa de Riesgos'!$L$62="Moderado"),CONCATENATE("R",'Mapa de Riesgos'!$A$62),"")</f>
        <v/>
      </c>
      <c r="AA10" s="525"/>
      <c r="AB10" s="528" t="str">
        <f>IF(AND('Mapa de Riesgos'!$H$50="Muy Alta",'Mapa de Riesgos'!$L$50="Mayor"),CONCATENATE("R",'Mapa de Riesgos'!$A$50),"")</f>
        <v/>
      </c>
      <c r="AC10" s="524"/>
      <c r="AD10" s="524" t="str">
        <f>IF(AND('Mapa de Riesgos'!$H$56="Muy Alta",'Mapa de Riesgos'!$L$56="Mayor"),CONCATENATE("R",'Mapa de Riesgos'!$A$56),"")</f>
        <v/>
      </c>
      <c r="AE10" s="524"/>
      <c r="AF10" s="524" t="str">
        <f>IF(AND('Mapa de Riesgos'!$H$62="Muy Alta",'Mapa de Riesgos'!$L$62="Mayor"),CONCATENATE("R",'Mapa de Riesgos'!$A$62),"")</f>
        <v/>
      </c>
      <c r="AG10" s="525"/>
      <c r="AH10" s="535" t="str">
        <f>IF(AND('Mapa de Riesgos'!$H$50="Muy Alta",'Mapa de Riesgos'!$L$50="Catastrófico"),CONCATENATE("R",'Mapa de Riesgos'!$A$50),"")</f>
        <v/>
      </c>
      <c r="AI10" s="536"/>
      <c r="AJ10" s="536" t="str">
        <f>IF(AND('Mapa de Riesgos'!$H$56="Muy Alta",'Mapa de Riesgos'!$L$56="Catastrófico"),CONCATENATE("R",'Mapa de Riesgos'!$A$56),"")</f>
        <v/>
      </c>
      <c r="AK10" s="536"/>
      <c r="AL10" s="536" t="str">
        <f>IF(AND('Mapa de Riesgos'!$H$62="Muy Alta",'Mapa de Riesgos'!$L$62="Catastrófico"),CONCATENATE("R",'Mapa de Riesgos'!$A$62),"")</f>
        <v/>
      </c>
      <c r="AM10" s="537"/>
      <c r="AN10" s="83"/>
      <c r="AO10" s="482"/>
      <c r="AP10" s="483"/>
      <c r="AQ10" s="483"/>
      <c r="AR10" s="483"/>
      <c r="AS10" s="483"/>
      <c r="AT10" s="48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77"/>
      <c r="C11" s="477"/>
      <c r="D11" s="478"/>
      <c r="E11" s="518"/>
      <c r="F11" s="519"/>
      <c r="G11" s="519"/>
      <c r="H11" s="519"/>
      <c r="I11" s="520"/>
      <c r="J11" s="528"/>
      <c r="K11" s="524"/>
      <c r="L11" s="524"/>
      <c r="M11" s="524"/>
      <c r="N11" s="524"/>
      <c r="O11" s="525"/>
      <c r="P11" s="528"/>
      <c r="Q11" s="524"/>
      <c r="R11" s="524"/>
      <c r="S11" s="524"/>
      <c r="T11" s="524"/>
      <c r="U11" s="525"/>
      <c r="V11" s="528"/>
      <c r="W11" s="524"/>
      <c r="X11" s="524"/>
      <c r="Y11" s="524"/>
      <c r="Z11" s="524"/>
      <c r="AA11" s="525"/>
      <c r="AB11" s="528"/>
      <c r="AC11" s="524"/>
      <c r="AD11" s="524"/>
      <c r="AE11" s="524"/>
      <c r="AF11" s="524"/>
      <c r="AG11" s="525"/>
      <c r="AH11" s="535"/>
      <c r="AI11" s="536"/>
      <c r="AJ11" s="536"/>
      <c r="AK11" s="536"/>
      <c r="AL11" s="536"/>
      <c r="AM11" s="537"/>
      <c r="AN11" s="83"/>
      <c r="AO11" s="482"/>
      <c r="AP11" s="483"/>
      <c r="AQ11" s="483"/>
      <c r="AR11" s="483"/>
      <c r="AS11" s="483"/>
      <c r="AT11" s="48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77"/>
      <c r="C12" s="477"/>
      <c r="D12" s="478"/>
      <c r="E12" s="518"/>
      <c r="F12" s="519"/>
      <c r="G12" s="519"/>
      <c r="H12" s="519"/>
      <c r="I12" s="520"/>
      <c r="J12" s="528" t="str">
        <f>IF(AND('Mapa de Riesgos'!$H$68="Muy Alta",'Mapa de Riesgos'!$L$68="Leve"),CONCATENATE("R",'Mapa de Riesgos'!$A$68),"")</f>
        <v/>
      </c>
      <c r="K12" s="524"/>
      <c r="L12" s="524" t="str">
        <f>IF(AND('Mapa de Riesgos'!$H$74="Muy Alta",'Mapa de Riesgos'!$L$74="Leve"),CONCATENATE("R",'Mapa de Riesgos'!$A$74),"")</f>
        <v/>
      </c>
      <c r="M12" s="524"/>
      <c r="N12" s="524" t="str">
        <f>IF(AND('Mapa de Riesgos'!$H$80="Muy Alta",'Mapa de Riesgos'!$L$80="Leve"),CONCATENATE("R",'Mapa de Riesgos'!$A$80),"")</f>
        <v/>
      </c>
      <c r="O12" s="525"/>
      <c r="P12" s="528" t="str">
        <f>IF(AND('Mapa de Riesgos'!$H$68="Muy Alta",'Mapa de Riesgos'!$L$68="Menor"),CONCATENATE("R",'Mapa de Riesgos'!$A$68),"")</f>
        <v/>
      </c>
      <c r="Q12" s="524"/>
      <c r="R12" s="524" t="str">
        <f>IF(AND('Mapa de Riesgos'!$H$74="Muy Alta",'Mapa de Riesgos'!$L$74="Menor"),CONCATENATE("R",'Mapa de Riesgos'!$A$74),"")</f>
        <v/>
      </c>
      <c r="S12" s="524"/>
      <c r="T12" s="524" t="str">
        <f>IF(AND('Mapa de Riesgos'!$H$80="Muy Alta",'Mapa de Riesgos'!$L$80="Menor"),CONCATENATE("R",'Mapa de Riesgos'!$A$80),"")</f>
        <v/>
      </c>
      <c r="U12" s="525"/>
      <c r="V12" s="528" t="str">
        <f>IF(AND('Mapa de Riesgos'!$H$68="Muy Alta",'Mapa de Riesgos'!$L$68="Moderado"),CONCATENATE("R",'Mapa de Riesgos'!$A$68),"")</f>
        <v/>
      </c>
      <c r="W12" s="524"/>
      <c r="X12" s="524" t="str">
        <f>IF(AND('Mapa de Riesgos'!$H$74="Muy Alta",'Mapa de Riesgos'!$L$74="Moderado"),CONCATENATE("R",'Mapa de Riesgos'!$A$74),"")</f>
        <v/>
      </c>
      <c r="Y12" s="524"/>
      <c r="Z12" s="524" t="str">
        <f>IF(AND('Mapa de Riesgos'!$H$80="Muy Alta",'Mapa de Riesgos'!$L$80="Moderado"),CONCATENATE("R",'Mapa de Riesgos'!$A$80),"")</f>
        <v/>
      </c>
      <c r="AA12" s="525"/>
      <c r="AB12" s="528" t="str">
        <f>IF(AND('Mapa de Riesgos'!$H$68="Muy Alta",'Mapa de Riesgos'!$L$68="Mayor"),CONCATENATE("R",'Mapa de Riesgos'!$A$68),"")</f>
        <v/>
      </c>
      <c r="AC12" s="524"/>
      <c r="AD12" s="524" t="str">
        <f>IF(AND('Mapa de Riesgos'!$H$74="Muy Alta",'Mapa de Riesgos'!$L$74="Mayor"),CONCATENATE("R",'Mapa de Riesgos'!$A$74),"")</f>
        <v/>
      </c>
      <c r="AE12" s="524"/>
      <c r="AF12" s="524" t="str">
        <f>IF(AND('Mapa de Riesgos'!$H$80="Muy Alta",'Mapa de Riesgos'!$L$80="Mayor"),CONCATENATE("R",'Mapa de Riesgos'!$A$80),"")</f>
        <v/>
      </c>
      <c r="AG12" s="525"/>
      <c r="AH12" s="535" t="str">
        <f>IF(AND('Mapa de Riesgos'!$H$68="Muy Alta",'Mapa de Riesgos'!$L$68="Catastrófico"),CONCATENATE("R",'Mapa de Riesgos'!$A$68),"")</f>
        <v/>
      </c>
      <c r="AI12" s="536"/>
      <c r="AJ12" s="536" t="str">
        <f>IF(AND('Mapa de Riesgos'!$H$74="Muy Alta",'Mapa de Riesgos'!$L$74="Catastrófico"),CONCATENATE("R",'Mapa de Riesgos'!$A$74),"")</f>
        <v/>
      </c>
      <c r="AK12" s="536"/>
      <c r="AL12" s="536" t="str">
        <f>IF(AND('Mapa de Riesgos'!$H$80="Muy Alta",'Mapa de Riesgos'!$L$80="Catastrófico"),CONCATENATE("R",'Mapa de Riesgos'!$A$80),"")</f>
        <v/>
      </c>
      <c r="AM12" s="537"/>
      <c r="AN12" s="83"/>
      <c r="AO12" s="482"/>
      <c r="AP12" s="483"/>
      <c r="AQ12" s="483"/>
      <c r="AR12" s="483"/>
      <c r="AS12" s="483"/>
      <c r="AT12" s="48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77"/>
      <c r="C13" s="477"/>
      <c r="D13" s="478"/>
      <c r="E13" s="521"/>
      <c r="F13" s="522"/>
      <c r="G13" s="522"/>
      <c r="H13" s="522"/>
      <c r="I13" s="523"/>
      <c r="J13" s="528"/>
      <c r="K13" s="524"/>
      <c r="L13" s="524"/>
      <c r="M13" s="524"/>
      <c r="N13" s="524"/>
      <c r="O13" s="525"/>
      <c r="P13" s="528"/>
      <c r="Q13" s="524"/>
      <c r="R13" s="524"/>
      <c r="S13" s="524"/>
      <c r="T13" s="524"/>
      <c r="U13" s="525"/>
      <c r="V13" s="528"/>
      <c r="W13" s="524"/>
      <c r="X13" s="524"/>
      <c r="Y13" s="524"/>
      <c r="Z13" s="524"/>
      <c r="AA13" s="525"/>
      <c r="AB13" s="528"/>
      <c r="AC13" s="524"/>
      <c r="AD13" s="524"/>
      <c r="AE13" s="524"/>
      <c r="AF13" s="524"/>
      <c r="AG13" s="525"/>
      <c r="AH13" s="538"/>
      <c r="AI13" s="539"/>
      <c r="AJ13" s="539"/>
      <c r="AK13" s="539"/>
      <c r="AL13" s="539"/>
      <c r="AM13" s="540"/>
      <c r="AN13" s="83"/>
      <c r="AO13" s="485"/>
      <c r="AP13" s="486"/>
      <c r="AQ13" s="486"/>
      <c r="AR13" s="486"/>
      <c r="AS13" s="486"/>
      <c r="AT13" s="48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77"/>
      <c r="C14" s="477"/>
      <c r="D14" s="478"/>
      <c r="E14" s="515" t="s">
        <v>217</v>
      </c>
      <c r="F14" s="516"/>
      <c r="G14" s="516"/>
      <c r="H14" s="516"/>
      <c r="I14" s="516"/>
      <c r="J14" s="550" t="str">
        <f>IF(AND('Mapa de Riesgos'!$H$12="Alta",'Mapa de Riesgos'!$L$12="Leve"),CONCATENATE("R",'Mapa de Riesgos'!$A$12),"")</f>
        <v/>
      </c>
      <c r="K14" s="551"/>
      <c r="L14" s="551" t="str">
        <f>IF(AND('Mapa de Riesgos'!$H$18="Alta",'Mapa de Riesgos'!$L$18="Leve"),CONCATENATE("R",'Mapa de Riesgos'!$A$18),"")</f>
        <v/>
      </c>
      <c r="M14" s="551"/>
      <c r="N14" s="551" t="str">
        <f>IF(AND('Mapa de Riesgos'!$H$24="Alta",'Mapa de Riesgos'!$L$24="Leve"),CONCATENATE("R",'Mapa de Riesgos'!$A$24),"")</f>
        <v/>
      </c>
      <c r="O14" s="552"/>
      <c r="P14" s="550" t="str">
        <f>IF(AND('Mapa de Riesgos'!$H$12="Alta",'Mapa de Riesgos'!$L$12="Menor"),CONCATENATE("R",'Mapa de Riesgos'!$A$12),"")</f>
        <v/>
      </c>
      <c r="Q14" s="551"/>
      <c r="R14" s="551" t="str">
        <f>IF(AND('Mapa de Riesgos'!$H$18="Alta",'Mapa de Riesgos'!$L$18="Menor"),CONCATENATE("R",'Mapa de Riesgos'!$A$18),"")</f>
        <v/>
      </c>
      <c r="S14" s="551"/>
      <c r="T14" s="551" t="str">
        <f>IF(AND('Mapa de Riesgos'!$H$24="Alta",'Mapa de Riesgos'!$L$24="Menor"),CONCATENATE("R",'Mapa de Riesgos'!$A$24),"")</f>
        <v/>
      </c>
      <c r="U14" s="552"/>
      <c r="V14" s="526" t="str">
        <f>IF(AND('Mapa de Riesgos'!$H$12="Alta",'Mapa de Riesgos'!$L$12="Moderado"),CONCATENATE("R",'Mapa de Riesgos'!$A$12),"")</f>
        <v/>
      </c>
      <c r="W14" s="527"/>
      <c r="X14" s="527" t="str">
        <f>IF(AND('Mapa de Riesgos'!$H$18="Alta",'Mapa de Riesgos'!$L$18="Moderado"),CONCATENATE("R",'Mapa de Riesgos'!$A$18),"")</f>
        <v/>
      </c>
      <c r="Y14" s="527"/>
      <c r="Z14" s="527" t="str">
        <f>IF(AND('Mapa de Riesgos'!$H$24="Alta",'Mapa de Riesgos'!$L$24="Moderado"),CONCATENATE("R",'Mapa de Riesgos'!$A$24),"")</f>
        <v/>
      </c>
      <c r="AA14" s="529"/>
      <c r="AB14" s="526" t="str">
        <f>IF(AND('Mapa de Riesgos'!$H$12="Alta",'Mapa de Riesgos'!$L$12="Mayor"),CONCATENATE("R",'Mapa de Riesgos'!$A$12),"")</f>
        <v/>
      </c>
      <c r="AC14" s="527"/>
      <c r="AD14" s="527" t="str">
        <f>IF(AND('Mapa de Riesgos'!$H$18="Alta",'Mapa de Riesgos'!$L$18="Mayor"),CONCATENATE("R",'Mapa de Riesgos'!$A$18),"")</f>
        <v/>
      </c>
      <c r="AE14" s="527"/>
      <c r="AF14" s="527" t="str">
        <f>IF(AND('Mapa de Riesgos'!$H$24="Alta",'Mapa de Riesgos'!$L$24="Mayor"),CONCATENATE("R",'Mapa de Riesgos'!$A$24),"")</f>
        <v/>
      </c>
      <c r="AG14" s="529"/>
      <c r="AH14" s="541" t="str">
        <f>IF(AND('Mapa de Riesgos'!$H$12="Alta",'Mapa de Riesgos'!$L$12="Catastrófico"),CONCATENATE("R",'Mapa de Riesgos'!$A$12),"")</f>
        <v/>
      </c>
      <c r="AI14" s="542"/>
      <c r="AJ14" s="542" t="str">
        <f>IF(AND('Mapa de Riesgos'!$H$18="Alta",'Mapa de Riesgos'!$L$18="Catastrófico"),CONCATENATE("R",'Mapa de Riesgos'!$A$18),"")</f>
        <v/>
      </c>
      <c r="AK14" s="542"/>
      <c r="AL14" s="542" t="str">
        <f>IF(AND('Mapa de Riesgos'!$H$24="Alta",'Mapa de Riesgos'!$L$24="Catastrófico"),CONCATENATE("R",'Mapa de Riesgos'!$A$24),"")</f>
        <v/>
      </c>
      <c r="AM14" s="543"/>
      <c r="AN14" s="83"/>
      <c r="AO14" s="488" t="s">
        <v>218</v>
      </c>
      <c r="AP14" s="489"/>
      <c r="AQ14" s="489"/>
      <c r="AR14" s="489"/>
      <c r="AS14" s="489"/>
      <c r="AT14" s="49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77"/>
      <c r="C15" s="477"/>
      <c r="D15" s="478"/>
      <c r="E15" s="518"/>
      <c r="F15" s="519"/>
      <c r="G15" s="519"/>
      <c r="H15" s="519"/>
      <c r="I15" s="519"/>
      <c r="J15" s="544"/>
      <c r="K15" s="545"/>
      <c r="L15" s="545"/>
      <c r="M15" s="545"/>
      <c r="N15" s="545"/>
      <c r="O15" s="546"/>
      <c r="P15" s="544"/>
      <c r="Q15" s="545"/>
      <c r="R15" s="545"/>
      <c r="S15" s="545"/>
      <c r="T15" s="545"/>
      <c r="U15" s="546"/>
      <c r="V15" s="528"/>
      <c r="W15" s="524"/>
      <c r="X15" s="524"/>
      <c r="Y15" s="524"/>
      <c r="Z15" s="524"/>
      <c r="AA15" s="525"/>
      <c r="AB15" s="528"/>
      <c r="AC15" s="524"/>
      <c r="AD15" s="524"/>
      <c r="AE15" s="524"/>
      <c r="AF15" s="524"/>
      <c r="AG15" s="525"/>
      <c r="AH15" s="535"/>
      <c r="AI15" s="536"/>
      <c r="AJ15" s="536"/>
      <c r="AK15" s="536"/>
      <c r="AL15" s="536"/>
      <c r="AM15" s="537"/>
      <c r="AN15" s="83"/>
      <c r="AO15" s="491"/>
      <c r="AP15" s="492"/>
      <c r="AQ15" s="492"/>
      <c r="AR15" s="492"/>
      <c r="AS15" s="492"/>
      <c r="AT15" s="49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77"/>
      <c r="C16" s="477"/>
      <c r="D16" s="478"/>
      <c r="E16" s="518"/>
      <c r="F16" s="519"/>
      <c r="G16" s="519"/>
      <c r="H16" s="519"/>
      <c r="I16" s="519"/>
      <c r="J16" s="544" t="str">
        <f>IF(AND('Mapa de Riesgos'!$H$32="Alta",'Mapa de Riesgos'!$L$32="Leve"),CONCATENATE("R",'Mapa de Riesgos'!$A$32),"")</f>
        <v/>
      </c>
      <c r="K16" s="545"/>
      <c r="L16" s="545" t="str">
        <f>IF(AND('Mapa de Riesgos'!$H$38="Alta",'Mapa de Riesgos'!$L$38="Leve"),CONCATENATE("R",'Mapa de Riesgos'!$A$38),"")</f>
        <v/>
      </c>
      <c r="M16" s="545"/>
      <c r="N16" s="545" t="str">
        <f>IF(AND('Mapa de Riesgos'!$H$44="Alta",'Mapa de Riesgos'!$L$44="Leve"),CONCATENATE("R",'Mapa de Riesgos'!$A$44),"")</f>
        <v/>
      </c>
      <c r="O16" s="546"/>
      <c r="P16" s="544" t="str">
        <f>IF(AND('Mapa de Riesgos'!$H$32="Alta",'Mapa de Riesgos'!$L$32="Menor"),CONCATENATE("R",'Mapa de Riesgos'!$A$32),"")</f>
        <v/>
      </c>
      <c r="Q16" s="545"/>
      <c r="R16" s="545" t="str">
        <f>IF(AND('Mapa de Riesgos'!$H$38="Alta",'Mapa de Riesgos'!$L$38="Menor"),CONCATENATE("R",'Mapa de Riesgos'!$A$38),"")</f>
        <v/>
      </c>
      <c r="S16" s="545"/>
      <c r="T16" s="545" t="str">
        <f>IF(AND('Mapa de Riesgos'!$H$44="Alta",'Mapa de Riesgos'!$L$44="Menor"),CONCATENATE("R",'Mapa de Riesgos'!$A$44),"")</f>
        <v/>
      </c>
      <c r="U16" s="546"/>
      <c r="V16" s="528" t="str">
        <f>IF(AND('Mapa de Riesgos'!$H$32="Alta",'Mapa de Riesgos'!$L$32="Moderado"),CONCATENATE("R",'Mapa de Riesgos'!$A$32),"")</f>
        <v/>
      </c>
      <c r="W16" s="524"/>
      <c r="X16" s="524" t="str">
        <f>IF(AND('Mapa de Riesgos'!$H$38="Alta",'Mapa de Riesgos'!$L$38="Moderado"),CONCATENATE("R",'Mapa de Riesgos'!$A$38),"")</f>
        <v/>
      </c>
      <c r="Y16" s="524"/>
      <c r="Z16" s="524" t="str">
        <f>IF(AND('Mapa de Riesgos'!$H$44="Alta",'Mapa de Riesgos'!$L$44="Moderado"),CONCATENATE("R",'Mapa de Riesgos'!$A$44),"")</f>
        <v/>
      </c>
      <c r="AA16" s="525"/>
      <c r="AB16" s="528" t="str">
        <f>IF(AND('Mapa de Riesgos'!$H$32="Alta",'Mapa de Riesgos'!$L$32="Mayor"),CONCATENATE("R",'Mapa de Riesgos'!$A$32),"")</f>
        <v/>
      </c>
      <c r="AC16" s="524"/>
      <c r="AD16" s="524" t="str">
        <f>IF(AND('Mapa de Riesgos'!$H$38="Alta",'Mapa de Riesgos'!$L$38="Mayor"),CONCATENATE("R",'Mapa de Riesgos'!$A$38),"")</f>
        <v/>
      </c>
      <c r="AE16" s="524"/>
      <c r="AF16" s="524" t="str">
        <f>IF(AND('Mapa de Riesgos'!$H$44="Alta",'Mapa de Riesgos'!$L$44="Mayor"),CONCATENATE("R",'Mapa de Riesgos'!$A$44),"")</f>
        <v/>
      </c>
      <c r="AG16" s="525"/>
      <c r="AH16" s="535" t="str">
        <f>IF(AND('Mapa de Riesgos'!$H$32="Alta",'Mapa de Riesgos'!$L$32="Catastrófico"),CONCATENATE("R",'Mapa de Riesgos'!$A$32),"")</f>
        <v/>
      </c>
      <c r="AI16" s="536"/>
      <c r="AJ16" s="536" t="str">
        <f>IF(AND('Mapa de Riesgos'!$H$38="Alta",'Mapa de Riesgos'!$L$38="Catastrófico"),CONCATENATE("R",'Mapa de Riesgos'!$A$38),"")</f>
        <v/>
      </c>
      <c r="AK16" s="536"/>
      <c r="AL16" s="536" t="str">
        <f>IF(AND('Mapa de Riesgos'!$H$44="Alta",'Mapa de Riesgos'!$L$44="Catastrófico"),CONCATENATE("R",'Mapa de Riesgos'!$A$44),"")</f>
        <v/>
      </c>
      <c r="AM16" s="537"/>
      <c r="AN16" s="83"/>
      <c r="AO16" s="491"/>
      <c r="AP16" s="492"/>
      <c r="AQ16" s="492"/>
      <c r="AR16" s="492"/>
      <c r="AS16" s="492"/>
      <c r="AT16" s="49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77"/>
      <c r="C17" s="477"/>
      <c r="D17" s="478"/>
      <c r="E17" s="518"/>
      <c r="F17" s="519"/>
      <c r="G17" s="519"/>
      <c r="H17" s="519"/>
      <c r="I17" s="519"/>
      <c r="J17" s="544"/>
      <c r="K17" s="545"/>
      <c r="L17" s="545"/>
      <c r="M17" s="545"/>
      <c r="N17" s="545"/>
      <c r="O17" s="546"/>
      <c r="P17" s="544"/>
      <c r="Q17" s="545"/>
      <c r="R17" s="545"/>
      <c r="S17" s="545"/>
      <c r="T17" s="545"/>
      <c r="U17" s="546"/>
      <c r="V17" s="528"/>
      <c r="W17" s="524"/>
      <c r="X17" s="524"/>
      <c r="Y17" s="524"/>
      <c r="Z17" s="524"/>
      <c r="AA17" s="525"/>
      <c r="AB17" s="528"/>
      <c r="AC17" s="524"/>
      <c r="AD17" s="524"/>
      <c r="AE17" s="524"/>
      <c r="AF17" s="524"/>
      <c r="AG17" s="525"/>
      <c r="AH17" s="535"/>
      <c r="AI17" s="536"/>
      <c r="AJ17" s="536"/>
      <c r="AK17" s="536"/>
      <c r="AL17" s="536"/>
      <c r="AM17" s="537"/>
      <c r="AN17" s="83"/>
      <c r="AO17" s="491"/>
      <c r="AP17" s="492"/>
      <c r="AQ17" s="492"/>
      <c r="AR17" s="492"/>
      <c r="AS17" s="492"/>
      <c r="AT17" s="49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77"/>
      <c r="C18" s="477"/>
      <c r="D18" s="478"/>
      <c r="E18" s="518"/>
      <c r="F18" s="519"/>
      <c r="G18" s="519"/>
      <c r="H18" s="519"/>
      <c r="I18" s="519"/>
      <c r="J18" s="544" t="str">
        <f>IF(AND('Mapa de Riesgos'!$H$50="Alta",'Mapa de Riesgos'!$L$50="Leve"),CONCATENATE("R",'Mapa de Riesgos'!$A$50),"")</f>
        <v/>
      </c>
      <c r="K18" s="545"/>
      <c r="L18" s="545" t="str">
        <f>IF(AND('Mapa de Riesgos'!$H$56="Alta",'Mapa de Riesgos'!$L$56="Leve"),CONCATENATE("R",'Mapa de Riesgos'!$A$56),"")</f>
        <v/>
      </c>
      <c r="M18" s="545"/>
      <c r="N18" s="545" t="str">
        <f>IF(AND('Mapa de Riesgos'!$H$62="Alta",'Mapa de Riesgos'!$L$62="Leve"),CONCATENATE("R",'Mapa de Riesgos'!$A$62),"")</f>
        <v/>
      </c>
      <c r="O18" s="546"/>
      <c r="P18" s="544" t="str">
        <f>IF(AND('Mapa de Riesgos'!$H$50="Alta",'Mapa de Riesgos'!$L$50="Menor"),CONCATENATE("R",'Mapa de Riesgos'!$A$50),"")</f>
        <v/>
      </c>
      <c r="Q18" s="545"/>
      <c r="R18" s="545" t="str">
        <f>IF(AND('Mapa de Riesgos'!$H$56="Alta",'Mapa de Riesgos'!$L$56="Menor"),CONCATENATE("R",'Mapa de Riesgos'!$A$56),"")</f>
        <v/>
      </c>
      <c r="S18" s="545"/>
      <c r="T18" s="545" t="str">
        <f>IF(AND('Mapa de Riesgos'!$H$62="Alta",'Mapa de Riesgos'!$L$62="Menor"),CONCATENATE("R",'Mapa de Riesgos'!$A$62),"")</f>
        <v/>
      </c>
      <c r="U18" s="546"/>
      <c r="V18" s="528" t="str">
        <f>IF(AND('Mapa de Riesgos'!$H$50="Alta",'Mapa de Riesgos'!$L$50="Moderado"),CONCATENATE("R",'Mapa de Riesgos'!$A$50),"")</f>
        <v/>
      </c>
      <c r="W18" s="524"/>
      <c r="X18" s="524" t="str">
        <f>IF(AND('Mapa de Riesgos'!$H$56="Alta",'Mapa de Riesgos'!$L$56="Moderado"),CONCATENATE("R",'Mapa de Riesgos'!$A$56),"")</f>
        <v/>
      </c>
      <c r="Y18" s="524"/>
      <c r="Z18" s="524" t="str">
        <f>IF(AND('Mapa de Riesgos'!$H$62="Alta",'Mapa de Riesgos'!$L$62="Moderado"),CONCATENATE("R",'Mapa de Riesgos'!$A$62),"")</f>
        <v/>
      </c>
      <c r="AA18" s="525"/>
      <c r="AB18" s="528" t="str">
        <f>IF(AND('Mapa de Riesgos'!$H$50="Alta",'Mapa de Riesgos'!$L$50="Mayor"),CONCATENATE("R",'Mapa de Riesgos'!$A$50),"")</f>
        <v/>
      </c>
      <c r="AC18" s="524"/>
      <c r="AD18" s="524" t="str">
        <f>IF(AND('Mapa de Riesgos'!$H$56="Alta",'Mapa de Riesgos'!$L$56="Mayor"),CONCATENATE("R",'Mapa de Riesgos'!$A$56),"")</f>
        <v/>
      </c>
      <c r="AE18" s="524"/>
      <c r="AF18" s="524" t="str">
        <f>IF(AND('Mapa de Riesgos'!$H$62="Alta",'Mapa de Riesgos'!$L$62="Mayor"),CONCATENATE("R",'Mapa de Riesgos'!$A$62),"")</f>
        <v/>
      </c>
      <c r="AG18" s="525"/>
      <c r="AH18" s="535" t="str">
        <f>IF(AND('Mapa de Riesgos'!$H$50="Alta",'Mapa de Riesgos'!$L$50="Catastrófico"),CONCATENATE("R",'Mapa de Riesgos'!$A$50),"")</f>
        <v/>
      </c>
      <c r="AI18" s="536"/>
      <c r="AJ18" s="536" t="str">
        <f>IF(AND('Mapa de Riesgos'!$H$56="Alta",'Mapa de Riesgos'!$L$56="Catastrófico"),CONCATENATE("R",'Mapa de Riesgos'!$A$56),"")</f>
        <v/>
      </c>
      <c r="AK18" s="536"/>
      <c r="AL18" s="536" t="str">
        <f>IF(AND('Mapa de Riesgos'!$H$62="Alta",'Mapa de Riesgos'!$L$62="Catastrófico"),CONCATENATE("R",'Mapa de Riesgos'!$A$62),"")</f>
        <v/>
      </c>
      <c r="AM18" s="537"/>
      <c r="AN18" s="83"/>
      <c r="AO18" s="491"/>
      <c r="AP18" s="492"/>
      <c r="AQ18" s="492"/>
      <c r="AR18" s="492"/>
      <c r="AS18" s="492"/>
      <c r="AT18" s="49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77"/>
      <c r="C19" s="477"/>
      <c r="D19" s="478"/>
      <c r="E19" s="518"/>
      <c r="F19" s="519"/>
      <c r="G19" s="519"/>
      <c r="H19" s="519"/>
      <c r="I19" s="519"/>
      <c r="J19" s="544"/>
      <c r="K19" s="545"/>
      <c r="L19" s="545"/>
      <c r="M19" s="545"/>
      <c r="N19" s="545"/>
      <c r="O19" s="546"/>
      <c r="P19" s="544"/>
      <c r="Q19" s="545"/>
      <c r="R19" s="545"/>
      <c r="S19" s="545"/>
      <c r="T19" s="545"/>
      <c r="U19" s="546"/>
      <c r="V19" s="528"/>
      <c r="W19" s="524"/>
      <c r="X19" s="524"/>
      <c r="Y19" s="524"/>
      <c r="Z19" s="524"/>
      <c r="AA19" s="525"/>
      <c r="AB19" s="528"/>
      <c r="AC19" s="524"/>
      <c r="AD19" s="524"/>
      <c r="AE19" s="524"/>
      <c r="AF19" s="524"/>
      <c r="AG19" s="525"/>
      <c r="AH19" s="535"/>
      <c r="AI19" s="536"/>
      <c r="AJ19" s="536"/>
      <c r="AK19" s="536"/>
      <c r="AL19" s="536"/>
      <c r="AM19" s="537"/>
      <c r="AN19" s="83"/>
      <c r="AO19" s="491"/>
      <c r="AP19" s="492"/>
      <c r="AQ19" s="492"/>
      <c r="AR19" s="492"/>
      <c r="AS19" s="492"/>
      <c r="AT19" s="49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77"/>
      <c r="C20" s="477"/>
      <c r="D20" s="478"/>
      <c r="E20" s="518"/>
      <c r="F20" s="519"/>
      <c r="G20" s="519"/>
      <c r="H20" s="519"/>
      <c r="I20" s="519"/>
      <c r="J20" s="544" t="str">
        <f>IF(AND('Mapa de Riesgos'!$H$68="Alta",'Mapa de Riesgos'!$L$68="Leve"),CONCATENATE("R",'Mapa de Riesgos'!$A$68),"")</f>
        <v/>
      </c>
      <c r="K20" s="545"/>
      <c r="L20" s="545" t="str">
        <f>IF(AND('Mapa de Riesgos'!$H$74="Alta",'Mapa de Riesgos'!$L$74="Leve"),CONCATENATE("R",'Mapa de Riesgos'!$A$74),"")</f>
        <v/>
      </c>
      <c r="M20" s="545"/>
      <c r="N20" s="545" t="str">
        <f>IF(AND('Mapa de Riesgos'!$H$80="Alta",'Mapa de Riesgos'!$L$80="Leve"),CONCATENATE("R",'Mapa de Riesgos'!$A$80),"")</f>
        <v/>
      </c>
      <c r="O20" s="546"/>
      <c r="P20" s="544" t="str">
        <f>IF(AND('Mapa de Riesgos'!$H$68="Alta",'Mapa de Riesgos'!$L$68="Menor"),CONCATENATE("R",'Mapa de Riesgos'!$A$68),"")</f>
        <v/>
      </c>
      <c r="Q20" s="545"/>
      <c r="R20" s="545" t="str">
        <f>IF(AND('Mapa de Riesgos'!$H$74="Alta",'Mapa de Riesgos'!$L$74="Menor"),CONCATENATE("R",'Mapa de Riesgos'!$A$74),"")</f>
        <v/>
      </c>
      <c r="S20" s="545"/>
      <c r="T20" s="545" t="str">
        <f>IF(AND('Mapa de Riesgos'!$H$80="Alta",'Mapa de Riesgos'!$L$80="Menor"),CONCATENATE("R",'Mapa de Riesgos'!$A$80),"")</f>
        <v/>
      </c>
      <c r="U20" s="546"/>
      <c r="V20" s="528" t="str">
        <f>IF(AND('Mapa de Riesgos'!$H$68="Alta",'Mapa de Riesgos'!$L$68="Moderado"),CONCATENATE("R",'Mapa de Riesgos'!$A$68),"")</f>
        <v/>
      </c>
      <c r="W20" s="524"/>
      <c r="X20" s="524" t="str">
        <f>IF(AND('Mapa de Riesgos'!$H$74="Alta",'Mapa de Riesgos'!$L$74="Moderado"),CONCATENATE("R",'Mapa de Riesgos'!$A$74),"")</f>
        <v/>
      </c>
      <c r="Y20" s="524"/>
      <c r="Z20" s="524" t="str">
        <f>IF(AND('Mapa de Riesgos'!$H$80="Alta",'Mapa de Riesgos'!$L$80="Moderado"),CONCATENATE("R",'Mapa de Riesgos'!$A$80),"")</f>
        <v/>
      </c>
      <c r="AA20" s="525"/>
      <c r="AB20" s="528" t="str">
        <f>IF(AND('Mapa de Riesgos'!$H$68="Alta",'Mapa de Riesgos'!$L$68="Mayor"),CONCATENATE("R",'Mapa de Riesgos'!$A$68),"")</f>
        <v/>
      </c>
      <c r="AC20" s="524"/>
      <c r="AD20" s="524" t="str">
        <f>IF(AND('Mapa de Riesgos'!$H$74="Alta",'Mapa de Riesgos'!$L$74="Mayor"),CONCATENATE("R",'Mapa de Riesgos'!$A$74),"")</f>
        <v/>
      </c>
      <c r="AE20" s="524"/>
      <c r="AF20" s="524" t="str">
        <f>IF(AND('Mapa de Riesgos'!$H$80="Alta",'Mapa de Riesgos'!$L$80="Mayor"),CONCATENATE("R",'Mapa de Riesgos'!$A$80),"")</f>
        <v/>
      </c>
      <c r="AG20" s="525"/>
      <c r="AH20" s="535" t="str">
        <f>IF(AND('Mapa de Riesgos'!$H$68="Alta",'Mapa de Riesgos'!$L$68="Catastrófico"),CONCATENATE("R",'Mapa de Riesgos'!$A$68),"")</f>
        <v/>
      </c>
      <c r="AI20" s="536"/>
      <c r="AJ20" s="536" t="str">
        <f>IF(AND('Mapa de Riesgos'!$H$74="Alta",'Mapa de Riesgos'!$L$74="Catastrófico"),CONCATENATE("R",'Mapa de Riesgos'!$A$74),"")</f>
        <v/>
      </c>
      <c r="AK20" s="536"/>
      <c r="AL20" s="536" t="str">
        <f>IF(AND('Mapa de Riesgos'!$H$80="Alta",'Mapa de Riesgos'!$L$80="Catastrófico"),CONCATENATE("R",'Mapa de Riesgos'!$A$80),"")</f>
        <v/>
      </c>
      <c r="AM20" s="537"/>
      <c r="AN20" s="83"/>
      <c r="AO20" s="491"/>
      <c r="AP20" s="492"/>
      <c r="AQ20" s="492"/>
      <c r="AR20" s="492"/>
      <c r="AS20" s="492"/>
      <c r="AT20" s="49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77"/>
      <c r="C21" s="477"/>
      <c r="D21" s="478"/>
      <c r="E21" s="521"/>
      <c r="F21" s="522"/>
      <c r="G21" s="522"/>
      <c r="H21" s="522"/>
      <c r="I21" s="522"/>
      <c r="J21" s="547"/>
      <c r="K21" s="548"/>
      <c r="L21" s="548"/>
      <c r="M21" s="548"/>
      <c r="N21" s="548"/>
      <c r="O21" s="549"/>
      <c r="P21" s="547"/>
      <c r="Q21" s="548"/>
      <c r="R21" s="548"/>
      <c r="S21" s="548"/>
      <c r="T21" s="548"/>
      <c r="U21" s="549"/>
      <c r="V21" s="532"/>
      <c r="W21" s="533"/>
      <c r="X21" s="533"/>
      <c r="Y21" s="533"/>
      <c r="Z21" s="533"/>
      <c r="AA21" s="534"/>
      <c r="AB21" s="532"/>
      <c r="AC21" s="533"/>
      <c r="AD21" s="533"/>
      <c r="AE21" s="533"/>
      <c r="AF21" s="533"/>
      <c r="AG21" s="534"/>
      <c r="AH21" s="538"/>
      <c r="AI21" s="539"/>
      <c r="AJ21" s="539"/>
      <c r="AK21" s="539"/>
      <c r="AL21" s="539"/>
      <c r="AM21" s="540"/>
      <c r="AN21" s="83"/>
      <c r="AO21" s="494"/>
      <c r="AP21" s="495"/>
      <c r="AQ21" s="495"/>
      <c r="AR21" s="495"/>
      <c r="AS21" s="495"/>
      <c r="AT21" s="49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77"/>
      <c r="C22" s="477"/>
      <c r="D22" s="478"/>
      <c r="E22" s="515" t="s">
        <v>219</v>
      </c>
      <c r="F22" s="516"/>
      <c r="G22" s="516"/>
      <c r="H22" s="516"/>
      <c r="I22" s="517"/>
      <c r="J22" s="550" t="str">
        <f>IF(AND('Mapa de Riesgos'!$H$12="Media",'Mapa de Riesgos'!$L$12="Leve"),CONCATENATE("R",'Mapa de Riesgos'!$A$12),"")</f>
        <v/>
      </c>
      <c r="K22" s="551"/>
      <c r="L22" s="551" t="str">
        <f>IF(AND('Mapa de Riesgos'!$H$18="Media",'Mapa de Riesgos'!$L$18="Leve"),CONCATENATE("R",'Mapa de Riesgos'!$A$18),"")</f>
        <v/>
      </c>
      <c r="M22" s="551"/>
      <c r="N22" s="551" t="str">
        <f>IF(AND('Mapa de Riesgos'!$H$24="Media",'Mapa de Riesgos'!$L$24="Leve"),CONCATENATE("R",'Mapa de Riesgos'!$A$24),"")</f>
        <v/>
      </c>
      <c r="O22" s="552"/>
      <c r="P22" s="550" t="str">
        <f>IF(AND('Mapa de Riesgos'!$H$12="Media",'Mapa de Riesgos'!$L$12="Menor"),CONCATENATE("R",'Mapa de Riesgos'!$A$12),"")</f>
        <v/>
      </c>
      <c r="Q22" s="551"/>
      <c r="R22" s="551" t="str">
        <f>IF(AND('Mapa de Riesgos'!$H$18="Media",'Mapa de Riesgos'!$L$18="Menor"),CONCATENATE("R",'Mapa de Riesgos'!$A$18),"")</f>
        <v>R2</v>
      </c>
      <c r="S22" s="551"/>
      <c r="T22" s="551" t="str">
        <f>IF(AND('Mapa de Riesgos'!$H$24="Media",'Mapa de Riesgos'!$L$24="Menor"),CONCATENATE("R",'Mapa de Riesgos'!$A$24),"")</f>
        <v/>
      </c>
      <c r="U22" s="552"/>
      <c r="V22" s="550" t="str">
        <f>IF(AND('Mapa de Riesgos'!$H$12="Media",'Mapa de Riesgos'!$L$12="Moderado"),CONCATENATE("R",'Mapa de Riesgos'!$A$12),"")</f>
        <v/>
      </c>
      <c r="W22" s="551"/>
      <c r="X22" s="551" t="str">
        <f>IF(AND('Mapa de Riesgos'!$H$18="Media",'Mapa de Riesgos'!$L$18="Moderado"),CONCATENATE("R",'Mapa de Riesgos'!$A$18),"")</f>
        <v/>
      </c>
      <c r="Y22" s="551"/>
      <c r="Z22" s="551" t="str">
        <f>IF(AND('Mapa de Riesgos'!$H$24="Media",'Mapa de Riesgos'!$L$24="Moderado"),CONCATENATE("R",'Mapa de Riesgos'!$A$24),"")</f>
        <v>R3</v>
      </c>
      <c r="AA22" s="552"/>
      <c r="AB22" s="526" t="str">
        <f>IF(AND('Mapa de Riesgos'!$H$12="Media",'Mapa de Riesgos'!$L$12="Mayor"),CONCATENATE("R",'Mapa de Riesgos'!$A$12),"")</f>
        <v/>
      </c>
      <c r="AC22" s="527"/>
      <c r="AD22" s="527" t="str">
        <f>IF(AND('Mapa de Riesgos'!$H$18="Media",'Mapa de Riesgos'!$L$18="Mayor"),CONCATENATE("R",'Mapa de Riesgos'!$A$18),"")</f>
        <v/>
      </c>
      <c r="AE22" s="527"/>
      <c r="AF22" s="527" t="str">
        <f>IF(AND('Mapa de Riesgos'!$H$24="Media",'Mapa de Riesgos'!$L$24="Mayor"),CONCATENATE("R",'Mapa de Riesgos'!$A$24),"")</f>
        <v/>
      </c>
      <c r="AG22" s="529"/>
      <c r="AH22" s="541" t="str">
        <f>IF(AND('Mapa de Riesgos'!$H$12="Media",'Mapa de Riesgos'!$L$12="Catastrófico"),CONCATENATE("R",'Mapa de Riesgos'!$A$12),"")</f>
        <v/>
      </c>
      <c r="AI22" s="542"/>
      <c r="AJ22" s="542" t="str">
        <f>IF(AND('Mapa de Riesgos'!$H$18="Media",'Mapa de Riesgos'!$L$18="Catastrófico"),CONCATENATE("R",'Mapa de Riesgos'!$A$18),"")</f>
        <v/>
      </c>
      <c r="AK22" s="542"/>
      <c r="AL22" s="542" t="str">
        <f>IF(AND('Mapa de Riesgos'!$H$24="Media",'Mapa de Riesgos'!$L$24="Catastrófico"),CONCATENATE("R",'Mapa de Riesgos'!$A$24),"")</f>
        <v/>
      </c>
      <c r="AM22" s="543"/>
      <c r="AN22" s="83"/>
      <c r="AO22" s="497" t="s">
        <v>220</v>
      </c>
      <c r="AP22" s="498"/>
      <c r="AQ22" s="498"/>
      <c r="AR22" s="498"/>
      <c r="AS22" s="498"/>
      <c r="AT22" s="49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77"/>
      <c r="C23" s="477"/>
      <c r="D23" s="478"/>
      <c r="E23" s="518"/>
      <c r="F23" s="519"/>
      <c r="G23" s="519"/>
      <c r="H23" s="519"/>
      <c r="I23" s="520"/>
      <c r="J23" s="544"/>
      <c r="K23" s="545"/>
      <c r="L23" s="545"/>
      <c r="M23" s="545"/>
      <c r="N23" s="545"/>
      <c r="O23" s="546"/>
      <c r="P23" s="544"/>
      <c r="Q23" s="545"/>
      <c r="R23" s="545"/>
      <c r="S23" s="545"/>
      <c r="T23" s="545"/>
      <c r="U23" s="546"/>
      <c r="V23" s="544"/>
      <c r="W23" s="545"/>
      <c r="X23" s="545"/>
      <c r="Y23" s="545"/>
      <c r="Z23" s="545"/>
      <c r="AA23" s="546"/>
      <c r="AB23" s="528"/>
      <c r="AC23" s="524"/>
      <c r="AD23" s="524"/>
      <c r="AE23" s="524"/>
      <c r="AF23" s="524"/>
      <c r="AG23" s="525"/>
      <c r="AH23" s="535"/>
      <c r="AI23" s="536"/>
      <c r="AJ23" s="536"/>
      <c r="AK23" s="536"/>
      <c r="AL23" s="536"/>
      <c r="AM23" s="537"/>
      <c r="AN23" s="83"/>
      <c r="AO23" s="500"/>
      <c r="AP23" s="501"/>
      <c r="AQ23" s="501"/>
      <c r="AR23" s="501"/>
      <c r="AS23" s="501"/>
      <c r="AT23" s="50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77"/>
      <c r="C24" s="477"/>
      <c r="D24" s="478"/>
      <c r="E24" s="518"/>
      <c r="F24" s="519"/>
      <c r="G24" s="519"/>
      <c r="H24" s="519"/>
      <c r="I24" s="520"/>
      <c r="J24" s="544" t="str">
        <f>IF(AND('Mapa de Riesgos'!$H$32="Media",'Mapa de Riesgos'!$L$32="Leve"),CONCATENATE("R",'Mapa de Riesgos'!$A$32),"")</f>
        <v/>
      </c>
      <c r="K24" s="545"/>
      <c r="L24" s="545" t="str">
        <f>IF(AND('Mapa de Riesgos'!$H$38="Media",'Mapa de Riesgos'!$L$38="Leve"),CONCATENATE("R",'Mapa de Riesgos'!$A$38),"")</f>
        <v/>
      </c>
      <c r="M24" s="545"/>
      <c r="N24" s="545" t="str">
        <f>IF(AND('Mapa de Riesgos'!$H$44="Media",'Mapa de Riesgos'!$L$44="Leve"),CONCATENATE("R",'Mapa de Riesgos'!$A$44),"")</f>
        <v/>
      </c>
      <c r="O24" s="546"/>
      <c r="P24" s="544" t="str">
        <f>IF(AND('Mapa de Riesgos'!$H$32="Media",'Mapa de Riesgos'!$L$32="Menor"),CONCATENATE("R",'Mapa de Riesgos'!$A$32),"")</f>
        <v/>
      </c>
      <c r="Q24" s="545"/>
      <c r="R24" s="545" t="str">
        <f>IF(AND('Mapa de Riesgos'!$H$38="Media",'Mapa de Riesgos'!$L$38="Menor"),CONCATENATE("R",'Mapa de Riesgos'!$A$38),"")</f>
        <v/>
      </c>
      <c r="S24" s="545"/>
      <c r="T24" s="545" t="str">
        <f>IF(AND('Mapa de Riesgos'!$H$44="Media",'Mapa de Riesgos'!$L$44="Menor"),CONCATENATE("R",'Mapa de Riesgos'!$A$44),"")</f>
        <v/>
      </c>
      <c r="U24" s="546"/>
      <c r="V24" s="544" t="str">
        <f>IF(AND('Mapa de Riesgos'!$H$32="Media",'Mapa de Riesgos'!$L$32="Moderado"),CONCATENATE("R",'Mapa de Riesgos'!$A$32),"")</f>
        <v>R4</v>
      </c>
      <c r="W24" s="545"/>
      <c r="X24" s="545" t="str">
        <f>IF(AND('Mapa de Riesgos'!$H$38="Media",'Mapa de Riesgos'!$L$38="Moderado"),CONCATENATE("R",'Mapa de Riesgos'!$A$38),"")</f>
        <v/>
      </c>
      <c r="Y24" s="545"/>
      <c r="Z24" s="545" t="str">
        <f>IF(AND('Mapa de Riesgos'!$H$44="Media",'Mapa de Riesgos'!$L$44="Moderado"),CONCATENATE("R",'Mapa de Riesgos'!$A$44),"")</f>
        <v/>
      </c>
      <c r="AA24" s="546"/>
      <c r="AB24" s="528" t="str">
        <f>IF(AND('Mapa de Riesgos'!$H$32="Media",'Mapa de Riesgos'!$L$32="Mayor"),CONCATENATE("R",'Mapa de Riesgos'!$A$32),"")</f>
        <v/>
      </c>
      <c r="AC24" s="524"/>
      <c r="AD24" s="524" t="str">
        <f>IF(AND('Mapa de Riesgos'!$H$38="Media",'Mapa de Riesgos'!$L$38="Mayor"),CONCATENATE("R",'Mapa de Riesgos'!$A$38),"")</f>
        <v/>
      </c>
      <c r="AE24" s="524"/>
      <c r="AF24" s="524" t="str">
        <f>IF(AND('Mapa de Riesgos'!$H$44="Media",'Mapa de Riesgos'!$L$44="Mayor"),CONCATENATE("R",'Mapa de Riesgos'!$A$44),"")</f>
        <v/>
      </c>
      <c r="AG24" s="525"/>
      <c r="AH24" s="535" t="str">
        <f>IF(AND('Mapa de Riesgos'!$H$32="Media",'Mapa de Riesgos'!$L$32="Catastrófico"),CONCATENATE("R",'Mapa de Riesgos'!$A$32),"")</f>
        <v/>
      </c>
      <c r="AI24" s="536"/>
      <c r="AJ24" s="536" t="str">
        <f>IF(AND('Mapa de Riesgos'!$H$38="Media",'Mapa de Riesgos'!$L$38="Catastrófico"),CONCATENATE("R",'Mapa de Riesgos'!$A$38),"")</f>
        <v/>
      </c>
      <c r="AK24" s="536"/>
      <c r="AL24" s="536" t="str">
        <f>IF(AND('Mapa de Riesgos'!$H$44="Media",'Mapa de Riesgos'!$L$44="Catastrófico"),CONCATENATE("R",'Mapa de Riesgos'!$A$44),"")</f>
        <v/>
      </c>
      <c r="AM24" s="537"/>
      <c r="AN24" s="83"/>
      <c r="AO24" s="500"/>
      <c r="AP24" s="501"/>
      <c r="AQ24" s="501"/>
      <c r="AR24" s="501"/>
      <c r="AS24" s="501"/>
      <c r="AT24" s="50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77"/>
      <c r="C25" s="477"/>
      <c r="D25" s="478"/>
      <c r="E25" s="518"/>
      <c r="F25" s="519"/>
      <c r="G25" s="519"/>
      <c r="H25" s="519"/>
      <c r="I25" s="520"/>
      <c r="J25" s="544"/>
      <c r="K25" s="545"/>
      <c r="L25" s="545"/>
      <c r="M25" s="545"/>
      <c r="N25" s="545"/>
      <c r="O25" s="546"/>
      <c r="P25" s="544"/>
      <c r="Q25" s="545"/>
      <c r="R25" s="545"/>
      <c r="S25" s="545"/>
      <c r="T25" s="545"/>
      <c r="U25" s="546"/>
      <c r="V25" s="544"/>
      <c r="W25" s="545"/>
      <c r="X25" s="545"/>
      <c r="Y25" s="545"/>
      <c r="Z25" s="545"/>
      <c r="AA25" s="546"/>
      <c r="AB25" s="528"/>
      <c r="AC25" s="524"/>
      <c r="AD25" s="524"/>
      <c r="AE25" s="524"/>
      <c r="AF25" s="524"/>
      <c r="AG25" s="525"/>
      <c r="AH25" s="535"/>
      <c r="AI25" s="536"/>
      <c r="AJ25" s="536"/>
      <c r="AK25" s="536"/>
      <c r="AL25" s="536"/>
      <c r="AM25" s="537"/>
      <c r="AN25" s="83"/>
      <c r="AO25" s="500"/>
      <c r="AP25" s="501"/>
      <c r="AQ25" s="501"/>
      <c r="AR25" s="501"/>
      <c r="AS25" s="501"/>
      <c r="AT25" s="50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77"/>
      <c r="C26" s="477"/>
      <c r="D26" s="478"/>
      <c r="E26" s="518"/>
      <c r="F26" s="519"/>
      <c r="G26" s="519"/>
      <c r="H26" s="519"/>
      <c r="I26" s="520"/>
      <c r="J26" s="544" t="str">
        <f>IF(AND('Mapa de Riesgos'!$H$50="Media",'Mapa de Riesgos'!$L$50="Leve"),CONCATENATE("R",'Mapa de Riesgos'!$A$50),"")</f>
        <v/>
      </c>
      <c r="K26" s="545"/>
      <c r="L26" s="545" t="str">
        <f>IF(AND('Mapa de Riesgos'!$H$56="Media",'Mapa de Riesgos'!$L$56="Leve"),CONCATENATE("R",'Mapa de Riesgos'!$A$56),"")</f>
        <v/>
      </c>
      <c r="M26" s="545"/>
      <c r="N26" s="545" t="str">
        <f>IF(AND('Mapa de Riesgos'!$H$62="Media",'Mapa de Riesgos'!$L$62="Leve"),CONCATENATE("R",'Mapa de Riesgos'!$A$62),"")</f>
        <v/>
      </c>
      <c r="O26" s="546"/>
      <c r="P26" s="544" t="str">
        <f>IF(AND('Mapa de Riesgos'!$H$50="Media",'Mapa de Riesgos'!$L$50="Menor"),CONCATENATE("R",'Mapa de Riesgos'!$A$50),"")</f>
        <v/>
      </c>
      <c r="Q26" s="545"/>
      <c r="R26" s="545" t="str">
        <f>IF(AND('Mapa de Riesgos'!$H$56="Media",'Mapa de Riesgos'!$L$56="Menor"),CONCATENATE("R",'Mapa de Riesgos'!$A$56),"")</f>
        <v/>
      </c>
      <c r="S26" s="545"/>
      <c r="T26" s="545" t="str">
        <f>IF(AND('Mapa de Riesgos'!$H$62="Media",'Mapa de Riesgos'!$L$62="Menor"),CONCATENATE("R",'Mapa de Riesgos'!$A$62),"")</f>
        <v/>
      </c>
      <c r="U26" s="546"/>
      <c r="V26" s="544" t="str">
        <f>IF(AND('Mapa de Riesgos'!$H$50="Media",'Mapa de Riesgos'!$L$50="Moderado"),CONCATENATE("R",'Mapa de Riesgos'!$A$50),"")</f>
        <v/>
      </c>
      <c r="W26" s="545"/>
      <c r="X26" s="545" t="str">
        <f>IF(AND('Mapa de Riesgos'!$H$56="Media",'Mapa de Riesgos'!$L$56="Moderado"),CONCATENATE("R",'Mapa de Riesgos'!$A$56),"")</f>
        <v/>
      </c>
      <c r="Y26" s="545"/>
      <c r="Z26" s="545" t="str">
        <f>IF(AND('Mapa de Riesgos'!$H$62="Media",'Mapa de Riesgos'!$L$62="Moderado"),CONCATENATE("R",'Mapa de Riesgos'!$A$62),"")</f>
        <v/>
      </c>
      <c r="AA26" s="546"/>
      <c r="AB26" s="528" t="str">
        <f>IF(AND('Mapa de Riesgos'!$H$50="Media",'Mapa de Riesgos'!$L$50="Mayor"),CONCATENATE("R",'Mapa de Riesgos'!$A$50),"")</f>
        <v/>
      </c>
      <c r="AC26" s="524"/>
      <c r="AD26" s="524" t="str">
        <f>IF(AND('Mapa de Riesgos'!$H$56="Media",'Mapa de Riesgos'!$L$56="Mayor"),CONCATENATE("R",'Mapa de Riesgos'!$A$56),"")</f>
        <v/>
      </c>
      <c r="AE26" s="524"/>
      <c r="AF26" s="524" t="str">
        <f>IF(AND('Mapa de Riesgos'!$H$62="Media",'Mapa de Riesgos'!$L$62="Mayor"),CONCATENATE("R",'Mapa de Riesgos'!$A$62),"")</f>
        <v/>
      </c>
      <c r="AG26" s="525"/>
      <c r="AH26" s="535" t="str">
        <f>IF(AND('Mapa de Riesgos'!$H$50="Media",'Mapa de Riesgos'!$L$50="Catastrófico"),CONCATENATE("R",'Mapa de Riesgos'!$A$50),"")</f>
        <v/>
      </c>
      <c r="AI26" s="536"/>
      <c r="AJ26" s="536" t="str">
        <f>IF(AND('Mapa de Riesgos'!$H$56="Media",'Mapa de Riesgos'!$L$56="Catastrófico"),CONCATENATE("R",'Mapa de Riesgos'!$A$56),"")</f>
        <v/>
      </c>
      <c r="AK26" s="536"/>
      <c r="AL26" s="536" t="str">
        <f>IF(AND('Mapa de Riesgos'!$H$62="Media",'Mapa de Riesgos'!$L$62="Catastrófico"),CONCATENATE("R",'Mapa de Riesgos'!$A$62),"")</f>
        <v/>
      </c>
      <c r="AM26" s="537"/>
      <c r="AN26" s="83"/>
      <c r="AO26" s="500"/>
      <c r="AP26" s="501"/>
      <c r="AQ26" s="501"/>
      <c r="AR26" s="501"/>
      <c r="AS26" s="501"/>
      <c r="AT26" s="50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77"/>
      <c r="C27" s="477"/>
      <c r="D27" s="478"/>
      <c r="E27" s="518"/>
      <c r="F27" s="519"/>
      <c r="G27" s="519"/>
      <c r="H27" s="519"/>
      <c r="I27" s="520"/>
      <c r="J27" s="544"/>
      <c r="K27" s="545"/>
      <c r="L27" s="545"/>
      <c r="M27" s="545"/>
      <c r="N27" s="545"/>
      <c r="O27" s="546"/>
      <c r="P27" s="544"/>
      <c r="Q27" s="545"/>
      <c r="R27" s="545"/>
      <c r="S27" s="545"/>
      <c r="T27" s="545"/>
      <c r="U27" s="546"/>
      <c r="V27" s="544"/>
      <c r="W27" s="545"/>
      <c r="X27" s="545"/>
      <c r="Y27" s="545"/>
      <c r="Z27" s="545"/>
      <c r="AA27" s="546"/>
      <c r="AB27" s="528"/>
      <c r="AC27" s="524"/>
      <c r="AD27" s="524"/>
      <c r="AE27" s="524"/>
      <c r="AF27" s="524"/>
      <c r="AG27" s="525"/>
      <c r="AH27" s="535"/>
      <c r="AI27" s="536"/>
      <c r="AJ27" s="536"/>
      <c r="AK27" s="536"/>
      <c r="AL27" s="536"/>
      <c r="AM27" s="537"/>
      <c r="AN27" s="83"/>
      <c r="AO27" s="500"/>
      <c r="AP27" s="501"/>
      <c r="AQ27" s="501"/>
      <c r="AR27" s="501"/>
      <c r="AS27" s="501"/>
      <c r="AT27" s="50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77"/>
      <c r="C28" s="477"/>
      <c r="D28" s="478"/>
      <c r="E28" s="518"/>
      <c r="F28" s="519"/>
      <c r="G28" s="519"/>
      <c r="H28" s="519"/>
      <c r="I28" s="520"/>
      <c r="J28" s="544" t="str">
        <f>IF(AND('Mapa de Riesgos'!$H$68="Media",'Mapa de Riesgos'!$L$68="Leve"),CONCATENATE("R",'Mapa de Riesgos'!$A$68),"")</f>
        <v/>
      </c>
      <c r="K28" s="545"/>
      <c r="L28" s="545" t="str">
        <f>IF(AND('Mapa de Riesgos'!$H$74="Media",'Mapa de Riesgos'!$L$74="Leve"),CONCATENATE("R",'Mapa de Riesgos'!$A$74),"")</f>
        <v/>
      </c>
      <c r="M28" s="545"/>
      <c r="N28" s="545" t="str">
        <f>IF(AND('Mapa de Riesgos'!$H$80="Media",'Mapa de Riesgos'!$L$80="Leve"),CONCATENATE("R",'Mapa de Riesgos'!$A$80),"")</f>
        <v/>
      </c>
      <c r="O28" s="546"/>
      <c r="P28" s="544" t="str">
        <f>IF(AND('Mapa de Riesgos'!$H$68="Media",'Mapa de Riesgos'!$L$68="Menor"),CONCATENATE("R",'Mapa de Riesgos'!$A$68),"")</f>
        <v/>
      </c>
      <c r="Q28" s="545"/>
      <c r="R28" s="545" t="str">
        <f>IF(AND('Mapa de Riesgos'!$H$74="Media",'Mapa de Riesgos'!$L$74="Menor"),CONCATENATE("R",'Mapa de Riesgos'!$A$74),"")</f>
        <v/>
      </c>
      <c r="S28" s="545"/>
      <c r="T28" s="545" t="str">
        <f>IF(AND('Mapa de Riesgos'!$H$80="Media",'Mapa de Riesgos'!$L$80="Menor"),CONCATENATE("R",'Mapa de Riesgos'!$A$80),"")</f>
        <v/>
      </c>
      <c r="U28" s="546"/>
      <c r="V28" s="544" t="str">
        <f>IF(AND('Mapa de Riesgos'!$H$68="Media",'Mapa de Riesgos'!$L$68="Moderado"),CONCATENATE("R",'Mapa de Riesgos'!$A$68),"")</f>
        <v/>
      </c>
      <c r="W28" s="545"/>
      <c r="X28" s="545" t="str">
        <f>IF(AND('Mapa de Riesgos'!$H$74="Media",'Mapa de Riesgos'!$L$74="Moderado"),CONCATENATE("R",'Mapa de Riesgos'!$A$74),"")</f>
        <v/>
      </c>
      <c r="Y28" s="545"/>
      <c r="Z28" s="545" t="str">
        <f>IF(AND('Mapa de Riesgos'!$H$80="Media",'Mapa de Riesgos'!$L$80="Moderado"),CONCATENATE("R",'Mapa de Riesgos'!$A$80),"")</f>
        <v/>
      </c>
      <c r="AA28" s="546"/>
      <c r="AB28" s="528" t="str">
        <f>IF(AND('Mapa de Riesgos'!$H$68="Media",'Mapa de Riesgos'!$L$68="Mayor"),CONCATENATE("R",'Mapa de Riesgos'!$A$68),"")</f>
        <v/>
      </c>
      <c r="AC28" s="524"/>
      <c r="AD28" s="524" t="str">
        <f>IF(AND('Mapa de Riesgos'!$H$74="Media",'Mapa de Riesgos'!$L$74="Mayor"),CONCATENATE("R",'Mapa de Riesgos'!$A$74),"")</f>
        <v/>
      </c>
      <c r="AE28" s="524"/>
      <c r="AF28" s="524" t="str">
        <f>IF(AND('Mapa de Riesgos'!$H$80="Media",'Mapa de Riesgos'!$L$80="Mayor"),CONCATENATE("R",'Mapa de Riesgos'!$A$80),"")</f>
        <v/>
      </c>
      <c r="AG28" s="525"/>
      <c r="AH28" s="535" t="str">
        <f>IF(AND('Mapa de Riesgos'!$H$68="Media",'Mapa de Riesgos'!$L$68="Catastrófico"),CONCATENATE("R",'Mapa de Riesgos'!$A$68),"")</f>
        <v/>
      </c>
      <c r="AI28" s="536"/>
      <c r="AJ28" s="536" t="str">
        <f>IF(AND('Mapa de Riesgos'!$H$74="Media",'Mapa de Riesgos'!$L$74="Catastrófico"),CONCATENATE("R",'Mapa de Riesgos'!$A$74),"")</f>
        <v/>
      </c>
      <c r="AK28" s="536"/>
      <c r="AL28" s="536" t="str">
        <f>IF(AND('Mapa de Riesgos'!$H$80="Media",'Mapa de Riesgos'!$L$80="Catastrófico"),CONCATENATE("R",'Mapa de Riesgos'!$A$80),"")</f>
        <v/>
      </c>
      <c r="AM28" s="537"/>
      <c r="AN28" s="83"/>
      <c r="AO28" s="500"/>
      <c r="AP28" s="501"/>
      <c r="AQ28" s="501"/>
      <c r="AR28" s="501"/>
      <c r="AS28" s="501"/>
      <c r="AT28" s="50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77"/>
      <c r="C29" s="477"/>
      <c r="D29" s="478"/>
      <c r="E29" s="521"/>
      <c r="F29" s="522"/>
      <c r="G29" s="522"/>
      <c r="H29" s="522"/>
      <c r="I29" s="523"/>
      <c r="J29" s="544"/>
      <c r="K29" s="545"/>
      <c r="L29" s="545"/>
      <c r="M29" s="545"/>
      <c r="N29" s="545"/>
      <c r="O29" s="546"/>
      <c r="P29" s="547"/>
      <c r="Q29" s="548"/>
      <c r="R29" s="548"/>
      <c r="S29" s="548"/>
      <c r="T29" s="548"/>
      <c r="U29" s="549"/>
      <c r="V29" s="547"/>
      <c r="W29" s="548"/>
      <c r="X29" s="548"/>
      <c r="Y29" s="548"/>
      <c r="Z29" s="548"/>
      <c r="AA29" s="549"/>
      <c r="AB29" s="532"/>
      <c r="AC29" s="533"/>
      <c r="AD29" s="533"/>
      <c r="AE29" s="533"/>
      <c r="AF29" s="533"/>
      <c r="AG29" s="534"/>
      <c r="AH29" s="538"/>
      <c r="AI29" s="539"/>
      <c r="AJ29" s="539"/>
      <c r="AK29" s="539"/>
      <c r="AL29" s="539"/>
      <c r="AM29" s="540"/>
      <c r="AN29" s="83"/>
      <c r="AO29" s="503"/>
      <c r="AP29" s="504"/>
      <c r="AQ29" s="504"/>
      <c r="AR29" s="504"/>
      <c r="AS29" s="504"/>
      <c r="AT29" s="50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77"/>
      <c r="C30" s="477"/>
      <c r="D30" s="478"/>
      <c r="E30" s="515" t="s">
        <v>221</v>
      </c>
      <c r="F30" s="516"/>
      <c r="G30" s="516"/>
      <c r="H30" s="516"/>
      <c r="I30" s="516"/>
      <c r="J30" s="559" t="str">
        <f>IF(AND('Mapa de Riesgos'!$H$12="Baja",'Mapa de Riesgos'!$L$12="Leve"),CONCATENATE("R",'Mapa de Riesgos'!$A$12),"")</f>
        <v/>
      </c>
      <c r="K30" s="560"/>
      <c r="L30" s="560" t="str">
        <f>IF(AND('Mapa de Riesgos'!$H$18="Baja",'Mapa de Riesgos'!$L$18="Leve"),CONCATENATE("R",'Mapa de Riesgos'!$A$18),"")</f>
        <v/>
      </c>
      <c r="M30" s="560"/>
      <c r="N30" s="560" t="str">
        <f>IF(AND('Mapa de Riesgos'!$H$24="Baja",'Mapa de Riesgos'!$L$24="Leve"),CONCATENATE("R",'Mapa de Riesgos'!$A$24),"")</f>
        <v/>
      </c>
      <c r="O30" s="561"/>
      <c r="P30" s="551" t="str">
        <f>IF(AND('Mapa de Riesgos'!$H$12="Baja",'Mapa de Riesgos'!$L$12="Menor"),CONCATENATE("R",'Mapa de Riesgos'!$A$12),"")</f>
        <v/>
      </c>
      <c r="Q30" s="551"/>
      <c r="R30" s="551" t="str">
        <f>IF(AND('Mapa de Riesgos'!$H$18="Baja",'Mapa de Riesgos'!$L$18="Menor"),CONCATENATE("R",'Mapa de Riesgos'!$A$18),"")</f>
        <v/>
      </c>
      <c r="S30" s="551"/>
      <c r="T30" s="551" t="str">
        <f>IF(AND('Mapa de Riesgos'!$H$24="Baja",'Mapa de Riesgos'!$L$24="Menor"),CONCATENATE("R",'Mapa de Riesgos'!$A$24),"")</f>
        <v/>
      </c>
      <c r="U30" s="552"/>
      <c r="V30" s="550" t="str">
        <f>IF(AND('Mapa de Riesgos'!$H$12="Baja",'Mapa de Riesgos'!$L$12="Moderado"),CONCATENATE("R",'Mapa de Riesgos'!$A$12),"")</f>
        <v>R1</v>
      </c>
      <c r="W30" s="551"/>
      <c r="X30" s="551" t="str">
        <f>IF(AND('Mapa de Riesgos'!$H$18="Baja",'Mapa de Riesgos'!$L$18="Moderado"),CONCATENATE("R",'Mapa de Riesgos'!$A$18),"")</f>
        <v/>
      </c>
      <c r="Y30" s="551"/>
      <c r="Z30" s="551" t="str">
        <f>IF(AND('Mapa de Riesgos'!$H$24="Baja",'Mapa de Riesgos'!$L$24="Moderado"),CONCATENATE("R",'Mapa de Riesgos'!$A$24),"")</f>
        <v/>
      </c>
      <c r="AA30" s="552"/>
      <c r="AB30" s="526" t="str">
        <f>IF(AND('Mapa de Riesgos'!$H$12="Baja",'Mapa de Riesgos'!$L$12="Mayor"),CONCATENATE("R",'Mapa de Riesgos'!$A$12),"")</f>
        <v/>
      </c>
      <c r="AC30" s="527"/>
      <c r="AD30" s="527" t="str">
        <f>IF(AND('Mapa de Riesgos'!$H$18="Baja",'Mapa de Riesgos'!$L$18="Mayor"),CONCATENATE("R",'Mapa de Riesgos'!$A$18),"")</f>
        <v/>
      </c>
      <c r="AE30" s="527"/>
      <c r="AF30" s="527" t="str">
        <f>IF(AND('Mapa de Riesgos'!$H$24="Baja",'Mapa de Riesgos'!$L$24="Mayor"),CONCATENATE("R",'Mapa de Riesgos'!$A$24),"")</f>
        <v/>
      </c>
      <c r="AG30" s="529"/>
      <c r="AH30" s="541" t="str">
        <f>IF(AND('Mapa de Riesgos'!$H$12="Baja",'Mapa de Riesgos'!$L$12="Catastrófico"),CONCATENATE("R",'Mapa de Riesgos'!$A$12),"")</f>
        <v/>
      </c>
      <c r="AI30" s="542"/>
      <c r="AJ30" s="542" t="str">
        <f>IF(AND('Mapa de Riesgos'!$H$18="Baja",'Mapa de Riesgos'!$L$18="Catastrófico"),CONCATENATE("R",'Mapa de Riesgos'!$A$18),"")</f>
        <v/>
      </c>
      <c r="AK30" s="542"/>
      <c r="AL30" s="542" t="str">
        <f>IF(AND('Mapa de Riesgos'!$H$24="Baja",'Mapa de Riesgos'!$L$24="Catastrófico"),CONCATENATE("R",'Mapa de Riesgos'!$A$24),"")</f>
        <v/>
      </c>
      <c r="AM30" s="543"/>
      <c r="AN30" s="83"/>
      <c r="AO30" s="506" t="s">
        <v>222</v>
      </c>
      <c r="AP30" s="507"/>
      <c r="AQ30" s="507"/>
      <c r="AR30" s="507"/>
      <c r="AS30" s="507"/>
      <c r="AT30" s="50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77"/>
      <c r="C31" s="477"/>
      <c r="D31" s="478"/>
      <c r="E31" s="518"/>
      <c r="F31" s="519"/>
      <c r="G31" s="519"/>
      <c r="H31" s="519"/>
      <c r="I31" s="519"/>
      <c r="J31" s="555"/>
      <c r="K31" s="553"/>
      <c r="L31" s="553"/>
      <c r="M31" s="553"/>
      <c r="N31" s="553"/>
      <c r="O31" s="554"/>
      <c r="P31" s="545"/>
      <c r="Q31" s="545"/>
      <c r="R31" s="545"/>
      <c r="S31" s="545"/>
      <c r="T31" s="545"/>
      <c r="U31" s="546"/>
      <c r="V31" s="544"/>
      <c r="W31" s="545"/>
      <c r="X31" s="545"/>
      <c r="Y31" s="545"/>
      <c r="Z31" s="545"/>
      <c r="AA31" s="546"/>
      <c r="AB31" s="528"/>
      <c r="AC31" s="524"/>
      <c r="AD31" s="524"/>
      <c r="AE31" s="524"/>
      <c r="AF31" s="524"/>
      <c r="AG31" s="525"/>
      <c r="AH31" s="535"/>
      <c r="AI31" s="536"/>
      <c r="AJ31" s="536"/>
      <c r="AK31" s="536"/>
      <c r="AL31" s="536"/>
      <c r="AM31" s="537"/>
      <c r="AN31" s="83"/>
      <c r="AO31" s="509"/>
      <c r="AP31" s="510"/>
      <c r="AQ31" s="510"/>
      <c r="AR31" s="510"/>
      <c r="AS31" s="510"/>
      <c r="AT31" s="51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77"/>
      <c r="C32" s="477"/>
      <c r="D32" s="478"/>
      <c r="E32" s="518"/>
      <c r="F32" s="519"/>
      <c r="G32" s="519"/>
      <c r="H32" s="519"/>
      <c r="I32" s="519"/>
      <c r="J32" s="555" t="str">
        <f>IF(AND('Mapa de Riesgos'!$H$32="Baja",'Mapa de Riesgos'!$L$32="Leve"),CONCATENATE("R",'Mapa de Riesgos'!$A$32),"")</f>
        <v/>
      </c>
      <c r="K32" s="553"/>
      <c r="L32" s="553" t="str">
        <f>IF(AND('Mapa de Riesgos'!$H$38="Baja",'Mapa de Riesgos'!$L$38="Leve"),CONCATENATE("R",'Mapa de Riesgos'!$A$38),"")</f>
        <v/>
      </c>
      <c r="M32" s="553"/>
      <c r="N32" s="553" t="str">
        <f>IF(AND('Mapa de Riesgos'!$H$44="Baja",'Mapa de Riesgos'!$L$44="Leve"),CONCATENATE("R",'Mapa de Riesgos'!$A$44),"")</f>
        <v/>
      </c>
      <c r="O32" s="554"/>
      <c r="P32" s="545" t="str">
        <f>IF(AND('Mapa de Riesgos'!$H$32="Baja",'Mapa de Riesgos'!$L$32="Menor"),CONCATENATE("R",'Mapa de Riesgos'!$A$32),"")</f>
        <v/>
      </c>
      <c r="Q32" s="545"/>
      <c r="R32" s="545" t="str">
        <f>IF(AND('Mapa de Riesgos'!$H$38="Baja",'Mapa de Riesgos'!$L$38="Menor"),CONCATENATE("R",'Mapa de Riesgos'!$A$38),"")</f>
        <v/>
      </c>
      <c r="S32" s="545"/>
      <c r="T32" s="545" t="str">
        <f>IF(AND('Mapa de Riesgos'!$H$44="Baja",'Mapa de Riesgos'!$L$44="Menor"),CONCATENATE("R",'Mapa de Riesgos'!$A$44),"")</f>
        <v/>
      </c>
      <c r="U32" s="546"/>
      <c r="V32" s="544" t="str">
        <f>IF(AND('Mapa de Riesgos'!$H$32="Baja",'Mapa de Riesgos'!$L$32="Moderado"),CONCATENATE("R",'Mapa de Riesgos'!$A$32),"")</f>
        <v/>
      </c>
      <c r="W32" s="545"/>
      <c r="X32" s="545" t="str">
        <f>IF(AND('Mapa de Riesgos'!$H$38="Baja",'Mapa de Riesgos'!$L$38="Moderado"),CONCATENATE("R",'Mapa de Riesgos'!$A$38),"")</f>
        <v/>
      </c>
      <c r="Y32" s="545"/>
      <c r="Z32" s="545" t="str">
        <f>IF(AND('Mapa de Riesgos'!$H$44="Baja",'Mapa de Riesgos'!$L$44="Moderado"),CONCATENATE("R",'Mapa de Riesgos'!$A$44),"")</f>
        <v/>
      </c>
      <c r="AA32" s="546"/>
      <c r="AB32" s="528" t="str">
        <f>IF(AND('Mapa de Riesgos'!$H$32="Baja",'Mapa de Riesgos'!$L$32="Mayor"),CONCATENATE("R",'Mapa de Riesgos'!$A$32),"")</f>
        <v/>
      </c>
      <c r="AC32" s="524"/>
      <c r="AD32" s="524" t="str">
        <f>IF(AND('Mapa de Riesgos'!$H$38="Baja",'Mapa de Riesgos'!$L$38="Mayor"),CONCATENATE("R",'Mapa de Riesgos'!$A$38),"")</f>
        <v/>
      </c>
      <c r="AE32" s="524"/>
      <c r="AF32" s="524" t="str">
        <f>IF(AND('Mapa de Riesgos'!$H$44="Baja",'Mapa de Riesgos'!$L$44="Mayor"),CONCATENATE("R",'Mapa de Riesgos'!$A$44),"")</f>
        <v/>
      </c>
      <c r="AG32" s="525"/>
      <c r="AH32" s="535" t="str">
        <f>IF(AND('Mapa de Riesgos'!$H$32="Baja",'Mapa de Riesgos'!$L$32="Catastrófico"),CONCATENATE("R",'Mapa de Riesgos'!$A$32),"")</f>
        <v/>
      </c>
      <c r="AI32" s="536"/>
      <c r="AJ32" s="536" t="str">
        <f>IF(AND('Mapa de Riesgos'!$H$38="Baja",'Mapa de Riesgos'!$L$38="Catastrófico"),CONCATENATE("R",'Mapa de Riesgos'!$A$38),"")</f>
        <v/>
      </c>
      <c r="AK32" s="536"/>
      <c r="AL32" s="536" t="str">
        <f>IF(AND('Mapa de Riesgos'!$H$44="Baja",'Mapa de Riesgos'!$L$44="Catastrófico"),CONCATENATE("R",'Mapa de Riesgos'!$A$44),"")</f>
        <v/>
      </c>
      <c r="AM32" s="537"/>
      <c r="AN32" s="83"/>
      <c r="AO32" s="509"/>
      <c r="AP32" s="510"/>
      <c r="AQ32" s="510"/>
      <c r="AR32" s="510"/>
      <c r="AS32" s="510"/>
      <c r="AT32" s="51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77"/>
      <c r="C33" s="477"/>
      <c r="D33" s="478"/>
      <c r="E33" s="518"/>
      <c r="F33" s="519"/>
      <c r="G33" s="519"/>
      <c r="H33" s="519"/>
      <c r="I33" s="519"/>
      <c r="J33" s="555"/>
      <c r="K33" s="553"/>
      <c r="L33" s="553"/>
      <c r="M33" s="553"/>
      <c r="N33" s="553"/>
      <c r="O33" s="554"/>
      <c r="P33" s="545"/>
      <c r="Q33" s="545"/>
      <c r="R33" s="545"/>
      <c r="S33" s="545"/>
      <c r="T33" s="545"/>
      <c r="U33" s="546"/>
      <c r="V33" s="544"/>
      <c r="W33" s="545"/>
      <c r="X33" s="545"/>
      <c r="Y33" s="545"/>
      <c r="Z33" s="545"/>
      <c r="AA33" s="546"/>
      <c r="AB33" s="528"/>
      <c r="AC33" s="524"/>
      <c r="AD33" s="524"/>
      <c r="AE33" s="524"/>
      <c r="AF33" s="524"/>
      <c r="AG33" s="525"/>
      <c r="AH33" s="535"/>
      <c r="AI33" s="536"/>
      <c r="AJ33" s="536"/>
      <c r="AK33" s="536"/>
      <c r="AL33" s="536"/>
      <c r="AM33" s="537"/>
      <c r="AN33" s="83"/>
      <c r="AO33" s="509"/>
      <c r="AP33" s="510"/>
      <c r="AQ33" s="510"/>
      <c r="AR33" s="510"/>
      <c r="AS33" s="510"/>
      <c r="AT33" s="51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77"/>
      <c r="C34" s="477"/>
      <c r="D34" s="478"/>
      <c r="E34" s="518"/>
      <c r="F34" s="519"/>
      <c r="G34" s="519"/>
      <c r="H34" s="519"/>
      <c r="I34" s="519"/>
      <c r="J34" s="555" t="str">
        <f>IF(AND('Mapa de Riesgos'!$H$50="Baja",'Mapa de Riesgos'!$L$50="Leve"),CONCATENATE("R",'Mapa de Riesgos'!$A$50),"")</f>
        <v/>
      </c>
      <c r="K34" s="553"/>
      <c r="L34" s="553" t="str">
        <f>IF(AND('Mapa de Riesgos'!$H$56="Baja",'Mapa de Riesgos'!$L$56="Leve"),CONCATENATE("R",'Mapa de Riesgos'!$A$56),"")</f>
        <v/>
      </c>
      <c r="M34" s="553"/>
      <c r="N34" s="553" t="str">
        <f>IF(AND('Mapa de Riesgos'!$H$62="Baja",'Mapa de Riesgos'!$L$62="Leve"),CONCATENATE("R",'Mapa de Riesgos'!$A$62),"")</f>
        <v/>
      </c>
      <c r="O34" s="554"/>
      <c r="P34" s="545" t="str">
        <f>IF(AND('Mapa de Riesgos'!$H$50="Baja",'Mapa de Riesgos'!$L$50="Menor"),CONCATENATE("R",'Mapa de Riesgos'!$A$50),"")</f>
        <v/>
      </c>
      <c r="Q34" s="545"/>
      <c r="R34" s="545" t="str">
        <f>IF(AND('Mapa de Riesgos'!$H$56="Baja",'Mapa de Riesgos'!$L$56="Menor"),CONCATENATE("R",'Mapa de Riesgos'!$A$56),"")</f>
        <v/>
      </c>
      <c r="S34" s="545"/>
      <c r="T34" s="545" t="str">
        <f>IF(AND('Mapa de Riesgos'!$H$62="Baja",'Mapa de Riesgos'!$L$62="Menor"),CONCATENATE("R",'Mapa de Riesgos'!$A$62),"")</f>
        <v/>
      </c>
      <c r="U34" s="546"/>
      <c r="V34" s="544" t="str">
        <f>IF(AND('Mapa de Riesgos'!$H$50="Baja",'Mapa de Riesgos'!$L$50="Moderado"),CONCATENATE("R",'Mapa de Riesgos'!$A$50),"")</f>
        <v/>
      </c>
      <c r="W34" s="545"/>
      <c r="X34" s="545" t="str">
        <f>IF(AND('Mapa de Riesgos'!$H$56="Baja",'Mapa de Riesgos'!$L$56="Moderado"),CONCATENATE("R",'Mapa de Riesgos'!$A$56),"")</f>
        <v/>
      </c>
      <c r="Y34" s="545"/>
      <c r="Z34" s="545" t="str">
        <f>IF(AND('Mapa de Riesgos'!$H$62="Baja",'Mapa de Riesgos'!$L$62="Moderado"),CONCATENATE("R",'Mapa de Riesgos'!$A$62),"")</f>
        <v/>
      </c>
      <c r="AA34" s="546"/>
      <c r="AB34" s="528" t="str">
        <f>IF(AND('Mapa de Riesgos'!$H$50="Baja",'Mapa de Riesgos'!$L$50="Mayor"),CONCATENATE("R",'Mapa de Riesgos'!$A$50),"")</f>
        <v/>
      </c>
      <c r="AC34" s="524"/>
      <c r="AD34" s="524" t="str">
        <f>IF(AND('Mapa de Riesgos'!$H$56="Baja",'Mapa de Riesgos'!$L$56="Mayor"),CONCATENATE("R",'Mapa de Riesgos'!$A$56),"")</f>
        <v/>
      </c>
      <c r="AE34" s="524"/>
      <c r="AF34" s="524" t="str">
        <f>IF(AND('Mapa de Riesgos'!$H$62="Baja",'Mapa de Riesgos'!$L$62="Mayor"),CONCATENATE("R",'Mapa de Riesgos'!$A$62),"")</f>
        <v/>
      </c>
      <c r="AG34" s="525"/>
      <c r="AH34" s="535" t="str">
        <f>IF(AND('Mapa de Riesgos'!$H$50="Baja",'Mapa de Riesgos'!$L$50="Catastrófico"),CONCATENATE("R",'Mapa de Riesgos'!$A$50),"")</f>
        <v/>
      </c>
      <c r="AI34" s="536"/>
      <c r="AJ34" s="536" t="str">
        <f>IF(AND('Mapa de Riesgos'!$H$56="Baja",'Mapa de Riesgos'!$L$56="Catastrófico"),CONCATENATE("R",'Mapa de Riesgos'!$A$56),"")</f>
        <v/>
      </c>
      <c r="AK34" s="536"/>
      <c r="AL34" s="536" t="str">
        <f>IF(AND('Mapa de Riesgos'!$H$62="Baja",'Mapa de Riesgos'!$L$62="Catastrófico"),CONCATENATE("R",'Mapa de Riesgos'!$A$62),"")</f>
        <v/>
      </c>
      <c r="AM34" s="537"/>
      <c r="AN34" s="83"/>
      <c r="AO34" s="509"/>
      <c r="AP34" s="510"/>
      <c r="AQ34" s="510"/>
      <c r="AR34" s="510"/>
      <c r="AS34" s="510"/>
      <c r="AT34" s="51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77"/>
      <c r="C35" s="477"/>
      <c r="D35" s="478"/>
      <c r="E35" s="518"/>
      <c r="F35" s="519"/>
      <c r="G35" s="519"/>
      <c r="H35" s="519"/>
      <c r="I35" s="519"/>
      <c r="J35" s="555"/>
      <c r="K35" s="553"/>
      <c r="L35" s="553"/>
      <c r="M35" s="553"/>
      <c r="N35" s="553"/>
      <c r="O35" s="554"/>
      <c r="P35" s="545"/>
      <c r="Q35" s="545"/>
      <c r="R35" s="545"/>
      <c r="S35" s="545"/>
      <c r="T35" s="545"/>
      <c r="U35" s="546"/>
      <c r="V35" s="544"/>
      <c r="W35" s="545"/>
      <c r="X35" s="545"/>
      <c r="Y35" s="545"/>
      <c r="Z35" s="545"/>
      <c r="AA35" s="546"/>
      <c r="AB35" s="528"/>
      <c r="AC35" s="524"/>
      <c r="AD35" s="524"/>
      <c r="AE35" s="524"/>
      <c r="AF35" s="524"/>
      <c r="AG35" s="525"/>
      <c r="AH35" s="535"/>
      <c r="AI35" s="536"/>
      <c r="AJ35" s="536"/>
      <c r="AK35" s="536"/>
      <c r="AL35" s="536"/>
      <c r="AM35" s="537"/>
      <c r="AN35" s="83"/>
      <c r="AO35" s="509"/>
      <c r="AP35" s="510"/>
      <c r="AQ35" s="510"/>
      <c r="AR35" s="510"/>
      <c r="AS35" s="510"/>
      <c r="AT35" s="51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77"/>
      <c r="C36" s="477"/>
      <c r="D36" s="478"/>
      <c r="E36" s="518"/>
      <c r="F36" s="519"/>
      <c r="G36" s="519"/>
      <c r="H36" s="519"/>
      <c r="I36" s="519"/>
      <c r="J36" s="555" t="str">
        <f>IF(AND('Mapa de Riesgos'!$H$68="Baja",'Mapa de Riesgos'!$L$68="Leve"),CONCATENATE("R",'Mapa de Riesgos'!$A$68),"")</f>
        <v/>
      </c>
      <c r="K36" s="553"/>
      <c r="L36" s="553" t="str">
        <f>IF(AND('Mapa de Riesgos'!$H$74="Baja",'Mapa de Riesgos'!$L$74="Leve"),CONCATENATE("R",'Mapa de Riesgos'!$A$74),"")</f>
        <v/>
      </c>
      <c r="M36" s="553"/>
      <c r="N36" s="553" t="str">
        <f>IF(AND('Mapa de Riesgos'!$H$80="Baja",'Mapa de Riesgos'!$L$80="Leve"),CONCATENATE("R",'Mapa de Riesgos'!$A$80),"")</f>
        <v/>
      </c>
      <c r="O36" s="554"/>
      <c r="P36" s="545" t="str">
        <f>IF(AND('Mapa de Riesgos'!$H$68="Baja",'Mapa de Riesgos'!$L$68="Menor"),CONCATENATE("R",'Mapa de Riesgos'!$A$68),"")</f>
        <v/>
      </c>
      <c r="Q36" s="545"/>
      <c r="R36" s="545" t="str">
        <f>IF(AND('Mapa de Riesgos'!$H$74="Baja",'Mapa de Riesgos'!$L$74="Menor"),CONCATENATE("R",'Mapa de Riesgos'!$A$74),"")</f>
        <v/>
      </c>
      <c r="S36" s="545"/>
      <c r="T36" s="545" t="str">
        <f>IF(AND('Mapa de Riesgos'!$H$80="Baja",'Mapa de Riesgos'!$L$80="Menor"),CONCATENATE("R",'Mapa de Riesgos'!$A$80),"")</f>
        <v/>
      </c>
      <c r="U36" s="546"/>
      <c r="V36" s="544" t="str">
        <f>IF(AND('Mapa de Riesgos'!$H$68="Baja",'Mapa de Riesgos'!$L$68="Moderado"),CONCATENATE("R",'Mapa de Riesgos'!$A$68),"")</f>
        <v/>
      </c>
      <c r="W36" s="545"/>
      <c r="X36" s="545" t="str">
        <f>IF(AND('Mapa de Riesgos'!$H$74="Baja",'Mapa de Riesgos'!$L$74="Moderado"),CONCATENATE("R",'Mapa de Riesgos'!$A$74),"")</f>
        <v/>
      </c>
      <c r="Y36" s="545"/>
      <c r="Z36" s="545" t="str">
        <f>IF(AND('Mapa de Riesgos'!$H$80="Baja",'Mapa de Riesgos'!$L$80="Moderado"),CONCATENATE("R",'Mapa de Riesgos'!$A$80),"")</f>
        <v/>
      </c>
      <c r="AA36" s="546"/>
      <c r="AB36" s="528" t="str">
        <f>IF(AND('Mapa de Riesgos'!$H$68="Baja",'Mapa de Riesgos'!$L$68="Mayor"),CONCATENATE("R",'Mapa de Riesgos'!$A$68),"")</f>
        <v/>
      </c>
      <c r="AC36" s="524"/>
      <c r="AD36" s="524" t="str">
        <f>IF(AND('Mapa de Riesgos'!$H$74="Baja",'Mapa de Riesgos'!$L$74="Mayor"),CONCATENATE("R",'Mapa de Riesgos'!$A$74),"")</f>
        <v/>
      </c>
      <c r="AE36" s="524"/>
      <c r="AF36" s="524" t="str">
        <f>IF(AND('Mapa de Riesgos'!$H$80="Baja",'Mapa de Riesgos'!$L$80="Mayor"),CONCATENATE("R",'Mapa de Riesgos'!$A$80),"")</f>
        <v/>
      </c>
      <c r="AG36" s="525"/>
      <c r="AH36" s="535" t="str">
        <f>IF(AND('Mapa de Riesgos'!$H$68="Baja",'Mapa de Riesgos'!$L$68="Catastrófico"),CONCATENATE("R",'Mapa de Riesgos'!$A$68),"")</f>
        <v/>
      </c>
      <c r="AI36" s="536"/>
      <c r="AJ36" s="536" t="str">
        <f>IF(AND('Mapa de Riesgos'!$H$74="Baja",'Mapa de Riesgos'!$L$74="Catastrófico"),CONCATENATE("R",'Mapa de Riesgos'!$A$74),"")</f>
        <v/>
      </c>
      <c r="AK36" s="536"/>
      <c r="AL36" s="536" t="str">
        <f>IF(AND('Mapa de Riesgos'!$H$80="Baja",'Mapa de Riesgos'!$L$80="Catastrófico"),CONCATENATE("R",'Mapa de Riesgos'!$A$80),"")</f>
        <v/>
      </c>
      <c r="AM36" s="537"/>
      <c r="AN36" s="83"/>
      <c r="AO36" s="509"/>
      <c r="AP36" s="510"/>
      <c r="AQ36" s="510"/>
      <c r="AR36" s="510"/>
      <c r="AS36" s="510"/>
      <c r="AT36" s="51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77"/>
      <c r="C37" s="477"/>
      <c r="D37" s="478"/>
      <c r="E37" s="521"/>
      <c r="F37" s="522"/>
      <c r="G37" s="522"/>
      <c r="H37" s="522"/>
      <c r="I37" s="522"/>
      <c r="J37" s="556"/>
      <c r="K37" s="557"/>
      <c r="L37" s="557"/>
      <c r="M37" s="557"/>
      <c r="N37" s="557"/>
      <c r="O37" s="558"/>
      <c r="P37" s="548"/>
      <c r="Q37" s="548"/>
      <c r="R37" s="548"/>
      <c r="S37" s="548"/>
      <c r="T37" s="548"/>
      <c r="U37" s="549"/>
      <c r="V37" s="547"/>
      <c r="W37" s="548"/>
      <c r="X37" s="548"/>
      <c r="Y37" s="548"/>
      <c r="Z37" s="548"/>
      <c r="AA37" s="549"/>
      <c r="AB37" s="532"/>
      <c r="AC37" s="533"/>
      <c r="AD37" s="533"/>
      <c r="AE37" s="533"/>
      <c r="AF37" s="533"/>
      <c r="AG37" s="534"/>
      <c r="AH37" s="538"/>
      <c r="AI37" s="539"/>
      <c r="AJ37" s="539"/>
      <c r="AK37" s="539"/>
      <c r="AL37" s="539"/>
      <c r="AM37" s="540"/>
      <c r="AN37" s="83"/>
      <c r="AO37" s="512"/>
      <c r="AP37" s="513"/>
      <c r="AQ37" s="513"/>
      <c r="AR37" s="513"/>
      <c r="AS37" s="513"/>
      <c r="AT37" s="51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77"/>
      <c r="C38" s="477"/>
      <c r="D38" s="478"/>
      <c r="E38" s="515" t="s">
        <v>223</v>
      </c>
      <c r="F38" s="516"/>
      <c r="G38" s="516"/>
      <c r="H38" s="516"/>
      <c r="I38" s="517"/>
      <c r="J38" s="559" t="str">
        <f>IF(AND('Mapa de Riesgos'!$H$12="Muy Baja",'Mapa de Riesgos'!$L$12="Leve"),CONCATENATE("R",'Mapa de Riesgos'!$A$12),"")</f>
        <v/>
      </c>
      <c r="K38" s="560"/>
      <c r="L38" s="560" t="str">
        <f>IF(AND('Mapa de Riesgos'!$H$18="Muy Baja",'Mapa de Riesgos'!$L$18="Leve"),CONCATENATE("R",'Mapa de Riesgos'!$A$18),"")</f>
        <v/>
      </c>
      <c r="M38" s="560"/>
      <c r="N38" s="560" t="str">
        <f>IF(AND('Mapa de Riesgos'!$H$24="Muy Baja",'Mapa de Riesgos'!$L$24="Leve"),CONCATENATE("R",'Mapa de Riesgos'!$A$24),"")</f>
        <v/>
      </c>
      <c r="O38" s="561"/>
      <c r="P38" s="559" t="str">
        <f>IF(AND('Mapa de Riesgos'!$H$12="Muy Baja",'Mapa de Riesgos'!$L$12="Menor"),CONCATENATE("R",'Mapa de Riesgos'!$A$12),"")</f>
        <v/>
      </c>
      <c r="Q38" s="560"/>
      <c r="R38" s="560" t="str">
        <f>IF(AND('Mapa de Riesgos'!$H$18="Muy Baja",'Mapa de Riesgos'!$L$18="Menor"),CONCATENATE("R",'Mapa de Riesgos'!$A$18),"")</f>
        <v/>
      </c>
      <c r="S38" s="560"/>
      <c r="T38" s="560" t="str">
        <f>IF(AND('Mapa de Riesgos'!$H$24="Muy Baja",'Mapa de Riesgos'!$L$24="Menor"),CONCATENATE("R",'Mapa de Riesgos'!$A$24),"")</f>
        <v/>
      </c>
      <c r="U38" s="561"/>
      <c r="V38" s="550" t="str">
        <f>IF(AND('Mapa de Riesgos'!$H$12="Muy Baja",'Mapa de Riesgos'!$L$12="Moderado"),CONCATENATE("R",'Mapa de Riesgos'!$A$12),"")</f>
        <v/>
      </c>
      <c r="W38" s="551"/>
      <c r="X38" s="551" t="str">
        <f>IF(AND('Mapa de Riesgos'!$H$18="Muy Baja",'Mapa de Riesgos'!$L$18="Moderado"),CONCATENATE("R",'Mapa de Riesgos'!$A$18),"")</f>
        <v/>
      </c>
      <c r="Y38" s="551"/>
      <c r="Z38" s="551" t="str">
        <f>IF(AND('Mapa de Riesgos'!$H$24="Muy Baja",'Mapa de Riesgos'!$L$24="Moderado"),CONCATENATE("R",'Mapa de Riesgos'!$A$24),"")</f>
        <v/>
      </c>
      <c r="AA38" s="552"/>
      <c r="AB38" s="526" t="str">
        <f>IF(AND('Mapa de Riesgos'!$H$12="Muy Baja",'Mapa de Riesgos'!$L$12="Mayor"),CONCATENATE("R",'Mapa de Riesgos'!$A$12),"")</f>
        <v/>
      </c>
      <c r="AC38" s="527"/>
      <c r="AD38" s="527" t="str">
        <f>IF(AND('Mapa de Riesgos'!$H$18="Muy Baja",'Mapa de Riesgos'!$L$18="Mayor"),CONCATENATE("R",'Mapa de Riesgos'!$A$18),"")</f>
        <v/>
      </c>
      <c r="AE38" s="527"/>
      <c r="AF38" s="527" t="str">
        <f>IF(AND('Mapa de Riesgos'!$H$24="Muy Baja",'Mapa de Riesgos'!$L$24="Mayor"),CONCATENATE("R",'Mapa de Riesgos'!$A$24),"")</f>
        <v/>
      </c>
      <c r="AG38" s="529"/>
      <c r="AH38" s="541" t="str">
        <f>IF(AND('Mapa de Riesgos'!$H$12="Muy Baja",'Mapa de Riesgos'!$L$12="Catastrófico"),CONCATENATE("R",'Mapa de Riesgos'!$A$12),"")</f>
        <v/>
      </c>
      <c r="AI38" s="542"/>
      <c r="AJ38" s="542" t="str">
        <f>IF(AND('Mapa de Riesgos'!$H$18="Muy Baja",'Mapa de Riesgos'!$L$18="Catastrófico"),CONCATENATE("R",'Mapa de Riesgos'!$A$18),"")</f>
        <v/>
      </c>
      <c r="AK38" s="542"/>
      <c r="AL38" s="542" t="str">
        <f>IF(AND('Mapa de Riesgos'!$H$24="Muy Baja",'Mapa de Riesgos'!$L$24="Catastrófico"),CONCATENATE("R",'Mapa de Riesgos'!$A$24),"")</f>
        <v/>
      </c>
      <c r="AM38" s="54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77"/>
      <c r="C39" s="477"/>
      <c r="D39" s="478"/>
      <c r="E39" s="518"/>
      <c r="F39" s="519"/>
      <c r="G39" s="519"/>
      <c r="H39" s="519"/>
      <c r="I39" s="520"/>
      <c r="J39" s="555"/>
      <c r="K39" s="553"/>
      <c r="L39" s="553"/>
      <c r="M39" s="553"/>
      <c r="N39" s="553"/>
      <c r="O39" s="554"/>
      <c r="P39" s="555"/>
      <c r="Q39" s="553"/>
      <c r="R39" s="553"/>
      <c r="S39" s="553"/>
      <c r="T39" s="553"/>
      <c r="U39" s="554"/>
      <c r="V39" s="544"/>
      <c r="W39" s="545"/>
      <c r="X39" s="545"/>
      <c r="Y39" s="545"/>
      <c r="Z39" s="545"/>
      <c r="AA39" s="546"/>
      <c r="AB39" s="528"/>
      <c r="AC39" s="524"/>
      <c r="AD39" s="524"/>
      <c r="AE39" s="524"/>
      <c r="AF39" s="524"/>
      <c r="AG39" s="525"/>
      <c r="AH39" s="535"/>
      <c r="AI39" s="536"/>
      <c r="AJ39" s="536"/>
      <c r="AK39" s="536"/>
      <c r="AL39" s="536"/>
      <c r="AM39" s="53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77"/>
      <c r="C40" s="477"/>
      <c r="D40" s="478"/>
      <c r="E40" s="518"/>
      <c r="F40" s="519"/>
      <c r="G40" s="519"/>
      <c r="H40" s="519"/>
      <c r="I40" s="520"/>
      <c r="J40" s="555" t="str">
        <f>IF(AND('Mapa de Riesgos'!$H$32="Muy Baja",'Mapa de Riesgos'!$L$32="Leve"),CONCATENATE("R",'Mapa de Riesgos'!$A$32),"")</f>
        <v/>
      </c>
      <c r="K40" s="553"/>
      <c r="L40" s="553" t="str">
        <f>IF(AND('Mapa de Riesgos'!$H$38="Muy Baja",'Mapa de Riesgos'!$L$38="Leve"),CONCATENATE("R",'Mapa de Riesgos'!$A$38),"")</f>
        <v/>
      </c>
      <c r="M40" s="553"/>
      <c r="N40" s="553" t="str">
        <f>IF(AND('Mapa de Riesgos'!$H$44="Muy Baja",'Mapa de Riesgos'!$L$44="Leve"),CONCATENATE("R",'Mapa de Riesgos'!$A$44),"")</f>
        <v/>
      </c>
      <c r="O40" s="554"/>
      <c r="P40" s="555" t="str">
        <f>IF(AND('Mapa de Riesgos'!$H$32="Muy Baja",'Mapa de Riesgos'!$L$32="Menor"),CONCATENATE("R",'Mapa de Riesgos'!$A$32),"")</f>
        <v/>
      </c>
      <c r="Q40" s="553"/>
      <c r="R40" s="553" t="str">
        <f>IF(AND('Mapa de Riesgos'!$H$38="Muy Baja",'Mapa de Riesgos'!$L$38="Menor"),CONCATENATE("R",'Mapa de Riesgos'!$A$38),"")</f>
        <v/>
      </c>
      <c r="S40" s="553"/>
      <c r="T40" s="553" t="str">
        <f>IF(AND('Mapa de Riesgos'!$H$44="Muy Baja",'Mapa de Riesgos'!$L$44="Menor"),CONCATENATE("R",'Mapa de Riesgos'!$A$44),"")</f>
        <v/>
      </c>
      <c r="U40" s="554"/>
      <c r="V40" s="544" t="str">
        <f>IF(AND('Mapa de Riesgos'!$H$32="Muy Baja",'Mapa de Riesgos'!$L$32="Moderado"),CONCATENATE("R",'Mapa de Riesgos'!$A$32),"")</f>
        <v/>
      </c>
      <c r="W40" s="545"/>
      <c r="X40" s="545" t="str">
        <f>IF(AND('Mapa de Riesgos'!$H$38="Muy Baja",'Mapa de Riesgos'!$L$38="Moderado"),CONCATENATE("R",'Mapa de Riesgos'!$A$38),"")</f>
        <v>R5</v>
      </c>
      <c r="Y40" s="545"/>
      <c r="Z40" s="545" t="str">
        <f>IF(AND('Mapa de Riesgos'!$H$44="Muy Baja",'Mapa de Riesgos'!$L$44="Moderado"),CONCATENATE("R",'Mapa de Riesgos'!$A$44),"")</f>
        <v/>
      </c>
      <c r="AA40" s="546"/>
      <c r="AB40" s="528" t="str">
        <f>IF(AND('Mapa de Riesgos'!$H$32="Muy Baja",'Mapa de Riesgos'!$L$32="Mayor"),CONCATENATE("R",'Mapa de Riesgos'!$A$32),"")</f>
        <v/>
      </c>
      <c r="AC40" s="524"/>
      <c r="AD40" s="524" t="str">
        <f>IF(AND('Mapa de Riesgos'!$H$38="Muy Baja",'Mapa de Riesgos'!$L$38="Mayor"),CONCATENATE("R",'Mapa de Riesgos'!$A$38),"")</f>
        <v/>
      </c>
      <c r="AE40" s="524"/>
      <c r="AF40" s="524" t="str">
        <f>IF(AND('Mapa de Riesgos'!$H$44="Muy Baja",'Mapa de Riesgos'!$L$44="Mayor"),CONCATENATE("R",'Mapa de Riesgos'!$A$44),"")</f>
        <v/>
      </c>
      <c r="AG40" s="525"/>
      <c r="AH40" s="535" t="str">
        <f>IF(AND('Mapa de Riesgos'!$H$32="Muy Baja",'Mapa de Riesgos'!$L$32="Catastrófico"),CONCATENATE("R",'Mapa de Riesgos'!$A$32),"")</f>
        <v/>
      </c>
      <c r="AI40" s="536"/>
      <c r="AJ40" s="536" t="str">
        <f>IF(AND('Mapa de Riesgos'!$H$38="Muy Baja",'Mapa de Riesgos'!$L$38="Catastrófico"),CONCATENATE("R",'Mapa de Riesgos'!$A$38),"")</f>
        <v/>
      </c>
      <c r="AK40" s="536"/>
      <c r="AL40" s="536" t="str">
        <f>IF(AND('Mapa de Riesgos'!$H$44="Muy Baja",'Mapa de Riesgos'!$L$44="Catastrófico"),CONCATENATE("R",'Mapa de Riesgos'!$A$44),"")</f>
        <v/>
      </c>
      <c r="AM40" s="53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77"/>
      <c r="C41" s="477"/>
      <c r="D41" s="478"/>
      <c r="E41" s="518"/>
      <c r="F41" s="519"/>
      <c r="G41" s="519"/>
      <c r="H41" s="519"/>
      <c r="I41" s="520"/>
      <c r="J41" s="555"/>
      <c r="K41" s="553"/>
      <c r="L41" s="553"/>
      <c r="M41" s="553"/>
      <c r="N41" s="553"/>
      <c r="O41" s="554"/>
      <c r="P41" s="555"/>
      <c r="Q41" s="553"/>
      <c r="R41" s="553"/>
      <c r="S41" s="553"/>
      <c r="T41" s="553"/>
      <c r="U41" s="554"/>
      <c r="V41" s="544"/>
      <c r="W41" s="545"/>
      <c r="X41" s="545"/>
      <c r="Y41" s="545"/>
      <c r="Z41" s="545"/>
      <c r="AA41" s="546"/>
      <c r="AB41" s="528"/>
      <c r="AC41" s="524"/>
      <c r="AD41" s="524"/>
      <c r="AE41" s="524"/>
      <c r="AF41" s="524"/>
      <c r="AG41" s="525"/>
      <c r="AH41" s="535"/>
      <c r="AI41" s="536"/>
      <c r="AJ41" s="536"/>
      <c r="AK41" s="536"/>
      <c r="AL41" s="536"/>
      <c r="AM41" s="53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77"/>
      <c r="C42" s="477"/>
      <c r="D42" s="478"/>
      <c r="E42" s="518"/>
      <c r="F42" s="519"/>
      <c r="G42" s="519"/>
      <c r="H42" s="519"/>
      <c r="I42" s="520"/>
      <c r="J42" s="555" t="str">
        <f>IF(AND('Mapa de Riesgos'!$H$50="Muy Baja",'Mapa de Riesgos'!$L$50="Leve"),CONCATENATE("R",'Mapa de Riesgos'!$A$50),"")</f>
        <v/>
      </c>
      <c r="K42" s="553"/>
      <c r="L42" s="553" t="str">
        <f>IF(AND('Mapa de Riesgos'!$H$56="Muy Baja",'Mapa de Riesgos'!$L$56="Leve"),CONCATENATE("R",'Mapa de Riesgos'!$A$56),"")</f>
        <v/>
      </c>
      <c r="M42" s="553"/>
      <c r="N42" s="553" t="str">
        <f>IF(AND('Mapa de Riesgos'!$H$62="Muy Baja",'Mapa de Riesgos'!$L$62="Leve"),CONCATENATE("R",'Mapa de Riesgos'!$A$62),"")</f>
        <v/>
      </c>
      <c r="O42" s="554"/>
      <c r="P42" s="555" t="str">
        <f>IF(AND('Mapa de Riesgos'!$H$50="Muy Baja",'Mapa de Riesgos'!$L$50="Menor"),CONCATENATE("R",'Mapa de Riesgos'!$A$50),"")</f>
        <v/>
      </c>
      <c r="Q42" s="553"/>
      <c r="R42" s="553" t="str">
        <f>IF(AND('Mapa de Riesgos'!$H$56="Muy Baja",'Mapa de Riesgos'!$L$56="Menor"),CONCATENATE("R",'Mapa de Riesgos'!$A$56),"")</f>
        <v/>
      </c>
      <c r="S42" s="553"/>
      <c r="T42" s="553" t="str">
        <f>IF(AND('Mapa de Riesgos'!$H$62="Muy Baja",'Mapa de Riesgos'!$L$62="Menor"),CONCATENATE("R",'Mapa de Riesgos'!$A$62),"")</f>
        <v/>
      </c>
      <c r="U42" s="554"/>
      <c r="V42" s="544" t="str">
        <f>IF(AND('Mapa de Riesgos'!$H$50="Muy Baja",'Mapa de Riesgos'!$L$50="Moderado"),CONCATENATE("R",'Mapa de Riesgos'!$A$50),"")</f>
        <v/>
      </c>
      <c r="W42" s="545"/>
      <c r="X42" s="545" t="str">
        <f>IF(AND('Mapa de Riesgos'!$H$56="Muy Baja",'Mapa de Riesgos'!$L$56="Moderado"),CONCATENATE("R",'Mapa de Riesgos'!$A$56),"")</f>
        <v/>
      </c>
      <c r="Y42" s="545"/>
      <c r="Z42" s="545" t="str">
        <f>IF(AND('Mapa de Riesgos'!$H$62="Muy Baja",'Mapa de Riesgos'!$L$62="Moderado"),CONCATENATE("R",'Mapa de Riesgos'!$A$62),"")</f>
        <v/>
      </c>
      <c r="AA42" s="546"/>
      <c r="AB42" s="528" t="str">
        <f>IF(AND('Mapa de Riesgos'!$H$50="Muy Baja",'Mapa de Riesgos'!$L$50="Mayor"),CONCATENATE("R",'Mapa de Riesgos'!$A$50),"")</f>
        <v/>
      </c>
      <c r="AC42" s="524"/>
      <c r="AD42" s="524" t="str">
        <f>IF(AND('Mapa de Riesgos'!$H$56="Muy Baja",'Mapa de Riesgos'!$L$56="Mayor"),CONCATENATE("R",'Mapa de Riesgos'!$A$56),"")</f>
        <v/>
      </c>
      <c r="AE42" s="524"/>
      <c r="AF42" s="524" t="str">
        <f>IF(AND('Mapa de Riesgos'!$H$62="Muy Baja",'Mapa de Riesgos'!$L$62="Mayor"),CONCATENATE("R",'Mapa de Riesgos'!$A$62),"")</f>
        <v/>
      </c>
      <c r="AG42" s="525"/>
      <c r="AH42" s="535" t="str">
        <f>IF(AND('Mapa de Riesgos'!$H$50="Muy Baja",'Mapa de Riesgos'!$L$50="Catastrófico"),CONCATENATE("R",'Mapa de Riesgos'!$A$50),"")</f>
        <v/>
      </c>
      <c r="AI42" s="536"/>
      <c r="AJ42" s="536" t="str">
        <f>IF(AND('Mapa de Riesgos'!$H$56="Muy Baja",'Mapa de Riesgos'!$L$56="Catastrófico"),CONCATENATE("R",'Mapa de Riesgos'!$A$56),"")</f>
        <v/>
      </c>
      <c r="AK42" s="536"/>
      <c r="AL42" s="536" t="str">
        <f>IF(AND('Mapa de Riesgos'!$H$62="Muy Baja",'Mapa de Riesgos'!$L$62="Catastrófico"),CONCATENATE("R",'Mapa de Riesgos'!$A$62),"")</f>
        <v/>
      </c>
      <c r="AM42" s="53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77"/>
      <c r="C43" s="477"/>
      <c r="D43" s="478"/>
      <c r="E43" s="518"/>
      <c r="F43" s="519"/>
      <c r="G43" s="519"/>
      <c r="H43" s="519"/>
      <c r="I43" s="520"/>
      <c r="J43" s="555"/>
      <c r="K43" s="553"/>
      <c r="L43" s="553"/>
      <c r="M43" s="553"/>
      <c r="N43" s="553"/>
      <c r="O43" s="554"/>
      <c r="P43" s="555"/>
      <c r="Q43" s="553"/>
      <c r="R43" s="553"/>
      <c r="S43" s="553"/>
      <c r="T43" s="553"/>
      <c r="U43" s="554"/>
      <c r="V43" s="544"/>
      <c r="W43" s="545"/>
      <c r="X43" s="545"/>
      <c r="Y43" s="545"/>
      <c r="Z43" s="545"/>
      <c r="AA43" s="546"/>
      <c r="AB43" s="528"/>
      <c r="AC43" s="524"/>
      <c r="AD43" s="524"/>
      <c r="AE43" s="524"/>
      <c r="AF43" s="524"/>
      <c r="AG43" s="525"/>
      <c r="AH43" s="535"/>
      <c r="AI43" s="536"/>
      <c r="AJ43" s="536"/>
      <c r="AK43" s="536"/>
      <c r="AL43" s="536"/>
      <c r="AM43" s="53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77"/>
      <c r="C44" s="477"/>
      <c r="D44" s="478"/>
      <c r="E44" s="518"/>
      <c r="F44" s="519"/>
      <c r="G44" s="519"/>
      <c r="H44" s="519"/>
      <c r="I44" s="520"/>
      <c r="J44" s="555" t="str">
        <f>IF(AND('Mapa de Riesgos'!$H$68="Muy Baja",'Mapa de Riesgos'!$L$68="Leve"),CONCATENATE("R",'Mapa de Riesgos'!$A$68),"")</f>
        <v/>
      </c>
      <c r="K44" s="553"/>
      <c r="L44" s="553" t="str">
        <f>IF(AND('Mapa de Riesgos'!$H$74="Muy Baja",'Mapa de Riesgos'!$L$74="Leve"),CONCATENATE("R",'Mapa de Riesgos'!$A$74),"")</f>
        <v/>
      </c>
      <c r="M44" s="553"/>
      <c r="N44" s="553" t="str">
        <f>IF(AND('Mapa de Riesgos'!$H$80="Muy Baja",'Mapa de Riesgos'!$L$80="Leve"),CONCATENATE("R",'Mapa de Riesgos'!$A$80),"")</f>
        <v/>
      </c>
      <c r="O44" s="554"/>
      <c r="P44" s="555" t="str">
        <f>IF(AND('Mapa de Riesgos'!$H$68="Muy Baja",'Mapa de Riesgos'!$L$68="Menor"),CONCATENATE("R",'Mapa de Riesgos'!$A$68),"")</f>
        <v/>
      </c>
      <c r="Q44" s="553"/>
      <c r="R44" s="553" t="str">
        <f>IF(AND('Mapa de Riesgos'!$H$74="Muy Baja",'Mapa de Riesgos'!$L$74="Menor"),CONCATENATE("R",'Mapa de Riesgos'!$A$74),"")</f>
        <v/>
      </c>
      <c r="S44" s="553"/>
      <c r="T44" s="553" t="str">
        <f>IF(AND('Mapa de Riesgos'!$H$80="Muy Baja",'Mapa de Riesgos'!$L$80="Menor"),CONCATENATE("R",'Mapa de Riesgos'!$A$80),"")</f>
        <v/>
      </c>
      <c r="U44" s="554"/>
      <c r="V44" s="544" t="str">
        <f>IF(AND('Mapa de Riesgos'!$H$68="Muy Baja",'Mapa de Riesgos'!$L$68="Moderado"),CONCATENATE("R",'Mapa de Riesgos'!$A$68),"")</f>
        <v/>
      </c>
      <c r="W44" s="545"/>
      <c r="X44" s="545" t="str">
        <f>IF(AND('Mapa de Riesgos'!$H$74="Muy Baja",'Mapa de Riesgos'!$L$74="Moderado"),CONCATENATE("R",'Mapa de Riesgos'!$A$74),"")</f>
        <v/>
      </c>
      <c r="Y44" s="545"/>
      <c r="Z44" s="545" t="str">
        <f>IF(AND('Mapa de Riesgos'!$H$80="Muy Baja",'Mapa de Riesgos'!$L$80="Moderado"),CONCATENATE("R",'Mapa de Riesgos'!$A$80),"")</f>
        <v/>
      </c>
      <c r="AA44" s="546"/>
      <c r="AB44" s="528" t="str">
        <f>IF(AND('Mapa de Riesgos'!$H$68="Muy Baja",'Mapa de Riesgos'!$L$68="Mayor"),CONCATENATE("R",'Mapa de Riesgos'!$A$68),"")</f>
        <v/>
      </c>
      <c r="AC44" s="524"/>
      <c r="AD44" s="524" t="str">
        <f>IF(AND('Mapa de Riesgos'!$H$74="Muy Baja",'Mapa de Riesgos'!$L$74="Mayor"),CONCATENATE("R",'Mapa de Riesgos'!$A$74),"")</f>
        <v/>
      </c>
      <c r="AE44" s="524"/>
      <c r="AF44" s="524" t="str">
        <f>IF(AND('Mapa de Riesgos'!$H$80="Muy Baja",'Mapa de Riesgos'!$L$80="Mayor"),CONCATENATE("R",'Mapa de Riesgos'!$A$80),"")</f>
        <v/>
      </c>
      <c r="AG44" s="525"/>
      <c r="AH44" s="535" t="str">
        <f>IF(AND('Mapa de Riesgos'!$H$68="Muy Baja",'Mapa de Riesgos'!$L$68="Catastrófico"),CONCATENATE("R",'Mapa de Riesgos'!$A$68),"")</f>
        <v/>
      </c>
      <c r="AI44" s="536"/>
      <c r="AJ44" s="536" t="str">
        <f>IF(AND('Mapa de Riesgos'!$H$74="Muy Baja",'Mapa de Riesgos'!$L$74="Catastrófico"),CONCATENATE("R",'Mapa de Riesgos'!$A$74),"")</f>
        <v/>
      </c>
      <c r="AK44" s="536"/>
      <c r="AL44" s="536" t="str">
        <f>IF(AND('Mapa de Riesgos'!$H$80="Muy Baja",'Mapa de Riesgos'!$L$80="Catastrófico"),CONCATENATE("R",'Mapa de Riesgos'!$A$80),"")</f>
        <v/>
      </c>
      <c r="AM44" s="53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77"/>
      <c r="C45" s="477"/>
      <c r="D45" s="478"/>
      <c r="E45" s="521"/>
      <c r="F45" s="522"/>
      <c r="G45" s="522"/>
      <c r="H45" s="522"/>
      <c r="I45" s="523"/>
      <c r="J45" s="556"/>
      <c r="K45" s="557"/>
      <c r="L45" s="557"/>
      <c r="M45" s="557"/>
      <c r="N45" s="557"/>
      <c r="O45" s="558"/>
      <c r="P45" s="556"/>
      <c r="Q45" s="557"/>
      <c r="R45" s="557"/>
      <c r="S45" s="557"/>
      <c r="T45" s="557"/>
      <c r="U45" s="558"/>
      <c r="V45" s="547"/>
      <c r="W45" s="548"/>
      <c r="X45" s="548"/>
      <c r="Y45" s="548"/>
      <c r="Z45" s="548"/>
      <c r="AA45" s="549"/>
      <c r="AB45" s="532"/>
      <c r="AC45" s="533"/>
      <c r="AD45" s="533"/>
      <c r="AE45" s="533"/>
      <c r="AF45" s="533"/>
      <c r="AG45" s="534"/>
      <c r="AH45" s="538"/>
      <c r="AI45" s="539"/>
      <c r="AJ45" s="539"/>
      <c r="AK45" s="539"/>
      <c r="AL45" s="539"/>
      <c r="AM45" s="54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15" t="s">
        <v>224</v>
      </c>
      <c r="K46" s="516"/>
      <c r="L46" s="516"/>
      <c r="M46" s="516"/>
      <c r="N46" s="516"/>
      <c r="O46" s="517"/>
      <c r="P46" s="515" t="s">
        <v>225</v>
      </c>
      <c r="Q46" s="516"/>
      <c r="R46" s="516"/>
      <c r="S46" s="516"/>
      <c r="T46" s="516"/>
      <c r="U46" s="517"/>
      <c r="V46" s="515" t="s">
        <v>226</v>
      </c>
      <c r="W46" s="516"/>
      <c r="X46" s="516"/>
      <c r="Y46" s="516"/>
      <c r="Z46" s="516"/>
      <c r="AA46" s="517"/>
      <c r="AB46" s="515" t="s">
        <v>227</v>
      </c>
      <c r="AC46" s="531"/>
      <c r="AD46" s="516"/>
      <c r="AE46" s="516"/>
      <c r="AF46" s="516"/>
      <c r="AG46" s="517"/>
      <c r="AH46" s="515" t="s">
        <v>228</v>
      </c>
      <c r="AI46" s="516"/>
      <c r="AJ46" s="516"/>
      <c r="AK46" s="516"/>
      <c r="AL46" s="516"/>
      <c r="AM46" s="517"/>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18"/>
      <c r="K47" s="519"/>
      <c r="L47" s="519"/>
      <c r="M47" s="519"/>
      <c r="N47" s="519"/>
      <c r="O47" s="520"/>
      <c r="P47" s="518"/>
      <c r="Q47" s="519"/>
      <c r="R47" s="519"/>
      <c r="S47" s="519"/>
      <c r="T47" s="519"/>
      <c r="U47" s="520"/>
      <c r="V47" s="518"/>
      <c r="W47" s="519"/>
      <c r="X47" s="519"/>
      <c r="Y47" s="519"/>
      <c r="Z47" s="519"/>
      <c r="AA47" s="520"/>
      <c r="AB47" s="518"/>
      <c r="AC47" s="519"/>
      <c r="AD47" s="519"/>
      <c r="AE47" s="519"/>
      <c r="AF47" s="519"/>
      <c r="AG47" s="520"/>
      <c r="AH47" s="518"/>
      <c r="AI47" s="519"/>
      <c r="AJ47" s="519"/>
      <c r="AK47" s="519"/>
      <c r="AL47" s="519"/>
      <c r="AM47" s="520"/>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18"/>
      <c r="K48" s="519"/>
      <c r="L48" s="519"/>
      <c r="M48" s="519"/>
      <c r="N48" s="519"/>
      <c r="O48" s="520"/>
      <c r="P48" s="518"/>
      <c r="Q48" s="519"/>
      <c r="R48" s="519"/>
      <c r="S48" s="519"/>
      <c r="T48" s="519"/>
      <c r="U48" s="520"/>
      <c r="V48" s="518"/>
      <c r="W48" s="519"/>
      <c r="X48" s="519"/>
      <c r="Y48" s="519"/>
      <c r="Z48" s="519"/>
      <c r="AA48" s="520"/>
      <c r="AB48" s="518"/>
      <c r="AC48" s="519"/>
      <c r="AD48" s="519"/>
      <c r="AE48" s="519"/>
      <c r="AF48" s="519"/>
      <c r="AG48" s="520"/>
      <c r="AH48" s="518"/>
      <c r="AI48" s="519"/>
      <c r="AJ48" s="519"/>
      <c r="AK48" s="519"/>
      <c r="AL48" s="519"/>
      <c r="AM48" s="520"/>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18"/>
      <c r="K49" s="519"/>
      <c r="L49" s="519"/>
      <c r="M49" s="519"/>
      <c r="N49" s="519"/>
      <c r="O49" s="520"/>
      <c r="P49" s="518"/>
      <c r="Q49" s="519"/>
      <c r="R49" s="519"/>
      <c r="S49" s="519"/>
      <c r="T49" s="519"/>
      <c r="U49" s="520"/>
      <c r="V49" s="518"/>
      <c r="W49" s="519"/>
      <c r="X49" s="519"/>
      <c r="Y49" s="519"/>
      <c r="Z49" s="519"/>
      <c r="AA49" s="520"/>
      <c r="AB49" s="518"/>
      <c r="AC49" s="519"/>
      <c r="AD49" s="519"/>
      <c r="AE49" s="519"/>
      <c r="AF49" s="519"/>
      <c r="AG49" s="520"/>
      <c r="AH49" s="518"/>
      <c r="AI49" s="519"/>
      <c r="AJ49" s="519"/>
      <c r="AK49" s="519"/>
      <c r="AL49" s="519"/>
      <c r="AM49" s="520"/>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18"/>
      <c r="K50" s="519"/>
      <c r="L50" s="519"/>
      <c r="M50" s="519"/>
      <c r="N50" s="519"/>
      <c r="O50" s="520"/>
      <c r="P50" s="518"/>
      <c r="Q50" s="519"/>
      <c r="R50" s="519"/>
      <c r="S50" s="519"/>
      <c r="T50" s="519"/>
      <c r="U50" s="520"/>
      <c r="V50" s="518"/>
      <c r="W50" s="519"/>
      <c r="X50" s="519"/>
      <c r="Y50" s="519"/>
      <c r="Z50" s="519"/>
      <c r="AA50" s="520"/>
      <c r="AB50" s="518"/>
      <c r="AC50" s="519"/>
      <c r="AD50" s="519"/>
      <c r="AE50" s="519"/>
      <c r="AF50" s="519"/>
      <c r="AG50" s="520"/>
      <c r="AH50" s="518"/>
      <c r="AI50" s="519"/>
      <c r="AJ50" s="519"/>
      <c r="AK50" s="519"/>
      <c r="AL50" s="519"/>
      <c r="AM50" s="520"/>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21"/>
      <c r="K51" s="522"/>
      <c r="L51" s="522"/>
      <c r="M51" s="522"/>
      <c r="N51" s="522"/>
      <c r="O51" s="523"/>
      <c r="P51" s="521"/>
      <c r="Q51" s="522"/>
      <c r="R51" s="522"/>
      <c r="S51" s="522"/>
      <c r="T51" s="522"/>
      <c r="U51" s="523"/>
      <c r="V51" s="521"/>
      <c r="W51" s="522"/>
      <c r="X51" s="522"/>
      <c r="Y51" s="522"/>
      <c r="Z51" s="522"/>
      <c r="AA51" s="523"/>
      <c r="AB51" s="521"/>
      <c r="AC51" s="522"/>
      <c r="AD51" s="522"/>
      <c r="AE51" s="522"/>
      <c r="AF51" s="522"/>
      <c r="AG51" s="523"/>
      <c r="AH51" s="521"/>
      <c r="AI51" s="522"/>
      <c r="AJ51" s="522"/>
      <c r="AK51" s="522"/>
      <c r="AL51" s="522"/>
      <c r="AM51" s="52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88" t="s">
        <v>229</v>
      </c>
      <c r="C2" s="589"/>
      <c r="D2" s="589"/>
      <c r="E2" s="589"/>
      <c r="F2" s="589"/>
      <c r="G2" s="589"/>
      <c r="H2" s="589"/>
      <c r="I2" s="589"/>
      <c r="J2" s="530" t="s">
        <v>26</v>
      </c>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89"/>
      <c r="C3" s="589"/>
      <c r="D3" s="589"/>
      <c r="E3" s="589"/>
      <c r="F3" s="589"/>
      <c r="G3" s="589"/>
      <c r="H3" s="589"/>
      <c r="I3" s="589"/>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89"/>
      <c r="C4" s="589"/>
      <c r="D4" s="589"/>
      <c r="E4" s="589"/>
      <c r="F4" s="589"/>
      <c r="G4" s="589"/>
      <c r="H4" s="589"/>
      <c r="I4" s="589"/>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77" t="s">
        <v>214</v>
      </c>
      <c r="C6" s="477"/>
      <c r="D6" s="478"/>
      <c r="E6" s="572" t="s">
        <v>215</v>
      </c>
      <c r="F6" s="573"/>
      <c r="G6" s="573"/>
      <c r="H6" s="573"/>
      <c r="I6" s="590"/>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79" t="s">
        <v>216</v>
      </c>
      <c r="AP6" s="580"/>
      <c r="AQ6" s="580"/>
      <c r="AR6" s="580"/>
      <c r="AS6" s="580"/>
      <c r="AT6" s="58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77"/>
      <c r="C7" s="477"/>
      <c r="D7" s="478"/>
      <c r="E7" s="576"/>
      <c r="F7" s="575"/>
      <c r="G7" s="575"/>
      <c r="H7" s="575"/>
      <c r="I7" s="591"/>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82"/>
      <c r="AP7" s="583"/>
      <c r="AQ7" s="583"/>
      <c r="AR7" s="583"/>
      <c r="AS7" s="583"/>
      <c r="AT7" s="58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77"/>
      <c r="C8" s="477"/>
      <c r="D8" s="478"/>
      <c r="E8" s="576"/>
      <c r="F8" s="575"/>
      <c r="G8" s="575"/>
      <c r="H8" s="575"/>
      <c r="I8" s="591"/>
      <c r="J8" s="52" t="str">
        <f>IF(AND('Mapa de Riesgos'!$Y$24="Muy Alta",'Mapa de Riesgos'!$AA$24="Leve"),CONCATENATE("R3C",'Mapa de Riesgos'!$O$24),"")</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Riesgos'!$Y$24="Muy Alta",'Mapa de Riesgos'!$AA$24="Menor"),CONCATENATE("R3C",'Mapa de Riesgos'!$O$24),"")</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Riesgos'!$Y$24="Muy Alta",'Mapa de Riesgos'!$AA$24="Moderado"),CONCATENATE("R3C",'Mapa de Riesgos'!$O$24),"")</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Riesgos'!$Y$24="Muy Alta",'Mapa de Riesgos'!$AA$24="Mayor"),CONCATENATE("R3C",'Mapa de Riesgos'!$O$24),"")</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Riesgos'!$Y$24="Muy Alta",'Mapa de Riesgos'!$AA$24="Catastrófico"),CONCATENATE("R3C",'Mapa de Riesgos'!$O$24),"")</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82"/>
      <c r="AP8" s="583"/>
      <c r="AQ8" s="583"/>
      <c r="AR8" s="583"/>
      <c r="AS8" s="583"/>
      <c r="AT8" s="58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77"/>
      <c r="C9" s="477"/>
      <c r="D9" s="478"/>
      <c r="E9" s="576"/>
      <c r="F9" s="575"/>
      <c r="G9" s="575"/>
      <c r="H9" s="575"/>
      <c r="I9" s="591"/>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82"/>
      <c r="AP9" s="583"/>
      <c r="AQ9" s="583"/>
      <c r="AR9" s="583"/>
      <c r="AS9" s="583"/>
      <c r="AT9" s="58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77"/>
      <c r="C10" s="477"/>
      <c r="D10" s="478"/>
      <c r="E10" s="576"/>
      <c r="F10" s="575"/>
      <c r="G10" s="575"/>
      <c r="H10" s="575"/>
      <c r="I10" s="591"/>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82"/>
      <c r="AP10" s="583"/>
      <c r="AQ10" s="583"/>
      <c r="AR10" s="583"/>
      <c r="AS10" s="583"/>
      <c r="AT10" s="58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77"/>
      <c r="C11" s="477"/>
      <c r="D11" s="478"/>
      <c r="E11" s="576"/>
      <c r="F11" s="575"/>
      <c r="G11" s="575"/>
      <c r="H11" s="575"/>
      <c r="I11" s="591"/>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82"/>
      <c r="AP11" s="583"/>
      <c r="AQ11" s="583"/>
      <c r="AR11" s="583"/>
      <c r="AS11" s="583"/>
      <c r="AT11" s="58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77"/>
      <c r="C12" s="477"/>
      <c r="D12" s="478"/>
      <c r="E12" s="576"/>
      <c r="F12" s="575"/>
      <c r="G12" s="575"/>
      <c r="H12" s="575"/>
      <c r="I12" s="591"/>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82"/>
      <c r="AP12" s="583"/>
      <c r="AQ12" s="583"/>
      <c r="AR12" s="583"/>
      <c r="AS12" s="583"/>
      <c r="AT12" s="58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77"/>
      <c r="C13" s="477"/>
      <c r="D13" s="478"/>
      <c r="E13" s="576"/>
      <c r="F13" s="575"/>
      <c r="G13" s="575"/>
      <c r="H13" s="575"/>
      <c r="I13" s="591"/>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82"/>
      <c r="AP13" s="583"/>
      <c r="AQ13" s="583"/>
      <c r="AR13" s="583"/>
      <c r="AS13" s="583"/>
      <c r="AT13" s="58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77"/>
      <c r="C14" s="477"/>
      <c r="D14" s="478"/>
      <c r="E14" s="576"/>
      <c r="F14" s="575"/>
      <c r="G14" s="575"/>
      <c r="H14" s="575"/>
      <c r="I14" s="591"/>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82"/>
      <c r="AP14" s="583"/>
      <c r="AQ14" s="583"/>
      <c r="AR14" s="583"/>
      <c r="AS14" s="583"/>
      <c r="AT14" s="58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77"/>
      <c r="C15" s="477"/>
      <c r="D15" s="478"/>
      <c r="E15" s="577"/>
      <c r="F15" s="578"/>
      <c r="G15" s="578"/>
      <c r="H15" s="578"/>
      <c r="I15" s="592"/>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85"/>
      <c r="AP15" s="586"/>
      <c r="AQ15" s="586"/>
      <c r="AR15" s="586"/>
      <c r="AS15" s="586"/>
      <c r="AT15" s="58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77"/>
      <c r="C16" s="477"/>
      <c r="D16" s="478"/>
      <c r="E16" s="572" t="s">
        <v>217</v>
      </c>
      <c r="F16" s="573"/>
      <c r="G16" s="573"/>
      <c r="H16" s="573"/>
      <c r="I16" s="573"/>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63" t="s">
        <v>218</v>
      </c>
      <c r="AP16" s="564"/>
      <c r="AQ16" s="564"/>
      <c r="AR16" s="564"/>
      <c r="AS16" s="564"/>
      <c r="AT16" s="56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77"/>
      <c r="C17" s="477"/>
      <c r="D17" s="478"/>
      <c r="E17" s="574"/>
      <c r="F17" s="575"/>
      <c r="G17" s="575"/>
      <c r="H17" s="575"/>
      <c r="I17" s="575"/>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66"/>
      <c r="AP17" s="567"/>
      <c r="AQ17" s="567"/>
      <c r="AR17" s="567"/>
      <c r="AS17" s="567"/>
      <c r="AT17" s="56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77"/>
      <c r="C18" s="477"/>
      <c r="D18" s="478"/>
      <c r="E18" s="576"/>
      <c r="F18" s="575"/>
      <c r="G18" s="575"/>
      <c r="H18" s="575"/>
      <c r="I18" s="575"/>
      <c r="J18" s="67" t="str">
        <f>IF(AND('Mapa de Riesgos'!$Y$24="Alta",'Mapa de Riesgos'!$AA$24="Leve"),CONCATENATE("R3C",'Mapa de Riesgos'!$O$24),"")</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Riesgos'!$Y$24="Alta",'Mapa de Riesgos'!$AA$24="Menor"),CONCATENATE("R3C",'Mapa de Riesgos'!$O$24),"")</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Riesgos'!$Y$24="Alta",'Mapa de Riesgos'!$AA$24="Moderado"),CONCATENATE("R3C",'Mapa de Riesgos'!$O$24),"")</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Riesgos'!$Y$24="Alta",'Mapa de Riesgos'!$AA$24="Mayor"),CONCATENATE("R3C",'Mapa de Riesgos'!$O$24),"")</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Riesgos'!$Y$24="Alta",'Mapa de Riesgos'!$AA$24="Catastrófico"),CONCATENATE("R3C",'Mapa de Riesgos'!$O$24),"")</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66"/>
      <c r="AP18" s="567"/>
      <c r="AQ18" s="567"/>
      <c r="AR18" s="567"/>
      <c r="AS18" s="567"/>
      <c r="AT18" s="56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77"/>
      <c r="C19" s="477"/>
      <c r="D19" s="478"/>
      <c r="E19" s="576"/>
      <c r="F19" s="575"/>
      <c r="G19" s="575"/>
      <c r="H19" s="575"/>
      <c r="I19" s="575"/>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66"/>
      <c r="AP19" s="567"/>
      <c r="AQ19" s="567"/>
      <c r="AR19" s="567"/>
      <c r="AS19" s="567"/>
      <c r="AT19" s="56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77"/>
      <c r="C20" s="477"/>
      <c r="D20" s="478"/>
      <c r="E20" s="576"/>
      <c r="F20" s="575"/>
      <c r="G20" s="575"/>
      <c r="H20" s="575"/>
      <c r="I20" s="575"/>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66"/>
      <c r="AP20" s="567"/>
      <c r="AQ20" s="567"/>
      <c r="AR20" s="567"/>
      <c r="AS20" s="567"/>
      <c r="AT20" s="56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77"/>
      <c r="C21" s="477"/>
      <c r="D21" s="478"/>
      <c r="E21" s="576"/>
      <c r="F21" s="575"/>
      <c r="G21" s="575"/>
      <c r="H21" s="575"/>
      <c r="I21" s="575"/>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66"/>
      <c r="AP21" s="567"/>
      <c r="AQ21" s="567"/>
      <c r="AR21" s="567"/>
      <c r="AS21" s="567"/>
      <c r="AT21" s="56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77"/>
      <c r="C22" s="477"/>
      <c r="D22" s="478"/>
      <c r="E22" s="576"/>
      <c r="F22" s="575"/>
      <c r="G22" s="575"/>
      <c r="H22" s="575"/>
      <c r="I22" s="575"/>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66"/>
      <c r="AP22" s="567"/>
      <c r="AQ22" s="567"/>
      <c r="AR22" s="567"/>
      <c r="AS22" s="567"/>
      <c r="AT22" s="56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77"/>
      <c r="C23" s="477"/>
      <c r="D23" s="478"/>
      <c r="E23" s="576"/>
      <c r="F23" s="575"/>
      <c r="G23" s="575"/>
      <c r="H23" s="575"/>
      <c r="I23" s="575"/>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66"/>
      <c r="AP23" s="567"/>
      <c r="AQ23" s="567"/>
      <c r="AR23" s="567"/>
      <c r="AS23" s="567"/>
      <c r="AT23" s="56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77"/>
      <c r="C24" s="477"/>
      <c r="D24" s="478"/>
      <c r="E24" s="576"/>
      <c r="F24" s="575"/>
      <c r="G24" s="575"/>
      <c r="H24" s="575"/>
      <c r="I24" s="575"/>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66"/>
      <c r="AP24" s="567"/>
      <c r="AQ24" s="567"/>
      <c r="AR24" s="567"/>
      <c r="AS24" s="567"/>
      <c r="AT24" s="56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77"/>
      <c r="C25" s="477"/>
      <c r="D25" s="478"/>
      <c r="E25" s="577"/>
      <c r="F25" s="578"/>
      <c r="G25" s="578"/>
      <c r="H25" s="578"/>
      <c r="I25" s="578"/>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69"/>
      <c r="AP25" s="570"/>
      <c r="AQ25" s="570"/>
      <c r="AR25" s="570"/>
      <c r="AS25" s="570"/>
      <c r="AT25" s="57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77"/>
      <c r="C26" s="477"/>
      <c r="D26" s="478"/>
      <c r="E26" s="572" t="s">
        <v>219</v>
      </c>
      <c r="F26" s="573"/>
      <c r="G26" s="573"/>
      <c r="H26" s="573"/>
      <c r="I26" s="590"/>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602" t="s">
        <v>220</v>
      </c>
      <c r="AP26" s="603"/>
      <c r="AQ26" s="603"/>
      <c r="AR26" s="603"/>
      <c r="AS26" s="603"/>
      <c r="AT26" s="60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77"/>
      <c r="C27" s="477"/>
      <c r="D27" s="478"/>
      <c r="E27" s="574"/>
      <c r="F27" s="575"/>
      <c r="G27" s="575"/>
      <c r="H27" s="575"/>
      <c r="I27" s="591"/>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605"/>
      <c r="AP27" s="606"/>
      <c r="AQ27" s="606"/>
      <c r="AR27" s="606"/>
      <c r="AS27" s="606"/>
      <c r="AT27" s="60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77"/>
      <c r="C28" s="477"/>
      <c r="D28" s="478"/>
      <c r="E28" s="576"/>
      <c r="F28" s="575"/>
      <c r="G28" s="575"/>
      <c r="H28" s="575"/>
      <c r="I28" s="591"/>
      <c r="J28" s="67" t="str">
        <f>IF(AND('Mapa de Riesgos'!$Y$24="Media",'Mapa de Riesgos'!$AA$24="Leve"),CONCATENATE("R3C",'Mapa de Riesgos'!$O$24),"")</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Riesgos'!$Y$24="Media",'Mapa de Riesgos'!$AA$24="Menor"),CONCATENATE("R3C",'Mapa de Riesgos'!$O$24),"")</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Riesgos'!$Y$24="Media",'Mapa de Riesgos'!$AA$24="Moderado"),CONCATENATE("R3C",'Mapa de Riesgos'!$O$24),"")</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Riesgos'!$Y$24="Media",'Mapa de Riesgos'!$AA$24="Mayor"),CONCATENATE("R3C",'Mapa de Riesgos'!$O$24),"")</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Riesgos'!$Y$24="Media",'Mapa de Riesgos'!$AA$24="Catastrófico"),CONCATENATE("R3C",'Mapa de Riesgos'!$O$24),"")</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605"/>
      <c r="AP28" s="606"/>
      <c r="AQ28" s="606"/>
      <c r="AR28" s="606"/>
      <c r="AS28" s="606"/>
      <c r="AT28" s="60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77"/>
      <c r="C29" s="477"/>
      <c r="D29" s="478"/>
      <c r="E29" s="576"/>
      <c r="F29" s="575"/>
      <c r="G29" s="575"/>
      <c r="H29" s="575"/>
      <c r="I29" s="591"/>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605"/>
      <c r="AP29" s="606"/>
      <c r="AQ29" s="606"/>
      <c r="AR29" s="606"/>
      <c r="AS29" s="606"/>
      <c r="AT29" s="60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77"/>
      <c r="C30" s="477"/>
      <c r="D30" s="478"/>
      <c r="E30" s="576"/>
      <c r="F30" s="575"/>
      <c r="G30" s="575"/>
      <c r="H30" s="575"/>
      <c r="I30" s="591"/>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605"/>
      <c r="AP30" s="606"/>
      <c r="AQ30" s="606"/>
      <c r="AR30" s="606"/>
      <c r="AS30" s="606"/>
      <c r="AT30" s="60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77"/>
      <c r="C31" s="477"/>
      <c r="D31" s="478"/>
      <c r="E31" s="576"/>
      <c r="F31" s="575"/>
      <c r="G31" s="575"/>
      <c r="H31" s="575"/>
      <c r="I31" s="591"/>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605"/>
      <c r="AP31" s="606"/>
      <c r="AQ31" s="606"/>
      <c r="AR31" s="606"/>
      <c r="AS31" s="606"/>
      <c r="AT31" s="60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77"/>
      <c r="C32" s="477"/>
      <c r="D32" s="478"/>
      <c r="E32" s="576"/>
      <c r="F32" s="575"/>
      <c r="G32" s="575"/>
      <c r="H32" s="575"/>
      <c r="I32" s="591"/>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605"/>
      <c r="AP32" s="606"/>
      <c r="AQ32" s="606"/>
      <c r="AR32" s="606"/>
      <c r="AS32" s="606"/>
      <c r="AT32" s="60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77"/>
      <c r="C33" s="477"/>
      <c r="D33" s="478"/>
      <c r="E33" s="576"/>
      <c r="F33" s="575"/>
      <c r="G33" s="575"/>
      <c r="H33" s="575"/>
      <c r="I33" s="591"/>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605"/>
      <c r="AP33" s="606"/>
      <c r="AQ33" s="606"/>
      <c r="AR33" s="606"/>
      <c r="AS33" s="606"/>
      <c r="AT33" s="60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77"/>
      <c r="C34" s="477"/>
      <c r="D34" s="478"/>
      <c r="E34" s="576"/>
      <c r="F34" s="575"/>
      <c r="G34" s="575"/>
      <c r="H34" s="575"/>
      <c r="I34" s="591"/>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605"/>
      <c r="AP34" s="606"/>
      <c r="AQ34" s="606"/>
      <c r="AR34" s="606"/>
      <c r="AS34" s="606"/>
      <c r="AT34" s="60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77"/>
      <c r="C35" s="477"/>
      <c r="D35" s="478"/>
      <c r="E35" s="577"/>
      <c r="F35" s="578"/>
      <c r="G35" s="578"/>
      <c r="H35" s="578"/>
      <c r="I35" s="592"/>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608"/>
      <c r="AP35" s="609"/>
      <c r="AQ35" s="609"/>
      <c r="AR35" s="609"/>
      <c r="AS35" s="609"/>
      <c r="AT35" s="61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77"/>
      <c r="C36" s="477"/>
      <c r="D36" s="478"/>
      <c r="E36" s="572" t="s">
        <v>221</v>
      </c>
      <c r="F36" s="573"/>
      <c r="G36" s="573"/>
      <c r="H36" s="573"/>
      <c r="I36" s="573"/>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93" t="s">
        <v>222</v>
      </c>
      <c r="AP36" s="594"/>
      <c r="AQ36" s="594"/>
      <c r="AR36" s="594"/>
      <c r="AS36" s="594"/>
      <c r="AT36" s="59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77"/>
      <c r="C37" s="477"/>
      <c r="D37" s="478"/>
      <c r="E37" s="574"/>
      <c r="F37" s="575"/>
      <c r="G37" s="575"/>
      <c r="H37" s="575"/>
      <c r="I37" s="575"/>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R2C1</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96"/>
      <c r="AP37" s="597"/>
      <c r="AQ37" s="597"/>
      <c r="AR37" s="597"/>
      <c r="AS37" s="597"/>
      <c r="AT37" s="59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77"/>
      <c r="C38" s="477"/>
      <c r="D38" s="478"/>
      <c r="E38" s="576"/>
      <c r="F38" s="575"/>
      <c r="G38" s="575"/>
      <c r="H38" s="575"/>
      <c r="I38" s="575"/>
      <c r="J38" s="76" t="str">
        <f>IF(AND('Mapa de Riesgos'!$Y$24="Baja",'Mapa de Riesgos'!$AA$24="Leve"),CONCATENATE("R3C",'Mapa de Riesgos'!$O$24),"")</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Riesgos'!$Y$24="Baja",'Mapa de Riesgos'!$AA$24="Menor"),CONCATENATE("R3C",'Mapa de Riesgos'!$O$24),"")</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Riesgos'!$Y$24="Baja",'Mapa de Riesgos'!$AA$24="Moderado"),CONCATENATE("R3C",'Mapa de Riesgos'!$O$24),"")</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Riesgos'!$Y$24="Baja",'Mapa de Riesgos'!$AA$24="Mayor"),CONCATENATE("R3C",'Mapa de Riesgos'!$O$24),"")</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Riesgos'!$Y$24="Baja",'Mapa de Riesgos'!$AA$24="Catastrófico"),CONCATENATE("R3C",'Mapa de Riesgos'!$O$24),"")</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96"/>
      <c r="AP38" s="597"/>
      <c r="AQ38" s="597"/>
      <c r="AR38" s="597"/>
      <c r="AS38" s="597"/>
      <c r="AT38" s="59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77"/>
      <c r="C39" s="477"/>
      <c r="D39" s="478"/>
      <c r="E39" s="576"/>
      <c r="F39" s="575"/>
      <c r="G39" s="575"/>
      <c r="H39" s="575"/>
      <c r="I39" s="575"/>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R4C1</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96"/>
      <c r="AP39" s="597"/>
      <c r="AQ39" s="597"/>
      <c r="AR39" s="597"/>
      <c r="AS39" s="597"/>
      <c r="AT39" s="59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77"/>
      <c r="C40" s="477"/>
      <c r="D40" s="478"/>
      <c r="E40" s="576"/>
      <c r="F40" s="575"/>
      <c r="G40" s="575"/>
      <c r="H40" s="575"/>
      <c r="I40" s="575"/>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96"/>
      <c r="AP40" s="597"/>
      <c r="AQ40" s="597"/>
      <c r="AR40" s="597"/>
      <c r="AS40" s="597"/>
      <c r="AT40" s="59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77"/>
      <c r="C41" s="477"/>
      <c r="D41" s="478"/>
      <c r="E41" s="576"/>
      <c r="F41" s="575"/>
      <c r="G41" s="575"/>
      <c r="H41" s="575"/>
      <c r="I41" s="575"/>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96"/>
      <c r="AP41" s="597"/>
      <c r="AQ41" s="597"/>
      <c r="AR41" s="597"/>
      <c r="AS41" s="597"/>
      <c r="AT41" s="59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77"/>
      <c r="C42" s="477"/>
      <c r="D42" s="478"/>
      <c r="E42" s="576"/>
      <c r="F42" s="575"/>
      <c r="G42" s="575"/>
      <c r="H42" s="575"/>
      <c r="I42" s="575"/>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96"/>
      <c r="AP42" s="597"/>
      <c r="AQ42" s="597"/>
      <c r="AR42" s="597"/>
      <c r="AS42" s="597"/>
      <c r="AT42" s="59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77"/>
      <c r="C43" s="477"/>
      <c r="D43" s="478"/>
      <c r="E43" s="576"/>
      <c r="F43" s="575"/>
      <c r="G43" s="575"/>
      <c r="H43" s="575"/>
      <c r="I43" s="575"/>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96"/>
      <c r="AP43" s="597"/>
      <c r="AQ43" s="597"/>
      <c r="AR43" s="597"/>
      <c r="AS43" s="597"/>
      <c r="AT43" s="59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77"/>
      <c r="C44" s="477"/>
      <c r="D44" s="478"/>
      <c r="E44" s="576"/>
      <c r="F44" s="575"/>
      <c r="G44" s="575"/>
      <c r="H44" s="575"/>
      <c r="I44" s="575"/>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96"/>
      <c r="AP44" s="597"/>
      <c r="AQ44" s="597"/>
      <c r="AR44" s="597"/>
      <c r="AS44" s="597"/>
      <c r="AT44" s="59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77"/>
      <c r="C45" s="477"/>
      <c r="D45" s="478"/>
      <c r="E45" s="577"/>
      <c r="F45" s="578"/>
      <c r="G45" s="578"/>
      <c r="H45" s="578"/>
      <c r="I45" s="578"/>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99"/>
      <c r="AP45" s="600"/>
      <c r="AQ45" s="600"/>
      <c r="AR45" s="600"/>
      <c r="AS45" s="600"/>
      <c r="AT45" s="601"/>
    </row>
    <row r="46" spans="1:80" ht="46.5" customHeight="1" x14ac:dyDescent="0.35">
      <c r="A46" s="83"/>
      <c r="B46" s="477"/>
      <c r="C46" s="477"/>
      <c r="D46" s="478"/>
      <c r="E46" s="572" t="s">
        <v>223</v>
      </c>
      <c r="F46" s="573"/>
      <c r="G46" s="573"/>
      <c r="H46" s="573"/>
      <c r="I46" s="590"/>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R1C2</v>
      </c>
      <c r="X46" s="65" t="str">
        <f>IF(AND('Mapa de Riesgos'!$Y$14="Muy Baja",'Mapa de Riesgos'!$AA$14="Moderado"),CONCATENATE("R1C",'Mapa de Riesgos'!$O$14),"")</f>
        <v>R1C3</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77"/>
      <c r="C47" s="477"/>
      <c r="D47" s="478"/>
      <c r="E47" s="574"/>
      <c r="F47" s="575"/>
      <c r="G47" s="575"/>
      <c r="H47" s="575"/>
      <c r="I47" s="591"/>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77"/>
      <c r="C48" s="477"/>
      <c r="D48" s="478"/>
      <c r="E48" s="574"/>
      <c r="F48" s="575"/>
      <c r="G48" s="575"/>
      <c r="H48" s="575"/>
      <c r="I48" s="591"/>
      <c r="J48" s="76" t="str">
        <f>IF(AND('Mapa de Riesgos'!$Y$24="Muy Baja",'Mapa de Riesgos'!$AA$24="Leve"),CONCATENATE("R3C",'Mapa de Riesgos'!$O$24),"")</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Riesgos'!$Y$24="Muy Baja",'Mapa de Riesgos'!$AA$24="Menor"),CONCATENATE("R3C",'Mapa de Riesgos'!$O$24),"")</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Riesgos'!$Y$24="Muy Baja",'Mapa de Riesgos'!$AA$24="Moderado"),CONCATENATE("R3C",'Mapa de Riesgos'!$O$24),"")</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Riesgos'!$Y$24="Muy Baja",'Mapa de Riesgos'!$AA$24="Mayor"),CONCATENATE("R3C",'Mapa de Riesgos'!$O$24),"")</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Riesgos'!$Y$24="Muy Baja",'Mapa de Riesgos'!$AA$24="Catastrófico"),CONCATENATE("R3C",'Mapa de Riesgos'!$O$24),"")</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77"/>
      <c r="C49" s="477"/>
      <c r="D49" s="478"/>
      <c r="E49" s="576"/>
      <c r="F49" s="575"/>
      <c r="G49" s="575"/>
      <c r="H49" s="575"/>
      <c r="I49" s="591"/>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77"/>
      <c r="C50" s="477"/>
      <c r="D50" s="478"/>
      <c r="E50" s="576"/>
      <c r="F50" s="575"/>
      <c r="G50" s="575"/>
      <c r="H50" s="575"/>
      <c r="I50" s="591"/>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R5C1</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77"/>
      <c r="C51" s="477"/>
      <c r="D51" s="478"/>
      <c r="E51" s="576"/>
      <c r="F51" s="575"/>
      <c r="G51" s="575"/>
      <c r="H51" s="575"/>
      <c r="I51" s="591"/>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77"/>
      <c r="C52" s="477"/>
      <c r="D52" s="478"/>
      <c r="E52" s="576"/>
      <c r="F52" s="575"/>
      <c r="G52" s="575"/>
      <c r="H52" s="575"/>
      <c r="I52" s="591"/>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77"/>
      <c r="C53" s="477"/>
      <c r="D53" s="478"/>
      <c r="E53" s="576"/>
      <c r="F53" s="575"/>
      <c r="G53" s="575"/>
      <c r="H53" s="575"/>
      <c r="I53" s="591"/>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77"/>
      <c r="C54" s="477"/>
      <c r="D54" s="478"/>
      <c r="E54" s="576"/>
      <c r="F54" s="575"/>
      <c r="G54" s="575"/>
      <c r="H54" s="575"/>
      <c r="I54" s="591"/>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77"/>
      <c r="C55" s="477"/>
      <c r="D55" s="478"/>
      <c r="E55" s="577"/>
      <c r="F55" s="578"/>
      <c r="G55" s="578"/>
      <c r="H55" s="578"/>
      <c r="I55" s="592"/>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72" t="s">
        <v>224</v>
      </c>
      <c r="K56" s="573"/>
      <c r="L56" s="573"/>
      <c r="M56" s="573"/>
      <c r="N56" s="573"/>
      <c r="O56" s="590"/>
      <c r="P56" s="572" t="s">
        <v>225</v>
      </c>
      <c r="Q56" s="573"/>
      <c r="R56" s="573"/>
      <c r="S56" s="573"/>
      <c r="T56" s="573"/>
      <c r="U56" s="590"/>
      <c r="V56" s="572" t="s">
        <v>226</v>
      </c>
      <c r="W56" s="573"/>
      <c r="X56" s="573"/>
      <c r="Y56" s="573"/>
      <c r="Z56" s="573"/>
      <c r="AA56" s="590"/>
      <c r="AB56" s="572" t="s">
        <v>227</v>
      </c>
      <c r="AC56" s="611"/>
      <c r="AD56" s="573"/>
      <c r="AE56" s="573"/>
      <c r="AF56" s="573"/>
      <c r="AG56" s="590"/>
      <c r="AH56" s="572" t="s">
        <v>228</v>
      </c>
      <c r="AI56" s="573"/>
      <c r="AJ56" s="573"/>
      <c r="AK56" s="573"/>
      <c r="AL56" s="573"/>
      <c r="AM56" s="59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76"/>
      <c r="K57" s="575"/>
      <c r="L57" s="575"/>
      <c r="M57" s="575"/>
      <c r="N57" s="575"/>
      <c r="O57" s="591"/>
      <c r="P57" s="576"/>
      <c r="Q57" s="575"/>
      <c r="R57" s="575"/>
      <c r="S57" s="575"/>
      <c r="T57" s="575"/>
      <c r="U57" s="591"/>
      <c r="V57" s="576"/>
      <c r="W57" s="575"/>
      <c r="X57" s="575"/>
      <c r="Y57" s="575"/>
      <c r="Z57" s="575"/>
      <c r="AA57" s="591"/>
      <c r="AB57" s="576"/>
      <c r="AC57" s="575"/>
      <c r="AD57" s="575"/>
      <c r="AE57" s="575"/>
      <c r="AF57" s="575"/>
      <c r="AG57" s="591"/>
      <c r="AH57" s="576"/>
      <c r="AI57" s="575"/>
      <c r="AJ57" s="575"/>
      <c r="AK57" s="575"/>
      <c r="AL57" s="575"/>
      <c r="AM57" s="59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76"/>
      <c r="K58" s="575"/>
      <c r="L58" s="575"/>
      <c r="M58" s="575"/>
      <c r="N58" s="575"/>
      <c r="O58" s="591"/>
      <c r="P58" s="576"/>
      <c r="Q58" s="575"/>
      <c r="R58" s="575"/>
      <c r="S58" s="575"/>
      <c r="T58" s="575"/>
      <c r="U58" s="591"/>
      <c r="V58" s="576"/>
      <c r="W58" s="575"/>
      <c r="X58" s="575"/>
      <c r="Y58" s="575"/>
      <c r="Z58" s="575"/>
      <c r="AA58" s="591"/>
      <c r="AB58" s="576"/>
      <c r="AC58" s="575"/>
      <c r="AD58" s="575"/>
      <c r="AE58" s="575"/>
      <c r="AF58" s="575"/>
      <c r="AG58" s="591"/>
      <c r="AH58" s="576"/>
      <c r="AI58" s="575"/>
      <c r="AJ58" s="575"/>
      <c r="AK58" s="575"/>
      <c r="AL58" s="575"/>
      <c r="AM58" s="59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76"/>
      <c r="K59" s="575"/>
      <c r="L59" s="575"/>
      <c r="M59" s="575"/>
      <c r="N59" s="575"/>
      <c r="O59" s="591"/>
      <c r="P59" s="576"/>
      <c r="Q59" s="575"/>
      <c r="R59" s="575"/>
      <c r="S59" s="575"/>
      <c r="T59" s="575"/>
      <c r="U59" s="591"/>
      <c r="V59" s="576"/>
      <c r="W59" s="575"/>
      <c r="X59" s="575"/>
      <c r="Y59" s="575"/>
      <c r="Z59" s="575"/>
      <c r="AA59" s="591"/>
      <c r="AB59" s="576"/>
      <c r="AC59" s="575"/>
      <c r="AD59" s="575"/>
      <c r="AE59" s="575"/>
      <c r="AF59" s="575"/>
      <c r="AG59" s="591"/>
      <c r="AH59" s="576"/>
      <c r="AI59" s="575"/>
      <c r="AJ59" s="575"/>
      <c r="AK59" s="575"/>
      <c r="AL59" s="575"/>
      <c r="AM59" s="591"/>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76"/>
      <c r="K60" s="575"/>
      <c r="L60" s="575"/>
      <c r="M60" s="575"/>
      <c r="N60" s="575"/>
      <c r="O60" s="591"/>
      <c r="P60" s="576"/>
      <c r="Q60" s="575"/>
      <c r="R60" s="575"/>
      <c r="S60" s="575"/>
      <c r="T60" s="575"/>
      <c r="U60" s="591"/>
      <c r="V60" s="576"/>
      <c r="W60" s="575"/>
      <c r="X60" s="575"/>
      <c r="Y60" s="575"/>
      <c r="Z60" s="575"/>
      <c r="AA60" s="591"/>
      <c r="AB60" s="576"/>
      <c r="AC60" s="575"/>
      <c r="AD60" s="575"/>
      <c r="AE60" s="575"/>
      <c r="AF60" s="575"/>
      <c r="AG60" s="591"/>
      <c r="AH60" s="576"/>
      <c r="AI60" s="575"/>
      <c r="AJ60" s="575"/>
      <c r="AK60" s="575"/>
      <c r="AL60" s="575"/>
      <c r="AM60" s="591"/>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77"/>
      <c r="K61" s="578"/>
      <c r="L61" s="578"/>
      <c r="M61" s="578"/>
      <c r="N61" s="578"/>
      <c r="O61" s="592"/>
      <c r="P61" s="577"/>
      <c r="Q61" s="578"/>
      <c r="R61" s="578"/>
      <c r="S61" s="578"/>
      <c r="T61" s="578"/>
      <c r="U61" s="592"/>
      <c r="V61" s="577"/>
      <c r="W61" s="578"/>
      <c r="X61" s="578"/>
      <c r="Y61" s="578"/>
      <c r="Z61" s="578"/>
      <c r="AA61" s="592"/>
      <c r="AB61" s="577"/>
      <c r="AC61" s="578"/>
      <c r="AD61" s="578"/>
      <c r="AE61" s="578"/>
      <c r="AF61" s="578"/>
      <c r="AG61" s="592"/>
      <c r="AH61" s="577"/>
      <c r="AI61" s="578"/>
      <c r="AJ61" s="578"/>
      <c r="AK61" s="578"/>
      <c r="AL61" s="578"/>
      <c r="AM61" s="59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12" t="s">
        <v>230</v>
      </c>
      <c r="C1" s="612"/>
      <c r="D1" s="612"/>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231</v>
      </c>
      <c r="D3" s="12" t="s">
        <v>214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232</v>
      </c>
      <c r="C4" s="14" t="s">
        <v>233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234</v>
      </c>
      <c r="C5" s="17" t="s">
        <v>235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236</v>
      </c>
      <c r="C6" s="17" t="s">
        <v>237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238</v>
      </c>
      <c r="C7" s="17" t="s">
        <v>239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240</v>
      </c>
      <c r="C8" s="17" t="s">
        <v>241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13" t="s">
        <v>242</v>
      </c>
      <c r="C1" s="613"/>
      <c r="D1" s="613"/>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243</v>
      </c>
      <c r="D3" s="36" t="s">
        <v>244</v>
      </c>
      <c r="E3" s="83"/>
      <c r="F3" s="83"/>
      <c r="G3" s="83"/>
      <c r="H3" s="83"/>
      <c r="I3" s="83"/>
      <c r="J3" s="83"/>
      <c r="K3" s="83"/>
      <c r="L3" s="83"/>
      <c r="M3" s="83"/>
      <c r="N3" s="83"/>
      <c r="O3" s="83"/>
      <c r="P3" s="83"/>
      <c r="Q3" s="83"/>
      <c r="R3" s="83"/>
      <c r="S3" s="83"/>
      <c r="T3" s="83"/>
      <c r="U3" s="83"/>
    </row>
    <row r="4" spans="1:21" ht="33.75" x14ac:dyDescent="0.25">
      <c r="A4" s="100" t="s">
        <v>245</v>
      </c>
      <c r="B4" s="39" t="s">
        <v>246</v>
      </c>
      <c r="C4" s="44" t="s">
        <v>247</v>
      </c>
      <c r="D4" s="37" t="s">
        <v>248</v>
      </c>
      <c r="E4" s="83"/>
      <c r="F4" s="83"/>
      <c r="G4" s="83"/>
      <c r="H4" s="83"/>
      <c r="I4" s="83"/>
      <c r="J4" s="83"/>
      <c r="K4" s="83"/>
      <c r="L4" s="83"/>
      <c r="M4" s="83"/>
      <c r="N4" s="83"/>
      <c r="O4" s="83"/>
      <c r="P4" s="83"/>
      <c r="Q4" s="83"/>
      <c r="R4" s="83"/>
      <c r="S4" s="83"/>
      <c r="T4" s="83"/>
      <c r="U4" s="83"/>
    </row>
    <row r="5" spans="1:21" ht="67.5" x14ac:dyDescent="0.25">
      <c r="A5" s="100" t="s">
        <v>249</v>
      </c>
      <c r="B5" s="40" t="s">
        <v>250</v>
      </c>
      <c r="C5" s="45" t="s">
        <v>251</v>
      </c>
      <c r="D5" s="38" t="s">
        <v>252</v>
      </c>
      <c r="E5" s="83"/>
      <c r="F5" s="83"/>
      <c r="G5" s="83"/>
      <c r="H5" s="83"/>
      <c r="I5" s="83"/>
      <c r="J5" s="83"/>
      <c r="K5" s="83"/>
      <c r="L5" s="83"/>
      <c r="M5" s="83"/>
      <c r="N5" s="83"/>
      <c r="O5" s="83"/>
      <c r="P5" s="83"/>
      <c r="Q5" s="83"/>
      <c r="R5" s="83"/>
      <c r="S5" s="83"/>
      <c r="T5" s="83"/>
      <c r="U5" s="83"/>
    </row>
    <row r="6" spans="1:21" ht="67.5" x14ac:dyDescent="0.25">
      <c r="A6" s="100" t="s">
        <v>220</v>
      </c>
      <c r="B6" s="41" t="s">
        <v>253</v>
      </c>
      <c r="C6" s="45" t="s">
        <v>254</v>
      </c>
      <c r="D6" s="38" t="s">
        <v>255</v>
      </c>
      <c r="E6" s="83"/>
      <c r="F6" s="83"/>
      <c r="G6" s="83"/>
      <c r="H6" s="83"/>
      <c r="I6" s="83"/>
      <c r="J6" s="83"/>
      <c r="K6" s="83"/>
      <c r="L6" s="83"/>
      <c r="M6" s="83"/>
      <c r="N6" s="83"/>
      <c r="O6" s="83"/>
      <c r="P6" s="83"/>
      <c r="Q6" s="83"/>
      <c r="R6" s="83"/>
      <c r="S6" s="83"/>
      <c r="T6" s="83"/>
      <c r="U6" s="83"/>
    </row>
    <row r="7" spans="1:21" ht="101.25" x14ac:dyDescent="0.25">
      <c r="A7" s="100" t="s">
        <v>256</v>
      </c>
      <c r="B7" s="42" t="s">
        <v>257</v>
      </c>
      <c r="C7" s="45" t="s">
        <v>258</v>
      </c>
      <c r="D7" s="38" t="s">
        <v>259</v>
      </c>
      <c r="E7" s="83"/>
      <c r="F7" s="83"/>
      <c r="G7" s="83"/>
      <c r="H7" s="83"/>
      <c r="I7" s="83"/>
      <c r="J7" s="83"/>
      <c r="K7" s="83"/>
      <c r="L7" s="83"/>
      <c r="M7" s="83"/>
      <c r="N7" s="83"/>
      <c r="O7" s="83"/>
      <c r="P7" s="83"/>
      <c r="Q7" s="83"/>
      <c r="R7" s="83"/>
      <c r="S7" s="83"/>
      <c r="T7" s="83"/>
      <c r="U7" s="83"/>
    </row>
    <row r="8" spans="1:21" ht="67.5" x14ac:dyDescent="0.25">
      <c r="A8" s="100" t="s">
        <v>260</v>
      </c>
      <c r="B8" s="43" t="s">
        <v>261</v>
      </c>
      <c r="C8" s="45" t="s">
        <v>262</v>
      </c>
      <c r="D8" s="38" t="s">
        <v>263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264</v>
      </c>
      <c r="C11" s="100" t="s">
        <v>265</v>
      </c>
      <c r="D11" s="100" t="s">
        <v>266</v>
      </c>
      <c r="E11" s="83"/>
      <c r="F11" s="83"/>
      <c r="G11" s="83"/>
      <c r="H11" s="83"/>
      <c r="I11" s="83"/>
      <c r="J11" s="83"/>
      <c r="K11" s="83"/>
      <c r="L11" s="83"/>
      <c r="M11" s="83"/>
      <c r="N11" s="83"/>
      <c r="O11" s="83"/>
      <c r="P11" s="83"/>
      <c r="Q11" s="83"/>
      <c r="R11" s="83"/>
      <c r="S11" s="83"/>
      <c r="T11" s="83"/>
      <c r="U11" s="83"/>
    </row>
    <row r="12" spans="1:21" x14ac:dyDescent="0.25">
      <c r="A12" s="100"/>
      <c r="B12" s="100" t="s">
        <v>267</v>
      </c>
      <c r="C12" s="100" t="s">
        <v>268</v>
      </c>
      <c r="D12" s="100" t="s">
        <v>182</v>
      </c>
      <c r="E12" s="83"/>
      <c r="F12" s="83"/>
      <c r="G12" s="83"/>
      <c r="H12" s="83"/>
      <c r="I12" s="83"/>
      <c r="J12" s="83"/>
      <c r="K12" s="83"/>
      <c r="L12" s="83"/>
      <c r="M12" s="83"/>
      <c r="N12" s="83"/>
      <c r="O12" s="83"/>
      <c r="P12" s="83"/>
      <c r="Q12" s="83"/>
      <c r="R12" s="83"/>
      <c r="S12" s="83"/>
      <c r="T12" s="83"/>
      <c r="U12" s="83"/>
    </row>
    <row r="13" spans="1:21" x14ac:dyDescent="0.25">
      <c r="A13" s="100"/>
      <c r="B13" s="100"/>
      <c r="C13" s="100" t="s">
        <v>269</v>
      </c>
      <c r="D13" s="100" t="s">
        <v>161</v>
      </c>
      <c r="E13" s="83"/>
      <c r="F13" s="83"/>
      <c r="G13" s="83"/>
      <c r="H13" s="83"/>
      <c r="I13" s="83"/>
      <c r="J13" s="83"/>
      <c r="K13" s="83"/>
      <c r="L13" s="83"/>
      <c r="M13" s="83"/>
      <c r="N13" s="83"/>
      <c r="O13" s="83"/>
      <c r="P13" s="83"/>
      <c r="Q13" s="83"/>
      <c r="R13" s="83"/>
      <c r="S13" s="83"/>
      <c r="T13" s="83"/>
      <c r="U13" s="83"/>
    </row>
    <row r="14" spans="1:21" x14ac:dyDescent="0.25">
      <c r="A14" s="100"/>
      <c r="B14" s="100"/>
      <c r="C14" s="100" t="s">
        <v>270</v>
      </c>
      <c r="D14" s="100" t="s">
        <v>271</v>
      </c>
      <c r="E14" s="83"/>
      <c r="F14" s="83"/>
      <c r="G14" s="83"/>
      <c r="H14" s="83"/>
      <c r="I14" s="83"/>
      <c r="J14" s="83"/>
      <c r="K14" s="83"/>
      <c r="L14" s="83"/>
      <c r="M14" s="83"/>
      <c r="N14" s="83"/>
      <c r="O14" s="83"/>
      <c r="P14" s="83"/>
      <c r="Q14" s="83"/>
      <c r="R14" s="83"/>
      <c r="S14" s="83"/>
      <c r="T14" s="83"/>
      <c r="U14" s="83"/>
    </row>
    <row r="15" spans="1:21" x14ac:dyDescent="0.25">
      <c r="A15" s="100"/>
      <c r="B15" s="100"/>
      <c r="C15" s="100" t="s">
        <v>272</v>
      </c>
      <c r="D15" s="100" t="s">
        <v>273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274</v>
      </c>
      <c r="C209" s="30" t="s">
        <v>275</v>
      </c>
      <c r="D209" s="33" t="s">
        <v>274</v>
      </c>
      <c r="E209" s="33" t="s">
        <v>275</v>
      </c>
    </row>
    <row r="210" spans="1:8" ht="21" x14ac:dyDescent="0.35">
      <c r="A210" s="83"/>
      <c r="B210" s="31" t="s">
        <v>276</v>
      </c>
      <c r="C210" s="31" t="s">
        <v>277</v>
      </c>
      <c r="D210" t="s">
        <v>276</v>
      </c>
      <c r="F210" t="str">
        <f>IF(NOT(ISBLANK(D210)),D210,IF(NOT(ISBLANK(E210)),"     "&amp;E210,FALSE))</f>
        <v>Afectación Económica o presupuestal</v>
      </c>
      <c r="G210" t="s">
        <v>276</v>
      </c>
      <c r="H210" t="str">
        <f>IF(NOT(ISERROR(MATCH(G210,_xlfn.ANCHORARRAY(B221),0))),F223&amp;"Por favor no seleccionar los criterios de impacto",G210)</f>
        <v>❌Por favor no seleccionar los criterios de impacto</v>
      </c>
    </row>
    <row r="211" spans="1:8" ht="21" x14ac:dyDescent="0.35">
      <c r="A211" s="83"/>
      <c r="B211" s="31" t="s">
        <v>276</v>
      </c>
      <c r="C211" s="31" t="s">
        <v>251</v>
      </c>
      <c r="E211" t="s">
        <v>277</v>
      </c>
      <c r="F211" t="str">
        <f t="shared" ref="F211:F221" si="0">IF(NOT(ISBLANK(D211)),D211,IF(NOT(ISBLANK(E211)),"     "&amp;E211,FALSE))</f>
        <v xml:space="preserve">     Afectación menor a 10 SMLMV .</v>
      </c>
    </row>
    <row r="212" spans="1:8" ht="21" x14ac:dyDescent="0.35">
      <c r="A212" s="83"/>
      <c r="B212" s="31" t="s">
        <v>276</v>
      </c>
      <c r="C212" s="31" t="s">
        <v>254</v>
      </c>
      <c r="E212" t="s">
        <v>251</v>
      </c>
      <c r="F212" t="str">
        <f t="shared" si="0"/>
        <v xml:space="preserve">     Entre 10 y 50 SMLMV </v>
      </c>
    </row>
    <row r="213" spans="1:8" ht="21" x14ac:dyDescent="0.35">
      <c r="A213" s="83"/>
      <c r="B213" s="31" t="s">
        <v>276</v>
      </c>
      <c r="C213" s="31" t="s">
        <v>258</v>
      </c>
      <c r="E213" t="s">
        <v>254</v>
      </c>
      <c r="F213" t="str">
        <f t="shared" si="0"/>
        <v xml:space="preserve">     Entre 50 y 100 SMLMV </v>
      </c>
    </row>
    <row r="214" spans="1:8" ht="21" x14ac:dyDescent="0.35">
      <c r="A214" s="83"/>
      <c r="B214" s="31" t="s">
        <v>276</v>
      </c>
      <c r="C214" s="31" t="s">
        <v>262</v>
      </c>
      <c r="E214" t="s">
        <v>258</v>
      </c>
      <c r="F214" t="str">
        <f t="shared" si="0"/>
        <v xml:space="preserve">     Entre 100 y 500 SMLMV </v>
      </c>
    </row>
    <row r="215" spans="1:8" ht="21" x14ac:dyDescent="0.35">
      <c r="A215" s="83"/>
      <c r="B215" s="31" t="s">
        <v>244</v>
      </c>
      <c r="C215" s="31" t="s">
        <v>248</v>
      </c>
      <c r="E215" t="s">
        <v>262</v>
      </c>
      <c r="F215" t="str">
        <f t="shared" si="0"/>
        <v xml:space="preserve">     Mayor a 500 SMLMV </v>
      </c>
    </row>
    <row r="216" spans="1:8" ht="21" x14ac:dyDescent="0.35">
      <c r="A216" s="83"/>
      <c r="B216" s="31" t="s">
        <v>244</v>
      </c>
      <c r="C216" s="31" t="s">
        <v>252</v>
      </c>
      <c r="D216" t="s">
        <v>244</v>
      </c>
      <c r="F216" t="str">
        <f t="shared" si="0"/>
        <v>Pérdida Reputacional</v>
      </c>
    </row>
    <row r="217" spans="1:8" ht="21" x14ac:dyDescent="0.35">
      <c r="A217" s="83"/>
      <c r="B217" s="31" t="s">
        <v>244</v>
      </c>
      <c r="C217" s="31" t="s">
        <v>255</v>
      </c>
      <c r="E217" t="s">
        <v>248</v>
      </c>
      <c r="F217" t="str">
        <f t="shared" si="0"/>
        <v xml:space="preserve">     El riesgo afecta la imagen de alguna área de la organización</v>
      </c>
    </row>
    <row r="218" spans="1:8" ht="21" x14ac:dyDescent="0.35">
      <c r="A218" s="83"/>
      <c r="B218" s="31" t="s">
        <v>244</v>
      </c>
      <c r="C218" s="31" t="s">
        <v>259</v>
      </c>
      <c r="E218" t="s">
        <v>252</v>
      </c>
      <c r="F218" t="str">
        <f t="shared" si="0"/>
        <v xml:space="preserve">     El riesgo afecta la imagen de la entidad internamente, de conocimiento general, nivel interno, de junta dircetiva y accionistas y/o de provedores</v>
      </c>
    </row>
    <row r="219" spans="1:8" ht="21" x14ac:dyDescent="0.35">
      <c r="A219" s="83"/>
      <c r="B219" s="31" t="s">
        <v>244</v>
      </c>
      <c r="C219" s="31" t="s">
        <v>263</v>
      </c>
      <c r="E219" t="s">
        <v>255</v>
      </c>
      <c r="F219" t="str">
        <f t="shared" si="0"/>
        <v xml:space="preserve">     El riesgo afecta la imagen de la entidad con algunos usuarios de relevancia frente al logro de los objetivos</v>
      </c>
    </row>
    <row r="220" spans="1:8" x14ac:dyDescent="0.25">
      <c r="A220" s="83"/>
      <c r="B220" s="32"/>
      <c r="C220" s="32"/>
      <c r="E220" t="s">
        <v>259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278</v>
      </c>
    </row>
    <row r="224" spans="1:8" x14ac:dyDescent="0.25">
      <c r="B224" s="22"/>
      <c r="C224" s="22"/>
      <c r="F224" s="35" t="s">
        <v>279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14" t="s">
        <v>280</v>
      </c>
      <c r="C1" s="615"/>
      <c r="D1" s="615"/>
      <c r="E1" s="615"/>
      <c r="F1" s="616"/>
    </row>
    <row r="2" spans="2:6" ht="16.5" thickBot="1" x14ac:dyDescent="0.3">
      <c r="B2" s="86"/>
      <c r="C2" s="86"/>
      <c r="D2" s="86"/>
      <c r="E2" s="86"/>
      <c r="F2" s="86"/>
    </row>
    <row r="3" spans="2:6" ht="16.5" thickBot="1" x14ac:dyDescent="0.25">
      <c r="B3" s="618" t="s">
        <v>281</v>
      </c>
      <c r="C3" s="619"/>
      <c r="D3" s="619"/>
      <c r="E3" s="98" t="s">
        <v>282</v>
      </c>
      <c r="F3" s="99" t="s">
        <v>283</v>
      </c>
    </row>
    <row r="4" spans="2:6" ht="31.5" x14ac:dyDescent="0.2">
      <c r="B4" s="620" t="s">
        <v>284</v>
      </c>
      <c r="C4" s="622" t="s">
        <v>152</v>
      </c>
      <c r="D4" s="87" t="s">
        <v>163</v>
      </c>
      <c r="E4" s="88" t="s">
        <v>285</v>
      </c>
      <c r="F4" s="89">
        <v>0.25</v>
      </c>
    </row>
    <row r="5" spans="2:6" ht="47.25" x14ac:dyDescent="0.2">
      <c r="B5" s="621"/>
      <c r="C5" s="623"/>
      <c r="D5" s="90" t="s">
        <v>286</v>
      </c>
      <c r="E5" s="91" t="s">
        <v>287</v>
      </c>
      <c r="F5" s="92">
        <v>0.15</v>
      </c>
    </row>
    <row r="6" spans="2:6" ht="47.25" x14ac:dyDescent="0.2">
      <c r="B6" s="621"/>
      <c r="C6" s="623"/>
      <c r="D6" s="90" t="s">
        <v>288</v>
      </c>
      <c r="E6" s="91" t="s">
        <v>289</v>
      </c>
      <c r="F6" s="92">
        <v>0.1</v>
      </c>
    </row>
    <row r="7" spans="2:6" ht="63" x14ac:dyDescent="0.2">
      <c r="B7" s="621"/>
      <c r="C7" s="623" t="s">
        <v>153</v>
      </c>
      <c r="D7" s="90" t="s">
        <v>290</v>
      </c>
      <c r="E7" s="91" t="s">
        <v>291</v>
      </c>
      <c r="F7" s="92">
        <v>0.25</v>
      </c>
    </row>
    <row r="8" spans="2:6" ht="31.5" x14ac:dyDescent="0.2">
      <c r="B8" s="621"/>
      <c r="C8" s="623"/>
      <c r="D8" s="90" t="s">
        <v>164</v>
      </c>
      <c r="E8" s="91" t="s">
        <v>292</v>
      </c>
      <c r="F8" s="92">
        <v>0.15</v>
      </c>
    </row>
    <row r="9" spans="2:6" ht="47.25" x14ac:dyDescent="0.2">
      <c r="B9" s="621" t="s">
        <v>293</v>
      </c>
      <c r="C9" s="623" t="s">
        <v>155</v>
      </c>
      <c r="D9" s="90" t="s">
        <v>165</v>
      </c>
      <c r="E9" s="91" t="s">
        <v>294</v>
      </c>
      <c r="F9" s="93" t="s">
        <v>295</v>
      </c>
    </row>
    <row r="10" spans="2:6" ht="63" x14ac:dyDescent="0.2">
      <c r="B10" s="621"/>
      <c r="C10" s="623"/>
      <c r="D10" s="90" t="s">
        <v>296</v>
      </c>
      <c r="E10" s="91" t="s">
        <v>297</v>
      </c>
      <c r="F10" s="93" t="s">
        <v>295</v>
      </c>
    </row>
    <row r="11" spans="2:6" ht="47.25" x14ac:dyDescent="0.2">
      <c r="B11" s="621"/>
      <c r="C11" s="623" t="s">
        <v>156</v>
      </c>
      <c r="D11" s="90" t="s">
        <v>166</v>
      </c>
      <c r="E11" s="91" t="s">
        <v>298</v>
      </c>
      <c r="F11" s="93" t="s">
        <v>295</v>
      </c>
    </row>
    <row r="12" spans="2:6" ht="47.25" x14ac:dyDescent="0.2">
      <c r="B12" s="621"/>
      <c r="C12" s="623"/>
      <c r="D12" s="90" t="s">
        <v>299</v>
      </c>
      <c r="E12" s="91" t="s">
        <v>300</v>
      </c>
      <c r="F12" s="93" t="s">
        <v>295</v>
      </c>
    </row>
    <row r="13" spans="2:6" ht="31.5" x14ac:dyDescent="0.2">
      <c r="B13" s="621"/>
      <c r="C13" s="623" t="s">
        <v>157</v>
      </c>
      <c r="D13" s="90" t="s">
        <v>167</v>
      </c>
      <c r="E13" s="91" t="s">
        <v>301</v>
      </c>
      <c r="F13" s="93" t="s">
        <v>295</v>
      </c>
    </row>
    <row r="14" spans="2:6" ht="32.25" thickBot="1" x14ac:dyDescent="0.25">
      <c r="B14" s="624"/>
      <c r="C14" s="625"/>
      <c r="D14" s="94" t="s">
        <v>302</v>
      </c>
      <c r="E14" s="95" t="s">
        <v>303</v>
      </c>
      <c r="F14" s="96" t="s">
        <v>295</v>
      </c>
    </row>
    <row r="15" spans="2:6" ht="49.5" customHeight="1" x14ac:dyDescent="0.2">
      <c r="B15" s="617" t="s">
        <v>304</v>
      </c>
      <c r="C15" s="617"/>
      <c r="D15" s="617"/>
      <c r="E15" s="617"/>
      <c r="F15" s="617"/>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305</v>
      </c>
      <c r="E2" t="s">
        <v>306</v>
      </c>
    </row>
    <row r="3" spans="2:5" x14ac:dyDescent="0.25">
      <c r="B3" t="s">
        <v>307</v>
      </c>
      <c r="E3" t="s">
        <v>179</v>
      </c>
    </row>
    <row r="4" spans="2:5" x14ac:dyDescent="0.25">
      <c r="B4" t="s">
        <v>308</v>
      </c>
      <c r="E4" t="s">
        <v>158</v>
      </c>
    </row>
    <row r="5" spans="2:5" x14ac:dyDescent="0.25">
      <c r="B5" t="s">
        <v>168</v>
      </c>
    </row>
    <row r="8" spans="2:5" x14ac:dyDescent="0.25">
      <c r="B8" t="s">
        <v>309</v>
      </c>
    </row>
    <row r="9" spans="2:5" x14ac:dyDescent="0.25">
      <c r="B9" t="s">
        <v>310</v>
      </c>
    </row>
    <row r="10" spans="2:5" x14ac:dyDescent="0.25">
      <c r="B10" t="s">
        <v>311</v>
      </c>
    </row>
    <row r="13" spans="2:5" x14ac:dyDescent="0.25">
      <c r="B13" t="s">
        <v>312</v>
      </c>
    </row>
    <row r="14" spans="2:5" x14ac:dyDescent="0.25">
      <c r="B14" t="s">
        <v>160</v>
      </c>
    </row>
    <row r="15" spans="2:5" x14ac:dyDescent="0.25">
      <c r="B15" t="s">
        <v>313</v>
      </c>
    </row>
    <row r="16" spans="2:5" x14ac:dyDescent="0.25">
      <c r="B16" t="s">
        <v>314</v>
      </c>
    </row>
    <row r="17" spans="2:2" x14ac:dyDescent="0.25">
      <c r="B17" t="s">
        <v>315</v>
      </c>
    </row>
    <row r="18" spans="2:2" x14ac:dyDescent="0.25">
      <c r="B18" t="s">
        <v>316</v>
      </c>
    </row>
    <row r="19" spans="2:2" x14ac:dyDescent="0.25">
      <c r="B19" t="s">
        <v>317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2025-04-24T22:35:51Z</dcterms:modified>
  <cp:category/>
  <cp:contentStatus/>
</cp:coreProperties>
</file>