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8B564397-10C8-4D45-8C2B-88270759BC3A}"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 r="K20" i="1"/>
  <c r="K21" i="1"/>
  <c r="K22" i="1"/>
  <c r="K23" i="1"/>
  <c r="T79" i="1" l="1"/>
  <c r="Q79" i="1"/>
  <c r="K79" i="1"/>
  <c r="T78" i="1"/>
  <c r="Q78" i="1"/>
  <c r="X79" i="1" s="1"/>
  <c r="K78" i="1"/>
  <c r="T77" i="1"/>
  <c r="Q77" i="1"/>
  <c r="K77" i="1"/>
  <c r="T76" i="1"/>
  <c r="Q76" i="1"/>
  <c r="K76" i="1"/>
  <c r="T75" i="1"/>
  <c r="Q75" i="1"/>
  <c r="K75" i="1"/>
  <c r="T74" i="1"/>
  <c r="Q74" i="1"/>
  <c r="H74" i="1"/>
  <c r="I74" i="1" s="1"/>
  <c r="Q68" i="1"/>
  <c r="Q56" i="1"/>
  <c r="Q62" i="1"/>
  <c r="Q54" i="1"/>
  <c r="Q55" i="1"/>
  <c r="X77" i="1" l="1"/>
  <c r="X74" i="1"/>
  <c r="Z74" i="1" s="1"/>
  <c r="AB75" i="1"/>
  <c r="AA75" i="1" s="1"/>
  <c r="X75" i="1"/>
  <c r="Z75" i="1" s="1"/>
  <c r="AB77" i="1"/>
  <c r="AA77" i="1" s="1"/>
  <c r="AB78" i="1"/>
  <c r="AA78" i="1" s="1"/>
  <c r="AB79" i="1"/>
  <c r="AA79" i="1" s="1"/>
  <c r="Z77" i="1"/>
  <c r="Y77" i="1"/>
  <c r="Z79" i="1"/>
  <c r="Y79" i="1"/>
  <c r="X78" i="1"/>
  <c r="X76" i="1"/>
  <c r="AB76" i="1"/>
  <c r="AA76" i="1" s="1"/>
  <c r="T41" i="1"/>
  <c r="T42" i="1"/>
  <c r="T43" i="1"/>
  <c r="T44" i="1"/>
  <c r="Q41" i="1"/>
  <c r="Q42" i="1"/>
  <c r="Q43" i="1"/>
  <c r="Q44" i="1"/>
  <c r="Y74" i="1" l="1"/>
  <c r="AC77" i="1"/>
  <c r="AC79" i="1"/>
  <c r="Y75" i="1"/>
  <c r="AC75" i="1" s="1"/>
  <c r="Z76" i="1"/>
  <c r="Y76" i="1"/>
  <c r="AC76" i="1" s="1"/>
  <c r="Z78" i="1"/>
  <c r="Y78" i="1"/>
  <c r="AC78" i="1" s="1"/>
  <c r="T37" i="1" l="1"/>
  <c r="T38" i="1"/>
  <c r="Q38" i="1"/>
  <c r="H38" i="1"/>
  <c r="T31" i="1"/>
  <c r="T32" i="1"/>
  <c r="T27" i="1"/>
  <c r="T28" i="1"/>
  <c r="T29" i="1"/>
  <c r="T30" i="1"/>
  <c r="H24" i="1"/>
  <c r="I24" i="1" s="1"/>
  <c r="Q24" i="1"/>
  <c r="T24" i="1"/>
  <c r="T14" i="1"/>
  <c r="Q14" i="1"/>
  <c r="X24" i="1" l="1"/>
  <c r="Z24" i="1" s="1"/>
  <c r="Y24" i="1" l="1"/>
  <c r="Q12" i="1" l="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Y73" i="1"/>
  <c r="AC73" i="1" s="1"/>
  <c r="Y69" i="1"/>
  <c r="AC69" i="1" s="1"/>
  <c r="Z66" i="1"/>
  <c r="Z72" i="1"/>
  <c r="Y62" i="1"/>
  <c r="Z62" i="1"/>
  <c r="AC72" i="1"/>
  <c r="Y63" i="1"/>
  <c r="AC63" i="1" s="1"/>
  <c r="Z63" i="1"/>
  <c r="T12" i="1" l="1"/>
  <c r="H12" i="1" l="1"/>
  <c r="I12" i="1" s="1"/>
  <c r="K61" i="1"/>
  <c r="K35" i="1"/>
  <c r="K33" i="1"/>
  <c r="K53" i="1"/>
  <c r="K58" i="1"/>
  <c r="K34" i="1"/>
  <c r="K42" i="1"/>
  <c r="K52" i="1"/>
  <c r="K39" i="1"/>
  <c r="K51" i="1"/>
  <c r="K60" i="1"/>
  <c r="K43" i="1"/>
  <c r="K54" i="1"/>
  <c r="K41" i="1"/>
  <c r="K45" i="1"/>
  <c r="K59" i="1"/>
  <c r="K36" i="1"/>
  <c r="K37" i="1"/>
  <c r="K46"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K18" i="1" s="1"/>
  <c r="L18" i="1" s="1"/>
  <c r="Q51" i="1"/>
  <c r="Q45" i="1"/>
  <c r="K74" i="1" l="1"/>
  <c r="L74" i="1" s="1"/>
  <c r="K24" i="1"/>
  <c r="L24" i="1" s="1"/>
  <c r="K62" i="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24" i="1" l="1"/>
  <c r="AB24" i="1" s="1"/>
  <c r="AA24" i="1" s="1"/>
  <c r="AC24" i="1" s="1"/>
  <c r="N24" i="1"/>
  <c r="M74" i="1"/>
  <c r="AB74" i="1" s="1"/>
  <c r="AA74" i="1" s="1"/>
  <c r="AC74" i="1" s="1"/>
  <c r="N74" i="1"/>
  <c r="M68" i="1"/>
  <c r="AB68" i="1" s="1"/>
  <c r="AA68" i="1" s="1"/>
  <c r="AC68" i="1" s="1"/>
  <c r="N68" i="1"/>
  <c r="N62" i="1"/>
  <c r="M62" i="1"/>
  <c r="AB62" i="1" s="1"/>
  <c r="AA62" i="1" s="1"/>
  <c r="AC62" i="1" s="1"/>
  <c r="T61" i="1"/>
  <c r="Q61" i="1"/>
  <c r="T60" i="1"/>
  <c r="Q60" i="1"/>
  <c r="T59" i="1"/>
  <c r="Q59" i="1"/>
  <c r="T58" i="1"/>
  <c r="Q58" i="1"/>
  <c r="T57" i="1"/>
  <c r="Q57" i="1"/>
  <c r="T56" i="1"/>
  <c r="H56" i="1"/>
  <c r="I56" i="1" s="1"/>
  <c r="T55" i="1"/>
  <c r="T54" i="1"/>
  <c r="T53" i="1"/>
  <c r="Q53" i="1"/>
  <c r="T52" i="1"/>
  <c r="Q52" i="1"/>
  <c r="T51" i="1"/>
  <c r="T50" i="1"/>
  <c r="Q50" i="1"/>
  <c r="H50" i="1"/>
  <c r="I50" i="1" s="1"/>
  <c r="T49" i="1"/>
  <c r="Q49" i="1"/>
  <c r="T48" i="1"/>
  <c r="Q48" i="1"/>
  <c r="T47" i="1"/>
  <c r="Q47" i="1"/>
  <c r="T46" i="1"/>
  <c r="Q46" i="1"/>
  <c r="T45" i="1"/>
  <c r="H44" i="1"/>
  <c r="I44" i="1" s="1"/>
  <c r="T40" i="1"/>
  <c r="Q40" i="1"/>
  <c r="T39" i="1"/>
  <c r="Q39" i="1"/>
  <c r="I38" i="1"/>
  <c r="Q37" i="1"/>
  <c r="T36" i="1"/>
  <c r="Q36" i="1"/>
  <c r="T35" i="1"/>
  <c r="Q35" i="1"/>
  <c r="T34" i="1"/>
  <c r="Q34" i="1"/>
  <c r="T33" i="1"/>
  <c r="Q33" i="1"/>
  <c r="Q32" i="1"/>
  <c r="H32" i="1"/>
  <c r="I32" i="1" s="1"/>
  <c r="Q31" i="1"/>
  <c r="Q30" i="1"/>
  <c r="Q29" i="1"/>
  <c r="Q28" i="1"/>
  <c r="Q27" i="1"/>
  <c r="H18" i="1"/>
  <c r="Q17" i="1"/>
  <c r="Q16" i="1"/>
  <c r="T23" i="1"/>
  <c r="Q23" i="1"/>
  <c r="T22" i="1"/>
  <c r="Q22" i="1"/>
  <c r="T21" i="1"/>
  <c r="Q21" i="1"/>
  <c r="T20" i="1"/>
  <c r="Q20" i="1"/>
  <c r="T19" i="1"/>
  <c r="Q19" i="1"/>
  <c r="T18" i="1"/>
  <c r="Q18" i="1"/>
  <c r="X56" i="1" l="1"/>
  <c r="Y56" i="1" s="1"/>
  <c r="X29" i="1"/>
  <c r="X48" i="1"/>
  <c r="X60" i="1"/>
  <c r="X34" i="1"/>
  <c r="X31" i="1"/>
  <c r="X42" i="1"/>
  <c r="X54" i="1"/>
  <c r="X37" i="1"/>
  <c r="X36" i="1"/>
  <c r="X35" i="1"/>
  <c r="AB57" i="1"/>
  <c r="X58" i="1"/>
  <c r="X57" i="1"/>
  <c r="X33" i="1"/>
  <c r="X32" i="1"/>
  <c r="X53" i="1"/>
  <c r="X52" i="1"/>
  <c r="X55" i="1"/>
  <c r="X59" i="1"/>
  <c r="X61" i="1"/>
  <c r="X28" i="1"/>
  <c r="X30" i="1"/>
  <c r="X38" i="1"/>
  <c r="X41" i="1"/>
  <c r="X43" i="1"/>
  <c r="X47" i="1"/>
  <c r="X46" i="1"/>
  <c r="X49" i="1"/>
  <c r="X44" i="1"/>
  <c r="X50" i="1"/>
  <c r="AB33" i="1"/>
  <c r="AB54" i="1"/>
  <c r="AA54" i="1" s="1"/>
  <c r="AB55" i="1"/>
  <c r="AA55" i="1" s="1"/>
  <c r="I18" i="1"/>
  <c r="X18" i="1" s="1"/>
  <c r="Z18" i="1" l="1"/>
  <c r="Y18" i="1"/>
  <c r="Z56" i="1"/>
  <c r="Z57" i="1" s="1"/>
  <c r="Y55" i="1"/>
  <c r="Z55" i="1"/>
  <c r="Y54" i="1"/>
  <c r="Z54" i="1"/>
  <c r="Y50" i="1"/>
  <c r="Z50" i="1"/>
  <c r="X51" i="1" s="1"/>
  <c r="Y44" i="1"/>
  <c r="Z44" i="1"/>
  <c r="Y38" i="1"/>
  <c r="Z38" i="1"/>
  <c r="X39" i="1" s="1"/>
  <c r="Y32" i="1"/>
  <c r="Z32" i="1"/>
  <c r="Z33" i="1" s="1"/>
  <c r="Y34" i="1" s="1"/>
  <c r="X19" i="1"/>
  <c r="Y19" i="1" s="1"/>
  <c r="X45" i="1" l="1"/>
  <c r="Z45" i="1" s="1"/>
  <c r="X27" i="1"/>
  <c r="Y27" i="1" s="1"/>
  <c r="Y57" i="1"/>
  <c r="Y33"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45" i="1" l="1"/>
  <c r="Z27" i="1"/>
  <c r="Y28" i="1" s="1"/>
  <c r="Y59" i="1"/>
  <c r="Z59" i="1"/>
  <c r="Z28" i="1"/>
  <c r="Z29" i="1" s="1"/>
  <c r="Y52" i="1"/>
  <c r="Z52" i="1"/>
  <c r="Y51" i="1"/>
  <c r="Z51" i="1"/>
  <c r="Y39" i="1"/>
  <c r="Z39" i="1"/>
  <c r="Y36" i="1"/>
  <c r="Z19" i="1"/>
  <c r="X20" i="1" s="1"/>
  <c r="Y20" i="1" s="1"/>
  <c r="X40" i="1" l="1"/>
  <c r="Y40" i="1" s="1"/>
  <c r="Y60" i="1"/>
  <c r="Z60" i="1"/>
  <c r="Y29" i="1"/>
  <c r="Y47" i="1"/>
  <c r="Z47" i="1"/>
  <c r="Y48" i="1" s="1"/>
  <c r="Y41" i="1"/>
  <c r="Y53" i="1"/>
  <c r="Z53" i="1"/>
  <c r="Y35" i="1"/>
  <c r="Z35" i="1"/>
  <c r="Z36" i="1"/>
  <c r="Z20" i="1"/>
  <c r="X21" i="1" s="1"/>
  <c r="Y21" i="1" s="1"/>
  <c r="Z40" i="1" l="1"/>
  <c r="Z41" i="1" s="1"/>
  <c r="Y61" i="1"/>
  <c r="Z61" i="1"/>
  <c r="Z48" i="1"/>
  <c r="Y49" i="1" s="1"/>
  <c r="Z42" i="1"/>
  <c r="Y42" i="1"/>
  <c r="Y30" i="1"/>
  <c r="Z30" i="1"/>
  <c r="Y31" i="1" s="1"/>
  <c r="Y37" i="1"/>
  <c r="Z37" i="1"/>
  <c r="Z21" i="1"/>
  <c r="X22" i="1" s="1"/>
  <c r="Z22" i="1" s="1"/>
  <c r="X23" i="1" s="1"/>
  <c r="X12" i="1"/>
  <c r="Y12" i="1" s="1"/>
  <c r="Y43" i="1" l="1"/>
  <c r="Z43" i="1"/>
  <c r="Z49" i="1"/>
  <c r="Z31" i="1"/>
  <c r="Y22" i="1"/>
  <c r="Y23" i="1"/>
  <c r="Z23" i="1"/>
  <c r="Q13" i="1"/>
  <c r="Z12" i="1" l="1"/>
  <c r="X13" i="1" s="1"/>
  <c r="Y13" i="1" l="1"/>
  <c r="Z13" i="1" l="1"/>
  <c r="X14" i="1" s="1"/>
  <c r="Z14" i="1" l="1"/>
  <c r="Y14" i="1"/>
  <c r="X16" i="1"/>
  <c r="Y16" i="1" l="1"/>
  <c r="Z16" i="1"/>
  <c r="X17" i="1" s="1"/>
  <c r="Y17" i="1" l="1"/>
  <c r="Z17" i="1"/>
  <c r="K44" i="1" l="1"/>
  <c r="L44" i="1" s="1"/>
  <c r="K32" i="1"/>
  <c r="L32" i="1" s="1"/>
  <c r="K56" i="1"/>
  <c r="L56" i="1" s="1"/>
  <c r="K50" i="1"/>
  <c r="L50" i="1" s="1"/>
  <c r="K38" i="1"/>
  <c r="L38" i="1" s="1"/>
  <c r="K12" i="1"/>
  <c r="L12"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AB14" i="1" s="1"/>
  <c r="AA14" i="1" s="1"/>
  <c r="AC14"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32" i="1" l="1"/>
  <c r="AA32" i="1" s="1"/>
  <c r="AB44" i="1"/>
  <c r="AB56" i="1"/>
  <c r="AA56" i="1" s="1"/>
  <c r="AA12" i="1"/>
  <c r="AB18" i="1"/>
  <c r="AB50" i="1"/>
  <c r="AB38" i="1"/>
  <c r="AA38" i="1" l="1"/>
  <c r="V30" i="19" s="1"/>
  <c r="AB39" i="1"/>
  <c r="AA44" i="1"/>
  <c r="AB41" i="19" s="1"/>
  <c r="AB45" i="1"/>
  <c r="AA45" i="1" s="1"/>
  <c r="AA50" i="1"/>
  <c r="V22" i="19" s="1"/>
  <c r="AB51" i="1"/>
  <c r="AA51" i="1" s="1"/>
  <c r="J28" i="19"/>
  <c r="AB27" i="1"/>
  <c r="AA27" i="1" s="1"/>
  <c r="AA18" i="1"/>
  <c r="J47" i="19" s="1"/>
  <c r="AB19" i="1"/>
  <c r="AB20" i="1" s="1"/>
  <c r="J40" i="19"/>
  <c r="AH20" i="19"/>
  <c r="J30" i="19"/>
  <c r="V20" i="19"/>
  <c r="P10" i="19"/>
  <c r="AB50" i="19"/>
  <c r="J50" i="19"/>
  <c r="P30" i="19"/>
  <c r="V50" i="19"/>
  <c r="P50" i="19"/>
  <c r="AH30" i="19"/>
  <c r="AH40" i="19"/>
  <c r="J10" i="19"/>
  <c r="AH50" i="19"/>
  <c r="AC38" i="1"/>
  <c r="V10" i="19"/>
  <c r="J20" i="19"/>
  <c r="P40" i="19"/>
  <c r="V40" i="19"/>
  <c r="AB21" i="19"/>
  <c r="P31" i="19"/>
  <c r="AH41" i="19"/>
  <c r="J21" i="19"/>
  <c r="P21" i="19"/>
  <c r="V41" i="19"/>
  <c r="AB11" i="19"/>
  <c r="P51" i="19"/>
  <c r="V51" i="19"/>
  <c r="J5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AB48" i="19"/>
  <c r="AH38" i="19"/>
  <c r="V8" i="19"/>
  <c r="J48" i="19"/>
  <c r="AH28" i="19"/>
  <c r="P48" i="19"/>
  <c r="AH48" i="19"/>
  <c r="AB18" i="19"/>
  <c r="AH18" i="19"/>
  <c r="AB8" i="19"/>
  <c r="V48" i="19"/>
  <c r="J8" i="19"/>
  <c r="V18" i="19"/>
  <c r="J18" i="19"/>
  <c r="J38" i="19"/>
  <c r="AA13" i="1"/>
  <c r="AB40" i="1"/>
  <c r="AA39" i="1"/>
  <c r="AB46" i="1"/>
  <c r="AA46" i="1" s="1"/>
  <c r="AB47" i="1"/>
  <c r="AB52" i="1"/>
  <c r="AA52" i="1" s="1"/>
  <c r="AB53" i="1"/>
  <c r="AA53" i="1" s="1"/>
  <c r="AA57" i="1"/>
  <c r="AB58" i="1"/>
  <c r="AA33" i="1"/>
  <c r="AB34" i="1"/>
  <c r="P47" i="19" l="1"/>
  <c r="AH51" i="19"/>
  <c r="V31" i="19"/>
  <c r="J31" i="19"/>
  <c r="P20" i="19"/>
  <c r="AB10" i="19"/>
  <c r="AH10" i="19"/>
  <c r="AH31" i="19"/>
  <c r="AB51" i="19"/>
  <c r="V11" i="19"/>
  <c r="V21" i="19"/>
  <c r="AB31" i="19"/>
  <c r="AB30" i="19"/>
  <c r="AB20" i="19"/>
  <c r="AB40" i="19"/>
  <c r="AH11" i="19"/>
  <c r="AH21" i="19"/>
  <c r="AC44" i="1"/>
  <c r="P41" i="19"/>
  <c r="J11" i="19"/>
  <c r="V27" i="19"/>
  <c r="P38" i="19"/>
  <c r="AH17" i="19"/>
  <c r="P7" i="19"/>
  <c r="J7" i="19"/>
  <c r="AB17"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1" i="1"/>
  <c r="AA20" i="1"/>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AC3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30" i="1"/>
  <c r="AA30" i="1" s="1"/>
  <c r="AA29" i="1"/>
  <c r="AB31" i="1"/>
  <c r="AA31" i="1" s="1"/>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<sst xmlns="http://schemas.openxmlformats.org/spreadsheetml/2006/main" count="618" uniqueCount="391">
  <si>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</si>
  <si>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</si>
  <si>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</si>
  <si>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</si>
  <si>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</si>
  <si>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</si>
  <si>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</si>
  <si>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</si>
  <si>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</si>
  <si>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</si>
  <si>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</si>
  <si>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</si>
  <si>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</si>
  <si>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</si>
  <si>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</si>
  <si>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</si>
  <si>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</si>
  <si>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</si>
  <si>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</si>
  <si>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</si>
  <si>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</si>
  <si>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</si>
  <si>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</si>
  <si>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</si>
  <si>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</si>
  <si>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</si>
  <si>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</si>
  <si>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</si>
  <si>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</si>
  <si>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</si>
  <si>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</si>
  <si>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</si>
  <si>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</si>
  <si>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</si>
  <si>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</si>
  <si>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</si>
  <si>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</si>
  <si>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</si>
  <si>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</si>
  <si>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</si>
  <si>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</si>
  <si>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</si>
  <si>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</si>
  <si>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</si>
  <si>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</si>
  <si>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</si>
  <si>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</si>
  <si>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</si>
  <si>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</si>
  <si>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</si>
  <si>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</si>
  <si>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</si>
  <si>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</si>
  <si>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</si>
  <si>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</si>
  <si>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</si>
  <si>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</si>
  <si>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</si>
  <si>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</si>
  <si>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</si>
  <si>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</si>
  <si>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</si>
  <si>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</si>
  <si>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</si>
  <si>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</si>
  <si>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</si>
  <si>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</si>
  <si>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</si>
  <si>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</si>
  <si>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</si>
  <si>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</si>
  <si>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</si>
  <si>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</si>
  <si>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</si>
  <si>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</si>
  <si>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</si>
  <si>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</si>
  <si>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2</t>
  </si>
  <si>
    <t>CONTEXTO ESTRATÉGICO DEL PROCESO</t>
  </si>
  <si>
    <t>PROCESO:</t>
  </si>
  <si>
    <t>GESTIÓN DE LA FINANZAS PUBLICAS</t>
  </si>
  <si>
    <t>ALCANCE:</t>
  </si>
  <si>
    <t>El proceso abarca desde la identificación de las fuentes de ingresos del Municipio, para la proyección del presupuesto de cada vigencia fiscal del Ente Territorial, contemplando las fuentes de financiación para la ejecución de programas y proyectos propuestos en el Plan de Desarrollo y demás fuentes necesarias para la sostenibilidad financiera del municipio, así mismo, con la administración de los recursos, el recaudo, la ejecución de acciones administrativas encaminadas al fortalecimiento de la política fiscal, mediante la adopción de controles y el registro contable de dichos recursos</t>
  </si>
  <si>
    <t>CONTEXTO ESTRATÉGICO</t>
  </si>
  <si>
    <t>OBJETIVOS ESTRATÉGICOS</t>
  </si>
  <si>
    <t>OBJETIVO DEL PROCESO</t>
  </si>
  <si>
    <t>PLANEACIÓN INSTITUCIONAL</t>
  </si>
  <si>
    <t>PUNTOS DE RIESGO EN LA CADENA DE VALOR</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</si>
  <si>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</si>
  <si>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Dirigir y controlar la política fiscal, mediante el  recaudode los tributos, proyección y administración  del presupuesto general de rentas y gastos, así mismo,  la realización de acciones administrativas, para fortalecer las arcas del Ente Territorial, gestión de  las mesadas pensionales,y el registro  contabledel Municipio de Bucaramanga.</t>
  </si>
  <si>
    <t>Marco Fiscal de Mediano Plazo
Plan Operativo Anual de Inversiones
Proyecto de acuerdo de presupuesto y sus  anexos.
Plan anual Mensualizado de Caja inicial -PAC
Actos Administrativos (liquidación y aplicación en los sistemas de información de la liquidación  tributaria de cada vigencia fiscal, calendario tributario,estrategia de cobro persuasivo y coactivo)
CDP y RPS expedidos
Traslados presupuestales
Decreto municipal de adición y actos administrativos de las respectivas modificaciones al presupuesto
Empréstitos 
Pago de obligaciones pensionales 
Informes de Ley
Registro de actualizaciones de contribuyentes responsables y agentes retenedores
Programación de campañas de ofertas institucionales en las diferentes comunas y barrios</t>
  </si>
  <si>
    <t>Marco Fiscal de Mediano Plazo
Plan Operativo Anual de Inversiones
Proyecto de acuerdo de presupuesto y sus  anexos.
Plan anual Mensualizado de Caja inicial -Ineficiencias en la prestación del servicio
Fallas tecnológicas en los sistemas de  información 
Riesgos de corrupción 
Falta de insumos necesarios para la prestación del servicio (impresoras, papelería entre otros)
Alto nivel de rotación del personal 
Insuficiencia de personal de planta 
Alto volumen de PQRSD</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</si>
  <si>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</si>
  <si>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</si>
  <si>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MATRIZ DOFA</t>
  </si>
  <si>
    <t>DEBILIDADES</t>
  </si>
  <si>
    <t>AMENAZAS</t>
  </si>
  <si>
    <t>Falta de continuidad en las actuaciones de cobro persuasivo y coactivo por alta rotación de personal</t>
  </si>
  <si>
    <t>Cambios en la normatividad nacional</t>
  </si>
  <si>
    <t>Permanente depuración de partidas conciliatorias pendientes</t>
  </si>
  <si>
    <t>Actualización e innovación continua de herramientas tecnológicas por parte de los Entes de Control Nacional y Local</t>
  </si>
  <si>
    <t>Falta de oportunidad en la entrega de la información por parte de las dependencias proveedoras al área contable</t>
  </si>
  <si>
    <t>Insuficiencia de lineamientos nacionales para el tratamiento  de cartera por concepto de rentas o impuestos</t>
  </si>
  <si>
    <t xml:space="preserve">Alto volumen de  PQRSD por atender y resolver </t>
  </si>
  <si>
    <t xml:space="preserve">Alto volumen de solicitudes de los ciudadanos externos </t>
  </si>
  <si>
    <t xml:space="preserve">Reiteración de solicitud de prórroga para la  presentación de informes a Entes de Control </t>
  </si>
  <si>
    <t>Cambios climaticos y afectación ambiental</t>
  </si>
  <si>
    <t>Alto nivel de rotación de personal</t>
  </si>
  <si>
    <t>Falta de control efectivos en la supervisión contractual</t>
  </si>
  <si>
    <t>Vulneración del principio archivístico y de la Ley 594 de 2000 y demás normativa relacionada con la materia</t>
  </si>
  <si>
    <t>Desactualización de los sistemas de información</t>
  </si>
  <si>
    <t>Falta de integración en los sistemas de información</t>
  </si>
  <si>
    <t>Desactualización de los principales lineamientos que rigen las finanzas municipales (Estatuto Tributario, Manual de Cartera, Estatuto Orgánico y Manual de Políticas Contable)</t>
  </si>
  <si>
    <t>FORTALEZAS</t>
  </si>
  <si>
    <t>OPORTUNIDADES</t>
  </si>
  <si>
    <t>Asesoría y atención personalizada a contribuyentes para un efectivo recaudo.</t>
  </si>
  <si>
    <t>Buena cultura de pago de los contribuyentes</t>
  </si>
  <si>
    <t>Equipo de trabajo interdisciplinario, para cumplir con los objetivos pactados</t>
  </si>
  <si>
    <t>Estrategias de recaudo para el fortalecimiento de los ingresos.</t>
  </si>
  <si>
    <t xml:space="preserve">Estrategias y campañas de cobro persuasivo y resultados de la cartera objeto de cobro. </t>
  </si>
  <si>
    <t>Mejoramiento en la confianza de la ciudadanía en la Administración</t>
  </si>
  <si>
    <t>Identificación e implementación de controles para el manejo del riesgo</t>
  </si>
  <si>
    <t>Apoyo del Departamento Administrativo de la Función Pública, Departamento Nacional de Planeación</t>
  </si>
  <si>
    <t xml:space="preserve">Publicación mensualizada de la ejecución de ingresos y gastos   </t>
  </si>
  <si>
    <t xml:space="preserve">Lineamientos nacionales y políticas para el aseguramiento del riesgo organizacional </t>
  </si>
  <si>
    <t>Sistema de Gestión de Calidad Certificado bajo la Norma Técnica ISO 9001 2015</t>
  </si>
  <si>
    <t>Normativa nacional frente al control de recursos y transparencia en la gestión pública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</si>
  <si>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</si>
  <si>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</si>
  <si>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</si>
  <si>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</si>
  <si>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</si>
  <si>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</si>
  <si>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</si>
  <si>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</si>
  <si>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Matriz Mapa Riesgos de Gestión 2025</t>
  </si>
  <si>
    <t>Página:  2 de 2</t>
  </si>
  <si>
    <t>Proceso:</t>
  </si>
  <si>
    <t>GESTIÓN DE LAS FINANZAS PUBLICAS</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</si>
  <si>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</si>
  <si>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</si>
  <si>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</si>
  <si>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</si>
  <si>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</si>
  <si>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</si>
  <si>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</si>
  <si>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</si>
  <si>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</si>
  <si>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</si>
  <si>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</si>
  <si>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</si>
  <si>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</si>
  <si>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</si>
  <si>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</si>
  <si>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</si>
  <si>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</si>
  <si>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</si>
  <si>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</si>
  <si>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</si>
  <si>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</si>
  <si>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</si>
  <si>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</si>
  <si>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</si>
  <si>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</si>
  <si>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</si>
  <si>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</si>
  <si>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</si>
  <si>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</si>
  <si>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</si>
  <si>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 xml:space="preserve">investigaciones de los entes de control </t>
  </si>
  <si>
    <t xml:space="preserve"> falta de control y  Seguimiento  a las partidas conciliatorias y a los conceptos de ingresos que afectan los movimientos bancarios  para que exista concordancia entre libros Vs extractos bancarios.</t>
  </si>
  <si>
    <t>Posibilidad de afectación reputacional por posibles investigaciones de los entes de control debido a la falta de control y  Seguimiento  a las partidas conciliatorias y a los conceptos de ingresos que afectan los movimientos bancarios  para que exista concordancia entre libros Vs extractos bancarios.</t>
  </si>
  <si>
    <t>Ejecucion y Administracion de procesos</t>
  </si>
  <si>
    <t xml:space="preserve">     El riesgo afecta la imagen de la entidad con algunos usuarios de relevancia frente al logro de los objetivos</t>
  </si>
  <si>
    <t>La Tesorería general debe realizar de manera permanente la revisión de las partidas conciliatorias bancarias reportadas por contabilidad a fin de identificar y sanearlas oportunamente.</t>
  </si>
  <si>
    <t>Preventivo</t>
  </si>
  <si>
    <t>Manual</t>
  </si>
  <si>
    <t>Documentado</t>
  </si>
  <si>
    <t>Continua</t>
  </si>
  <si>
    <t>Con Registro</t>
  </si>
  <si>
    <t>Reducir (mitigar)</t>
  </si>
  <si>
    <t xml:space="preserve">Realizar un informe semestral por parte de la Tesorería General de las partidas conciliatorias bancarias depuradas del  reporte entregado por contabilidad. </t>
  </si>
  <si>
    <t xml:space="preserve">Tesorera General y profesional especializado de contabilidad </t>
  </si>
  <si>
    <t>Informe trimestral de la Tesorería General (2)</t>
  </si>
  <si>
    <t>El profesional Especializado del Área de Contabilidad del municipio socializa ante el Comité de Sostenibilidad Contable el proceso de depuración de las partidas conciliatorias realizadas y reporta las acciones de gestión ante las áreas involucradas con respecto a las conciliaciones bancarias y se deja evidencia en el acta del comité.</t>
  </si>
  <si>
    <t>Socializar  cuatrimestralmente por parte del profesional especializado del Área de Contabilidad, ante el Comité de Sostenibilidad Contable el proceso de depuración de las partidas conciliatorias realizadas, y el reporte de la gestión desarrollada ante las áreas involucradas con respecto a las concialiaciones bancarias.</t>
  </si>
  <si>
    <t>Profesional especializado de contabilidad</t>
  </si>
  <si>
    <t>Acta del comité (3)</t>
  </si>
  <si>
    <t>Posibilidad de afectación reputacional por investigaciones disciplinarias y sanciones por entes de control por deficiente planeación de las necesidades del Plan Anual de Adquisiciones por parte de la Secretaría de Hacienda</t>
  </si>
  <si>
    <t>El Secretario de Hacienda y su equipo de contratación verifican las necesidades del trimestre en el Plan Anual de Adquisiciones, en caso que se requiera solicita la modificación o actualización a la Subsecretaría de  Bienes y Servicios</t>
  </si>
  <si>
    <t>Realizar una reunión de seguimiento  trimestral  a la contratación programada en el  Plan Anual de Adquisiciones - PAA</t>
  </si>
  <si>
    <t>Secretario de Hacienda y profesional encargado</t>
  </si>
  <si>
    <t>Acta de reunión (3)</t>
  </si>
  <si>
    <t>Incumplimiento de la normatividad archivística en los documentos generados por la la Secretaría de Hacienda</t>
  </si>
  <si>
    <t>Posibilidad de afectación reputacional por posibles investigaciones y sanciones disciplinarias por entes de control, debido al incumplimiento de la Ley 594 del 2000 en los documentos generados por la Secretaría de Hacienda</t>
  </si>
  <si>
    <t>El profesional encargado del manejo del  archivo de la Secretaría de Hacienda,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</si>
  <si>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5,41% de las transferencias documentales  (corresponde a un número aproximado de 608 cajas) primarias de la Secretaría de Hacienda al archivo central en los tiempos establecidos en el cronograma para la vigencia que aplique la tabla de retención documental vigente.</t>
  </si>
  <si>
    <t>Secretario, Subsecretario y profesional asignado</t>
  </si>
  <si>
    <t>Acta de transferencia documental F-GDO-8600-238,37-022</t>
  </si>
  <si>
    <t>Organizar el 8% (corresponde a un número aproximado de 787 cajas, incluye las 608 de la transferencia primaria) de los expedientes producidos por la Secretaría de Hacienda</t>
  </si>
  <si>
    <t>Profesional encargado</t>
  </si>
  <si>
    <t xml:space="preserve">Informe de seguimiento a la organización documental F-GDO-8600-238,37-033 </t>
  </si>
  <si>
    <t>Elaborar el 8% de los inventarios documentales de los archivos producidos por la Secretaría de Hacienda (corresponde a un número aproximado de 787 cajas, incluye las 608 de la transferencia primaria)</t>
  </si>
  <si>
    <t>Inventarios documentales F-GDO-8600-238,37-003</t>
  </si>
  <si>
    <t xml:space="preserve"> investigaciones de los entes de control</t>
  </si>
  <si>
    <t>errores de registro en los sistemas de información  (CHIP y SIA CONTRALORÍA), por falta del desarrollo de un módulo en el Software del Sistema de Información Financiero - SIF, bajo los parámetros exigidos por los entes de control.</t>
  </si>
  <si>
    <t>Posibilidad de afectación reputacional por posibles investigaciones de los entes de control, debido a errores de registro en los sistemas de información  (CHIP y SIA CONTRALORÍA), por falta del desarrollo de un módulo en el software del Sistema de Información Financiero - SIF, bajo los parámetros exigidos por los entes de control.</t>
  </si>
  <si>
    <t>El Profesional Especializado del Área de Presupuesto, verifica el resultado de la ejecución presupuestal (ingresos) generada a través del SIF, para comparar con la clasificación del catálogo de cuentas presupuestales y lograr información veraz para la rendición de los informes a entes de control y toma de decisiones</t>
  </si>
  <si>
    <t>Elaborar la ejecución de ingresos presupuestal desde el sistema de información financiera</t>
  </si>
  <si>
    <t>Profesional Especializado del Area de Presupuesto</t>
  </si>
  <si>
    <t>Ejecución de ingresos generada por el SIF en tiempo real</t>
  </si>
  <si>
    <t>investigaciones y sanciones por parte de los Órganos de Control</t>
  </si>
  <si>
    <t>debilidades en la supervisión de los contratos en la constitución, verificación, control y seguimiento a la ejecución de Reservas Presupuestales, Ejecución de cuentas por pagar y pasivos exigibles.</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</si>
  <si>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</si>
  <si>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El Secretario de Hacienda,  el profesional especializado de presupuesto, y el ordenador del gasto del área responsable de la justificación de reservas validan la solicitud de reserva presupuestal, remitidas por las diferentes secretarías, para la expedición del acto administrativo de constitución de reservas presupuestales.</t>
  </si>
  <si>
    <t>Realizar una socialización semestral, referente a la constitución de reservas presupuestales y la debida justificación de las mismas.</t>
  </si>
  <si>
    <t xml:space="preserve">Profesional especializado del area de Presupuesto </t>
  </si>
  <si>
    <t>Convocatoria, control de asistencia y memorias 
(2)</t>
  </si>
  <si>
    <t>El profesional especializado del área de presupuesto verifica los contratos que dieron lugar a la constitución de reservas presupuestales vigencia 2024, y solicita a los ordenadores del gasto responsables de dichas reservas, el cumplimiento de acuerdo con el Decreto 1068 de 2015 en su artículo 2.8.1.7.3.3</t>
  </si>
  <si>
    <t>Realizar un seguimiento mensual a la ejecución de reservas presupuestales, y reportar a las secretarías responsables, a fin de que estas cumplan con su ejecución y liquidación en la vigencia 2025.</t>
  </si>
  <si>
    <t xml:space="preserve">Profesional especializado del área de Presupuesto </t>
  </si>
  <si>
    <t>Oficios  mensuales  enviados a las secretarías responsables de reservas presupuestales vigencia 2024 (total, meses 10)</t>
  </si>
  <si>
    <t>El profesional especializado de presupuesto, verifica la ejecución de los contratos constituidos como Pasivos Exigibles Vigencias Expiradas-PEVE 2024, y solicita a los ordenadores del gasto con el apoyo de los supervisores, realizar la liquidación de dichos  contratos en la vigencia actual.</t>
  </si>
  <si>
    <t>Realizar un seguimiento mensual a las secretarías responsables de la  ejecución de Pasivos Exigibles Vigencias Espiradas-PEVE constituidos a diciembre de 2024.</t>
  </si>
  <si>
    <t>Profesional especializado del área de Presupuesto y personal asignado</t>
  </si>
  <si>
    <t>Número de oficios remitidos y/o actas de reuniones desarrolladas con las secretarías responsables de los PEVE vigencia 2024 
(6)</t>
  </si>
  <si>
    <t>investigaciones y sanciones por parte de los órganos de control</t>
  </si>
  <si>
    <t>falta de clasificación de los códigos contables y su  parametrización en el Sistema de Información Financiera de los bienes muebles e inmuebles, en desacuerdo a la razonabilidad de la  Información contable y financiera establecida en el  marco normativo, en lo relacionado con la depuración de partidas por estos conceptos.</t>
  </si>
  <si>
    <t>Posibilidad de afectación reputacional por investigaciones y sanciones por parte de los órganos de control, debido a la falta de clasificación de los códigos contables y su parametrización en el Sistema de Información Financiera de los bienes muebles e inmuebles, en desacuerdo a la razonabilidad de la Información contable y financiera establecida en el marco normativo, en lo relacionado con la depuración de partidas por estos conceptos.</t>
  </si>
  <si>
    <t>El profesional especializado de contabilidad hará revisión de la parametrización de los bienes muebles e inmuebles en el sistema de inventarios, a fin de determinar los bienes que se encuentran mal parametrizados y hacer las correspondientes correcciones, teniendo en cuenta la revisión realizada en la vigencia 2024 al informe de inventario y reportada a la Oficina TIC</t>
  </si>
  <si>
    <t>Realizar un reporte cuatrimestral de corrección de los productos mal parametrizados en el sistema de inventarios de bienes muebles e inmuebles</t>
  </si>
  <si>
    <t>Profesional especializado del área de Contabilidad</t>
  </si>
  <si>
    <t>Reporte cuatrimestral en formato excel (3)</t>
  </si>
  <si>
    <t>El profesional especializado de contabilidad adelantará reuniones con la oficina TIC, el DADEP y la Subsecretaría de Bienes y Servicios, a fin de revisar los parámetros del sistema y las posibles mejoras.</t>
  </si>
  <si>
    <t>Realizar una mesa de trabajo semestral con la oficina TIC, el DADEP y la Subsecretaría de Bienes y Servicios, a fin de revisar los parámetros del sistema, para establecer compromisos que reflejen mejoras en el sistema, y en el proceso.</t>
  </si>
  <si>
    <t>Actas de reunión (2)</t>
  </si>
  <si>
    <t>falta de razonabilidad en la Información Financiera dado que no cumple con las características cualitativas previstas en el  Marco Normativo del Régimen de  Contabilidad Pública - Partidas Pendientes por Depurar.</t>
  </si>
  <si>
    <t>Posibilidad de afectación reputacional por investigaciones y sanciones por parte de los órganos de control, debido a la falta de razonabilidad en la Información Financiera dado que no cumple con las características cualitativas previstas en el Marco Normativo del Régimen de Contabilidad Pública - Partidas Pendientes por Depurar.</t>
  </si>
  <si>
    <t>El profesional especializado de área de contabilidad o personal asignado, depura las diferentes cuentas, a fin de generar  razonabilidad en la información financiera y contable para cumplir con las características cualitativas previstas en el Marco Normativo del Régimen de Contabilidad Pública Para Entidades de Gobierno - Partidas Pendientes por Depurar.</t>
  </si>
  <si>
    <t>Realizar reporte cuatrimestral de la depuración adelantada a las diferentes cuentas del balance, a fin de generar  razonabilidad en la información financiera y contable.</t>
  </si>
  <si>
    <t xml:space="preserve">Reporte cuatrimestral  de partidas depuradas (3) </t>
  </si>
  <si>
    <t>Económico y Reputacional</t>
  </si>
  <si>
    <t>investigaciones y sanciones disciplinarias por entes de control</t>
  </si>
  <si>
    <t xml:space="preserve"> bajo cumplimiento de metas del Plan de Desarrollo Municipal programadas para la vigencia</t>
  </si>
  <si>
    <t>Posibilidad de afectación reputacional por posibles investigaciones y sanciones disciplinarias por entes de control, debido al bajo cumplimiento de metas del Plan de Desarrollo Municipal programadas para la vigencia</t>
  </si>
  <si>
    <t>El profesional designado  de la Secretaría de Hacienda,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</si>
  <si>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</si>
  <si>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Líder de proceso y 
profesional asignado</t>
  </si>
  <si>
    <t>Acta de reunión
 (4)</t>
  </si>
  <si>
    <t>Investigaciones disciplinarias por la autoridad competente</t>
  </si>
  <si>
    <t xml:space="preserve">incumplimiento de la Ley 1712 del 2014 y Resolucion 1519 de 2020 de MINTIC respecto a la obligación de publicación de información en la página web institucional </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</si>
  <si>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</si>
  <si>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líder del proceso, revisa la información sujeta a publicación de acuerdo con lo establecido en la Resolución 1519 de 2020 y sus anexos, y verifica a través de la página web institucional su cumplimiento</t>
  </si>
  <si>
    <t>Solicitar al área TIC la publicación del 100% de documentos a cargo de la Secretaría de Hacienda, de acuerdo con los estándares establecidos en la Resolución 1519 de 2020</t>
  </si>
  <si>
    <t>Lider de proceso y profesional asignado</t>
  </si>
  <si>
    <t>Solicitudes de publicación enviados al área TIC</t>
  </si>
  <si>
    <t>Investigaciones disciplinarias</t>
  </si>
  <si>
    <t>Posibilidad de afectación reputacional por investigaciones disciplinarias debido al incumplimiento de las acciones correctivas en los tiempos establecidos y plasmados en los Planes de Mejoramiento internos suscritos por la Secretaría de Hacienda</t>
  </si>
  <si>
    <t>El Secretario de Hacienda, los líderes de áreas  y los profesionales encargados, realizan monitoreo y seguimiento a la  ejecución de las acciones correctivas establecidas  en los planes de mejoramiento producto de auditorías internas, a fin de garantizar su cumplimiento en los términos establecidos.</t>
  </si>
  <si>
    <t>Realizar  seguimiento cuatrimestral a la  ejecución de las acciones correctivas establecidas  en los planes de mejoramiento  producto de auditorías internas, a fin de garantizar su cumplimiento en los términos establecidos.</t>
  </si>
  <si>
    <t>Secretario de Hacienda, Líderes de áreas y profesionales asignados</t>
  </si>
  <si>
    <t>Actas de seguimiento (3)</t>
  </si>
  <si>
    <t>investigaciones y sanciones por entes de control</t>
  </si>
  <si>
    <t>falta de seguimiento a la ejecución de los recursos y  desconocimiento y correcta aplicación del procedimiento del fondo gestión del riesgo</t>
  </si>
  <si>
    <t>Posibilidad de afectación reputacional y económica por investigaciones y sanciones por entes de control debido a la falta de seguimiento a la ejecución de los recursos y  desconocimiento y correcta aplicación del procedimiento del fondo gestión del riesgo</t>
  </si>
  <si>
    <t>El ordenador del gasto a fin de garantizar el cumplimiento de la Ley 1523 de 2012, verifica los criterios institucionales respecto a la destinación y ejecución de recursos del fondo de Gestión del Riesgo a través de seguimiento</t>
  </si>
  <si>
    <t>Realizar seguimiento trimestral al cumplimiento de los criterios establecidos en la Ley 1523 de 2012 con respecto a la destinación y ejecución de recursos del fondo de Gestión del Riesgo</t>
  </si>
  <si>
    <t>Informes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</si>
  <si>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</si>
  <si>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</si>
  <si>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</si>
  <si>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</si>
  <si>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</si>
  <si>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</si>
  <si>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</si>
  <si>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</si>
  <si>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</si>
  <si>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</si>
  <si>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</si>
  <si>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</si>
  <si>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</si>
  <si>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</si>
  <si>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</si>
  <si>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</si>
  <si>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</si>
  <si>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</si>
  <si>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</si>
  <si>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</si>
  <si>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</si>
  <si>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</si>
  <si>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</si>
  <si>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</si>
  <si>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</si>
  <si>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</si>
  <si>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</si>
  <si>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</si>
  <si>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</si>
  <si>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</si>
  <si>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</si>
  <si>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</si>
  <si>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</si>
  <si>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</si>
  <si>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</si>
  <si>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</si>
  <si>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</si>
  <si>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</si>
  <si>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</si>
  <si>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</si>
  <si>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</si>
  <si>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</si>
  <si>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</si>
  <si>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</si>
  <si>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</si>
  <si>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</si>
  <si>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</si>
  <si>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</si>
  <si>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</si>
  <si>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</si>
  <si>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</si>
  <si>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</si>
  <si>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</si>
  <si>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</si>
  <si>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</si>
  <si>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</si>
  <si>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</si>
  <si>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</si>
  <si>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</si>
  <si>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</si>
  <si>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</si>
  <si>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</si>
  <si>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</si>
  <si>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</si>
  <si>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</si>
  <si>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</si>
  <si>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</si>
  <si>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</si>
  <si>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</si>
  <si>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</si>
  <si>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</si>
  <si>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</si>
  <si>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</si>
  <si>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</si>
  <si>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</si>
  <si>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</si>
  <si>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</si>
  <si>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</si>
  <si>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</si>
  <si>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</si>
  <si>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</si>
  <si>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</si>
  <si>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</si>
  <si>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</si>
  <si>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</si>
  <si>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</si>
  <si>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</si>
  <si>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</si>
  <si>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</si>
  <si>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</si>
  <si>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</si>
  <si>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</si>
  <si>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</si>
  <si>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</si>
  <si>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</si>
  <si>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</si>
  <si>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</si>
  <si>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</si>
  <si>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</si>
  <si>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</si>
  <si>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</si>
  <si>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</si>
  <si>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</si>
  <si>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</si>
  <si>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</si>
  <si>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</si>
  <si>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</si>
  <si>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</si>
  <si>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</si>
  <si>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</si>
  <si>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</si>
  <si>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</si>
  <si>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</si>
  <si>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</si>
  <si>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</si>
  <si>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</si>
  <si>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</si>
  <si>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</si>
  <si>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Investigaciones disciplinarias y sanciones por entes de control </t>
  </si>
  <si>
    <t>deficiente planeación de las necesidades del Plan Anual de Adquisiciones por parte de la Secretaría de Hacienda.</t>
  </si>
  <si>
    <t>Investigaciones y sanciones disciplinarias por entes de control.</t>
  </si>
  <si>
    <t>incumplimiento de las acciones correctivas en los tiempos establecidos y plasmados en los Planes de Mejoramiento  internos suscritos por la Secretaría de Hacienda</t>
  </si>
  <si>
    <t>Dirigir y controlar lapolítica fiscal, mediante el  recaudode los tributos, proyección y administración  del presupuesto general de rentas y gastos, así mismo,  la realización de acciones administrativas, para fortalecer las arcas del Ente Territorial, gestión de  las mesadas pensionales,y el registro contable del Municipio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</si>
</sst>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sz val="11"/>
      <name val="Arial"/>
      <family val="2"/>
    </font>
    <font>
      <b/>
      <sz val="11"/>
      <name val="Arial"/>
      <family val="2"/>
    </font>
    <font>
      <sz val="10"/>
      <color theme="1"/>
      <name val="Arial"/>
      <family val="2"/>
    </font>
    <font>
      <b/>
      <sz val="20"/>
      <color rgb="FF000000"/>
      <name val="Arial"/>
      <family val="2"/>
    </font>
    <font>
      <b/>
      <sz val="10"/>
      <name val="Arial"/>
      <family val="2"/>
    </font>
    <font>
      <b/>
      <sz val="10"/>
      <color rgb="FF000000"/>
      <name val="Arial"/>
      <family val="2"/>
    </font>
    <font>
      <b/>
      <sz val="10"/>
      <color theme="1"/>
      <name val="Arial"/>
      <family val="2"/>
    </font>
    <font>
      <sz val="10"/>
      <color rgb="FF000000"/>
      <name val="Arial"/>
      <family val="2"/>
    </font>
    <font>
      <b/>
      <sz val="14"/>
      <color theme="1"/>
      <name val="Arial"/>
      <family val="2"/>
    </font>
    <font>
      <sz val="14"/>
      <color theme="1"/>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tted">
        <color theme="9" tint="-0.24994659260841701"/>
      </left>
      <right/>
      <top style="dotted">
        <color theme="9" tint="-0.24994659260841701"/>
      </top>
      <bottom/>
      <diagonal/>
    </border>
    <border>
      <left/>
      <right/>
      <top style="dotted">
        <color theme="9" tint="-0.24994659260841701"/>
      </top>
      <bottom/>
      <diagonal/>
    </border>
    <border>
      <left style="dotted">
        <color theme="9" tint="-0.24994659260841701"/>
      </left>
      <right/>
      <top/>
      <bottom/>
      <diagonal/>
    </border>
    <border>
      <left style="dotted">
        <color theme="9" tint="-0.24994659260841701"/>
      </left>
      <right/>
      <top/>
      <bottom style="dotted">
        <color theme="9" tint="-0.24994659260841701"/>
      </bottom>
      <diagonal/>
    </border>
    <border>
      <left/>
      <right/>
      <top/>
      <bottom style="dotted">
        <color theme="9" tint="-0.24994659260841701"/>
      </bottom>
      <diagonal/>
    </border>
    <border>
      <left style="thin">
        <color indexed="64"/>
      </left>
      <right/>
      <top style="medium">
        <color indexed="64"/>
      </top>
      <bottom style="thin">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61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8" fillId="0" borderId="0" xfId="0" applyFont="1"/>
    <xf numFmtId="0" fontId="62" fillId="16" borderId="0" xfId="0" applyFont="1" applyFill="1" applyAlignment="1">
      <alignment horizontal="left" vertical="top" wrapText="1"/>
    </xf>
    <xf numFmtId="0" fontId="62" fillId="16" borderId="0" xfId="0" applyFont="1" applyFill="1" applyAlignment="1">
      <alignment wrapText="1"/>
    </xf>
    <xf numFmtId="0" fontId="47" fillId="3" borderId="94" xfId="0" applyFont="1" applyFill="1" applyBorder="1" applyAlignment="1">
      <alignment vertical="center" wrapText="1"/>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4" fontId="49" fillId="0" borderId="2" xfId="0" applyNumberFormat="1" applyFont="1" applyBorder="1" applyAlignment="1" applyProtection="1">
      <alignment horizontal="center" vertical="center"/>
      <protection locked="0"/>
    </xf>
    <xf numFmtId="0" fontId="49" fillId="3" borderId="2" xfId="0" applyFont="1" applyFill="1" applyBorder="1" applyAlignment="1" applyProtection="1">
      <alignment horizontal="center" vertical="center" wrapText="1"/>
      <protection locked="0"/>
    </xf>
    <xf numFmtId="14" fontId="49" fillId="3" borderId="2"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14" fontId="6" fillId="0" borderId="2" xfId="0" applyNumberFormat="1" applyFont="1" applyBorder="1" applyAlignment="1" applyProtection="1">
      <alignment horizontal="center" vertical="top"/>
      <protection locked="0"/>
    </xf>
    <xf numFmtId="0" fontId="66" fillId="17" borderId="40" xfId="0" applyFont="1" applyFill="1" applyBorder="1" applyAlignment="1">
      <alignment horizontal="left" vertical="center" wrapText="1" indent="1"/>
    </xf>
    <xf numFmtId="0" fontId="66" fillId="17" borderId="97" xfId="0" applyFont="1" applyFill="1" applyBorder="1" applyAlignment="1">
      <alignment horizontal="left" vertical="center" wrapText="1" indent="1"/>
    </xf>
    <xf numFmtId="0" fontId="68" fillId="17" borderId="93" xfId="0" applyFont="1" applyFill="1" applyBorder="1" applyAlignment="1">
      <alignment horizontal="center" vertical="center" wrapText="1"/>
    </xf>
    <xf numFmtId="0" fontId="68" fillId="17" borderId="92"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64" fillId="0" borderId="0" xfId="0" applyFont="1"/>
    <xf numFmtId="0" fontId="68" fillId="0" borderId="106" xfId="0" applyFont="1" applyBorder="1" applyAlignment="1">
      <alignment horizontal="center"/>
    </xf>
    <xf numFmtId="0" fontId="64" fillId="0" borderId="32" xfId="0" applyFont="1" applyBorder="1" applyAlignment="1">
      <alignment horizontal="center" vertical="center"/>
    </xf>
    <xf numFmtId="14" fontId="64" fillId="0" borderId="32" xfId="0" applyNumberFormat="1" applyFont="1" applyBorder="1" applyAlignment="1">
      <alignment horizontal="center" vertical="center"/>
    </xf>
    <xf numFmtId="0" fontId="64" fillId="0" borderId="3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6" fillId="0" borderId="2" xfId="0" applyFont="1" applyBorder="1" applyAlignment="1" applyProtection="1">
      <alignment horizontal="center" vertical="top"/>
      <protection locked="0"/>
    </xf>
    <xf numFmtId="0" fontId="6" fillId="0" borderId="2" xfId="0" applyFont="1" applyBorder="1" applyAlignment="1">
      <alignment horizontal="center" vertical="top"/>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0"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0"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0"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3" borderId="0" xfId="0" applyFont="1" applyFill="1"/>
    <xf numFmtId="0" fontId="6" fillId="0" borderId="0" xfId="0" applyFont="1"/>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4" fillId="15" borderId="74" xfId="3" applyFont="1" applyFill="1" applyBorder="1" applyAlignment="1">
      <alignment horizontal="center" vertical="center" wrapText="1"/>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69" fillId="0" borderId="37" xfId="0" applyFont="1" applyBorder="1" applyAlignment="1">
      <alignment horizontal="left" vertical="center" wrapText="1"/>
    </xf>
    <xf numFmtId="0" fontId="69" fillId="0" borderId="38" xfId="0" applyFont="1" applyBorder="1" applyAlignment="1">
      <alignment horizontal="left" vertical="center" wrapText="1"/>
    </xf>
    <xf numFmtId="0" fontId="69" fillId="0" borderId="39" xfId="0" applyFont="1" applyBorder="1" applyAlignment="1">
      <alignment horizontal="left" vertical="center" wrapText="1"/>
    </xf>
    <xf numFmtId="0" fontId="64" fillId="0" borderId="105" xfId="0" applyFont="1" applyBorder="1" applyAlignment="1">
      <alignment horizontal="left"/>
    </xf>
    <xf numFmtId="0" fontId="64" fillId="0" borderId="100" xfId="0" applyFont="1" applyBorder="1" applyAlignment="1">
      <alignment horizontal="left"/>
    </xf>
    <xf numFmtId="0" fontId="69" fillId="0" borderId="35" xfId="0" applyFont="1" applyBorder="1" applyAlignment="1">
      <alignment horizontal="left" vertical="center" wrapText="1"/>
    </xf>
    <xf numFmtId="0" fontId="69" fillId="0" borderId="31" xfId="0" applyFont="1" applyBorder="1" applyAlignment="1">
      <alignment horizontal="left" vertical="center" wrapText="1"/>
    </xf>
    <xf numFmtId="0" fontId="69" fillId="0" borderId="36" xfId="0" applyFont="1" applyBorder="1" applyAlignment="1">
      <alignment horizontal="left" vertical="center" wrapText="1"/>
    </xf>
    <xf numFmtId="0" fontId="64" fillId="0" borderId="35" xfId="0" applyFont="1" applyBorder="1" applyAlignment="1">
      <alignment horizontal="left" vertical="center" wrapText="1"/>
    </xf>
    <xf numFmtId="0" fontId="64" fillId="0" borderId="36" xfId="0" applyFont="1" applyBorder="1" applyAlignment="1">
      <alignment horizontal="left" vertical="center" wrapText="1"/>
    </xf>
    <xf numFmtId="0" fontId="64" fillId="0" borderId="31" xfId="0" applyFont="1" applyBorder="1" applyAlignment="1">
      <alignment horizontal="left" vertical="center" wrapText="1"/>
    </xf>
    <xf numFmtId="0" fontId="64" fillId="0" borderId="103" xfId="0" applyFont="1" applyBorder="1" applyAlignment="1">
      <alignment horizontal="left"/>
    </xf>
    <xf numFmtId="0" fontId="64" fillId="0" borderId="77" xfId="0" applyFont="1" applyBorder="1" applyAlignment="1">
      <alignment horizontal="left"/>
    </xf>
    <xf numFmtId="0" fontId="64" fillId="0" borderId="104" xfId="0" applyFont="1" applyBorder="1" applyAlignment="1">
      <alignment horizontal="left"/>
    </xf>
    <xf numFmtId="0" fontId="47" fillId="0" borderId="19" xfId="0" applyFont="1" applyBorder="1" applyAlignment="1">
      <alignment horizontal="center" vertical="center" wrapText="1"/>
    </xf>
    <xf numFmtId="0" fontId="47" fillId="0" borderId="0" xfId="0" applyFont="1" applyAlignment="1">
      <alignment horizontal="center" vertical="center" wrapText="1"/>
    </xf>
    <xf numFmtId="0" fontId="47" fillId="0" borderId="18" xfId="0" applyFont="1" applyBorder="1" applyAlignment="1">
      <alignment horizontal="center" vertical="center" wrapText="1"/>
    </xf>
    <xf numFmtId="0" fontId="47" fillId="0" borderId="92" xfId="0" applyFont="1" applyBorder="1" applyAlignment="1">
      <alignment horizontal="center" vertical="center" wrapText="1"/>
    </xf>
    <xf numFmtId="0" fontId="47" fillId="0" borderId="94" xfId="0" applyFont="1" applyBorder="1" applyAlignment="1">
      <alignment horizontal="center" vertical="center" wrapText="1"/>
    </xf>
    <xf numFmtId="0" fontId="47" fillId="0" borderId="95"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69" fillId="0" borderId="35" xfId="0" applyFont="1" applyBorder="1" applyAlignment="1">
      <alignment horizontal="left" wrapText="1"/>
    </xf>
    <xf numFmtId="0" fontId="69" fillId="0" borderId="36" xfId="0" applyFont="1" applyBorder="1" applyAlignment="1">
      <alignment horizontal="left" wrapText="1"/>
    </xf>
    <xf numFmtId="0" fontId="64" fillId="0" borderId="35" xfId="0" applyFont="1" applyBorder="1" applyAlignment="1">
      <alignment horizontal="left" wrapText="1"/>
    </xf>
    <xf numFmtId="0" fontId="64" fillId="0" borderId="36" xfId="0" applyFont="1" applyBorder="1" applyAlignment="1">
      <alignment horizontal="left" wrapText="1"/>
    </xf>
    <xf numFmtId="0" fontId="64" fillId="0" borderId="96" xfId="0" applyFont="1" applyBorder="1" applyAlignment="1">
      <alignment horizontal="left" vertical="center" wrapText="1"/>
    </xf>
    <xf numFmtId="0" fontId="64" fillId="0" borderId="101" xfId="0" applyFont="1" applyBorder="1" applyAlignment="1">
      <alignment horizontal="left" vertical="center" wrapText="1"/>
    </xf>
    <xf numFmtId="0" fontId="64" fillId="0" borderId="102" xfId="0" applyFont="1" applyBorder="1" applyAlignment="1">
      <alignment horizontal="left" vertical="center" wrapText="1"/>
    </xf>
    <xf numFmtId="0" fontId="69" fillId="0" borderId="96" xfId="0" applyFont="1" applyBorder="1" applyAlignment="1">
      <alignment horizontal="left" wrapText="1"/>
    </xf>
    <xf numFmtId="0" fontId="69" fillId="0" borderId="102" xfId="0" applyFont="1" applyBorder="1" applyAlignment="1">
      <alignment horizontal="left" wrapText="1"/>
    </xf>
    <xf numFmtId="0" fontId="64" fillId="0" borderId="31" xfId="0" applyFont="1" applyBorder="1" applyAlignment="1">
      <alignment horizontal="left" wrapText="1"/>
    </xf>
    <xf numFmtId="0" fontId="64" fillId="3" borderId="35" xfId="0" applyFont="1" applyFill="1" applyBorder="1" applyAlignment="1">
      <alignment horizontal="left" vertical="center"/>
    </xf>
    <xf numFmtId="0" fontId="64" fillId="3" borderId="31" xfId="0" applyFont="1" applyFill="1" applyBorder="1" applyAlignment="1">
      <alignment horizontal="left" vertical="center"/>
    </xf>
    <xf numFmtId="0" fontId="64" fillId="3" borderId="36" xfId="0" applyFont="1" applyFill="1" applyBorder="1" applyAlignment="1">
      <alignment horizontal="left" vertical="center"/>
    </xf>
    <xf numFmtId="0" fontId="69" fillId="0" borderId="103" xfId="0" applyFont="1" applyBorder="1" applyAlignment="1">
      <alignment horizontal="left" vertical="center"/>
    </xf>
    <xf numFmtId="0" fontId="69" fillId="0" borderId="104" xfId="0" applyFont="1" applyBorder="1" applyAlignment="1">
      <alignment horizontal="left" vertical="center"/>
    </xf>
    <xf numFmtId="0" fontId="64" fillId="3" borderId="37" xfId="0" applyFont="1" applyFill="1" applyBorder="1" applyAlignment="1">
      <alignment horizontal="left" vertical="center"/>
    </xf>
    <xf numFmtId="0" fontId="64" fillId="3" borderId="38" xfId="0" applyFont="1" applyFill="1" applyBorder="1" applyAlignment="1">
      <alignment horizontal="left" vertical="center"/>
    </xf>
    <xf numFmtId="0" fontId="64" fillId="3" borderId="39" xfId="0" applyFont="1" applyFill="1" applyBorder="1" applyAlignment="1">
      <alignment horizontal="left" vertical="center"/>
    </xf>
    <xf numFmtId="0" fontId="69" fillId="0" borderId="37" xfId="0" applyFont="1" applyBorder="1" applyAlignment="1">
      <alignment horizontal="left" wrapText="1"/>
    </xf>
    <xf numFmtId="0" fontId="69" fillId="0" borderId="39" xfId="0" applyFont="1" applyBorder="1" applyAlignment="1">
      <alignment horizontal="left" wrapText="1"/>
    </xf>
    <xf numFmtId="0" fontId="66" fillId="20" borderId="14" xfId="0" applyFont="1" applyFill="1" applyBorder="1" applyAlignment="1">
      <alignment horizontal="center" vertical="center" wrapText="1"/>
    </xf>
    <xf numFmtId="0" fontId="66" fillId="20" borderId="0" xfId="0" applyFont="1" applyFill="1" applyAlignment="1">
      <alignment horizontal="center" vertical="center" wrapText="1"/>
    </xf>
    <xf numFmtId="0" fontId="66" fillId="20" borderId="33" xfId="0" applyFont="1" applyFill="1" applyBorder="1" applyAlignment="1">
      <alignment horizontal="center" vertical="center" wrapText="1"/>
    </xf>
    <xf numFmtId="0" fontId="66" fillId="20" borderId="45" xfId="0" applyFont="1" applyFill="1" applyBorder="1" applyAlignment="1">
      <alignment horizontal="center" vertical="center" wrapText="1"/>
    </xf>
    <xf numFmtId="0" fontId="64" fillId="21" borderId="35" xfId="0" applyFont="1" applyFill="1" applyBorder="1" applyAlignment="1">
      <alignment horizontal="left" vertical="top" wrapText="1"/>
    </xf>
    <xf numFmtId="0" fontId="64" fillId="3" borderId="31" xfId="0" applyFont="1" applyFill="1" applyBorder="1" applyAlignment="1">
      <alignment horizontal="left" vertical="top" wrapText="1"/>
    </xf>
    <xf numFmtId="0" fontId="64" fillId="3" borderId="36" xfId="0" applyFont="1" applyFill="1" applyBorder="1" applyAlignment="1">
      <alignment horizontal="left" vertical="top" wrapText="1"/>
    </xf>
    <xf numFmtId="0" fontId="69" fillId="0" borderId="35" xfId="0" applyFont="1" applyBorder="1" applyAlignment="1">
      <alignment horizontal="left" vertical="center"/>
    </xf>
    <xf numFmtId="0" fontId="69" fillId="0" borderId="36" xfId="0" applyFont="1" applyBorder="1" applyAlignment="1">
      <alignment horizontal="left" vertical="center"/>
    </xf>
    <xf numFmtId="0" fontId="64" fillId="0" borderId="35" xfId="0" applyFont="1" applyBorder="1" applyAlignment="1">
      <alignment horizontal="left" vertical="center"/>
    </xf>
    <xf numFmtId="0" fontId="64" fillId="0" borderId="31" xfId="0" applyFont="1" applyBorder="1" applyAlignment="1">
      <alignment horizontal="left" vertical="center"/>
    </xf>
    <xf numFmtId="0" fontId="64" fillId="0" borderId="36" xfId="0" applyFont="1" applyBorder="1" applyAlignment="1">
      <alignment horizontal="left" vertical="center"/>
    </xf>
    <xf numFmtId="0" fontId="64" fillId="21" borderId="35" xfId="0" applyFont="1" applyFill="1" applyBorder="1" applyAlignment="1">
      <alignment horizontal="left" vertical="top"/>
    </xf>
    <xf numFmtId="0" fontId="64" fillId="3" borderId="31" xfId="0" applyFont="1" applyFill="1" applyBorder="1" applyAlignment="1">
      <alignment horizontal="left" vertical="top"/>
    </xf>
    <xf numFmtId="0" fontId="64" fillId="3" borderId="36" xfId="0" applyFont="1" applyFill="1" applyBorder="1" applyAlignment="1">
      <alignment horizontal="left" vertical="top"/>
    </xf>
    <xf numFmtId="0" fontId="47" fillId="0" borderId="31" xfId="0" applyFont="1" applyBorder="1" applyAlignment="1"/>
    <xf numFmtId="0" fontId="47" fillId="0" borderId="36" xfId="0" applyFont="1" applyBorder="1" applyAlignment="1"/>
    <xf numFmtId="0" fontId="64" fillId="0" borderId="92" xfId="0" applyFont="1" applyBorder="1" applyAlignment="1">
      <alignment vertical="top" wrapText="1"/>
    </xf>
    <xf numFmtId="0" fontId="64" fillId="0" borderId="94" xfId="0" applyFont="1" applyBorder="1" applyAlignment="1">
      <alignment vertical="top" wrapText="1"/>
    </xf>
    <xf numFmtId="0" fontId="65" fillId="0" borderId="12"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0" xfId="0" applyFont="1" applyAlignment="1">
      <alignment horizontal="center" vertical="center" wrapText="1"/>
    </xf>
    <xf numFmtId="0" fontId="66" fillId="18" borderId="113" xfId="0" applyFont="1" applyFill="1" applyBorder="1" applyAlignment="1">
      <alignment horizontal="left" vertical="center" wrapText="1" indent="1"/>
    </xf>
    <xf numFmtId="0" fontId="66" fillId="18" borderId="47" xfId="0" applyFont="1" applyFill="1" applyBorder="1" applyAlignment="1">
      <alignment horizontal="left" vertical="center" wrapText="1" indent="1"/>
    </xf>
    <xf numFmtId="0" fontId="66" fillId="18" borderId="48" xfId="0" applyFont="1" applyFill="1" applyBorder="1" applyAlignment="1">
      <alignment horizontal="left" vertical="center" wrapText="1" indent="1"/>
    </xf>
    <xf numFmtId="0" fontId="47" fillId="18" borderId="98" xfId="0" applyFont="1" applyFill="1" applyBorder="1" applyAlignment="1">
      <alignment horizontal="left" wrapText="1" indent="1"/>
    </xf>
    <xf numFmtId="0" fontId="47" fillId="18" borderId="99" xfId="0" applyFont="1" applyFill="1" applyBorder="1" applyAlignment="1">
      <alignment horizontal="left" wrapText="1" indent="1"/>
    </xf>
    <xf numFmtId="0" fontId="47" fillId="18" borderId="100" xfId="0" applyFont="1" applyFill="1" applyBorder="1" applyAlignment="1">
      <alignment horizontal="left" wrapText="1" indent="1"/>
    </xf>
    <xf numFmtId="0" fontId="6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6" fillId="17" borderId="12" xfId="0" applyFont="1" applyFill="1" applyBorder="1" applyAlignment="1">
      <alignment horizontal="center" vertical="center" wrapText="1"/>
    </xf>
    <xf numFmtId="0" fontId="66" fillId="17" borderId="19" xfId="0" applyFont="1" applyFill="1" applyBorder="1" applyAlignment="1">
      <alignment horizontal="center" vertical="center" wrapText="1"/>
    </xf>
    <xf numFmtId="0" fontId="66" fillId="17" borderId="13"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68" fillId="17" borderId="19" xfId="0" applyFont="1" applyFill="1" applyBorder="1" applyAlignment="1">
      <alignment horizontal="center" vertical="center" wrapText="1"/>
    </xf>
    <xf numFmtId="0" fontId="67" fillId="3" borderId="0" xfId="0" applyFont="1" applyFill="1" applyAlignment="1">
      <alignment horizontal="center" vertical="center"/>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6" fillId="20" borderId="34" xfId="0" applyFont="1" applyFill="1" applyBorder="1" applyAlignment="1">
      <alignment horizontal="center" vertical="center" wrapText="1"/>
    </xf>
    <xf numFmtId="0" fontId="68" fillId="0" borderId="106" xfId="0" applyFont="1" applyBorder="1" applyAlignment="1">
      <alignment horizontal="center" vertical="center"/>
    </xf>
    <xf numFmtId="0" fontId="68" fillId="0" borderId="106" xfId="0" applyFont="1" applyBorder="1" applyAlignment="1">
      <alignment horizontal="center"/>
    </xf>
    <xf numFmtId="0" fontId="64" fillId="0" borderId="107" xfId="0" applyFont="1" applyBorder="1" applyAlignment="1">
      <alignment horizontal="center" vertical="center" wrapText="1"/>
    </xf>
    <xf numFmtId="0" fontId="64" fillId="0" borderId="72" xfId="0" applyFont="1" applyBorder="1" applyAlignment="1">
      <alignment horizontal="center" vertical="center" wrapText="1"/>
    </xf>
    <xf numFmtId="0" fontId="64" fillId="0" borderId="96" xfId="0" applyFont="1" applyBorder="1" applyAlignment="1">
      <alignment horizontal="left" vertical="center"/>
    </xf>
    <xf numFmtId="0" fontId="47" fillId="0" borderId="101" xfId="0" applyFont="1" applyBorder="1" applyAlignment="1"/>
    <xf numFmtId="0" fontId="47" fillId="0" borderId="102" xfId="0" applyFont="1" applyBorder="1" applyAlignment="1"/>
    <xf numFmtId="0" fontId="64" fillId="0" borderId="102" xfId="0" applyFont="1" applyBorder="1" applyAlignment="1">
      <alignment horizontal="lef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14" fontId="60" fillId="2" borderId="6" xfId="0" applyNumberFormat="1" applyFont="1" applyFill="1" applyBorder="1" applyAlignment="1" applyProtection="1">
      <alignment horizontal="center" vertical="center"/>
      <protection locked="0"/>
    </xf>
    <xf numFmtId="14" fontId="60" fillId="2" borderId="10" xfId="0" applyNumberFormat="1" applyFont="1" applyFill="1" applyBorder="1" applyAlignment="1" applyProtection="1">
      <alignment horizontal="center" vertical="center"/>
      <protection locked="0"/>
    </xf>
    <xf numFmtId="14" fontId="60" fillId="2" borderId="7" xfId="0" applyNumberFormat="1" applyFont="1" applyFill="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6" fillId="0" borderId="4" xfId="0" applyFont="1" applyBorder="1" applyAlignment="1">
      <alignment horizontal="center" vertical="top"/>
    </xf>
    <xf numFmtId="0" fontId="6" fillId="0" borderId="8" xfId="0" applyFont="1" applyBorder="1" applyAlignment="1">
      <alignment horizontal="center" vertical="top"/>
    </xf>
    <xf numFmtId="0" fontId="6" fillId="0" borderId="5" xfId="0" applyFont="1" applyBorder="1" applyAlignment="1">
      <alignment horizontal="center" vertical="top"/>
    </xf>
    <xf numFmtId="0" fontId="4" fillId="2" borderId="8" xfId="0" applyFont="1" applyFill="1" applyBorder="1" applyAlignment="1">
      <alignment horizontal="center" vertical="center" wrapText="1"/>
    </xf>
    <xf numFmtId="0" fontId="47" fillId="2" borderId="6"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7"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14" fontId="47" fillId="2" borderId="6" xfId="0" applyNumberFormat="1" applyFont="1" applyFill="1" applyBorder="1" applyAlignment="1">
      <alignment horizontal="left" vertical="center" wrapText="1"/>
    </xf>
    <xf numFmtId="14" fontId="47" fillId="2" borderId="10" xfId="0" applyNumberFormat="1" applyFont="1" applyFill="1" applyBorder="1" applyAlignment="1">
      <alignment horizontal="left" vertical="center" wrapText="1"/>
    </xf>
    <xf numFmtId="14" fontId="47" fillId="2" borderId="7" xfId="0" applyNumberFormat="1" applyFont="1" applyFill="1" applyBorder="1" applyAlignment="1">
      <alignment horizontal="left" vertical="center" wrapText="1"/>
    </xf>
    <xf numFmtId="0" fontId="59" fillId="2" borderId="108" xfId="0" applyFont="1" applyFill="1" applyBorder="1" applyAlignment="1">
      <alignment horizontal="center" vertical="center" wrapText="1"/>
    </xf>
    <xf numFmtId="0" fontId="59" fillId="2" borderId="109" xfId="0" applyFont="1" applyFill="1" applyBorder="1" applyAlignment="1">
      <alignment horizontal="center" vertical="center" wrapText="1"/>
    </xf>
    <xf numFmtId="0" fontId="59" fillId="2" borderId="110" xfId="0" applyFont="1" applyFill="1" applyBorder="1" applyAlignment="1">
      <alignment horizontal="center" vertical="center" wrapText="1"/>
    </xf>
    <xf numFmtId="0" fontId="59" fillId="2" borderId="0" xfId="0" applyFont="1" applyFill="1" applyAlignment="1">
      <alignment horizontal="center" vertical="center" wrapText="1"/>
    </xf>
    <xf numFmtId="0" fontId="59" fillId="2" borderId="111" xfId="0" applyFont="1" applyFill="1" applyBorder="1" applyAlignment="1">
      <alignment horizontal="center" vertical="center" wrapText="1"/>
    </xf>
    <xf numFmtId="0" fontId="59" fillId="2" borderId="112" xfId="0" applyFont="1" applyFill="1" applyBorder="1" applyAlignment="1">
      <alignment horizontal="center" vertical="center" wrapText="1"/>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70" fillId="3" borderId="6" xfId="0" applyFont="1" applyFill="1" applyBorder="1" applyAlignment="1" applyProtection="1">
      <alignment horizontal="left" vertical="center"/>
      <protection locked="0"/>
    </xf>
    <xf numFmtId="0" fontId="70" fillId="3" borderId="10" xfId="0" applyFont="1" applyFill="1" applyBorder="1" applyAlignment="1" applyProtection="1">
      <alignment horizontal="left" vertical="center"/>
      <protection locked="0"/>
    </xf>
    <xf numFmtId="0" fontId="70" fillId="3" borderId="7" xfId="0" applyFont="1" applyFill="1" applyBorder="1" applyAlignment="1" applyProtection="1">
      <alignment horizontal="left" vertical="center"/>
      <protection locked="0"/>
    </xf>
    <xf numFmtId="0" fontId="71" fillId="3" borderId="6" xfId="0" applyFont="1" applyFill="1" applyBorder="1" applyAlignment="1" applyProtection="1">
      <alignment horizontal="left" vertical="center" wrapText="1"/>
      <protection locked="0"/>
    </xf>
    <xf numFmtId="0" fontId="71" fillId="3" borderId="10"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9" fontId="1" fillId="0" borderId="5" xfId="0" applyNumberFormat="1" applyFont="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1" fillId="3" borderId="8"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1" fillId="3"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vertical="center" textRotation="90"/>
      <protection locked="0"/>
    </xf>
    <xf numFmtId="0" fontId="60" fillId="0" borderId="4" xfId="0" applyFont="1" applyBorder="1" applyAlignment="1" applyProtection="1">
      <alignment horizontal="center" vertical="center" textRotation="90" wrapText="1"/>
      <protection hidden="1"/>
    </xf>
    <xf numFmtId="0" fontId="60" fillId="0" borderId="4"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164" fontId="6" fillId="0" borderId="4" xfId="1" applyNumberFormat="1" applyFont="1" applyBorder="1" applyAlignment="1">
      <alignment horizontal="center" vertical="center"/>
    </xf>
    <xf numFmtId="0" fontId="60" fillId="0" borderId="4" xfId="0" applyFont="1" applyBorder="1" applyAlignment="1" applyProtection="1">
      <alignment horizontal="center" vertical="center" textRotation="90" wrapText="1"/>
      <protection hidden="1"/>
    </xf>
    <xf numFmtId="0" fontId="60"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164" fontId="6" fillId="0" borderId="8" xfId="1" applyNumberFormat="1" applyFont="1" applyBorder="1" applyAlignment="1">
      <alignment horizontal="center" vertical="center"/>
    </xf>
    <xf numFmtId="0" fontId="60" fillId="0" borderId="8" xfId="0" applyFont="1" applyBorder="1" applyAlignment="1" applyProtection="1">
      <alignment horizontal="center" vertical="center" textRotation="90" wrapText="1"/>
      <protection hidden="1"/>
    </xf>
    <xf numFmtId="0" fontId="60"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164" fontId="6" fillId="0" borderId="5" xfId="1" applyNumberFormat="1" applyFont="1" applyBorder="1" applyAlignment="1">
      <alignment horizontal="center" vertical="center"/>
    </xf>
    <xf numFmtId="0" fontId="60" fillId="0" borderId="5" xfId="0" applyFont="1" applyBorder="1" applyAlignment="1" applyProtection="1">
      <alignment horizontal="center" vertical="center" textRotation="90" wrapText="1"/>
      <protection hidden="1"/>
    </xf>
    <xf numFmtId="0" fontId="60" fillId="0" borderId="5" xfId="0" applyFont="1" applyBorder="1" applyAlignment="1" applyProtection="1">
      <alignment horizontal="center" vertical="center" textRotation="90"/>
      <protection hidden="1"/>
    </xf>
    <xf numFmtId="0" fontId="49" fillId="0" borderId="2" xfId="0" applyFont="1" applyBorder="1" applyAlignment="1" applyProtection="1">
      <alignment horizontal="justify" vertical="center" wrapText="1"/>
      <protection locked="0"/>
    </xf>
    <xf numFmtId="0" fontId="49" fillId="0" borderId="2" xfId="0"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4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7" t="s">
        <v>0</v>
      </c>
      <c r="C2" s="228"/>
      <c r="D2" s="228"/>
      <c r="E2" s="228"/>
      <c r="F2" s="228"/>
      <c r="G2" s="228"/>
      <c r="H2" s="229"/>
    </row>
    <row r="3" spans="1:8" x14ac:dyDescent="0.25">
      <c r="B3" s="106"/>
      <c r="C3" s="107"/>
      <c r="D3" s="107"/>
      <c r="E3" s="107"/>
      <c r="F3" s="107"/>
      <c r="G3" s="107"/>
      <c r="H3" s="108"/>
    </row>
    <row r="4" spans="1:8" ht="63" customHeight="1" x14ac:dyDescent="0.25">
      <c r="B4" s="230" t="s">
        <v>1</v>
      </c>
      <c r="C4" s="231"/>
      <c r="D4" s="231"/>
      <c r="E4" s="231"/>
      <c r="F4" s="231"/>
      <c r="G4" s="231"/>
      <c r="H4" s="232"/>
    </row>
    <row r="5" spans="1:8" ht="63" customHeight="1" x14ac:dyDescent="0.25">
      <c r="B5" s="233"/>
      <c r="C5" s="234"/>
      <c r="D5" s="234"/>
      <c r="E5" s="234"/>
      <c r="F5" s="234"/>
      <c r="G5" s="234"/>
      <c r="H5" s="235"/>
    </row>
    <row r="6" spans="1:8" ht="16.5" x14ac:dyDescent="0.25">
      <c r="A6" s="109"/>
      <c r="B6" s="236" t="s">
        <v>2</v>
      </c>
      <c r="C6" s="237"/>
      <c r="D6" s="237"/>
      <c r="E6" s="237"/>
      <c r="F6" s="237"/>
      <c r="G6" s="237"/>
      <c r="H6" s="238"/>
    </row>
    <row r="7" spans="1:8" ht="95.25" customHeight="1" x14ac:dyDescent="0.25">
      <c r="A7" s="109"/>
      <c r="B7" s="239" t="s">
        <v>3</v>
      </c>
      <c r="C7" s="239"/>
      <c r="D7" s="239"/>
      <c r="E7" s="239"/>
      <c r="F7" s="239"/>
      <c r="G7" s="239"/>
      <c r="H7" s="240"/>
    </row>
    <row r="8" spans="1:8" ht="16.5" x14ac:dyDescent="0.25">
      <c r="A8" s="109"/>
      <c r="B8" s="110"/>
      <c r="C8" s="111"/>
      <c r="D8" s="111"/>
      <c r="E8" s="111"/>
      <c r="F8" s="111"/>
      <c r="G8" s="111"/>
      <c r="H8" s="112"/>
    </row>
    <row r="9" spans="1:8" ht="16.5" customHeight="1" x14ac:dyDescent="0.25">
      <c r="A9" s="109"/>
      <c r="B9" s="241" t="s">
        <v>4</v>
      </c>
      <c r="C9" s="241"/>
      <c r="D9" s="241"/>
      <c r="E9" s="241"/>
      <c r="F9" s="241"/>
      <c r="G9" s="241"/>
      <c r="H9" s="242"/>
    </row>
    <row r="10" spans="1:8" ht="16.5" customHeight="1" x14ac:dyDescent="0.25">
      <c r="A10" s="109"/>
      <c r="B10" s="241"/>
      <c r="C10" s="241"/>
      <c r="D10" s="241"/>
      <c r="E10" s="241"/>
      <c r="F10" s="241"/>
      <c r="G10" s="241"/>
      <c r="H10" s="242"/>
    </row>
    <row r="11" spans="1:8" ht="11.65" customHeight="1" x14ac:dyDescent="0.25">
      <c r="A11" s="109"/>
      <c r="B11" s="241"/>
      <c r="C11" s="241"/>
      <c r="D11" s="241"/>
      <c r="E11" s="241"/>
      <c r="F11" s="241"/>
      <c r="G11" s="241"/>
      <c r="H11" s="242"/>
    </row>
    <row r="12" spans="1:8" ht="11.65" customHeight="1" thickBot="1" x14ac:dyDescent="0.3">
      <c r="A12" s="109"/>
      <c r="B12" s="113"/>
      <c r="C12" s="113"/>
      <c r="D12" s="113"/>
      <c r="E12" s="113"/>
      <c r="F12" s="113"/>
      <c r="G12" s="113"/>
      <c r="H12" s="114"/>
    </row>
    <row r="13" spans="1:8" ht="14.25" customHeight="1" thickTop="1" x14ac:dyDescent="0.25">
      <c r="A13" s="109"/>
      <c r="B13" s="113"/>
      <c r="C13" s="226" t="s">
        <v>5</v>
      </c>
      <c r="D13" s="219"/>
      <c r="E13" s="220" t="s">
        <v>6</v>
      </c>
      <c r="F13" s="221"/>
      <c r="G13" s="113"/>
      <c r="H13" s="114"/>
    </row>
    <row r="14" spans="1:8" ht="23.25" customHeight="1" x14ac:dyDescent="0.25">
      <c r="A14" s="109"/>
      <c r="B14" s="113"/>
      <c r="C14" s="207" t="s">
        <v>7</v>
      </c>
      <c r="D14" s="208"/>
      <c r="E14" s="209" t="s">
        <v>8</v>
      </c>
      <c r="F14" s="204"/>
      <c r="G14" s="113"/>
      <c r="H14" s="114"/>
    </row>
    <row r="15" spans="1:8" ht="27" customHeight="1" x14ac:dyDescent="0.25">
      <c r="A15" s="109"/>
      <c r="B15" s="113"/>
      <c r="C15" s="207" t="s">
        <v>9</v>
      </c>
      <c r="D15" s="208"/>
      <c r="E15" s="209" t="s">
        <v>10</v>
      </c>
      <c r="F15" s="204"/>
      <c r="G15" s="113"/>
      <c r="H15" s="114"/>
    </row>
    <row r="16" spans="1:8" ht="39" customHeight="1" x14ac:dyDescent="0.25">
      <c r="A16" s="109"/>
      <c r="B16" s="113"/>
      <c r="C16" s="207" t="s">
        <v>11</v>
      </c>
      <c r="D16" s="208"/>
      <c r="E16" s="209" t="s">
        <v>12</v>
      </c>
      <c r="F16" s="204"/>
      <c r="G16" s="113"/>
      <c r="H16" s="114"/>
    </row>
    <row r="17" spans="1:8" ht="24.75" customHeight="1" x14ac:dyDescent="0.25">
      <c r="A17" s="109"/>
      <c r="B17" s="113"/>
      <c r="C17" s="207" t="s">
        <v>13</v>
      </c>
      <c r="D17" s="208"/>
      <c r="E17" s="209" t="s">
        <v>14</v>
      </c>
      <c r="F17" s="204"/>
      <c r="G17" s="113"/>
      <c r="H17" s="115"/>
    </row>
    <row r="18" spans="1:8" ht="12.4" customHeight="1" x14ac:dyDescent="0.25">
      <c r="A18" s="109"/>
      <c r="B18" s="113"/>
      <c r="C18" s="207" t="s">
        <v>15</v>
      </c>
      <c r="D18" s="208"/>
      <c r="E18" s="210" t="s">
        <v>16</v>
      </c>
      <c r="F18" s="204"/>
      <c r="G18" s="113"/>
      <c r="H18" s="114"/>
    </row>
    <row r="19" spans="1:8" ht="24" customHeight="1" thickBot="1" x14ac:dyDescent="0.3">
      <c r="A19" s="109"/>
      <c r="B19" s="113"/>
      <c r="C19" s="211" t="s">
        <v>17</v>
      </c>
      <c r="D19" s="212"/>
      <c r="E19" s="213" t="s">
        <v>18</v>
      </c>
      <c r="F19" s="214"/>
      <c r="G19" s="113"/>
      <c r="H19" s="114"/>
    </row>
    <row r="20" spans="1:8" ht="11.65" customHeight="1" thickTop="1" x14ac:dyDescent="0.25">
      <c r="A20" s="109"/>
      <c r="B20" s="113"/>
      <c r="C20" s="116"/>
      <c r="D20" s="116"/>
      <c r="E20" s="116"/>
      <c r="F20" s="116"/>
      <c r="G20" s="113"/>
      <c r="H20" s="114"/>
    </row>
    <row r="21" spans="1:8" ht="27.4" customHeight="1" thickBot="1" x14ac:dyDescent="0.3">
      <c r="A21" s="109"/>
      <c r="B21" s="215" t="s">
        <v>19</v>
      </c>
      <c r="C21" s="216"/>
      <c r="D21" s="216"/>
      <c r="E21" s="216"/>
      <c r="F21" s="216"/>
      <c r="G21" s="216"/>
      <c r="H21" s="217"/>
    </row>
    <row r="22" spans="1:8" ht="15.75" thickTop="1" x14ac:dyDescent="0.25">
      <c r="A22" s="109"/>
      <c r="B22" s="117"/>
      <c r="C22" s="218" t="s">
        <v>5</v>
      </c>
      <c r="D22" s="219"/>
      <c r="E22" s="220" t="s">
        <v>6</v>
      </c>
      <c r="F22" s="221"/>
      <c r="G22" s="116"/>
      <c r="H22" s="118"/>
    </row>
    <row r="23" spans="1:8" ht="13.5" customHeight="1" x14ac:dyDescent="0.25">
      <c r="A23" s="109"/>
      <c r="B23" s="119"/>
      <c r="C23" s="222" t="s">
        <v>7</v>
      </c>
      <c r="D23" s="223"/>
      <c r="E23" s="224" t="s">
        <v>20</v>
      </c>
      <c r="F23" s="225"/>
      <c r="G23" s="120"/>
      <c r="H23" s="121"/>
    </row>
    <row r="24" spans="1:8" ht="13.5" customHeight="1" x14ac:dyDescent="0.25">
      <c r="A24" s="109"/>
      <c r="B24" s="119"/>
      <c r="C24" s="201" t="s">
        <v>21</v>
      </c>
      <c r="D24" s="202"/>
      <c r="E24" s="203" t="s">
        <v>22</v>
      </c>
      <c r="F24" s="204"/>
      <c r="G24" s="120"/>
      <c r="H24" s="121"/>
    </row>
    <row r="25" spans="1:8" ht="13.5" customHeight="1" x14ac:dyDescent="0.25">
      <c r="A25" s="109"/>
      <c r="B25" s="119"/>
      <c r="C25" s="201" t="s">
        <v>9</v>
      </c>
      <c r="D25" s="202"/>
      <c r="E25" s="203" t="s">
        <v>23</v>
      </c>
      <c r="F25" s="204"/>
      <c r="G25" s="120"/>
      <c r="H25" s="121"/>
    </row>
    <row r="26" spans="1:8" ht="22.9" customHeight="1" x14ac:dyDescent="0.25">
      <c r="A26" s="109"/>
      <c r="B26" s="119"/>
      <c r="C26" s="201" t="s">
        <v>24</v>
      </c>
      <c r="D26" s="202"/>
      <c r="E26" s="205" t="s">
        <v>25</v>
      </c>
      <c r="F26" s="206"/>
      <c r="G26" s="120"/>
      <c r="H26" s="121"/>
    </row>
    <row r="27" spans="1:8" ht="39.75" customHeight="1" x14ac:dyDescent="0.25">
      <c r="A27" s="109"/>
      <c r="B27" s="119"/>
      <c r="C27" s="192" t="s">
        <v>26</v>
      </c>
      <c r="D27" s="200"/>
      <c r="E27" s="193" t="s">
        <v>27</v>
      </c>
      <c r="F27" s="194"/>
      <c r="G27" s="120"/>
      <c r="H27" s="122"/>
    </row>
    <row r="28" spans="1:8" ht="34.5" customHeight="1" x14ac:dyDescent="0.25">
      <c r="B28" s="123"/>
      <c r="C28" s="199" t="s">
        <v>28</v>
      </c>
      <c r="D28" s="200"/>
      <c r="E28" s="193" t="s">
        <v>29</v>
      </c>
      <c r="F28" s="194"/>
      <c r="G28" s="120"/>
      <c r="H28" s="122"/>
    </row>
    <row r="29" spans="1:8" ht="27.75" customHeight="1" x14ac:dyDescent="0.25">
      <c r="B29" s="123"/>
      <c r="C29" s="199" t="s">
        <v>30</v>
      </c>
      <c r="D29" s="200"/>
      <c r="E29" s="193" t="s">
        <v>31</v>
      </c>
      <c r="F29" s="194"/>
      <c r="G29" s="120"/>
      <c r="H29" s="122"/>
    </row>
    <row r="30" spans="1:8" ht="72" customHeight="1" x14ac:dyDescent="0.25">
      <c r="B30" s="123"/>
      <c r="C30" s="199" t="s">
        <v>32</v>
      </c>
      <c r="D30" s="200"/>
      <c r="E30" s="193" t="s">
        <v>33</v>
      </c>
      <c r="F30" s="194"/>
      <c r="G30" s="120"/>
      <c r="H30" s="122"/>
    </row>
    <row r="31" spans="1:8" ht="72.75" customHeight="1" x14ac:dyDescent="0.25">
      <c r="B31" s="123"/>
      <c r="C31" s="199" t="s">
        <v>34</v>
      </c>
      <c r="D31" s="200"/>
      <c r="E31" s="193" t="s">
        <v>35</v>
      </c>
      <c r="F31" s="194"/>
      <c r="G31" s="120"/>
      <c r="H31" s="122"/>
    </row>
    <row r="32" spans="1:8" ht="64.5" customHeight="1" x14ac:dyDescent="0.25">
      <c r="B32" s="123"/>
      <c r="C32" s="199" t="s">
        <v>36</v>
      </c>
      <c r="D32" s="200"/>
      <c r="E32" s="193" t="s">
        <v>37</v>
      </c>
      <c r="F32" s="194"/>
      <c r="G32" s="120"/>
      <c r="H32" s="122"/>
    </row>
    <row r="33" spans="2:8" ht="71.25" customHeight="1" x14ac:dyDescent="0.25">
      <c r="B33" s="123"/>
      <c r="C33" s="191" t="s">
        <v>38</v>
      </c>
      <c r="D33" s="192"/>
      <c r="E33" s="193" t="s">
        <v>39</v>
      </c>
      <c r="F33" s="194"/>
      <c r="G33" s="120"/>
      <c r="H33" s="122"/>
    </row>
    <row r="34" spans="2:8" ht="55.5" customHeight="1" x14ac:dyDescent="0.25">
      <c r="B34" s="123"/>
      <c r="C34" s="191" t="s">
        <v>40</v>
      </c>
      <c r="D34" s="192"/>
      <c r="E34" s="193" t="s">
        <v>41</v>
      </c>
      <c r="F34" s="194"/>
      <c r="G34" s="120"/>
      <c r="H34" s="122"/>
    </row>
    <row r="35" spans="2:8" ht="42" customHeight="1" x14ac:dyDescent="0.25">
      <c r="B35" s="123"/>
      <c r="C35" s="191" t="s">
        <v>42</v>
      </c>
      <c r="D35" s="192"/>
      <c r="E35" s="193" t="s">
        <v>43</v>
      </c>
      <c r="F35" s="194"/>
      <c r="G35" s="120"/>
      <c r="H35" s="122"/>
    </row>
    <row r="36" spans="2:8" ht="59.25" customHeight="1" x14ac:dyDescent="0.25">
      <c r="B36" s="123"/>
      <c r="C36" s="191" t="s">
        <v>44</v>
      </c>
      <c r="D36" s="192"/>
      <c r="E36" s="193" t="s">
        <v>45</v>
      </c>
      <c r="F36" s="194"/>
      <c r="G36" s="120"/>
      <c r="H36" s="122"/>
    </row>
    <row r="37" spans="2:8" ht="23.25" customHeight="1" x14ac:dyDescent="0.25">
      <c r="B37" s="123"/>
      <c r="C37" s="191" t="s">
        <v>46</v>
      </c>
      <c r="D37" s="192"/>
      <c r="E37" s="193" t="s">
        <v>47</v>
      </c>
      <c r="F37" s="194"/>
      <c r="G37" s="120"/>
      <c r="H37" s="122"/>
    </row>
    <row r="38" spans="2:8" ht="30.75" customHeight="1" x14ac:dyDescent="0.25">
      <c r="B38" s="123"/>
      <c r="C38" s="191" t="s">
        <v>48</v>
      </c>
      <c r="D38" s="192"/>
      <c r="E38" s="193" t="s">
        <v>49</v>
      </c>
      <c r="F38" s="194"/>
      <c r="G38" s="120"/>
      <c r="H38" s="122"/>
    </row>
    <row r="39" spans="2:8" ht="35.25" customHeight="1" x14ac:dyDescent="0.25">
      <c r="B39" s="123"/>
      <c r="C39" s="191" t="s">
        <v>48</v>
      </c>
      <c r="D39" s="192"/>
      <c r="E39" s="193" t="s">
        <v>49</v>
      </c>
      <c r="F39" s="194"/>
      <c r="G39" s="120"/>
      <c r="H39" s="122"/>
    </row>
    <row r="40" spans="2:8" ht="33" customHeight="1" x14ac:dyDescent="0.25">
      <c r="B40" s="123"/>
      <c r="C40" s="191" t="s">
        <v>50</v>
      </c>
      <c r="D40" s="192"/>
      <c r="E40" s="193" t="s">
        <v>51</v>
      </c>
      <c r="F40" s="194"/>
      <c r="G40" s="120"/>
      <c r="H40" s="122"/>
    </row>
    <row r="41" spans="2:8" ht="30" customHeight="1" x14ac:dyDescent="0.25">
      <c r="B41" s="123"/>
      <c r="C41" s="191" t="s">
        <v>52</v>
      </c>
      <c r="D41" s="192"/>
      <c r="E41" s="193" t="s">
        <v>53</v>
      </c>
      <c r="F41" s="194"/>
      <c r="G41" s="120"/>
      <c r="H41" s="122"/>
    </row>
    <row r="42" spans="2:8" ht="35.25" customHeight="1" x14ac:dyDescent="0.25">
      <c r="B42" s="123"/>
      <c r="C42" s="191" t="s">
        <v>54</v>
      </c>
      <c r="D42" s="192"/>
      <c r="E42" s="193" t="s">
        <v>55</v>
      </c>
      <c r="F42" s="194"/>
      <c r="G42" s="120"/>
      <c r="H42" s="122"/>
    </row>
    <row r="43" spans="2:8" ht="31.5" customHeight="1" x14ac:dyDescent="0.25">
      <c r="B43" s="123"/>
      <c r="C43" s="191" t="s">
        <v>56</v>
      </c>
      <c r="D43" s="192"/>
      <c r="E43" s="193" t="s">
        <v>57</v>
      </c>
      <c r="F43" s="194"/>
      <c r="G43" s="120"/>
      <c r="H43" s="122"/>
    </row>
    <row r="44" spans="2:8" ht="54" customHeight="1" x14ac:dyDescent="0.25">
      <c r="B44" s="123"/>
      <c r="C44" s="191" t="s">
        <v>58</v>
      </c>
      <c r="D44" s="192"/>
      <c r="E44" s="193" t="s">
        <v>59</v>
      </c>
      <c r="F44" s="194"/>
      <c r="G44" s="120"/>
      <c r="H44" s="122"/>
    </row>
    <row r="45" spans="2:8" ht="59.25" customHeight="1" x14ac:dyDescent="0.25">
      <c r="B45" s="123"/>
      <c r="C45" s="191" t="s">
        <v>60</v>
      </c>
      <c r="D45" s="192"/>
      <c r="E45" s="193" t="s">
        <v>61</v>
      </c>
      <c r="F45" s="194"/>
      <c r="G45" s="120"/>
      <c r="H45" s="122"/>
    </row>
    <row r="46" spans="2:8" ht="84" customHeight="1" x14ac:dyDescent="0.25">
      <c r="B46" s="123"/>
      <c r="C46" s="191" t="s">
        <v>62</v>
      </c>
      <c r="D46" s="192"/>
      <c r="E46" s="193" t="s">
        <v>63</v>
      </c>
      <c r="F46" s="194"/>
      <c r="G46" s="120"/>
      <c r="H46" s="122"/>
    </row>
    <row r="47" spans="2:8" ht="46.5" customHeight="1" thickBot="1" x14ac:dyDescent="0.3">
      <c r="B47" s="123"/>
      <c r="C47" s="195"/>
      <c r="D47" s="196"/>
      <c r="E47" s="197"/>
      <c r="F47" s="198"/>
      <c r="G47" s="120"/>
      <c r="H47" s="122"/>
    </row>
    <row r="48" spans="2:8" ht="6.75" customHeight="1" thickTop="1" x14ac:dyDescent="0.25">
      <c r="B48" s="123"/>
      <c r="C48" s="124"/>
      <c r="D48" s="124"/>
      <c r="E48" s="125"/>
      <c r="F48" s="125"/>
      <c r="G48" s="120"/>
      <c r="H48" s="122"/>
    </row>
    <row r="49" spans="2:8" x14ac:dyDescent="0.25">
      <c r="B49" s="123"/>
      <c r="C49" s="126"/>
      <c r="D49" s="126"/>
      <c r="E49" s="126"/>
      <c r="F49" s="126"/>
      <c r="G49" s="120"/>
      <c r="H49" s="122"/>
    </row>
    <row r="50" spans="2:8" ht="21" customHeight="1" x14ac:dyDescent="0.25">
      <c r="B50" s="127" t="s">
        <v>64</v>
      </c>
      <c r="C50" s="126"/>
      <c r="D50" s="126"/>
      <c r="E50" s="126"/>
      <c r="F50" s="126"/>
      <c r="G50" s="126"/>
      <c r="H50" s="128"/>
    </row>
    <row r="51" spans="2:8" ht="20.25" customHeight="1" x14ac:dyDescent="0.25">
      <c r="B51" s="127" t="s">
        <v>65</v>
      </c>
      <c r="C51" s="126"/>
      <c r="D51" s="126"/>
      <c r="E51" s="126"/>
      <c r="F51" s="126"/>
      <c r="G51" s="126"/>
      <c r="H51" s="128"/>
    </row>
    <row r="52" spans="2:8" ht="20.25" customHeight="1" x14ac:dyDescent="0.25">
      <c r="B52" s="127" t="s">
        <v>66</v>
      </c>
      <c r="C52" s="126"/>
      <c r="D52" s="126"/>
      <c r="E52" s="126"/>
      <c r="F52" s="126"/>
      <c r="G52" s="126"/>
      <c r="H52" s="128"/>
    </row>
    <row r="53" spans="2:8" ht="20.25" customHeight="1" x14ac:dyDescent="0.25">
      <c r="B53" s="127" t="s">
        <v>67</v>
      </c>
      <c r="C53" s="126"/>
      <c r="D53" s="126"/>
      <c r="E53" s="126"/>
      <c r="F53" s="126"/>
      <c r="G53" s="126"/>
      <c r="H53" s="128"/>
    </row>
    <row r="54" spans="2:8" ht="14.65" customHeight="1" x14ac:dyDescent="0.25">
      <c r="B54" s="127" t="s">
        <v>68</v>
      </c>
      <c r="C54" s="126"/>
      <c r="D54" s="126"/>
      <c r="E54" s="126"/>
      <c r="F54" s="126"/>
      <c r="G54" s="126"/>
      <c r="H54" s="128"/>
    </row>
    <row r="55" spans="2:8" ht="15.75" thickBot="1" x14ac:dyDescent="0.3">
      <c r="B55" s="129"/>
      <c r="C55" s="130"/>
      <c r="D55" s="130"/>
      <c r="E55" s="130"/>
      <c r="F55" s="130"/>
      <c r="G55" s="130"/>
      <c r="H55" s="131"/>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175</v>
      </c>
      <c r="D3" s="10" t="s">
        <v>376</v>
      </c>
    </row>
    <row r="4" spans="1:4" ht="51" x14ac:dyDescent="0.2">
      <c r="A4" s="10" t="s">
        <v>344</v>
      </c>
      <c r="D4" s="10" t="s">
        <v>377</v>
      </c>
    </row>
    <row r="5" spans="1:4" ht="51" x14ac:dyDescent="0.2">
      <c r="A5" s="10" t="s">
        <v>346</v>
      </c>
      <c r="D5" s="10" t="s">
        <v>378</v>
      </c>
    </row>
    <row r="6" spans="1:4" ht="89.25" x14ac:dyDescent="0.2">
      <c r="A6" s="10" t="s">
        <v>348</v>
      </c>
      <c r="D6" s="10" t="s">
        <v>379</v>
      </c>
    </row>
    <row r="7" spans="1:4" ht="63.75" x14ac:dyDescent="0.2">
      <c r="A7" s="10" t="s">
        <v>176</v>
      </c>
      <c r="D7" s="10" t="s">
        <v>380</v>
      </c>
    </row>
    <row r="8" spans="1:4" x14ac:dyDescent="0.2">
      <c r="A8" s="10" t="s">
        <v>177</v>
      </c>
      <c r="D8" s="10"/>
    </row>
    <row r="9" spans="1:4" x14ac:dyDescent="0.2">
      <c r="A9" s="10" t="s">
        <v>354</v>
      </c>
    </row>
    <row r="10" spans="1:4" x14ac:dyDescent="0.2">
      <c r="A10" s="10" t="s">
        <v>178</v>
      </c>
      <c r="D10" s="10" t="s">
        <v>381</v>
      </c>
    </row>
    <row r="11" spans="1:4" x14ac:dyDescent="0.2">
      <c r="A11" s="10" t="s">
        <v>357</v>
      </c>
    </row>
    <row r="12" spans="1:4" x14ac:dyDescent="0.2">
      <c r="A12" s="10" t="s">
        <v>382</v>
      </c>
      <c r="D12" s="10"/>
    </row>
    <row r="13" spans="1:4" x14ac:dyDescent="0.2">
      <c r="A13" s="10" t="s">
        <v>383</v>
      </c>
    </row>
    <row r="14" spans="1:4" x14ac:dyDescent="0.2">
      <c r="A14" s="10" t="s">
        <v>384</v>
      </c>
    </row>
    <row r="16" spans="1:4" x14ac:dyDescent="0.2">
      <c r="A16" s="10" t="s">
        <v>385</v>
      </c>
    </row>
    <row r="17" spans="1:1" x14ac:dyDescent="0.2">
      <c r="A17" s="10" t="s">
        <v>363</v>
      </c>
    </row>
    <row r="18" spans="1:1" x14ac:dyDescent="0.2">
      <c r="A18" s="10" t="s">
        <v>365</v>
      </c>
    </row>
    <row r="20" spans="1:1" x14ac:dyDescent="0.2">
      <c r="A20" s="10" t="s">
        <v>368</v>
      </c>
    </row>
    <row r="21" spans="1:1" x14ac:dyDescent="0.2">
      <c r="A21" s="10"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15" zoomScale="91" zoomScaleNormal="91" workbookViewId="0">
      <selection activeCell="E38" sqref="E38:F38"/>
    </sheetView>
  </sheetViews>
  <sheetFormatPr baseColWidth="10" defaultColWidth="11.42578125" defaultRowHeight="14.25" x14ac:dyDescent="0.2"/>
  <cols>
    <col min="1" max="1" width="7.5703125" style="143" customWidth="1"/>
    <col min="2" max="2" width="16.7109375" style="143" customWidth="1" collapsed="1"/>
    <col min="3" max="3" width="29.7109375" style="143" customWidth="1" collapsed="1"/>
    <col min="4" max="4" width="43.7109375" style="143" customWidth="1" collapsed="1"/>
    <col min="5" max="5" width="44" style="143" customWidth="1" collapsed="1"/>
    <col min="6" max="6" width="39.28515625" style="143" customWidth="1"/>
    <col min="7" max="14" width="11.42578125" style="143"/>
    <col min="15" max="15" width="37" style="143" customWidth="1"/>
    <col min="16" max="50" width="11.42578125" style="143"/>
    <col min="51" max="51" width="6.140625" style="143" customWidth="1"/>
    <col min="52" max="52" width="130.5703125" style="143" customWidth="1"/>
    <col min="53" max="16384" width="11.42578125" style="143"/>
  </cols>
  <sheetData>
    <row r="1" spans="2:52" ht="16.5" customHeight="1" thickBot="1" x14ac:dyDescent="0.25">
      <c r="AZ1" s="144" t="s">
        <v>69</v>
      </c>
    </row>
    <row r="2" spans="2:52" ht="18" customHeight="1" thickBot="1" x14ac:dyDescent="0.25">
      <c r="B2" s="307"/>
      <c r="C2" s="309" t="s">
        <v>70</v>
      </c>
      <c r="D2" s="310"/>
      <c r="E2" s="310"/>
      <c r="F2" s="132" t="s">
        <v>71</v>
      </c>
      <c r="AZ2" s="144" t="s">
        <v>72</v>
      </c>
    </row>
    <row r="3" spans="2:52" ht="18" customHeight="1" thickBot="1" x14ac:dyDescent="0.25">
      <c r="B3" s="308"/>
      <c r="C3" s="311"/>
      <c r="D3" s="312"/>
      <c r="E3" s="312"/>
      <c r="F3" s="133" t="s">
        <v>73</v>
      </c>
      <c r="AZ3" s="144" t="s">
        <v>74</v>
      </c>
    </row>
    <row r="4" spans="2:52" ht="18" customHeight="1" thickBot="1" x14ac:dyDescent="0.25">
      <c r="B4" s="308"/>
      <c r="C4" s="311"/>
      <c r="D4" s="312"/>
      <c r="E4" s="312"/>
      <c r="F4" s="142" t="s">
        <v>75</v>
      </c>
      <c r="AZ4" s="144" t="s">
        <v>76</v>
      </c>
    </row>
    <row r="5" spans="2:52" ht="18" customHeight="1" thickBot="1" x14ac:dyDescent="0.25">
      <c r="B5" s="308"/>
      <c r="C5" s="311"/>
      <c r="D5" s="312"/>
      <c r="E5" s="312"/>
      <c r="F5" s="146" t="s">
        <v>77</v>
      </c>
      <c r="AZ5" s="145"/>
    </row>
    <row r="6" spans="2:52" ht="18" customHeight="1" thickBot="1" x14ac:dyDescent="0.25">
      <c r="B6" s="320" t="s">
        <v>78</v>
      </c>
      <c r="C6" s="321"/>
      <c r="D6" s="321"/>
      <c r="E6" s="321"/>
      <c r="F6" s="322"/>
      <c r="AZ6" s="145"/>
    </row>
    <row r="7" spans="2:52" ht="33.4" customHeight="1" x14ac:dyDescent="0.2">
      <c r="B7" s="157" t="s">
        <v>79</v>
      </c>
      <c r="C7" s="313" t="s">
        <v>80</v>
      </c>
      <c r="D7" s="314"/>
      <c r="E7" s="314"/>
      <c r="F7" s="315"/>
      <c r="AZ7" s="145"/>
    </row>
    <row r="8" spans="2:52" ht="69.75" customHeight="1" thickBot="1" x14ac:dyDescent="0.25">
      <c r="B8" s="158" t="s">
        <v>81</v>
      </c>
      <c r="C8" s="316" t="s">
        <v>82</v>
      </c>
      <c r="D8" s="317"/>
      <c r="E8" s="317"/>
      <c r="F8" s="318"/>
      <c r="AZ8" s="145"/>
    </row>
    <row r="9" spans="2:52" ht="15" thickBot="1" x14ac:dyDescent="0.25">
      <c r="B9" s="319"/>
      <c r="C9" s="319"/>
      <c r="D9" s="319"/>
      <c r="E9" s="319"/>
      <c r="F9" s="319"/>
    </row>
    <row r="10" spans="2:52" ht="15.6" customHeight="1" thickBot="1" x14ac:dyDescent="0.25">
      <c r="B10" s="323" t="s">
        <v>83</v>
      </c>
      <c r="C10" s="324"/>
      <c r="D10" s="324"/>
      <c r="E10" s="324"/>
      <c r="F10" s="325"/>
    </row>
    <row r="11" spans="2:52" ht="26.25" thickBot="1" x14ac:dyDescent="0.25">
      <c r="B11" s="326" t="s">
        <v>84</v>
      </c>
      <c r="C11" s="327"/>
      <c r="D11" s="159" t="s">
        <v>85</v>
      </c>
      <c r="E11" s="160" t="s">
        <v>86</v>
      </c>
      <c r="F11" s="161" t="s">
        <v>87</v>
      </c>
    </row>
    <row r="12" spans="2:52" ht="122.25" customHeight="1" x14ac:dyDescent="0.2">
      <c r="B12" s="329" t="s">
        <v>88</v>
      </c>
      <c r="C12" s="330"/>
      <c r="D12" s="257" t="s">
        <v>89</v>
      </c>
      <c r="E12" s="260" t="s">
        <v>90</v>
      </c>
      <c r="F12" s="263" t="s">
        <v>91</v>
      </c>
    </row>
    <row r="13" spans="2:52" ht="171" customHeight="1" x14ac:dyDescent="0.2">
      <c r="B13" s="266" t="s">
        <v>92</v>
      </c>
      <c r="C13" s="267"/>
      <c r="D13" s="258"/>
      <c r="E13" s="261"/>
      <c r="F13" s="264"/>
    </row>
    <row r="14" spans="2:52" ht="11.25" customHeight="1" x14ac:dyDescent="0.2">
      <c r="B14" s="266"/>
      <c r="C14" s="267"/>
      <c r="D14" s="258"/>
      <c r="E14" s="261"/>
      <c r="F14" s="264"/>
    </row>
    <row r="15" spans="2:52" ht="71.25" customHeight="1" x14ac:dyDescent="0.2">
      <c r="B15" s="266" t="s">
        <v>93</v>
      </c>
      <c r="C15" s="267"/>
      <c r="D15" s="258"/>
      <c r="E15" s="261"/>
      <c r="F15" s="264"/>
    </row>
    <row r="16" spans="2:52" ht="13.5" customHeight="1" x14ac:dyDescent="0.2">
      <c r="B16" s="266"/>
      <c r="C16" s="267"/>
      <c r="D16" s="258"/>
      <c r="E16" s="261"/>
      <c r="F16" s="264"/>
    </row>
    <row r="17" spans="2:6" ht="13.5" customHeight="1" thickBot="1" x14ac:dyDescent="0.25">
      <c r="B17" s="268"/>
      <c r="C17" s="269"/>
      <c r="D17" s="259"/>
      <c r="E17" s="262"/>
      <c r="F17" s="265"/>
    </row>
    <row r="18" spans="2:6" ht="15" thickBot="1" x14ac:dyDescent="0.25">
      <c r="B18" s="328" t="s">
        <v>94</v>
      </c>
      <c r="C18" s="328"/>
      <c r="D18" s="328"/>
      <c r="E18" s="328"/>
      <c r="F18" s="328"/>
    </row>
    <row r="19" spans="2:6" ht="15" thickBot="1" x14ac:dyDescent="0.25">
      <c r="B19" s="292" t="s">
        <v>95</v>
      </c>
      <c r="C19" s="331"/>
      <c r="D19" s="293"/>
      <c r="E19" s="292" t="s">
        <v>96</v>
      </c>
      <c r="F19" s="293"/>
    </row>
    <row r="20" spans="2:6" ht="15" customHeight="1" x14ac:dyDescent="0.2">
      <c r="B20" s="336" t="s">
        <v>97</v>
      </c>
      <c r="C20" s="337"/>
      <c r="D20" s="338"/>
      <c r="E20" s="336" t="s">
        <v>98</v>
      </c>
      <c r="F20" s="339"/>
    </row>
    <row r="21" spans="2:6" ht="33" customHeight="1" x14ac:dyDescent="0.2">
      <c r="B21" s="299" t="s">
        <v>99</v>
      </c>
      <c r="C21" s="305"/>
      <c r="D21" s="306"/>
      <c r="E21" s="248" t="s">
        <v>100</v>
      </c>
      <c r="F21" s="250"/>
    </row>
    <row r="22" spans="2:6" ht="15" customHeight="1" x14ac:dyDescent="0.2">
      <c r="B22" s="299" t="s">
        <v>101</v>
      </c>
      <c r="C22" s="305"/>
      <c r="D22" s="306"/>
      <c r="E22" s="248" t="s">
        <v>102</v>
      </c>
      <c r="F22" s="250"/>
    </row>
    <row r="23" spans="2:6" ht="15" customHeight="1" x14ac:dyDescent="0.2">
      <c r="B23" s="299" t="s">
        <v>103</v>
      </c>
      <c r="C23" s="305"/>
      <c r="D23" s="306"/>
      <c r="E23" s="248" t="s">
        <v>104</v>
      </c>
      <c r="F23" s="250"/>
    </row>
    <row r="24" spans="2:6" ht="15" customHeight="1" x14ac:dyDescent="0.2">
      <c r="B24" s="299" t="s">
        <v>105</v>
      </c>
      <c r="C24" s="305"/>
      <c r="D24" s="306"/>
      <c r="E24" s="248" t="s">
        <v>106</v>
      </c>
      <c r="F24" s="250"/>
    </row>
    <row r="25" spans="2:6" ht="15" customHeight="1" x14ac:dyDescent="0.2">
      <c r="B25" s="299" t="s">
        <v>107</v>
      </c>
      <c r="C25" s="305"/>
      <c r="D25" s="306"/>
      <c r="E25" s="251"/>
      <c r="F25" s="252"/>
    </row>
    <row r="26" spans="2:6" ht="15" customHeight="1" x14ac:dyDescent="0.2">
      <c r="B26" s="299" t="s">
        <v>108</v>
      </c>
      <c r="C26" s="305"/>
      <c r="D26" s="306"/>
      <c r="E26" s="248"/>
      <c r="F26" s="250"/>
    </row>
    <row r="27" spans="2:6" ht="15.75" customHeight="1" x14ac:dyDescent="0.2">
      <c r="B27" s="299" t="s">
        <v>109</v>
      </c>
      <c r="C27" s="300"/>
      <c r="D27" s="301"/>
      <c r="E27" s="251"/>
      <c r="F27" s="252"/>
    </row>
    <row r="28" spans="2:6" x14ac:dyDescent="0.2">
      <c r="B28" s="302" t="s">
        <v>110</v>
      </c>
      <c r="C28" s="303"/>
      <c r="D28" s="304"/>
      <c r="E28" s="299"/>
      <c r="F28" s="301"/>
    </row>
    <row r="29" spans="2:6" ht="15" customHeight="1" x14ac:dyDescent="0.2">
      <c r="B29" s="302" t="s">
        <v>111</v>
      </c>
      <c r="C29" s="303"/>
      <c r="D29" s="304"/>
      <c r="E29" s="297"/>
      <c r="F29" s="298"/>
    </row>
    <row r="30" spans="2:6" ht="15" customHeight="1" x14ac:dyDescent="0.2">
      <c r="B30" s="294" t="s">
        <v>112</v>
      </c>
      <c r="C30" s="295"/>
      <c r="D30" s="296"/>
      <c r="E30" s="297"/>
      <c r="F30" s="298"/>
    </row>
    <row r="31" spans="2:6" ht="15" customHeight="1" x14ac:dyDescent="0.2">
      <c r="B31" s="280"/>
      <c r="C31" s="281"/>
      <c r="D31" s="282"/>
      <c r="E31" s="297"/>
      <c r="F31" s="298"/>
    </row>
    <row r="32" spans="2:6" ht="15" customHeight="1" x14ac:dyDescent="0.2">
      <c r="B32" s="280"/>
      <c r="C32" s="281"/>
      <c r="D32" s="282"/>
      <c r="E32" s="283"/>
      <c r="F32" s="284"/>
    </row>
    <row r="33" spans="2:6" ht="15" customHeight="1" thickBot="1" x14ac:dyDescent="0.25">
      <c r="B33" s="285"/>
      <c r="C33" s="286"/>
      <c r="D33" s="287"/>
      <c r="E33" s="288"/>
      <c r="F33" s="289"/>
    </row>
    <row r="34" spans="2:6" ht="15" customHeight="1" thickBot="1" x14ac:dyDescent="0.25">
      <c r="B34" s="290" t="s">
        <v>113</v>
      </c>
      <c r="C34" s="291"/>
      <c r="D34" s="291"/>
      <c r="E34" s="292" t="s">
        <v>114</v>
      </c>
      <c r="F34" s="293"/>
    </row>
    <row r="35" spans="2:6" ht="15.75" customHeight="1" x14ac:dyDescent="0.2">
      <c r="B35" s="274" t="s">
        <v>115</v>
      </c>
      <c r="C35" s="275"/>
      <c r="D35" s="276"/>
      <c r="E35" s="277" t="s">
        <v>116</v>
      </c>
      <c r="F35" s="278"/>
    </row>
    <row r="36" spans="2:6" ht="14.25" customHeight="1" x14ac:dyDescent="0.2">
      <c r="B36" s="272" t="s">
        <v>117</v>
      </c>
      <c r="C36" s="279"/>
      <c r="D36" s="273"/>
      <c r="E36" s="251" t="s">
        <v>118</v>
      </c>
      <c r="F36" s="252"/>
    </row>
    <row r="37" spans="2:6" ht="14.25" customHeight="1" x14ac:dyDescent="0.2">
      <c r="B37" s="251" t="s">
        <v>119</v>
      </c>
      <c r="C37" s="253"/>
      <c r="D37" s="252"/>
      <c r="E37" s="248" t="s">
        <v>120</v>
      </c>
      <c r="F37" s="250"/>
    </row>
    <row r="38" spans="2:6" ht="14.25" customHeight="1" x14ac:dyDescent="0.2">
      <c r="B38" s="248" t="s">
        <v>121</v>
      </c>
      <c r="C38" s="249"/>
      <c r="D38" s="250"/>
      <c r="E38" s="270" t="s">
        <v>122</v>
      </c>
      <c r="F38" s="271"/>
    </row>
    <row r="39" spans="2:6" ht="14.25" customHeight="1" x14ac:dyDescent="0.2">
      <c r="B39" s="248" t="s">
        <v>123</v>
      </c>
      <c r="C39" s="249"/>
      <c r="D39" s="250"/>
      <c r="E39" s="272" t="s">
        <v>124</v>
      </c>
      <c r="F39" s="273"/>
    </row>
    <row r="40" spans="2:6" x14ac:dyDescent="0.2">
      <c r="B40" s="248" t="s">
        <v>125</v>
      </c>
      <c r="C40" s="249"/>
      <c r="D40" s="250"/>
      <c r="E40" s="248" t="s">
        <v>126</v>
      </c>
      <c r="F40" s="250"/>
    </row>
    <row r="41" spans="2:6" x14ac:dyDescent="0.2">
      <c r="B41" s="248"/>
      <c r="C41" s="249"/>
      <c r="D41" s="250"/>
      <c r="E41" s="251"/>
      <c r="F41" s="252"/>
    </row>
    <row r="42" spans="2:6" x14ac:dyDescent="0.2">
      <c r="B42" s="248"/>
      <c r="C42" s="249"/>
      <c r="D42" s="250"/>
      <c r="E42" s="251"/>
      <c r="F42" s="252"/>
    </row>
    <row r="43" spans="2:6" x14ac:dyDescent="0.2">
      <c r="B43" s="251"/>
      <c r="C43" s="253"/>
      <c r="D43" s="252"/>
      <c r="E43" s="251"/>
      <c r="F43" s="252"/>
    </row>
    <row r="44" spans="2:6" x14ac:dyDescent="0.2">
      <c r="B44" s="254"/>
      <c r="C44" s="255"/>
      <c r="D44" s="256"/>
      <c r="E44" s="254"/>
      <c r="F44" s="256"/>
    </row>
    <row r="45" spans="2:6" ht="15" thickBot="1" x14ac:dyDescent="0.25">
      <c r="B45" s="243"/>
      <c r="C45" s="244"/>
      <c r="D45" s="245"/>
      <c r="E45" s="246"/>
      <c r="F45" s="247"/>
    </row>
    <row r="46" spans="2:6" ht="15" thickBot="1" x14ac:dyDescent="0.25">
      <c r="B46" s="162"/>
      <c r="C46" s="162"/>
      <c r="D46" s="162"/>
      <c r="E46" s="162"/>
      <c r="F46" s="162"/>
    </row>
    <row r="47" spans="2:6" ht="15.75" thickTop="1" thickBot="1" x14ac:dyDescent="0.25">
      <c r="B47" s="332" t="s">
        <v>127</v>
      </c>
      <c r="C47" s="332"/>
      <c r="D47" s="332"/>
      <c r="E47" s="332"/>
      <c r="F47" s="332"/>
    </row>
    <row r="48" spans="2:6" ht="15.75" thickTop="1" thickBot="1" x14ac:dyDescent="0.25">
      <c r="B48" s="163" t="s">
        <v>128</v>
      </c>
      <c r="C48" s="163" t="s">
        <v>129</v>
      </c>
      <c r="D48" s="333" t="s">
        <v>130</v>
      </c>
      <c r="E48" s="333"/>
      <c r="F48" s="163" t="s">
        <v>131</v>
      </c>
    </row>
    <row r="49" spans="2:6" ht="44.25" customHeight="1" thickTop="1" x14ac:dyDescent="0.2">
      <c r="B49" s="164" t="s">
        <v>132</v>
      </c>
      <c r="C49" s="165">
        <v>45723</v>
      </c>
      <c r="D49" s="334" t="s">
        <v>133</v>
      </c>
      <c r="E49" s="335"/>
      <c r="F49" s="166" t="s">
        <v>134</v>
      </c>
    </row>
  </sheetData>
  <mergeCells count="75">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B27:D27"/>
    <mergeCell ref="E27:F27"/>
    <mergeCell ref="B28:D28"/>
    <mergeCell ref="E28:F28"/>
    <mergeCell ref="B29:D29"/>
    <mergeCell ref="E29:F29"/>
    <mergeCell ref="B30:D30"/>
    <mergeCell ref="E30:F30"/>
    <mergeCell ref="B31:D31"/>
    <mergeCell ref="E31:F31"/>
    <mergeCell ref="E36:F36"/>
    <mergeCell ref="B37:D37"/>
    <mergeCell ref="E37:F37"/>
    <mergeCell ref="B32:D32"/>
    <mergeCell ref="E32:F32"/>
    <mergeCell ref="B33:D33"/>
    <mergeCell ref="E33:F33"/>
    <mergeCell ref="B34:D34"/>
    <mergeCell ref="E34:F3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45:D45"/>
    <mergeCell ref="E45:F45"/>
    <mergeCell ref="B42:D42"/>
    <mergeCell ref="E42:F42"/>
    <mergeCell ref="B43:D43"/>
    <mergeCell ref="E43:F43"/>
    <mergeCell ref="B44:D44"/>
    <mergeCell ref="E44:F4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2"/>
  <sheetViews>
    <sheetView tabSelected="1" zoomScaleNormal="10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4.28515625" style="2" customWidth="1"/>
    <col min="4" max="4" width="29.42578125" style="2" customWidth="1"/>
    <col min="5" max="5" width="38"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3.7109375" style="1" hidden="1" customWidth="1"/>
    <col min="12" max="12" width="17.5703125" style="1" customWidth="1"/>
    <col min="13" max="13" width="6.28515625" style="1" bestFit="1" customWidth="1"/>
    <col min="14" max="14" width="16" style="1" customWidth="1"/>
    <col min="15" max="15" width="5.85546875" style="188" customWidth="1"/>
    <col min="16" max="16" width="43.5703125" style="14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8.140625" style="1" customWidth="1"/>
    <col min="25" max="25" width="7.5703125" style="1" customWidth="1"/>
    <col min="26" max="26" width="8.7109375" style="1" customWidth="1"/>
    <col min="27" max="27" width="8" style="1" customWidth="1"/>
    <col min="28" max="28" width="9.140625" style="1" customWidth="1"/>
    <col min="29" max="29" width="7.5703125" style="1" customWidth="1"/>
    <col min="30" max="30" width="7.28515625" style="1" customWidth="1"/>
    <col min="31" max="31" width="43.28515625" style="1" customWidth="1"/>
    <col min="32" max="32" width="24.42578125" style="1" customWidth="1"/>
    <col min="33" max="33" width="23.28515625" style="1" customWidth="1"/>
    <col min="34" max="35" width="14.5703125" style="1" customWidth="1"/>
    <col min="36" max="16384" width="11.42578125" style="1"/>
  </cols>
  <sheetData>
    <row r="1" spans="1:67" ht="15" customHeight="1" x14ac:dyDescent="0.3">
      <c r="A1" s="365"/>
      <c r="B1" s="366"/>
      <c r="C1" s="366"/>
      <c r="D1" s="366"/>
      <c r="E1" s="401" t="s">
        <v>135</v>
      </c>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392" t="s">
        <v>71</v>
      </c>
      <c r="AH1" s="393"/>
      <c r="AI1" s="394"/>
    </row>
    <row r="2" spans="1:67" ht="15" customHeight="1" x14ac:dyDescent="0.3">
      <c r="A2" s="367"/>
      <c r="B2" s="368"/>
      <c r="C2" s="368"/>
      <c r="D2" s="368"/>
      <c r="E2" s="403"/>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392" t="s">
        <v>73</v>
      </c>
      <c r="AH2" s="393"/>
      <c r="AI2" s="394"/>
    </row>
    <row r="3" spans="1:67" ht="15" customHeight="1" x14ac:dyDescent="0.3">
      <c r="A3" s="367"/>
      <c r="B3" s="368"/>
      <c r="C3" s="368"/>
      <c r="D3" s="368"/>
      <c r="E3" s="403"/>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398" t="s">
        <v>75</v>
      </c>
      <c r="AH3" s="399"/>
      <c r="AI3" s="40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69"/>
      <c r="B4" s="370"/>
      <c r="C4" s="370"/>
      <c r="D4" s="370"/>
      <c r="E4" s="405"/>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392" t="s">
        <v>136</v>
      </c>
      <c r="AH4" s="393"/>
      <c r="AI4" s="394"/>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187"/>
      <c r="P5" s="14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61" t="s">
        <v>137</v>
      </c>
      <c r="B6" s="562"/>
      <c r="C6" s="563" t="s">
        <v>138</v>
      </c>
      <c r="D6" s="564"/>
      <c r="E6" s="564"/>
      <c r="F6" s="564"/>
      <c r="G6" s="564"/>
      <c r="H6" s="564"/>
      <c r="I6" s="564"/>
      <c r="J6" s="564"/>
      <c r="K6" s="564"/>
      <c r="L6" s="564"/>
      <c r="M6" s="564"/>
      <c r="N6" s="565"/>
      <c r="O6" s="345"/>
      <c r="P6" s="345"/>
      <c r="Q6" s="34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51" customHeight="1" x14ac:dyDescent="0.3">
      <c r="A7" s="561" t="s">
        <v>139</v>
      </c>
      <c r="B7" s="562"/>
      <c r="C7" s="566" t="s">
        <v>390</v>
      </c>
      <c r="D7" s="567"/>
      <c r="E7" s="567"/>
      <c r="F7" s="567"/>
      <c r="G7" s="567"/>
      <c r="H7" s="567"/>
      <c r="I7" s="567"/>
      <c r="J7" s="567"/>
      <c r="K7" s="567"/>
      <c r="L7" s="567"/>
      <c r="M7" s="567"/>
      <c r="N7" s="568"/>
      <c r="O7" s="187"/>
      <c r="P7" s="14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5.25" customHeight="1" x14ac:dyDescent="0.3">
      <c r="A8" s="561" t="s">
        <v>140</v>
      </c>
      <c r="B8" s="562"/>
      <c r="C8" s="566" t="s">
        <v>82</v>
      </c>
      <c r="D8" s="567"/>
      <c r="E8" s="567"/>
      <c r="F8" s="567"/>
      <c r="G8" s="567"/>
      <c r="H8" s="567"/>
      <c r="I8" s="567"/>
      <c r="J8" s="567"/>
      <c r="K8" s="567"/>
      <c r="L8" s="567"/>
      <c r="M8" s="567"/>
      <c r="N8" s="568"/>
      <c r="O8" s="187"/>
      <c r="P8" s="14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46" t="s">
        <v>141</v>
      </c>
      <c r="B9" s="347"/>
      <c r="C9" s="347"/>
      <c r="D9" s="347"/>
      <c r="E9" s="347"/>
      <c r="F9" s="347"/>
      <c r="G9" s="348"/>
      <c r="H9" s="346" t="s">
        <v>142</v>
      </c>
      <c r="I9" s="347"/>
      <c r="J9" s="347"/>
      <c r="K9" s="347"/>
      <c r="L9" s="347"/>
      <c r="M9" s="347"/>
      <c r="N9" s="348"/>
      <c r="O9" s="346" t="s">
        <v>143</v>
      </c>
      <c r="P9" s="347"/>
      <c r="Q9" s="347"/>
      <c r="R9" s="347"/>
      <c r="S9" s="347"/>
      <c r="T9" s="347"/>
      <c r="U9" s="347"/>
      <c r="V9" s="347"/>
      <c r="W9" s="348"/>
      <c r="X9" s="346" t="s">
        <v>144</v>
      </c>
      <c r="Y9" s="347"/>
      <c r="Z9" s="347"/>
      <c r="AA9" s="347"/>
      <c r="AB9" s="347"/>
      <c r="AC9" s="347"/>
      <c r="AD9" s="348"/>
      <c r="AE9" s="359" t="s">
        <v>145</v>
      </c>
      <c r="AF9" s="360"/>
      <c r="AG9" s="360"/>
      <c r="AH9" s="360"/>
      <c r="AI9" s="361"/>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07" t="s">
        <v>146</v>
      </c>
      <c r="B10" s="384" t="s">
        <v>26</v>
      </c>
      <c r="C10" s="344" t="s">
        <v>28</v>
      </c>
      <c r="D10" s="344" t="s">
        <v>30</v>
      </c>
      <c r="E10" s="383" t="s">
        <v>32</v>
      </c>
      <c r="F10" s="343" t="s">
        <v>34</v>
      </c>
      <c r="G10" s="344" t="s">
        <v>147</v>
      </c>
      <c r="H10" s="391" t="s">
        <v>148</v>
      </c>
      <c r="I10" s="397" t="s">
        <v>149</v>
      </c>
      <c r="J10" s="343" t="s">
        <v>150</v>
      </c>
      <c r="K10" s="343" t="s">
        <v>151</v>
      </c>
      <c r="L10" s="395" t="s">
        <v>152</v>
      </c>
      <c r="M10" s="397" t="s">
        <v>149</v>
      </c>
      <c r="N10" s="344" t="s">
        <v>40</v>
      </c>
      <c r="O10" s="363" t="s">
        <v>153</v>
      </c>
      <c r="P10" s="358" t="s">
        <v>42</v>
      </c>
      <c r="Q10" s="343" t="s">
        <v>44</v>
      </c>
      <c r="R10" s="358" t="s">
        <v>154</v>
      </c>
      <c r="S10" s="358"/>
      <c r="T10" s="358"/>
      <c r="U10" s="358"/>
      <c r="V10" s="358"/>
      <c r="W10" s="358"/>
      <c r="X10" s="362" t="s">
        <v>155</v>
      </c>
      <c r="Y10" s="362" t="s">
        <v>156</v>
      </c>
      <c r="Z10" s="362" t="s">
        <v>149</v>
      </c>
      <c r="AA10" s="362" t="s">
        <v>157</v>
      </c>
      <c r="AB10" s="362" t="s">
        <v>149</v>
      </c>
      <c r="AC10" s="362" t="s">
        <v>158</v>
      </c>
      <c r="AD10" s="363" t="s">
        <v>60</v>
      </c>
      <c r="AE10" s="358" t="s">
        <v>145</v>
      </c>
      <c r="AF10" s="358" t="s">
        <v>131</v>
      </c>
      <c r="AG10" s="358" t="s">
        <v>159</v>
      </c>
      <c r="AH10" s="358" t="s">
        <v>160</v>
      </c>
      <c r="AI10" s="343" t="s">
        <v>161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08"/>
      <c r="B11" s="384"/>
      <c r="C11" s="358"/>
      <c r="D11" s="358"/>
      <c r="E11" s="384"/>
      <c r="F11" s="344"/>
      <c r="G11" s="358"/>
      <c r="H11" s="344"/>
      <c r="I11" s="396"/>
      <c r="J11" s="344"/>
      <c r="K11" s="344"/>
      <c r="L11" s="396"/>
      <c r="M11" s="396"/>
      <c r="N11" s="358"/>
      <c r="O11" s="364"/>
      <c r="P11" s="358"/>
      <c r="Q11" s="344"/>
      <c r="R11" s="7" t="s">
        <v>162</v>
      </c>
      <c r="S11" s="7" t="s">
        <v>163</v>
      </c>
      <c r="T11" s="7" t="s">
        <v>164</v>
      </c>
      <c r="U11" s="7" t="s">
        <v>165</v>
      </c>
      <c r="V11" s="7" t="s">
        <v>166</v>
      </c>
      <c r="W11" s="7" t="s">
        <v>167</v>
      </c>
      <c r="X11" s="362"/>
      <c r="Y11" s="362"/>
      <c r="Z11" s="362"/>
      <c r="AA11" s="362"/>
      <c r="AB11" s="362"/>
      <c r="AC11" s="362"/>
      <c r="AD11" s="364"/>
      <c r="AE11" s="358"/>
      <c r="AF11" s="358"/>
      <c r="AG11" s="358"/>
      <c r="AH11" s="358"/>
      <c r="AI11" s="34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9.5" customHeight="1" x14ac:dyDescent="0.25">
      <c r="A12" s="371">
        <v>1</v>
      </c>
      <c r="B12" s="569" t="s">
        <v>168</v>
      </c>
      <c r="C12" s="570" t="s">
        <v>169</v>
      </c>
      <c r="D12" s="570" t="s">
        <v>170</v>
      </c>
      <c r="E12" s="571" t="s">
        <v>171</v>
      </c>
      <c r="F12" s="569" t="s">
        <v>172</v>
      </c>
      <c r="G12" s="572">
        <v>253</v>
      </c>
      <c r="H12" s="352" t="str">
        <f>IF(G12&lt;=0,"",IF(G12&lt;=2,"Muy Baja",IF(G12&lt;=24,"Baja",IF(G12&lt;=500,"Media",IF(G12&lt;=5000,"Alta","Muy Alta")))))</f>
        <v>Media</v>
      </c>
      <c r="I12" s="349">
        <f>IF(H12="","",IF(H12="Muy Baja",0.2,IF(H12="Baja",0.4,IF(H12="Media",0.6,IF(H12="Alta",0.8,IF(H12="Muy Alta",1,))))))</f>
        <v>0.6</v>
      </c>
      <c r="J12" s="573" t="s">
        <v>173</v>
      </c>
      <c r="K12" s="349"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52" t="str">
        <f>IF(OR(K12='Tabla Impacto'!$C$11,K12='Tabla Impacto'!$D$11),"Leve",IF(OR(K12='Tabla Impacto'!$C$12,K12='Tabla Impacto'!$D$12),"Menor",IF(OR(K12='Tabla Impacto'!$C$13,K12='Tabla Impacto'!$D$13),"Moderado",IF(OR(K12='Tabla Impacto'!$C$14,K12='Tabla Impacto'!$D$14),"Mayor",IF(OR(K12='Tabla Impacto'!$C$15,K12='Tabla Impacto'!$D$15),"Catastrófico","")))))</f>
        <v>Moderado</v>
      </c>
      <c r="M12" s="349">
        <f>IF(L12="","",IF(L12="Leve",0.2,IF(L12="Menor",0.4,IF(L12="Moderado",0.6,IF(L12="Mayor",0.8,IF(L12="Catastrófico",1,))))))</f>
        <v>0.6</v>
      </c>
      <c r="N12" s="35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90">
        <v>1</v>
      </c>
      <c r="P12" s="138" t="s">
        <v>174</v>
      </c>
      <c r="Q12" s="171" t="str">
        <f>IF(OR(R12="Preventivo",R12="Detectivo"),"Probabilidad",IF(R12="Correctivo","Impacto",""))</f>
        <v>Probabilidad</v>
      </c>
      <c r="R12" s="172" t="s">
        <v>175</v>
      </c>
      <c r="S12" s="172" t="s">
        <v>176</v>
      </c>
      <c r="T12" s="173" t="str">
        <f>IF(AND(R12="Preventivo",S12="Automático"),"50%",IF(AND(R12="Preventivo",S12="Manual"),"40%",IF(AND(R12="Detectivo",S12="Automático"),"40%",IF(AND(R12="Detectivo",S12="Manual"),"30%",IF(AND(R12="Correctivo",S12="Automático"),"35%",IF(AND(R12="Correctivo",S12="Manual"),"25%",""))))))</f>
        <v>40%</v>
      </c>
      <c r="U12" s="172" t="s">
        <v>177</v>
      </c>
      <c r="V12" s="172" t="s">
        <v>178</v>
      </c>
      <c r="W12" s="172" t="s">
        <v>179</v>
      </c>
      <c r="X12" s="174">
        <f>IFERROR(IF(Q12="Probabilidad",(I12-(+I12*T12)),IF(Q12="Impacto",I12,"")),"")</f>
        <v>0.36</v>
      </c>
      <c r="Y12" s="175" t="str">
        <f>IFERROR(IF(X12="","",IF(X12&lt;=0.2,"Muy Baja",IF(X12&lt;=0.4,"Baja",IF(X12&lt;=0.6,"Media",IF(X12&lt;=0.8,"Alta","Muy Alta"))))),"")</f>
        <v>Baja</v>
      </c>
      <c r="Z12" s="176">
        <f>+X12</f>
        <v>0.36</v>
      </c>
      <c r="AA12" s="175" t="str">
        <f>IFERROR(IF(AB12="","",IF(AB12&lt;=0.2,"Leve",IF(AB12&lt;=0.4,"Menor",IF(AB12&lt;=0.6,"Moderado",IF(AB12&lt;=0.8,"Mayor","Catastrófico"))))),"")</f>
        <v>Moderado</v>
      </c>
      <c r="AB12" s="176">
        <f>IFERROR(IF(Q12="Impacto",(M12-(+M12*T12)),IF(Q12="Probabilidad",M12,"")),"")</f>
        <v>0.6</v>
      </c>
      <c r="AC12" s="17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78" t="s">
        <v>180</v>
      </c>
      <c r="AE12" s="138" t="s">
        <v>181</v>
      </c>
      <c r="AF12" s="135" t="s">
        <v>182</v>
      </c>
      <c r="AG12" s="135" t="s">
        <v>183</v>
      </c>
      <c r="AH12" s="151">
        <v>45658</v>
      </c>
      <c r="AI12" s="151">
        <v>46021</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95.25" customHeight="1" x14ac:dyDescent="0.3">
      <c r="A13" s="372"/>
      <c r="B13" s="574"/>
      <c r="C13" s="575"/>
      <c r="D13" s="575"/>
      <c r="E13" s="576"/>
      <c r="F13" s="574"/>
      <c r="G13" s="577"/>
      <c r="H13" s="353"/>
      <c r="I13" s="350"/>
      <c r="J13" s="578"/>
      <c r="K13" s="350">
        <f>IF(NOT(ISERROR(MATCH(J13,_xlfn.ANCHORARRAY(E24),0))),I28&amp;"Por favor no seleccionar los criterios de impacto",J13)</f>
        <v>0</v>
      </c>
      <c r="L13" s="353"/>
      <c r="M13" s="350"/>
      <c r="N13" s="356"/>
      <c r="O13" s="190">
        <v>2</v>
      </c>
      <c r="P13" s="138" t="s">
        <v>184</v>
      </c>
      <c r="Q13" s="171" t="str">
        <f>IF(OR(R13="Preventivo",R13="Detectivo"),"Probabilidad",IF(R13="Correctivo","Impacto",""))</f>
        <v>Probabilidad</v>
      </c>
      <c r="R13" s="172" t="s">
        <v>175</v>
      </c>
      <c r="S13" s="172" t="s">
        <v>176</v>
      </c>
      <c r="T13" s="173" t="str">
        <f t="shared" ref="T13:T17" si="0">IF(AND(R13="Preventivo",S13="Automático"),"50%",IF(AND(R13="Preventivo",S13="Manual"),"40%",IF(AND(R13="Detectivo",S13="Automático"),"40%",IF(AND(R13="Detectivo",S13="Manual"),"30%",IF(AND(R13="Correctivo",S13="Automático"),"35%",IF(AND(R13="Correctivo",S13="Manual"),"25%",""))))))</f>
        <v>40%</v>
      </c>
      <c r="U13" s="172" t="s">
        <v>177</v>
      </c>
      <c r="V13" s="172" t="s">
        <v>178</v>
      </c>
      <c r="W13" s="172" t="s">
        <v>179</v>
      </c>
      <c r="X13" s="174">
        <f>IFERROR(IF(AND(Q12="Probabilidad",Q13="Probabilidad"),(Z12-(+Z12*T13)),IF(Q13="Probabilidad",(I12-(+I12*T13)),IF(Q13="Impacto",Z12,""))),"")</f>
        <v>0.216</v>
      </c>
      <c r="Y13" s="175" t="str">
        <f t="shared" ref="Y13:Y73" si="1">IFERROR(IF(X13="","",IF(X13&lt;=0.2,"Muy Baja",IF(X13&lt;=0.4,"Baja",IF(X13&lt;=0.6,"Media",IF(X13&lt;=0.8,"Alta","Muy Alta"))))),"")</f>
        <v>Baja</v>
      </c>
      <c r="Z13" s="176">
        <f t="shared" ref="Z13:Z17" si="2">+X13</f>
        <v>0.216</v>
      </c>
      <c r="AA13" s="175" t="str">
        <f t="shared" ref="AA13:AA73" si="3">IFERROR(IF(AB13="","",IF(AB13&lt;=0.2,"Leve",IF(AB13&lt;=0.4,"Menor",IF(AB13&lt;=0.6,"Moderado",IF(AB13&lt;=0.8,"Mayor","Catastrófico"))))),"")</f>
        <v>Moderado</v>
      </c>
      <c r="AB13" s="176">
        <f>IFERROR(IF(AND(Q12="Impacto",Q13="Impacto"),(AB12-(+AB12*T13)),IF(Q13="Impacto",(M12-(+M12*T13)),IF(Q13="Probabilidad",AB12,""))),"")</f>
        <v>0.6</v>
      </c>
      <c r="AC13" s="177"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78" t="s">
        <v>180</v>
      </c>
      <c r="AE13" s="138" t="s">
        <v>185</v>
      </c>
      <c r="AF13" s="135" t="s">
        <v>186</v>
      </c>
      <c r="AG13" s="135" t="s">
        <v>187</v>
      </c>
      <c r="AH13" s="151">
        <v>45658</v>
      </c>
      <c r="AI13" s="151">
        <v>46021</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75" customHeight="1" x14ac:dyDescent="0.3">
      <c r="A14" s="372"/>
      <c r="B14" s="574"/>
      <c r="C14" s="575"/>
      <c r="D14" s="575"/>
      <c r="E14" s="576"/>
      <c r="F14" s="574"/>
      <c r="G14" s="577"/>
      <c r="H14" s="353"/>
      <c r="I14" s="350"/>
      <c r="J14" s="578"/>
      <c r="K14" s="350">
        <f>IF(NOT(ISERROR(MATCH(J14,_xlfn.ANCHORARRAY(E27),0))),I29&amp;"Por favor no seleccionar los criterios de impacto",J14)</f>
        <v>0</v>
      </c>
      <c r="L14" s="353"/>
      <c r="M14" s="350"/>
      <c r="N14" s="356"/>
      <c r="O14" s="190">
        <v>3</v>
      </c>
      <c r="P14" s="138"/>
      <c r="Q14" s="171" t="str">
        <f>IF(OR(R14="Preventivo",R14="Detectivo"),"Probabilidad",IF(R14="Correctivo","Impacto",""))</f>
        <v/>
      </c>
      <c r="R14" s="172"/>
      <c r="S14" s="172"/>
      <c r="T14" s="173" t="str">
        <f t="shared" ref="T14" si="5">IF(AND(R14="Preventivo",S14="Automático"),"50%",IF(AND(R14="Preventivo",S14="Manual"),"40%",IF(AND(R14="Detectivo",S14="Automático"),"40%",IF(AND(R14="Detectivo",S14="Manual"),"30%",IF(AND(R14="Correctivo",S14="Automático"),"35%",IF(AND(R14="Correctivo",S14="Manual"),"25%",""))))))</f>
        <v/>
      </c>
      <c r="U14" s="172"/>
      <c r="V14" s="172"/>
      <c r="W14" s="172"/>
      <c r="X14" s="174" t="str">
        <f>IFERROR(IF(AND(Q13="Probabilidad",Q14="Probabilidad"),(Z13-(+Z13*T14)),IF(Q14="Probabilidad",(I13-(+I13*T14)),IF(Q14="Impacto",Z13,""))),"")</f>
        <v/>
      </c>
      <c r="Y14" s="175" t="str">
        <f t="shared" ref="Y14" si="6">IFERROR(IF(X14="","",IF(X14&lt;=0.2,"Muy Baja",IF(X14&lt;=0.4,"Baja",IF(X14&lt;=0.6,"Media",IF(X14&lt;=0.8,"Alta","Muy Alta"))))),"")</f>
        <v/>
      </c>
      <c r="Z14" s="176" t="str">
        <f t="shared" ref="Z14" si="7">+X14</f>
        <v/>
      </c>
      <c r="AA14" s="175" t="str">
        <f t="shared" ref="AA14" si="8">IFERROR(IF(AB14="","",IF(AB14&lt;=0.2,"Leve",IF(AB14&lt;=0.4,"Menor",IF(AB14&lt;=0.6,"Moderado",IF(AB14&lt;=0.8,"Mayor","Catastrófico"))))),"")</f>
        <v/>
      </c>
      <c r="AB14" s="176" t="str">
        <f>IFERROR(IF(AND(Q13="Impacto",Q14="Impacto"),(AB13-(+AB13*T14)),IF(Q14="Impacto",(M13-(+M13*T14)),IF(Q14="Probabilidad",AB13,""))),"")</f>
        <v/>
      </c>
      <c r="AC14" s="177" t="str">
        <f t="shared" ref="AC14" si="9">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78"/>
      <c r="AE14" s="138"/>
      <c r="AF14" s="135"/>
      <c r="AG14" s="135"/>
      <c r="AH14" s="136"/>
      <c r="AI14" s="136"/>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72"/>
      <c r="B15" s="574"/>
      <c r="C15" s="575"/>
      <c r="D15" s="575"/>
      <c r="E15" s="576"/>
      <c r="F15" s="574"/>
      <c r="G15" s="577"/>
      <c r="H15" s="353"/>
      <c r="I15" s="350"/>
      <c r="J15" s="578"/>
      <c r="K15" s="350">
        <f>IF(NOT(ISERROR(MATCH(J15,_xlfn.ANCHORARRAY(E28),0))),I30&amp;"Por favor no seleccionar los criterios de impacto",J15)</f>
        <v>0</v>
      </c>
      <c r="L15" s="353"/>
      <c r="M15" s="350"/>
      <c r="N15" s="356"/>
      <c r="O15" s="170">
        <v>4</v>
      </c>
      <c r="P15" s="138"/>
      <c r="Q15" s="179"/>
      <c r="R15" s="180"/>
      <c r="S15" s="180"/>
      <c r="T15" s="181"/>
      <c r="U15" s="180"/>
      <c r="V15" s="180"/>
      <c r="W15" s="180"/>
      <c r="X15" s="182"/>
      <c r="Y15" s="183"/>
      <c r="Z15" s="184"/>
      <c r="AA15" s="183"/>
      <c r="AB15" s="184"/>
      <c r="AC15" s="185"/>
      <c r="AD15" s="186"/>
      <c r="AE15" s="134"/>
      <c r="AF15" s="169"/>
      <c r="AG15" s="169"/>
      <c r="AH15" s="156"/>
      <c r="AI15" s="156"/>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72"/>
      <c r="B16" s="574"/>
      <c r="C16" s="575"/>
      <c r="D16" s="575"/>
      <c r="E16" s="576"/>
      <c r="F16" s="574"/>
      <c r="G16" s="577"/>
      <c r="H16" s="353"/>
      <c r="I16" s="350"/>
      <c r="J16" s="578"/>
      <c r="K16" s="350">
        <f>IF(NOT(ISERROR(MATCH(J16,_xlfn.ANCHORARRAY(E29),0))),I31&amp;"Por favor no seleccionar los criterios de impacto",J16)</f>
        <v>0</v>
      </c>
      <c r="L16" s="353"/>
      <c r="M16" s="350"/>
      <c r="N16" s="356"/>
      <c r="O16" s="170">
        <v>5</v>
      </c>
      <c r="P16" s="138"/>
      <c r="Q16" s="179" t="str">
        <f t="shared" ref="Q16:Q17" si="10">IF(OR(R16="Preventivo",R16="Detectivo"),"Probabilidad",IF(R16="Correctivo","Impacto",""))</f>
        <v/>
      </c>
      <c r="R16" s="180"/>
      <c r="S16" s="180"/>
      <c r="T16" s="181" t="str">
        <f t="shared" si="0"/>
        <v/>
      </c>
      <c r="U16" s="180"/>
      <c r="V16" s="180"/>
      <c r="W16" s="180"/>
      <c r="X16" s="182" t="str">
        <f t="shared" ref="X16:X17" si="11">IFERROR(IF(AND(Q15="Probabilidad",Q16="Probabilidad"),(Z15-(+Z15*T16)),IF(AND(Q15="Impacto",Q16="Probabilidad"),(Z14-(+Z14*T16)),IF(Q16="Impacto",Z15,""))),"")</f>
        <v/>
      </c>
      <c r="Y16" s="183" t="str">
        <f t="shared" si="1"/>
        <v/>
      </c>
      <c r="Z16" s="184" t="str">
        <f t="shared" si="2"/>
        <v/>
      </c>
      <c r="AA16" s="183" t="str">
        <f t="shared" si="3"/>
        <v/>
      </c>
      <c r="AB16" s="184" t="str">
        <f t="shared" ref="AB16:AB17" si="12">IFERROR(IF(AND(Q15="Impacto",Q16="Impacto"),(AB15-(+AB15*T16)),IF(AND(Q15="Probabilidad",Q16="Impacto"),(AB14-(+AB14*T16)),IF(Q16="Probabilidad",AB15,""))),"")</f>
        <v/>
      </c>
      <c r="AC16" s="185" t="str">
        <f t="shared" si="4"/>
        <v/>
      </c>
      <c r="AD16" s="186"/>
      <c r="AE16" s="134"/>
      <c r="AF16" s="169"/>
      <c r="AG16" s="169"/>
      <c r="AH16" s="156"/>
      <c r="AI16" s="156"/>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73"/>
      <c r="B17" s="579"/>
      <c r="C17" s="580"/>
      <c r="D17" s="580"/>
      <c r="E17" s="581"/>
      <c r="F17" s="579"/>
      <c r="G17" s="582"/>
      <c r="H17" s="354"/>
      <c r="I17" s="351"/>
      <c r="J17" s="583"/>
      <c r="K17" s="351">
        <f>IF(NOT(ISERROR(MATCH(J17,_xlfn.ANCHORARRAY(E30),0))),I32&amp;"Por favor no seleccionar los criterios de impacto",J17)</f>
        <v>0</v>
      </c>
      <c r="L17" s="354"/>
      <c r="M17" s="351"/>
      <c r="N17" s="357"/>
      <c r="O17" s="170">
        <v>6</v>
      </c>
      <c r="P17" s="138"/>
      <c r="Q17" s="179" t="str">
        <f t="shared" si="10"/>
        <v/>
      </c>
      <c r="R17" s="180"/>
      <c r="S17" s="180"/>
      <c r="T17" s="181" t="str">
        <f t="shared" si="0"/>
        <v/>
      </c>
      <c r="U17" s="180"/>
      <c r="V17" s="180"/>
      <c r="W17" s="180"/>
      <c r="X17" s="182" t="str">
        <f t="shared" si="11"/>
        <v/>
      </c>
      <c r="Y17" s="183" t="str">
        <f t="shared" si="1"/>
        <v/>
      </c>
      <c r="Z17" s="184" t="str">
        <f t="shared" si="2"/>
        <v/>
      </c>
      <c r="AA17" s="183" t="str">
        <f t="shared" si="3"/>
        <v/>
      </c>
      <c r="AB17" s="184" t="str">
        <f t="shared" si="12"/>
        <v/>
      </c>
      <c r="AC17" s="185" t="str">
        <f t="shared" si="4"/>
        <v/>
      </c>
      <c r="AD17" s="186"/>
      <c r="AE17" s="134"/>
      <c r="AF17" s="169"/>
      <c r="AG17" s="169"/>
      <c r="AH17" s="156"/>
      <c r="AI17" s="156"/>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81.75" customHeight="1" x14ac:dyDescent="0.3">
      <c r="A18" s="371">
        <v>2</v>
      </c>
      <c r="B18" s="569" t="s">
        <v>168</v>
      </c>
      <c r="C18" s="584" t="s">
        <v>386</v>
      </c>
      <c r="D18" s="584" t="s">
        <v>387</v>
      </c>
      <c r="E18" s="584" t="s">
        <v>188</v>
      </c>
      <c r="F18" s="569" t="s">
        <v>172</v>
      </c>
      <c r="G18" s="585">
        <v>12</v>
      </c>
      <c r="H18" s="352" t="str">
        <f>IF(G18&lt;=0,"",IF(G18&lt;=2,"Muy Baja",IF(G18&lt;=24,"Baja",IF(G18&lt;=500,"Media",IF(G18&lt;=5000,"Alta","Muy Alta")))))</f>
        <v>Baja</v>
      </c>
      <c r="I18" s="349">
        <f>IF(H18="","",IF(H18="Muy Baja",0.2,IF(H18="Baja",0.4,IF(H18="Media",0.6,IF(H18="Alta",0.8,IF(H18="Muy Alta",1,))))))</f>
        <v>0.4</v>
      </c>
      <c r="J18" s="573" t="s">
        <v>173</v>
      </c>
      <c r="K18" s="34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52" t="str">
        <f>IF(OR(K18='Tabla Impacto'!$C$11,K18='Tabla Impacto'!$D$11),"Leve",IF(OR(K18='Tabla Impacto'!$C$12,K18='Tabla Impacto'!$D$12),"Menor",IF(OR(K18='Tabla Impacto'!$C$13,K18='Tabla Impacto'!$D$13),"Moderado",IF(OR(K18='Tabla Impacto'!$C$14,K18='Tabla Impacto'!$D$14),"Mayor",IF(OR(K18='Tabla Impacto'!$C$15,K18='Tabla Impacto'!$D$15),"Catastrófico","")))))</f>
        <v>Moderado</v>
      </c>
      <c r="M18" s="349">
        <f>IF(L18="","",IF(L18="Leve",0.2,IF(L18="Menor",0.4,IF(L18="Moderado",0.6,IF(L18="Mayor",0.8,IF(L18="Catastrófico",1,))))))</f>
        <v>0.6</v>
      </c>
      <c r="N18" s="35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89">
        <v>1</v>
      </c>
      <c r="P18" s="147" t="s">
        <v>189</v>
      </c>
      <c r="Q18" s="590" t="str">
        <f>IF(OR(R18="Preventivo",R18="Detectivo"),"Probabilidad",IF(R18="Correctivo","Impacto",""))</f>
        <v>Probabilidad</v>
      </c>
      <c r="R18" s="178" t="s">
        <v>175</v>
      </c>
      <c r="S18" s="591" t="s">
        <v>176</v>
      </c>
      <c r="T18" s="176" t="str">
        <f>IF(AND(R18="Preventivo",S18="Automático"),"50%",IF(AND(R18="Preventivo",S18="Manual"),"40%",IF(AND(R18="Detectivo",S18="Automático"),"40%",IF(AND(R18="Detectivo",S18="Manual"),"30%",IF(AND(R18="Correctivo",S18="Automático"),"35%",IF(AND(R18="Correctivo",S18="Manual"),"25%",""))))))</f>
        <v>40%</v>
      </c>
      <c r="U18" s="178" t="s">
        <v>177</v>
      </c>
      <c r="V18" s="178" t="s">
        <v>178</v>
      </c>
      <c r="W18" s="178" t="s">
        <v>179</v>
      </c>
      <c r="X18" s="174">
        <f>IFERROR(IF(Q18="Probabilidad",(I18-(+I18*T18)),IF(Q18="Impacto",I18,"")),"")</f>
        <v>0.24</v>
      </c>
      <c r="Y18" s="175" t="str">
        <f>IFERROR(IF(X18="","",IF(X18&lt;=0.2,"Muy Baja",IF(X18&lt;=0.4,"Baja",IF(X18&lt;=0.6,"Media",IF(X18&lt;=0.8,"Alta","Muy Alta"))))),"")</f>
        <v>Baja</v>
      </c>
      <c r="Z18" s="176">
        <f t="shared" ref="Z18:Z23" si="13">+X18</f>
        <v>0.24</v>
      </c>
      <c r="AA18" s="592" t="str">
        <f>IFERROR(IF(AB18="","",IF(AB18&lt;=0.2,"Leve",IF(AB18&lt;=0.4,"Menor",IF(AB18&lt;=0.6,"Moderado",IF(AB18&lt;=0.8,"Mayor","Catastrófico"))))),"")</f>
        <v>Moderado</v>
      </c>
      <c r="AB18" s="176">
        <f>IFERROR(IF(Q18="Impacto",(M18-(+M18*T18)),IF(Q18="Probabilidad",M18,"")),"")</f>
        <v>0.6</v>
      </c>
      <c r="AC18" s="59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8" t="s">
        <v>180</v>
      </c>
      <c r="AE18" s="147" t="s">
        <v>190</v>
      </c>
      <c r="AF18" s="150" t="s">
        <v>191</v>
      </c>
      <c r="AG18" s="150" t="s">
        <v>192</v>
      </c>
      <c r="AH18" s="167">
        <v>45748</v>
      </c>
      <c r="AI18" s="154">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6.5" customHeight="1" x14ac:dyDescent="0.3">
      <c r="A19" s="372"/>
      <c r="B19" s="574"/>
      <c r="C19" s="586"/>
      <c r="D19" s="586"/>
      <c r="E19" s="586"/>
      <c r="F19" s="574"/>
      <c r="G19" s="587"/>
      <c r="H19" s="353"/>
      <c r="I19" s="350"/>
      <c r="J19" s="578"/>
      <c r="K19" s="350">
        <f>IF(NOT(ISERROR(MATCH(J19,_xlfn.ANCHORARRAY(E30),0))),I34&amp;"Por favor no seleccionar los criterios de impacto",J19)</f>
        <v>0</v>
      </c>
      <c r="L19" s="353"/>
      <c r="M19" s="350"/>
      <c r="N19" s="356"/>
      <c r="O19" s="170">
        <v>2</v>
      </c>
      <c r="P19" s="138"/>
      <c r="Q19" s="171" t="str">
        <f>IF(OR(R19="Preventivo",R19="Detectivo"),"Probabilidad",IF(R19="Correctivo","Impacto",""))</f>
        <v/>
      </c>
      <c r="R19" s="172"/>
      <c r="S19" s="172"/>
      <c r="T19" s="173" t="str">
        <f t="shared" ref="T19:T23" si="14">IF(AND(R19="Preventivo",S19="Automático"),"50%",IF(AND(R19="Preventivo",S19="Manual"),"40%",IF(AND(R19="Detectivo",S19="Automático"),"40%",IF(AND(R19="Detectivo",S19="Manual"),"30%",IF(AND(R19="Correctivo",S19="Automático"),"35%",IF(AND(R19="Correctivo",S19="Manual"),"25%",""))))))</f>
        <v/>
      </c>
      <c r="U19" s="172"/>
      <c r="V19" s="172"/>
      <c r="W19" s="172"/>
      <c r="X19" s="174" t="str">
        <f>IFERROR(IF(AND(Q18="Probabilidad",Q19="Probabilidad"),(Z18-(+Z18*T19)),IF(Q19="Probabilidad",(I18-(+I18*T19)),IF(Q19="Impacto",Z18,""))),"")</f>
        <v/>
      </c>
      <c r="Y19" s="175" t="str">
        <f>IFERROR(IF(X19="","",IF(X19&lt;=0.2,"Muy Baja",IF(X19&lt;=0.4,"Baja",IF(X19&lt;=0.6,"Media",IF(X19&lt;=0.8,"Alta","Muy Alta"))))),"")</f>
        <v/>
      </c>
      <c r="Z19" s="176" t="str">
        <f t="shared" si="13"/>
        <v/>
      </c>
      <c r="AA19" s="175" t="str">
        <f t="shared" si="3"/>
        <v/>
      </c>
      <c r="AB19" s="176" t="str">
        <f>IFERROR(IF(AND(Q18="Impacto",Q19="Impacto"),(AB18-(+AB18*T19)),IF(Q19="Impacto",(M18-(+M18*T19)),IF(Q19="Probabilidad",AB18,""))),"")</f>
        <v/>
      </c>
      <c r="AC19" s="177" t="str">
        <f t="shared" ref="AC19:AC20" si="15">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8"/>
      <c r="AE19" s="135"/>
      <c r="AF19" s="135"/>
      <c r="AG19" s="135"/>
      <c r="AH19" s="136"/>
      <c r="AI19" s="136"/>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72"/>
      <c r="B20" s="574"/>
      <c r="C20" s="586"/>
      <c r="D20" s="586"/>
      <c r="E20" s="586"/>
      <c r="F20" s="574"/>
      <c r="G20" s="587"/>
      <c r="H20" s="353"/>
      <c r="I20" s="350"/>
      <c r="J20" s="578"/>
      <c r="K20" s="350">
        <f>IF(NOT(ISERROR(MATCH(J20,_xlfn.ANCHORARRAY(E33),0))),I35&amp;"Por favor no seleccionar los criterios de impacto",J20)</f>
        <v>0</v>
      </c>
      <c r="L20" s="353"/>
      <c r="M20" s="350"/>
      <c r="N20" s="356"/>
      <c r="O20" s="170">
        <v>3</v>
      </c>
      <c r="P20" s="139"/>
      <c r="Q20" s="171" t="str">
        <f>IF(OR(R20="Preventivo",R20="Detectivo"),"Probabilidad",IF(R20="Correctivo","Impacto",""))</f>
        <v/>
      </c>
      <c r="R20" s="172"/>
      <c r="S20" s="172"/>
      <c r="T20" s="173" t="str">
        <f t="shared" si="14"/>
        <v/>
      </c>
      <c r="U20" s="172"/>
      <c r="V20" s="172"/>
      <c r="W20" s="172"/>
      <c r="X20" s="174" t="str">
        <f>IFERROR(IF(AND(Q19="Probabilidad",Q20="Probabilidad"),(Z19-(+Z19*T20)),IF(AND(Q19="Impacto",Q20="Probabilidad"),(Z18-(+Z18*T20)),IF(Q20="Impacto",Z19,""))),"")</f>
        <v/>
      </c>
      <c r="Y20" s="175" t="str">
        <f t="shared" si="1"/>
        <v/>
      </c>
      <c r="Z20" s="176" t="str">
        <f t="shared" si="13"/>
        <v/>
      </c>
      <c r="AA20" s="175" t="str">
        <f t="shared" si="3"/>
        <v/>
      </c>
      <c r="AB20" s="176" t="str">
        <f>IFERROR(IF(AND(Q19="Impacto",Q20="Impacto"),(AB19-(+AB19*T20)),IF(AND(Q19="Probabilidad",Q20="Impacto"),(AB18-(+AB18*T20)),IF(Q20="Probabilidad",AB19,""))),"")</f>
        <v/>
      </c>
      <c r="AC20" s="177" t="str">
        <f t="shared" si="15"/>
        <v/>
      </c>
      <c r="AD20" s="178"/>
      <c r="AE20" s="135"/>
      <c r="AF20" s="137"/>
      <c r="AG20" s="137"/>
      <c r="AH20" s="136"/>
      <c r="AI20" s="136"/>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72"/>
      <c r="B21" s="574"/>
      <c r="C21" s="586"/>
      <c r="D21" s="586"/>
      <c r="E21" s="586"/>
      <c r="F21" s="574"/>
      <c r="G21" s="587"/>
      <c r="H21" s="353"/>
      <c r="I21" s="350"/>
      <c r="J21" s="578"/>
      <c r="K21" s="350">
        <f>IF(NOT(ISERROR(MATCH(J21,_xlfn.ANCHORARRAY(E34),0))),I36&amp;"Por favor no seleccionar los criterios de impacto",J21)</f>
        <v>0</v>
      </c>
      <c r="L21" s="353"/>
      <c r="M21" s="350"/>
      <c r="N21" s="356"/>
      <c r="O21" s="170">
        <v>4</v>
      </c>
      <c r="P21" s="138"/>
      <c r="Q21" s="179" t="str">
        <f t="shared" ref="Q21:Q23" si="16">IF(OR(R21="Preventivo",R21="Detectivo"),"Probabilidad",IF(R21="Correctivo","Impacto",""))</f>
        <v/>
      </c>
      <c r="R21" s="180"/>
      <c r="S21" s="180"/>
      <c r="T21" s="181" t="str">
        <f t="shared" si="14"/>
        <v/>
      </c>
      <c r="U21" s="180"/>
      <c r="V21" s="180"/>
      <c r="W21" s="180"/>
      <c r="X21" s="182" t="str">
        <f t="shared" ref="X21:X23" si="17">IFERROR(IF(AND(Q20="Probabilidad",Q21="Probabilidad"),(Z20-(+Z20*T21)),IF(AND(Q20="Impacto",Q21="Probabilidad"),(Z19-(+Z19*T21)),IF(Q21="Impacto",Z20,""))),"")</f>
        <v/>
      </c>
      <c r="Y21" s="183" t="str">
        <f t="shared" si="1"/>
        <v/>
      </c>
      <c r="Z21" s="184" t="str">
        <f t="shared" si="13"/>
        <v/>
      </c>
      <c r="AA21" s="183" t="str">
        <f t="shared" si="3"/>
        <v/>
      </c>
      <c r="AB21" s="184" t="str">
        <f t="shared" ref="AB21:AB23" si="18">IFERROR(IF(AND(Q20="Impacto",Q21="Impacto"),(AB20-(+AB20*T21)),IF(AND(Q20="Probabilidad",Q21="Impacto"),(AB19-(+AB19*T21)),IF(Q21="Probabilidad",AB20,""))),"")</f>
        <v/>
      </c>
      <c r="AC21" s="185"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86"/>
      <c r="AE21" s="134"/>
      <c r="AF21" s="169"/>
      <c r="AG21" s="169"/>
      <c r="AH21" s="156"/>
      <c r="AI21" s="156"/>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72"/>
      <c r="B22" s="574"/>
      <c r="C22" s="586"/>
      <c r="D22" s="586"/>
      <c r="E22" s="586"/>
      <c r="F22" s="574"/>
      <c r="G22" s="587"/>
      <c r="H22" s="353"/>
      <c r="I22" s="350"/>
      <c r="J22" s="578"/>
      <c r="K22" s="350">
        <f>IF(NOT(ISERROR(MATCH(J22,_xlfn.ANCHORARRAY(E35),0))),I37&amp;"Por favor no seleccionar los criterios de impacto",J22)</f>
        <v>0</v>
      </c>
      <c r="L22" s="353"/>
      <c r="M22" s="350"/>
      <c r="N22" s="356"/>
      <c r="O22" s="170">
        <v>5</v>
      </c>
      <c r="P22" s="138"/>
      <c r="Q22" s="179" t="str">
        <f t="shared" si="16"/>
        <v/>
      </c>
      <c r="R22" s="180"/>
      <c r="S22" s="180"/>
      <c r="T22" s="181" t="str">
        <f t="shared" si="14"/>
        <v/>
      </c>
      <c r="U22" s="180"/>
      <c r="V22" s="180"/>
      <c r="W22" s="180"/>
      <c r="X22" s="182" t="str">
        <f t="shared" si="17"/>
        <v/>
      </c>
      <c r="Y22" s="183" t="str">
        <f t="shared" si="1"/>
        <v/>
      </c>
      <c r="Z22" s="184" t="str">
        <f t="shared" si="13"/>
        <v/>
      </c>
      <c r="AA22" s="183" t="str">
        <f t="shared" si="3"/>
        <v/>
      </c>
      <c r="AB22" s="184" t="str">
        <f t="shared" si="18"/>
        <v/>
      </c>
      <c r="AC22" s="185" t="str">
        <f t="shared" ref="AC22:AC23" si="19">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86"/>
      <c r="AE22" s="134"/>
      <c r="AF22" s="169"/>
      <c r="AG22" s="169"/>
      <c r="AH22" s="156"/>
      <c r="AI22" s="156"/>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73"/>
      <c r="B23" s="579"/>
      <c r="C23" s="588"/>
      <c r="D23" s="588"/>
      <c r="E23" s="588"/>
      <c r="F23" s="579"/>
      <c r="G23" s="589"/>
      <c r="H23" s="354"/>
      <c r="I23" s="351"/>
      <c r="J23" s="583"/>
      <c r="K23" s="351">
        <f>IF(NOT(ISERROR(MATCH(J23,_xlfn.ANCHORARRAY(E36),0))),I38&amp;"Por favor no seleccionar los criterios de impacto",J23)</f>
        <v>0</v>
      </c>
      <c r="L23" s="354"/>
      <c r="M23" s="351"/>
      <c r="N23" s="357"/>
      <c r="O23" s="170">
        <v>6</v>
      </c>
      <c r="P23" s="138"/>
      <c r="Q23" s="179" t="str">
        <f t="shared" si="16"/>
        <v/>
      </c>
      <c r="R23" s="180"/>
      <c r="S23" s="180"/>
      <c r="T23" s="181" t="str">
        <f t="shared" si="14"/>
        <v/>
      </c>
      <c r="U23" s="180"/>
      <c r="V23" s="180"/>
      <c r="W23" s="180"/>
      <c r="X23" s="182" t="str">
        <f t="shared" si="17"/>
        <v/>
      </c>
      <c r="Y23" s="183" t="str">
        <f t="shared" si="1"/>
        <v/>
      </c>
      <c r="Z23" s="184" t="str">
        <f t="shared" si="13"/>
        <v/>
      </c>
      <c r="AA23" s="183" t="str">
        <f t="shared" si="3"/>
        <v/>
      </c>
      <c r="AB23" s="184" t="str">
        <f t="shared" si="18"/>
        <v/>
      </c>
      <c r="AC23" s="185" t="str">
        <f t="shared" si="19"/>
        <v/>
      </c>
      <c r="AD23" s="186"/>
      <c r="AE23" s="134"/>
      <c r="AF23" s="169"/>
      <c r="AG23" s="169"/>
      <c r="AH23" s="156"/>
      <c r="AI23" s="156"/>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80.25" customHeight="1" x14ac:dyDescent="0.3">
      <c r="A24" s="371">
        <v>3</v>
      </c>
      <c r="B24" s="569" t="s">
        <v>168</v>
      </c>
      <c r="C24" s="569" t="s">
        <v>388</v>
      </c>
      <c r="D24" s="569" t="s">
        <v>193</v>
      </c>
      <c r="E24" s="571" t="s">
        <v>194</v>
      </c>
      <c r="F24" s="569" t="s">
        <v>172</v>
      </c>
      <c r="G24" s="572">
        <v>253</v>
      </c>
      <c r="H24" s="352" t="str">
        <f>IF(G24&lt;=0,"",IF(G24&lt;=2,"Muy Baja",IF(G24&lt;=24,"Baja",IF(G24&lt;=500,"Media",IF(G24&lt;=5000,"Alta","Muy Alta")))))</f>
        <v>Media</v>
      </c>
      <c r="I24" s="349">
        <f>IF(H24="","",IF(H24="Muy Baja",0.2,IF(H24="Baja",0.4,IF(H24="Media",0.6,IF(H24="Alta",0.8,IF(H24="Muy Alta",1,))))))</f>
        <v>0.6</v>
      </c>
      <c r="J24" s="573" t="s">
        <v>173</v>
      </c>
      <c r="K24" s="349"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52" t="str">
        <f>IF(OR(K24='Tabla Impacto'!$C$11,K24='Tabla Impacto'!$D$11),"Leve",IF(OR(K24='Tabla Impacto'!$C$12,K24='Tabla Impacto'!$D$12),"Menor",IF(OR(K24='Tabla Impacto'!$C$13,K24='Tabla Impacto'!$D$13),"Moderado",IF(OR(K24='Tabla Impacto'!$C$14,K24='Tabla Impacto'!$D$14),"Mayor",IF(OR(K24='Tabla Impacto'!$C$15,K24='Tabla Impacto'!$D$15),"Catastrófico","")))))</f>
        <v>Moderado</v>
      </c>
      <c r="M24" s="349">
        <f>IF(L24="","",IF(L24="Leve",0.2,IF(L24="Menor",0.4,IF(L24="Moderado",0.6,IF(L24="Mayor",0.8,IF(L24="Catastrófico",1,))))))</f>
        <v>0.6</v>
      </c>
      <c r="N24" s="355"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388">
        <v>1</v>
      </c>
      <c r="P24" s="385" t="s">
        <v>195</v>
      </c>
      <c r="Q24" s="594" t="str">
        <f>IF(OR(R24="Preventivo",R24="Detectivo"),"Probabilidad",IF(R24="Correctivo","Impacto",""))</f>
        <v>Probabilidad</v>
      </c>
      <c r="R24" s="595" t="s">
        <v>175</v>
      </c>
      <c r="S24" s="595" t="s">
        <v>176</v>
      </c>
      <c r="T24" s="596" t="str">
        <f>IF(AND(R24="Preventivo",S24="Automático"),"50%",IF(AND(R24="Preventivo",S24="Manual"),"40%",IF(AND(R24="Detectivo",S24="Automático"),"40%",IF(AND(R24="Detectivo",S24="Manual"),"30%",IF(AND(R24="Correctivo",S24="Automático"),"35%",IF(AND(R24="Correctivo",S24="Manual"),"25%",""))))))</f>
        <v>40%</v>
      </c>
      <c r="U24" s="595" t="s">
        <v>177</v>
      </c>
      <c r="V24" s="595" t="s">
        <v>178</v>
      </c>
      <c r="W24" s="595" t="s">
        <v>179</v>
      </c>
      <c r="X24" s="597">
        <f>IFERROR(IF(Q24="Probabilidad",(I24-(+I24*T24)),IF(Q24="Impacto",I24,"")),"")</f>
        <v>0.36</v>
      </c>
      <c r="Y24" s="598" t="str">
        <f>IFERROR(IF(X24="","",IF(X24&lt;=0.2,"Muy Baja",IF(X24&lt;=0.4,"Baja",IF(X24&lt;=0.6,"Media",IF(X24&lt;=0.8,"Alta","Muy Alta"))))),"")</f>
        <v>Baja</v>
      </c>
      <c r="Z24" s="596">
        <f>+X24</f>
        <v>0.36</v>
      </c>
      <c r="AA24" s="598" t="str">
        <f>IFERROR(IF(AB24="","",IF(AB24&lt;=0.2,"Leve",IF(AB24&lt;=0.4,"Menor",IF(AB24&lt;=0.6,"Moderado",IF(AB24&lt;=0.8,"Mayor","Catastrófico"))))),"")</f>
        <v>Moderado</v>
      </c>
      <c r="AB24" s="596">
        <f>IFERROR(IF(Q24="Impacto",(M24-(+M24*T24)),IF(Q24="Probabilidad",M24,"")),"")</f>
        <v>0.6</v>
      </c>
      <c r="AC24" s="59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595" t="s">
        <v>180</v>
      </c>
      <c r="AE24" s="147" t="s">
        <v>196</v>
      </c>
      <c r="AF24" s="148" t="s">
        <v>197</v>
      </c>
      <c r="AG24" s="149" t="s">
        <v>198</v>
      </c>
      <c r="AH24" s="136">
        <v>45931</v>
      </c>
      <c r="AI24" s="136">
        <v>46006</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57.75" customHeight="1" x14ac:dyDescent="0.3">
      <c r="A25" s="372"/>
      <c r="B25" s="574"/>
      <c r="C25" s="574"/>
      <c r="D25" s="574"/>
      <c r="E25" s="576"/>
      <c r="F25" s="574"/>
      <c r="G25" s="577"/>
      <c r="H25" s="353"/>
      <c r="I25" s="350"/>
      <c r="J25" s="578"/>
      <c r="K25" s="350"/>
      <c r="L25" s="353"/>
      <c r="M25" s="350"/>
      <c r="N25" s="356"/>
      <c r="O25" s="389"/>
      <c r="P25" s="386"/>
      <c r="Q25" s="600"/>
      <c r="R25" s="601"/>
      <c r="S25" s="601"/>
      <c r="T25" s="602"/>
      <c r="U25" s="601"/>
      <c r="V25" s="601"/>
      <c r="W25" s="601"/>
      <c r="X25" s="603"/>
      <c r="Y25" s="604"/>
      <c r="Z25" s="602"/>
      <c r="AA25" s="604"/>
      <c r="AB25" s="602"/>
      <c r="AC25" s="605"/>
      <c r="AD25" s="601"/>
      <c r="AE25" s="147" t="s">
        <v>199</v>
      </c>
      <c r="AF25" s="148" t="s">
        <v>200</v>
      </c>
      <c r="AG25" s="149" t="s">
        <v>201</v>
      </c>
      <c r="AH25" s="136">
        <v>45658</v>
      </c>
      <c r="AI25" s="136">
        <v>46010</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69.75" customHeight="1" x14ac:dyDescent="0.3">
      <c r="A26" s="372"/>
      <c r="B26" s="574"/>
      <c r="C26" s="574"/>
      <c r="D26" s="574"/>
      <c r="E26" s="576"/>
      <c r="F26" s="574"/>
      <c r="G26" s="577"/>
      <c r="H26" s="353"/>
      <c r="I26" s="350"/>
      <c r="J26" s="578"/>
      <c r="K26" s="350"/>
      <c r="L26" s="353"/>
      <c r="M26" s="350"/>
      <c r="N26" s="356"/>
      <c r="O26" s="390"/>
      <c r="P26" s="387"/>
      <c r="Q26" s="606"/>
      <c r="R26" s="607"/>
      <c r="S26" s="607"/>
      <c r="T26" s="608"/>
      <c r="U26" s="607"/>
      <c r="V26" s="607"/>
      <c r="W26" s="607"/>
      <c r="X26" s="609"/>
      <c r="Y26" s="610"/>
      <c r="Z26" s="608"/>
      <c r="AA26" s="610"/>
      <c r="AB26" s="608"/>
      <c r="AC26" s="611"/>
      <c r="AD26" s="607"/>
      <c r="AE26" s="147" t="s">
        <v>202</v>
      </c>
      <c r="AF26" s="148" t="s">
        <v>200</v>
      </c>
      <c r="AG26" s="149" t="s">
        <v>203</v>
      </c>
      <c r="AH26" s="136">
        <v>45658</v>
      </c>
      <c r="AI26" s="136">
        <v>46010</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72"/>
      <c r="B27" s="574"/>
      <c r="C27" s="574"/>
      <c r="D27" s="574"/>
      <c r="E27" s="576"/>
      <c r="F27" s="574"/>
      <c r="G27" s="577"/>
      <c r="H27" s="353"/>
      <c r="I27" s="350"/>
      <c r="J27" s="578"/>
      <c r="K27" s="350"/>
      <c r="L27" s="353"/>
      <c r="M27" s="350"/>
      <c r="N27" s="356"/>
      <c r="O27" s="170">
        <v>2</v>
      </c>
      <c r="P27" s="138"/>
      <c r="Q27" s="179" t="str">
        <f>IF(OR(R27="Preventivo",R27="Detectivo"),"Probabilidad",IF(R27="Correctivo","Impacto",""))</f>
        <v/>
      </c>
      <c r="R27" s="172"/>
      <c r="S27" s="172"/>
      <c r="T27" s="173" t="str">
        <f t="shared" ref="T27:T32" si="20">IF(AND(R27="Preventivo",S27="Automático"),"50%",IF(AND(R27="Preventivo",S27="Manual"),"40%",IF(AND(R27="Detectivo",S27="Automático"),"40%",IF(AND(R27="Detectivo",S27="Manual"),"30%",IF(AND(R27="Correctivo",S27="Automático"),"35%",IF(AND(R27="Correctivo",S27="Manual"),"25%",""))))))</f>
        <v/>
      </c>
      <c r="U27" s="172"/>
      <c r="V27" s="172"/>
      <c r="W27" s="172"/>
      <c r="X27" s="174" t="str">
        <f>IFERROR(IF(AND(Q24="Probabilidad",Q27="Probabilidad"),(Z24-(+Z24*T27)),IF(Q27="Probabilidad",(I24-(+I24*T27)),IF(Q27="Impacto",Z24,""))),"")</f>
        <v/>
      </c>
      <c r="Y27" s="175" t="str">
        <f t="shared" si="1"/>
        <v/>
      </c>
      <c r="Z27" s="176" t="str">
        <f t="shared" ref="Z27:Z31" si="21">+X27</f>
        <v/>
      </c>
      <c r="AA27" s="175" t="str">
        <f t="shared" si="3"/>
        <v/>
      </c>
      <c r="AB27" s="176" t="str">
        <f>IFERROR(IF(AND(Q24="Impacto",Q27="Impacto"),(AB24-(+AB24*T27)),IF(Q27="Impacto",(M24-(+M24*T27)),IF(Q27="Probabilidad",AB24,""))),"")</f>
        <v/>
      </c>
      <c r="AC27" s="177" t="str">
        <f t="shared" ref="AC27:AC28" si="22">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8"/>
      <c r="AE27" s="135"/>
      <c r="AF27" s="134"/>
      <c r="AG27" s="134"/>
      <c r="AH27" s="156"/>
      <c r="AI27" s="156"/>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372"/>
      <c r="B28" s="574"/>
      <c r="C28" s="574"/>
      <c r="D28" s="574"/>
      <c r="E28" s="576"/>
      <c r="F28" s="574"/>
      <c r="G28" s="577"/>
      <c r="H28" s="353"/>
      <c r="I28" s="350"/>
      <c r="J28" s="578"/>
      <c r="K28" s="350"/>
      <c r="L28" s="353"/>
      <c r="M28" s="350"/>
      <c r="N28" s="356"/>
      <c r="O28" s="170">
        <v>3</v>
      </c>
      <c r="P28" s="139"/>
      <c r="Q28" s="179" t="str">
        <f>IF(OR(R28="Preventivo",R28="Detectivo"),"Probabilidad",IF(R28="Correctivo","Impacto",""))</f>
        <v/>
      </c>
      <c r="R28" s="180"/>
      <c r="S28" s="180"/>
      <c r="T28" s="181" t="str">
        <f t="shared" si="20"/>
        <v/>
      </c>
      <c r="U28" s="180"/>
      <c r="V28" s="180"/>
      <c r="W28" s="180"/>
      <c r="X28" s="182" t="str">
        <f>IFERROR(IF(AND(Q27="Probabilidad",Q28="Probabilidad"),(Z27-(+Z27*T28)),IF(AND(Q27="Impacto",Q28="Probabilidad"),(Z24-(+Z24*T28)),IF(Q28="Impacto",Z27,""))),"")</f>
        <v/>
      </c>
      <c r="Y28" s="183" t="str">
        <f t="shared" si="1"/>
        <v/>
      </c>
      <c r="Z28" s="184" t="str">
        <f t="shared" si="21"/>
        <v/>
      </c>
      <c r="AA28" s="183" t="str">
        <f t="shared" si="3"/>
        <v/>
      </c>
      <c r="AB28" s="184" t="str">
        <f>IFERROR(IF(AND(Q27="Impacto",Q28="Impacto"),(AB27-(+AB27*T28)),IF(AND(Q27="Probabilidad",Q28="Impacto"),(AB24-(+AB24*T28)),IF(Q28="Probabilidad",AB27,""))),"")</f>
        <v/>
      </c>
      <c r="AC28" s="185" t="str">
        <f t="shared" si="22"/>
        <v/>
      </c>
      <c r="AD28" s="186"/>
      <c r="AE28" s="134"/>
      <c r="AF28" s="169"/>
      <c r="AG28" s="169"/>
      <c r="AH28" s="156"/>
      <c r="AI28" s="156"/>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72"/>
      <c r="B29" s="574"/>
      <c r="C29" s="574"/>
      <c r="D29" s="574"/>
      <c r="E29" s="576"/>
      <c r="F29" s="574"/>
      <c r="G29" s="577"/>
      <c r="H29" s="353"/>
      <c r="I29" s="350"/>
      <c r="J29" s="578"/>
      <c r="K29" s="350"/>
      <c r="L29" s="353"/>
      <c r="M29" s="350"/>
      <c r="N29" s="356"/>
      <c r="O29" s="170">
        <v>4</v>
      </c>
      <c r="P29" s="138"/>
      <c r="Q29" s="179" t="str">
        <f t="shared" ref="Q29:Q31" si="23">IF(OR(R29="Preventivo",R29="Detectivo"),"Probabilidad",IF(R29="Correctivo","Impacto",""))</f>
        <v/>
      </c>
      <c r="R29" s="180"/>
      <c r="S29" s="180"/>
      <c r="T29" s="181" t="str">
        <f t="shared" si="20"/>
        <v/>
      </c>
      <c r="U29" s="180"/>
      <c r="V29" s="180"/>
      <c r="W29" s="180"/>
      <c r="X29" s="182" t="str">
        <f t="shared" ref="X29:X31" si="24">IFERROR(IF(AND(Q28="Probabilidad",Q29="Probabilidad"),(Z28-(+Z28*T29)),IF(AND(Q28="Impacto",Q29="Probabilidad"),(Z27-(+Z27*T29)),IF(Q29="Impacto",Z28,""))),"")</f>
        <v/>
      </c>
      <c r="Y29" s="183" t="str">
        <f t="shared" si="1"/>
        <v/>
      </c>
      <c r="Z29" s="184" t="str">
        <f t="shared" si="21"/>
        <v/>
      </c>
      <c r="AA29" s="183" t="str">
        <f t="shared" si="3"/>
        <v/>
      </c>
      <c r="AB29" s="184" t="str">
        <f t="shared" ref="AB29:AB31" si="25">IFERROR(IF(AND(Q28="Impacto",Q29="Impacto"),(AB28-(+AB28*T29)),IF(AND(Q28="Probabilidad",Q29="Impacto"),(AB27-(+AB27*T29)),IF(Q29="Probabilidad",AB28,""))),"")</f>
        <v/>
      </c>
      <c r="AC29" s="185"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86"/>
      <c r="AE29" s="134"/>
      <c r="AF29" s="169"/>
      <c r="AG29" s="169"/>
      <c r="AH29" s="156"/>
      <c r="AI29" s="156"/>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72"/>
      <c r="B30" s="574"/>
      <c r="C30" s="574"/>
      <c r="D30" s="574"/>
      <c r="E30" s="576"/>
      <c r="F30" s="574"/>
      <c r="G30" s="577"/>
      <c r="H30" s="353"/>
      <c r="I30" s="350"/>
      <c r="J30" s="578"/>
      <c r="K30" s="350"/>
      <c r="L30" s="353"/>
      <c r="M30" s="350"/>
      <c r="N30" s="356"/>
      <c r="O30" s="170">
        <v>5</v>
      </c>
      <c r="P30" s="138"/>
      <c r="Q30" s="179" t="str">
        <f t="shared" si="23"/>
        <v/>
      </c>
      <c r="R30" s="180"/>
      <c r="S30" s="180"/>
      <c r="T30" s="181" t="str">
        <f t="shared" si="20"/>
        <v/>
      </c>
      <c r="U30" s="180"/>
      <c r="V30" s="180"/>
      <c r="W30" s="180"/>
      <c r="X30" s="182" t="str">
        <f t="shared" si="24"/>
        <v/>
      </c>
      <c r="Y30" s="183" t="str">
        <f t="shared" si="1"/>
        <v/>
      </c>
      <c r="Z30" s="184" t="str">
        <f t="shared" si="21"/>
        <v/>
      </c>
      <c r="AA30" s="183" t="str">
        <f t="shared" si="3"/>
        <v/>
      </c>
      <c r="AB30" s="184" t="str">
        <f t="shared" si="25"/>
        <v/>
      </c>
      <c r="AC30" s="185" t="str">
        <f t="shared" ref="AC30:AC31" si="26">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6"/>
      <c r="AE30" s="134"/>
      <c r="AF30" s="169"/>
      <c r="AG30" s="169"/>
      <c r="AH30" s="156"/>
      <c r="AI30" s="156"/>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73"/>
      <c r="B31" s="579"/>
      <c r="C31" s="579"/>
      <c r="D31" s="579"/>
      <c r="E31" s="581"/>
      <c r="F31" s="579"/>
      <c r="G31" s="582"/>
      <c r="H31" s="354"/>
      <c r="I31" s="351"/>
      <c r="J31" s="583"/>
      <c r="K31" s="351"/>
      <c r="L31" s="354"/>
      <c r="M31" s="351"/>
      <c r="N31" s="357"/>
      <c r="O31" s="170">
        <v>6</v>
      </c>
      <c r="P31" s="138"/>
      <c r="Q31" s="179" t="str">
        <f t="shared" si="23"/>
        <v/>
      </c>
      <c r="R31" s="180"/>
      <c r="S31" s="180"/>
      <c r="T31" s="181" t="str">
        <f t="shared" si="20"/>
        <v/>
      </c>
      <c r="U31" s="180"/>
      <c r="V31" s="180"/>
      <c r="W31" s="180"/>
      <c r="X31" s="182" t="str">
        <f t="shared" si="24"/>
        <v/>
      </c>
      <c r="Y31" s="183" t="str">
        <f t="shared" si="1"/>
        <v/>
      </c>
      <c r="Z31" s="184" t="str">
        <f t="shared" si="21"/>
        <v/>
      </c>
      <c r="AA31" s="183" t="str">
        <f t="shared" si="3"/>
        <v/>
      </c>
      <c r="AB31" s="184" t="str">
        <f t="shared" si="25"/>
        <v/>
      </c>
      <c r="AC31" s="185" t="str">
        <f t="shared" si="26"/>
        <v/>
      </c>
      <c r="AD31" s="186"/>
      <c r="AE31" s="134"/>
      <c r="AF31" s="169"/>
      <c r="AG31" s="169"/>
      <c r="AH31" s="156"/>
      <c r="AI31" s="156"/>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87.75" customHeight="1" x14ac:dyDescent="0.3">
      <c r="A32" s="371">
        <v>4</v>
      </c>
      <c r="B32" s="569" t="s">
        <v>168</v>
      </c>
      <c r="C32" s="569" t="s">
        <v>204</v>
      </c>
      <c r="D32" s="569" t="s">
        <v>205</v>
      </c>
      <c r="E32" s="571" t="s">
        <v>206</v>
      </c>
      <c r="F32" s="569" t="s">
        <v>172</v>
      </c>
      <c r="G32" s="572">
        <v>4</v>
      </c>
      <c r="H32" s="352" t="str">
        <f>IF(G32&lt;=0,"",IF(G32&lt;=2,"Muy Baja",IF(G32&lt;=24,"Baja",IF(G32&lt;=500,"Media",IF(G32&lt;=5000,"Alta","Muy Alta")))))</f>
        <v>Baja</v>
      </c>
      <c r="I32" s="349">
        <f>IF(H32="","",IF(H32="Muy Baja",0.2,IF(H32="Baja",0.4,IF(H32="Media",0.6,IF(H32="Alta",0.8,IF(H32="Muy Alta",1,))))))</f>
        <v>0.4</v>
      </c>
      <c r="J32" s="573" t="s">
        <v>173</v>
      </c>
      <c r="K32" s="349" t="str">
        <f>IF(NOT(ISERROR(MATCH(J32,'Tabla Impacto'!$B$221:$B$223,0))),'Tabla Impacto'!$F$223&amp;"Por favor no seleccionar los criterios de impacto(Afectación Económica o presupuestal y Pérdida Reputacional)",J32)</f>
        <v xml:space="preserve">     El riesgo afecta la imagen de la entidad con algunos usuarios de relevancia frente al logro de los objetivos</v>
      </c>
      <c r="L32" s="352" t="str">
        <f>IF(OR(K32='Tabla Impacto'!$C$11,K32='Tabla Impacto'!$D$11),"Leve",IF(OR(K32='Tabla Impacto'!$C$12,K32='Tabla Impacto'!$D$12),"Menor",IF(OR(K32='Tabla Impacto'!$C$13,K32='Tabla Impacto'!$D$13),"Moderado",IF(OR(K32='Tabla Impacto'!$C$14,K32='Tabla Impacto'!$D$14),"Mayor",IF(OR(K32='Tabla Impacto'!$C$15,K32='Tabla Impacto'!$D$15),"Catastrófico","")))))</f>
        <v>Moderado</v>
      </c>
      <c r="M32" s="349">
        <f>IF(L32="","",IF(L32="Leve",0.2,IF(L32="Menor",0.4,IF(L32="Moderado",0.6,IF(L32="Mayor",0.8,IF(L32="Catastrófico",1,))))))</f>
        <v>0.6</v>
      </c>
      <c r="N32" s="355"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170">
        <v>1</v>
      </c>
      <c r="P32" s="138" t="s">
        <v>207</v>
      </c>
      <c r="Q32" s="171" t="str">
        <f>IF(OR(R32="Preventivo",R32="Detectivo"),"Probabilidad",IF(R32="Correctivo","Impacto",""))</f>
        <v>Probabilidad</v>
      </c>
      <c r="R32" s="172" t="s">
        <v>175</v>
      </c>
      <c r="S32" s="172" t="s">
        <v>176</v>
      </c>
      <c r="T32" s="173" t="str">
        <f t="shared" si="20"/>
        <v>40%</v>
      </c>
      <c r="U32" s="172" t="s">
        <v>177</v>
      </c>
      <c r="V32" s="172" t="s">
        <v>178</v>
      </c>
      <c r="W32" s="172" t="s">
        <v>179</v>
      </c>
      <c r="X32" s="174">
        <f>IFERROR(IF(Q32="Probabilidad",(I32-(+I32*T32)),IF(Q32="Impacto",I32,"")),"")</f>
        <v>0.24</v>
      </c>
      <c r="Y32" s="175" t="str">
        <f>IFERROR(IF(X32="","",IF(X32&lt;=0.2,"Muy Baja",IF(X32&lt;=0.4,"Baja",IF(X32&lt;=0.6,"Media",IF(X32&lt;=0.8,"Alta","Muy Alta"))))),"")</f>
        <v>Baja</v>
      </c>
      <c r="Z32" s="176">
        <f>+X32</f>
        <v>0.24</v>
      </c>
      <c r="AA32" s="175" t="str">
        <f>IFERROR(IF(AB32="","",IF(AB32&lt;=0.2,"Leve",IF(AB32&lt;=0.4,"Menor",IF(AB32&lt;=0.6,"Moderado",IF(AB32&lt;=0.8,"Mayor","Catastrófico"))))),"")</f>
        <v>Moderado</v>
      </c>
      <c r="AB32" s="176">
        <f>IFERROR(IF(Q32="Impacto",(M32-(+M32*T32)),IF(Q32="Probabilidad",M32,"")),"")</f>
        <v>0.6</v>
      </c>
      <c r="AC32" s="177"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78" t="s">
        <v>180</v>
      </c>
      <c r="AE32" s="138" t="s">
        <v>208</v>
      </c>
      <c r="AF32" s="152" t="s">
        <v>209</v>
      </c>
      <c r="AG32" s="149" t="s">
        <v>210</v>
      </c>
      <c r="AH32" s="153">
        <v>45658</v>
      </c>
      <c r="AI32" s="153">
        <v>46010</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72"/>
      <c r="B33" s="574"/>
      <c r="C33" s="574"/>
      <c r="D33" s="574"/>
      <c r="E33" s="576"/>
      <c r="F33" s="574"/>
      <c r="G33" s="577"/>
      <c r="H33" s="353"/>
      <c r="I33" s="350"/>
      <c r="J33" s="578"/>
      <c r="K33" s="350">
        <f>IF(NOT(ISERROR(MATCH(J33,_xlfn.ANCHORARRAY(E44),0))),I46&amp;"Por favor no seleccionar los criterios de impacto",J33)</f>
        <v>0</v>
      </c>
      <c r="L33" s="353"/>
      <c r="M33" s="350"/>
      <c r="N33" s="356"/>
      <c r="O33" s="170">
        <v>2</v>
      </c>
      <c r="P33" s="138"/>
      <c r="Q33" s="179" t="str">
        <f>IF(OR(R33="Preventivo",R33="Detectivo"),"Probabilidad",IF(R33="Correctivo","Impacto",""))</f>
        <v/>
      </c>
      <c r="R33" s="180"/>
      <c r="S33" s="180"/>
      <c r="T33" s="181" t="str">
        <f t="shared" ref="T33:T38" si="27">IF(AND(R33="Preventivo",S33="Automático"),"50%",IF(AND(R33="Preventivo",S33="Manual"),"40%",IF(AND(R33="Detectivo",S33="Automático"),"40%",IF(AND(R33="Detectivo",S33="Manual"),"30%",IF(AND(R33="Correctivo",S33="Automático"),"35%",IF(AND(R33="Correctivo",S33="Manual"),"25%",""))))))</f>
        <v/>
      </c>
      <c r="U33" s="180"/>
      <c r="V33" s="180"/>
      <c r="W33" s="180"/>
      <c r="X33" s="182" t="str">
        <f>IFERROR(IF(AND(Q32="Probabilidad",Q33="Probabilidad"),(Z32-(+Z32*T33)),IF(Q33="Probabilidad",(I32-(+I32*T33)),IF(Q33="Impacto",Z32,""))),"")</f>
        <v/>
      </c>
      <c r="Y33" s="183" t="str">
        <f t="shared" si="1"/>
        <v/>
      </c>
      <c r="Z33" s="184" t="str">
        <f t="shared" ref="Z33:Z37" si="28">+X33</f>
        <v/>
      </c>
      <c r="AA33" s="183" t="str">
        <f t="shared" si="3"/>
        <v/>
      </c>
      <c r="AB33" s="184" t="str">
        <f>IFERROR(IF(AND(Q32="Impacto",Q33="Impacto"),(AB32-(+AB32*T33)),IF(Q33="Impacto",(M32-(+M32*T33)),IF(Q33="Probabilidad",AB32,""))),"")</f>
        <v/>
      </c>
      <c r="AC33" s="185" t="str">
        <f t="shared" ref="AC33:AC34"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86"/>
      <c r="AE33" s="134"/>
      <c r="AF33" s="169"/>
      <c r="AG33" s="169"/>
      <c r="AH33" s="156"/>
      <c r="AI33" s="156"/>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72"/>
      <c r="B34" s="574"/>
      <c r="C34" s="574"/>
      <c r="D34" s="574"/>
      <c r="E34" s="576"/>
      <c r="F34" s="574"/>
      <c r="G34" s="577"/>
      <c r="H34" s="353"/>
      <c r="I34" s="350"/>
      <c r="J34" s="578"/>
      <c r="K34" s="350">
        <f>IF(NOT(ISERROR(MATCH(J34,_xlfn.ANCHORARRAY(E45),0))),I47&amp;"Por favor no seleccionar los criterios de impacto",J34)</f>
        <v>0</v>
      </c>
      <c r="L34" s="353"/>
      <c r="M34" s="350"/>
      <c r="N34" s="356"/>
      <c r="O34" s="170">
        <v>3</v>
      </c>
      <c r="P34" s="139"/>
      <c r="Q34" s="179" t="str">
        <f>IF(OR(R34="Preventivo",R34="Detectivo"),"Probabilidad",IF(R34="Correctivo","Impacto",""))</f>
        <v/>
      </c>
      <c r="R34" s="180"/>
      <c r="S34" s="180"/>
      <c r="T34" s="181" t="str">
        <f t="shared" si="27"/>
        <v/>
      </c>
      <c r="U34" s="180"/>
      <c r="V34" s="180"/>
      <c r="W34" s="180"/>
      <c r="X34" s="182" t="str">
        <f>IFERROR(IF(AND(Q33="Probabilidad",Q34="Probabilidad"),(Z33-(+Z33*T34)),IF(AND(Q33="Impacto",Q34="Probabilidad"),(Z32-(+Z32*T34)),IF(Q34="Impacto",Z33,""))),"")</f>
        <v/>
      </c>
      <c r="Y34" s="183" t="str">
        <f t="shared" si="1"/>
        <v/>
      </c>
      <c r="Z34" s="184" t="str">
        <f t="shared" si="28"/>
        <v/>
      </c>
      <c r="AA34" s="183" t="str">
        <f t="shared" si="3"/>
        <v/>
      </c>
      <c r="AB34" s="184" t="str">
        <f>IFERROR(IF(AND(Q33="Impacto",Q34="Impacto"),(AB33-(+AB33*T34)),IF(AND(Q33="Probabilidad",Q34="Impacto"),(AB32-(+AB32*T34)),IF(Q34="Probabilidad",AB33,""))),"")</f>
        <v/>
      </c>
      <c r="AC34" s="185" t="str">
        <f t="shared" si="29"/>
        <v/>
      </c>
      <c r="AD34" s="186"/>
      <c r="AE34" s="134"/>
      <c r="AF34" s="169"/>
      <c r="AG34" s="169"/>
      <c r="AH34" s="156"/>
      <c r="AI34" s="156"/>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72"/>
      <c r="B35" s="574"/>
      <c r="C35" s="574"/>
      <c r="D35" s="574"/>
      <c r="E35" s="576"/>
      <c r="F35" s="574"/>
      <c r="G35" s="577"/>
      <c r="H35" s="353"/>
      <c r="I35" s="350"/>
      <c r="J35" s="578"/>
      <c r="K35" s="350">
        <f>IF(NOT(ISERROR(MATCH(J35,_xlfn.ANCHORARRAY(E46),0))),I48&amp;"Por favor no seleccionar los criterios de impacto",J35)</f>
        <v>0</v>
      </c>
      <c r="L35" s="353"/>
      <c r="M35" s="350"/>
      <c r="N35" s="356"/>
      <c r="O35" s="170">
        <v>4</v>
      </c>
      <c r="P35" s="138"/>
      <c r="Q35" s="179" t="str">
        <f t="shared" ref="Q35:Q38" si="30">IF(OR(R35="Preventivo",R35="Detectivo"),"Probabilidad",IF(R35="Correctivo","Impacto",""))</f>
        <v/>
      </c>
      <c r="R35" s="180"/>
      <c r="S35" s="180"/>
      <c r="T35" s="181" t="str">
        <f t="shared" si="27"/>
        <v/>
      </c>
      <c r="U35" s="180"/>
      <c r="V35" s="180"/>
      <c r="W35" s="180"/>
      <c r="X35" s="182" t="str">
        <f t="shared" ref="X35:X37" si="31">IFERROR(IF(AND(Q34="Probabilidad",Q35="Probabilidad"),(Z34-(+Z34*T35)),IF(AND(Q34="Impacto",Q35="Probabilidad"),(Z33-(+Z33*T35)),IF(Q35="Impacto",Z34,""))),"")</f>
        <v/>
      </c>
      <c r="Y35" s="183" t="str">
        <f t="shared" si="1"/>
        <v/>
      </c>
      <c r="Z35" s="184" t="str">
        <f t="shared" si="28"/>
        <v/>
      </c>
      <c r="AA35" s="183" t="str">
        <f t="shared" si="3"/>
        <v/>
      </c>
      <c r="AB35" s="184" t="str">
        <f t="shared" ref="AB35:AB37" si="32">IFERROR(IF(AND(Q34="Impacto",Q35="Impacto"),(AB34-(+AB34*T35)),IF(AND(Q34="Probabilidad",Q35="Impacto"),(AB33-(+AB33*T35)),IF(Q35="Probabilidad",AB34,""))),"")</f>
        <v/>
      </c>
      <c r="AC35" s="185"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86"/>
      <c r="AE35" s="134"/>
      <c r="AF35" s="169"/>
      <c r="AG35" s="169"/>
      <c r="AH35" s="156"/>
      <c r="AI35" s="156"/>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72"/>
      <c r="B36" s="574"/>
      <c r="C36" s="574"/>
      <c r="D36" s="574"/>
      <c r="E36" s="576"/>
      <c r="F36" s="574"/>
      <c r="G36" s="577"/>
      <c r="H36" s="353"/>
      <c r="I36" s="350"/>
      <c r="J36" s="578"/>
      <c r="K36" s="350">
        <f>IF(NOT(ISERROR(MATCH(J36,_xlfn.ANCHORARRAY(E47),0))),I49&amp;"Por favor no seleccionar los criterios de impacto",J36)</f>
        <v>0</v>
      </c>
      <c r="L36" s="353"/>
      <c r="M36" s="350"/>
      <c r="N36" s="356"/>
      <c r="O36" s="170">
        <v>5</v>
      </c>
      <c r="P36" s="138"/>
      <c r="Q36" s="179" t="str">
        <f t="shared" si="30"/>
        <v/>
      </c>
      <c r="R36" s="180"/>
      <c r="S36" s="180"/>
      <c r="T36" s="181" t="str">
        <f t="shared" si="27"/>
        <v/>
      </c>
      <c r="U36" s="180"/>
      <c r="V36" s="180"/>
      <c r="W36" s="180"/>
      <c r="X36" s="182" t="str">
        <f t="shared" si="31"/>
        <v/>
      </c>
      <c r="Y36" s="183" t="str">
        <f>IFERROR(IF(X36="","",IF(X36&lt;=0.2,"Muy Baja",IF(X36&lt;=0.4,"Baja",IF(X36&lt;=0.6,"Media",IF(X36&lt;=0.8,"Alta","Muy Alta"))))),"")</f>
        <v/>
      </c>
      <c r="Z36" s="184" t="str">
        <f t="shared" si="28"/>
        <v/>
      </c>
      <c r="AA36" s="183" t="str">
        <f t="shared" si="3"/>
        <v/>
      </c>
      <c r="AB36" s="184" t="str">
        <f t="shared" si="32"/>
        <v/>
      </c>
      <c r="AC36" s="185" t="str">
        <f t="shared" ref="AC36:AC37" si="33">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6"/>
      <c r="AE36" s="134"/>
      <c r="AF36" s="169"/>
      <c r="AG36" s="169"/>
      <c r="AH36" s="156"/>
      <c r="AI36" s="156"/>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73"/>
      <c r="B37" s="579"/>
      <c r="C37" s="579"/>
      <c r="D37" s="579"/>
      <c r="E37" s="581"/>
      <c r="F37" s="579"/>
      <c r="G37" s="582"/>
      <c r="H37" s="354"/>
      <c r="I37" s="351"/>
      <c r="J37" s="583"/>
      <c r="K37" s="351">
        <f>IF(NOT(ISERROR(MATCH(J37,_xlfn.ANCHORARRAY(E48),0))),I50&amp;"Por favor no seleccionar los criterios de impacto",J37)</f>
        <v>0</v>
      </c>
      <c r="L37" s="354"/>
      <c r="M37" s="351"/>
      <c r="N37" s="357"/>
      <c r="O37" s="170">
        <v>6</v>
      </c>
      <c r="P37" s="138"/>
      <c r="Q37" s="179" t="str">
        <f t="shared" si="30"/>
        <v/>
      </c>
      <c r="R37" s="180"/>
      <c r="S37" s="180"/>
      <c r="T37" s="181" t="str">
        <f t="shared" si="27"/>
        <v/>
      </c>
      <c r="U37" s="180"/>
      <c r="V37" s="180"/>
      <c r="W37" s="180"/>
      <c r="X37" s="182" t="str">
        <f t="shared" si="31"/>
        <v/>
      </c>
      <c r="Y37" s="183" t="str">
        <f t="shared" si="1"/>
        <v/>
      </c>
      <c r="Z37" s="184" t="str">
        <f t="shared" si="28"/>
        <v/>
      </c>
      <c r="AA37" s="183" t="str">
        <f t="shared" si="3"/>
        <v/>
      </c>
      <c r="AB37" s="184" t="str">
        <f t="shared" si="32"/>
        <v/>
      </c>
      <c r="AC37" s="185" t="str">
        <f t="shared" si="33"/>
        <v/>
      </c>
      <c r="AD37" s="186"/>
      <c r="AE37" s="134"/>
      <c r="AF37" s="169"/>
      <c r="AG37" s="169"/>
      <c r="AH37" s="156"/>
      <c r="AI37" s="156"/>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26" customHeight="1" x14ac:dyDescent="0.3">
      <c r="A38" s="371">
        <v>5</v>
      </c>
      <c r="B38" s="569" t="s">
        <v>168</v>
      </c>
      <c r="C38" s="573" t="s">
        <v>211</v>
      </c>
      <c r="D38" s="573" t="s">
        <v>212</v>
      </c>
      <c r="E38" s="571" t="s">
        <v>213</v>
      </c>
      <c r="F38" s="569" t="s">
        <v>172</v>
      </c>
      <c r="G38" s="572">
        <v>253</v>
      </c>
      <c r="H38" s="352" t="str">
        <f>IF(G38&lt;=0,"",IF(G38&lt;=2,"Muy Baja",IF(G38&lt;=24,"Baja",IF(G38&lt;=500,"Media",IF(G38&lt;=5000,"Alta","Muy Alta")))))</f>
        <v>Media</v>
      </c>
      <c r="I38" s="349">
        <f>IF(H38="","",IF(H38="Muy Baja",0.2,IF(H38="Baja",0.4,IF(H38="Media",0.6,IF(H38="Alta",0.8,IF(H38="Muy Alta",1,))))))</f>
        <v>0.6</v>
      </c>
      <c r="J38" s="573" t="s">
        <v>173</v>
      </c>
      <c r="K38" s="349" t="str">
        <f>IF(NOT(ISERROR(MATCH(J38,'Tabla Impacto'!$B$221:$B$223,0))),'Tabla Impacto'!$F$223&amp;"Por favor no seleccionar los criterios de impacto(Afectación Económica o presupuestal y Pérdida Reputacional)",J38)</f>
        <v xml:space="preserve">     El riesgo afecta la imagen de la entidad con algunos usuarios de relevancia frente al logro de los objetivos</v>
      </c>
      <c r="L38" s="352" t="str">
        <f>IF(OR(K38='Tabla Impacto'!$C$11,K38='Tabla Impacto'!$D$11),"Leve",IF(OR(K38='Tabla Impacto'!$C$12,K38='Tabla Impacto'!$D$12),"Menor",IF(OR(K38='Tabla Impacto'!$C$13,K38='Tabla Impacto'!$D$13),"Moderado",IF(OR(K38='Tabla Impacto'!$C$14,K38='Tabla Impacto'!$D$14),"Mayor",IF(OR(K38='Tabla Impacto'!$C$15,K38='Tabla Impacto'!$D$15),"Catastrófico","")))))</f>
        <v>Moderado</v>
      </c>
      <c r="M38" s="349">
        <f>IF(L38="","",IF(L38="Leve",0.2,IF(L38="Menor",0.4,IF(L38="Moderado",0.6,IF(L38="Mayor",0.8,IF(L38="Catastrófico",1,))))))</f>
        <v>0.6</v>
      </c>
      <c r="N38" s="355"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170">
        <v>1</v>
      </c>
      <c r="P38" s="138" t="s">
        <v>214</v>
      </c>
      <c r="Q38" s="171" t="str">
        <f t="shared" si="30"/>
        <v>Probabilidad</v>
      </c>
      <c r="R38" s="172" t="s">
        <v>175</v>
      </c>
      <c r="S38" s="172" t="s">
        <v>176</v>
      </c>
      <c r="T38" s="173" t="str">
        <f t="shared" si="27"/>
        <v>40%</v>
      </c>
      <c r="U38" s="172" t="s">
        <v>177</v>
      </c>
      <c r="V38" s="172" t="s">
        <v>178</v>
      </c>
      <c r="W38" s="172" t="s">
        <v>179</v>
      </c>
      <c r="X38" s="174">
        <f>IFERROR(IF(Q38="Probabilidad",(I38-(+I38*T38)),IF(Q38="Impacto",I38,"")),"")</f>
        <v>0.36</v>
      </c>
      <c r="Y38" s="175" t="str">
        <f>IFERROR(IF(X38="","",IF(X38&lt;=0.2,"Muy Baja",IF(X38&lt;=0.4,"Baja",IF(X38&lt;=0.6,"Media",IF(X38&lt;=0.8,"Alta","Muy Alta"))))),"")</f>
        <v>Baja</v>
      </c>
      <c r="Z38" s="176">
        <f>+X38</f>
        <v>0.36</v>
      </c>
      <c r="AA38" s="175" t="str">
        <f>IFERROR(IF(AB38="","",IF(AB38&lt;=0.2,"Leve",IF(AB38&lt;=0.4,"Menor",IF(AB38&lt;=0.6,"Moderado",IF(AB38&lt;=0.8,"Mayor","Catastrófico"))))),"")</f>
        <v>Moderado</v>
      </c>
      <c r="AB38" s="176">
        <f>IFERROR(IF(Q38="Impacto",(M38-(+M38*T38)),IF(Q38="Probabilidad",M38,"")),"")</f>
        <v>0.6</v>
      </c>
      <c r="AC38" s="177"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178" t="s">
        <v>180</v>
      </c>
      <c r="AE38" s="138" t="s">
        <v>215</v>
      </c>
      <c r="AF38" s="150" t="s">
        <v>216</v>
      </c>
      <c r="AG38" s="150" t="s">
        <v>217</v>
      </c>
      <c r="AH38" s="154">
        <v>45748</v>
      </c>
      <c r="AI38" s="154">
        <v>46010</v>
      </c>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07.25" customHeight="1" x14ac:dyDescent="0.3">
      <c r="A39" s="372"/>
      <c r="B39" s="574"/>
      <c r="C39" s="578"/>
      <c r="D39" s="578"/>
      <c r="E39" s="576"/>
      <c r="F39" s="574"/>
      <c r="G39" s="577"/>
      <c r="H39" s="353"/>
      <c r="I39" s="350"/>
      <c r="J39" s="578"/>
      <c r="K39" s="350">
        <f>IF(NOT(ISERROR(MATCH(J39,_xlfn.ANCHORARRAY(E50),0))),I52&amp;"Por favor no seleccionar los criterios de impacto",J39)</f>
        <v>0</v>
      </c>
      <c r="L39" s="353"/>
      <c r="M39" s="350"/>
      <c r="N39" s="356"/>
      <c r="O39" s="170">
        <v>2</v>
      </c>
      <c r="P39" s="138" t="s">
        <v>218</v>
      </c>
      <c r="Q39" s="171" t="str">
        <f>IF(OR(R39="Preventivo",R39="Detectivo"),"Probabilidad",IF(R39="Correctivo","Impacto",""))</f>
        <v>Probabilidad</v>
      </c>
      <c r="R39" s="172" t="s">
        <v>175</v>
      </c>
      <c r="S39" s="172" t="s">
        <v>176</v>
      </c>
      <c r="T39" s="173" t="str">
        <f t="shared" ref="T39:T44" si="34">IF(AND(R39="Preventivo",S39="Automático"),"50%",IF(AND(R39="Preventivo",S39="Manual"),"40%",IF(AND(R39="Detectivo",S39="Automático"),"40%",IF(AND(R39="Detectivo",S39="Manual"),"30%",IF(AND(R39="Correctivo",S39="Automático"),"35%",IF(AND(R39="Correctivo",S39="Manual"),"25%",""))))))</f>
        <v>40%</v>
      </c>
      <c r="U39" s="172" t="s">
        <v>177</v>
      </c>
      <c r="V39" s="172" t="s">
        <v>178</v>
      </c>
      <c r="W39" s="172" t="s">
        <v>179</v>
      </c>
      <c r="X39" s="174">
        <f>IFERROR(IF(AND(Q38="Probabilidad",Q39="Probabilidad"),(Z38-(+Z38*T39)),IF(Q39="Probabilidad",(I38-(+I38*T39)),IF(Q39="Impacto",Z38,""))),"")</f>
        <v>0.216</v>
      </c>
      <c r="Y39" s="175" t="str">
        <f t="shared" si="1"/>
        <v>Baja</v>
      </c>
      <c r="Z39" s="176">
        <f t="shared" ref="Z39:Z43" si="35">+X39</f>
        <v>0.216</v>
      </c>
      <c r="AA39" s="175" t="str">
        <f t="shared" si="3"/>
        <v>Moderado</v>
      </c>
      <c r="AB39" s="176">
        <f>IFERROR(IF(AND(Q38="Impacto",Q39="Impacto"),(AB38-(+AB38*T39)),IF(Q39="Impacto",(M38-(+M38*T39)),IF(Q39="Probabilidad",AB38,""))),"")</f>
        <v>0.6</v>
      </c>
      <c r="AC39" s="177" t="str">
        <f t="shared" ref="AC39:AC40" si="36">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78" t="s">
        <v>180</v>
      </c>
      <c r="AE39" s="138" t="s">
        <v>219</v>
      </c>
      <c r="AF39" s="150" t="s">
        <v>220</v>
      </c>
      <c r="AG39" s="150" t="s">
        <v>221</v>
      </c>
      <c r="AH39" s="153">
        <v>45689</v>
      </c>
      <c r="AI39" s="153">
        <v>46021</v>
      </c>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96" customHeight="1" x14ac:dyDescent="0.3">
      <c r="A40" s="372"/>
      <c r="B40" s="574"/>
      <c r="C40" s="578"/>
      <c r="D40" s="578"/>
      <c r="E40" s="576"/>
      <c r="F40" s="574"/>
      <c r="G40" s="577"/>
      <c r="H40" s="353"/>
      <c r="I40" s="350"/>
      <c r="J40" s="578"/>
      <c r="K40" s="350">
        <f>IF(NOT(ISERROR(MATCH(J40,_xlfn.ANCHORARRAY(E51),0))),I53&amp;"Por favor no seleccionar los criterios de impacto",J40)</f>
        <v>0</v>
      </c>
      <c r="L40" s="353"/>
      <c r="M40" s="350"/>
      <c r="N40" s="356"/>
      <c r="O40" s="170">
        <v>3</v>
      </c>
      <c r="P40" s="138" t="s">
        <v>222</v>
      </c>
      <c r="Q40" s="171" t="str">
        <f>IF(OR(R40="Preventivo",R40="Detectivo"),"Probabilidad",IF(R40="Correctivo","Impacto",""))</f>
        <v>Probabilidad</v>
      </c>
      <c r="R40" s="172" t="s">
        <v>175</v>
      </c>
      <c r="S40" s="172" t="s">
        <v>176</v>
      </c>
      <c r="T40" s="173" t="str">
        <f t="shared" si="34"/>
        <v>40%</v>
      </c>
      <c r="U40" s="172" t="s">
        <v>177</v>
      </c>
      <c r="V40" s="172" t="s">
        <v>178</v>
      </c>
      <c r="W40" s="172" t="s">
        <v>179</v>
      </c>
      <c r="X40" s="174">
        <f>IFERROR(IF(AND(Q39="Probabilidad",Q40="Probabilidad"),(Z39-(+Z39*T40)),IF(AND(Q39="Impacto",Q40="Probabilidad"),(Z38-(+Z38*T40)),IF(Q40="Impacto",Z39,""))),"")</f>
        <v>0.12959999999999999</v>
      </c>
      <c r="Y40" s="175" t="str">
        <f t="shared" si="1"/>
        <v>Muy Baja</v>
      </c>
      <c r="Z40" s="176">
        <f t="shared" si="35"/>
        <v>0.12959999999999999</v>
      </c>
      <c r="AA40" s="175" t="str">
        <f t="shared" si="3"/>
        <v>Moderado</v>
      </c>
      <c r="AB40" s="176">
        <f>IFERROR(IF(AND(Q39="Impacto",Q40="Impacto"),(AB39-(+AB39*T40)),IF(AND(Q39="Probabilidad",Q40="Impacto"),(AB38-(+AB38*T40)),IF(Q40="Probabilidad",AB39,""))),"")</f>
        <v>0.6</v>
      </c>
      <c r="AC40" s="177" t="str">
        <f t="shared" si="36"/>
        <v>Moderado</v>
      </c>
      <c r="AD40" s="178" t="s">
        <v>180</v>
      </c>
      <c r="AE40" s="138" t="s">
        <v>223</v>
      </c>
      <c r="AF40" s="150" t="s">
        <v>224</v>
      </c>
      <c r="AG40" s="150" t="s">
        <v>225</v>
      </c>
      <c r="AH40" s="154">
        <v>45748</v>
      </c>
      <c r="AI40" s="153">
        <v>46021</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72"/>
      <c r="B41" s="574"/>
      <c r="C41" s="578"/>
      <c r="D41" s="578"/>
      <c r="E41" s="576"/>
      <c r="F41" s="574"/>
      <c r="G41" s="577"/>
      <c r="H41" s="353"/>
      <c r="I41" s="350"/>
      <c r="J41" s="578"/>
      <c r="K41" s="350">
        <f>IF(NOT(ISERROR(MATCH(J41,_xlfn.ANCHORARRAY(E52),0))),I54&amp;"Por favor no seleccionar los criterios de impacto",J41)</f>
        <v>0</v>
      </c>
      <c r="L41" s="353"/>
      <c r="M41" s="350"/>
      <c r="N41" s="356"/>
      <c r="O41" s="170">
        <v>4</v>
      </c>
      <c r="P41" s="138"/>
      <c r="Q41" s="171" t="str">
        <f t="shared" ref="Q41:Q44" si="37">IF(OR(R41="Preventivo",R41="Detectivo"),"Probabilidad",IF(R41="Correctivo","Impacto",""))</f>
        <v/>
      </c>
      <c r="R41" s="180"/>
      <c r="S41" s="180"/>
      <c r="T41" s="173" t="str">
        <f t="shared" si="34"/>
        <v/>
      </c>
      <c r="U41" s="180"/>
      <c r="V41" s="180"/>
      <c r="W41" s="180"/>
      <c r="X41" s="182" t="str">
        <f t="shared" ref="X41:X43" si="38">IFERROR(IF(AND(Q40="Probabilidad",Q41="Probabilidad"),(Z40-(+Z40*T41)),IF(AND(Q40="Impacto",Q41="Probabilidad"),(Z39-(+Z39*T41)),IF(Q41="Impacto",Z40,""))),"")</f>
        <v/>
      </c>
      <c r="Y41" s="183" t="str">
        <f t="shared" si="1"/>
        <v/>
      </c>
      <c r="Z41" s="184" t="str">
        <f t="shared" si="35"/>
        <v/>
      </c>
      <c r="AA41" s="183" t="str">
        <f t="shared" si="3"/>
        <v/>
      </c>
      <c r="AB41" s="184" t="str">
        <f t="shared" ref="AB41:AB43" si="39">IFERROR(IF(AND(Q40="Impacto",Q41="Impacto"),(AB40-(+AB40*T41)),IF(AND(Q40="Probabilidad",Q41="Impacto"),(AB39-(+AB39*T41)),IF(Q41="Probabilidad",AB40,""))),"")</f>
        <v/>
      </c>
      <c r="AC41" s="185"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86"/>
      <c r="AE41" s="134"/>
      <c r="AF41" s="169"/>
      <c r="AG41" s="169"/>
      <c r="AH41" s="156"/>
      <c r="AI41" s="156"/>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72"/>
      <c r="B42" s="574"/>
      <c r="C42" s="578"/>
      <c r="D42" s="578"/>
      <c r="E42" s="576"/>
      <c r="F42" s="574"/>
      <c r="G42" s="577"/>
      <c r="H42" s="353"/>
      <c r="I42" s="350"/>
      <c r="J42" s="578"/>
      <c r="K42" s="350">
        <f>IF(NOT(ISERROR(MATCH(J42,_xlfn.ANCHORARRAY(E53),0))),I55&amp;"Por favor no seleccionar los criterios de impacto",J42)</f>
        <v>0</v>
      </c>
      <c r="L42" s="353"/>
      <c r="M42" s="350"/>
      <c r="N42" s="356"/>
      <c r="O42" s="170">
        <v>5</v>
      </c>
      <c r="P42" s="138"/>
      <c r="Q42" s="171" t="str">
        <f t="shared" si="37"/>
        <v/>
      </c>
      <c r="R42" s="180"/>
      <c r="S42" s="180"/>
      <c r="T42" s="173" t="str">
        <f t="shared" si="34"/>
        <v/>
      </c>
      <c r="U42" s="180"/>
      <c r="V42" s="180"/>
      <c r="W42" s="180"/>
      <c r="X42" s="182" t="str">
        <f t="shared" si="38"/>
        <v/>
      </c>
      <c r="Y42" s="183" t="str">
        <f t="shared" si="1"/>
        <v/>
      </c>
      <c r="Z42" s="184" t="str">
        <f t="shared" si="35"/>
        <v/>
      </c>
      <c r="AA42" s="183" t="str">
        <f t="shared" si="3"/>
        <v/>
      </c>
      <c r="AB42" s="184" t="str">
        <f t="shared" si="39"/>
        <v/>
      </c>
      <c r="AC42" s="185" t="str">
        <f t="shared" ref="AC42:AC43" si="40">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86"/>
      <c r="AE42" s="134"/>
      <c r="AF42" s="169"/>
      <c r="AG42" s="169"/>
      <c r="AH42" s="156"/>
      <c r="AI42" s="156"/>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73"/>
      <c r="B43" s="579"/>
      <c r="C43" s="583"/>
      <c r="D43" s="583"/>
      <c r="E43" s="581"/>
      <c r="F43" s="579"/>
      <c r="G43" s="582"/>
      <c r="H43" s="354"/>
      <c r="I43" s="351"/>
      <c r="J43" s="583"/>
      <c r="K43" s="351">
        <f>IF(NOT(ISERROR(MATCH(J43,_xlfn.ANCHORARRAY(E54),0))),I56&amp;"Por favor no seleccionar los criterios de impacto",J43)</f>
        <v>0</v>
      </c>
      <c r="L43" s="354"/>
      <c r="M43" s="351"/>
      <c r="N43" s="357"/>
      <c r="O43" s="170">
        <v>6</v>
      </c>
      <c r="P43" s="138"/>
      <c r="Q43" s="171" t="str">
        <f t="shared" si="37"/>
        <v/>
      </c>
      <c r="R43" s="180"/>
      <c r="S43" s="180"/>
      <c r="T43" s="173" t="str">
        <f t="shared" si="34"/>
        <v/>
      </c>
      <c r="U43" s="180"/>
      <c r="V43" s="180"/>
      <c r="W43" s="180"/>
      <c r="X43" s="182" t="str">
        <f t="shared" si="38"/>
        <v/>
      </c>
      <c r="Y43" s="183" t="str">
        <f t="shared" si="1"/>
        <v/>
      </c>
      <c r="Z43" s="184" t="str">
        <f t="shared" si="35"/>
        <v/>
      </c>
      <c r="AA43" s="183" t="str">
        <f t="shared" si="3"/>
        <v/>
      </c>
      <c r="AB43" s="184" t="str">
        <f t="shared" si="39"/>
        <v/>
      </c>
      <c r="AC43" s="185" t="str">
        <f t="shared" si="40"/>
        <v/>
      </c>
      <c r="AD43" s="186"/>
      <c r="AE43" s="134"/>
      <c r="AF43" s="169"/>
      <c r="AG43" s="169"/>
      <c r="AH43" s="156"/>
      <c r="AI43" s="156"/>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05" customHeight="1" x14ac:dyDescent="0.3">
      <c r="A44" s="371">
        <v>6</v>
      </c>
      <c r="B44" s="569" t="s">
        <v>168</v>
      </c>
      <c r="C44" s="569" t="s">
        <v>226</v>
      </c>
      <c r="D44" s="569" t="s">
        <v>227</v>
      </c>
      <c r="E44" s="571" t="s">
        <v>228</v>
      </c>
      <c r="F44" s="569" t="s">
        <v>172</v>
      </c>
      <c r="G44" s="585">
        <v>253</v>
      </c>
      <c r="H44" s="352" t="str">
        <f>IF(G44&lt;=0,"",IF(G44&lt;=2,"Muy Baja",IF(G44&lt;=24,"Baja",IF(G44&lt;=500,"Media",IF(G44&lt;=5000,"Alta","Muy Alta")))))</f>
        <v>Media</v>
      </c>
      <c r="I44" s="349">
        <f>IF(H44="","",IF(H44="Muy Baja",0.2,IF(H44="Baja",0.4,IF(H44="Media",0.6,IF(H44="Alta",0.8,IF(H44="Muy Alta",1,))))))</f>
        <v>0.6</v>
      </c>
      <c r="J44" s="573" t="s">
        <v>173</v>
      </c>
      <c r="K44" s="349" t="str">
        <f>IF(NOT(ISERROR(MATCH(J44,'Tabla Impacto'!$B$221:$B$223,0))),'Tabla Impacto'!$F$223&amp;"Por favor no seleccionar los criterios de impacto(Afectación Económica o presupuestal y Pérdida Reputacional)",J44)</f>
        <v xml:space="preserve">     El riesgo afecta la imagen de la entidad con algunos usuarios de relevancia frente al logro de los objetivos</v>
      </c>
      <c r="L44" s="352" t="str">
        <f>IF(OR(K44='Tabla Impacto'!$C$11,K44='Tabla Impacto'!$D$11),"Leve",IF(OR(K44='Tabla Impacto'!$C$12,K44='Tabla Impacto'!$D$12),"Menor",IF(OR(K44='Tabla Impacto'!$C$13,K44='Tabla Impacto'!$D$13),"Moderado",IF(OR(K44='Tabla Impacto'!$C$14,K44='Tabla Impacto'!$D$14),"Mayor",IF(OR(K44='Tabla Impacto'!$C$15,K44='Tabla Impacto'!$D$15),"Catastrófico","")))))</f>
        <v>Moderado</v>
      </c>
      <c r="M44" s="349">
        <f>IF(L44="","",IF(L44="Leve",0.2,IF(L44="Menor",0.4,IF(L44="Moderado",0.6,IF(L44="Mayor",0.8,IF(L44="Catastrófico",1,))))))</f>
        <v>0.6</v>
      </c>
      <c r="N44" s="35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Moderado</v>
      </c>
      <c r="O44" s="170">
        <v>1</v>
      </c>
      <c r="P44" s="138" t="s">
        <v>229</v>
      </c>
      <c r="Q44" s="171" t="str">
        <f t="shared" si="37"/>
        <v>Probabilidad</v>
      </c>
      <c r="R44" s="172" t="s">
        <v>175</v>
      </c>
      <c r="S44" s="172" t="s">
        <v>176</v>
      </c>
      <c r="T44" s="173" t="str">
        <f t="shared" si="34"/>
        <v>40%</v>
      </c>
      <c r="U44" s="172" t="s">
        <v>177</v>
      </c>
      <c r="V44" s="172" t="s">
        <v>178</v>
      </c>
      <c r="W44" s="172" t="s">
        <v>179</v>
      </c>
      <c r="X44" s="174">
        <f>IFERROR(IF(Q44="Probabilidad",(I44-(+I44*T44)),IF(Q44="Impacto",I44,"")),"")</f>
        <v>0.36</v>
      </c>
      <c r="Y44" s="175" t="str">
        <f>IFERROR(IF(X44="","",IF(X44&lt;=0.2,"Muy Baja",IF(X44&lt;=0.4,"Baja",IF(X44&lt;=0.6,"Media",IF(X44&lt;=0.8,"Alta","Muy Alta"))))),"")</f>
        <v>Baja</v>
      </c>
      <c r="Z44" s="176">
        <f>+X44</f>
        <v>0.36</v>
      </c>
      <c r="AA44" s="175" t="str">
        <f>IFERROR(IF(AB44="","",IF(AB44&lt;=0.2,"Leve",IF(AB44&lt;=0.4,"Menor",IF(AB44&lt;=0.6,"Moderado",IF(AB44&lt;=0.8,"Mayor","Catastrófico"))))),"")</f>
        <v>Moderado</v>
      </c>
      <c r="AB44" s="176">
        <f>IFERROR(IF(Q44="Impacto",(M44-(+M44*T44)),IF(Q44="Probabilidad",M44,"")),"")</f>
        <v>0.6</v>
      </c>
      <c r="AC44" s="177"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178" t="s">
        <v>180</v>
      </c>
      <c r="AE44" s="138" t="s">
        <v>230</v>
      </c>
      <c r="AF44" s="150" t="s">
        <v>231</v>
      </c>
      <c r="AG44" s="150" t="s">
        <v>232</v>
      </c>
      <c r="AH44" s="154">
        <v>45658</v>
      </c>
      <c r="AI44" s="154">
        <v>46021</v>
      </c>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75" customHeight="1" x14ac:dyDescent="0.3">
      <c r="A45" s="372"/>
      <c r="B45" s="574"/>
      <c r="C45" s="574"/>
      <c r="D45" s="574"/>
      <c r="E45" s="576"/>
      <c r="F45" s="574"/>
      <c r="G45" s="587"/>
      <c r="H45" s="353"/>
      <c r="I45" s="350"/>
      <c r="J45" s="578"/>
      <c r="K45" s="350">
        <f>IF(NOT(ISERROR(MATCH(J45,_xlfn.ANCHORARRAY(E56),0))),I58&amp;"Por favor no seleccionar los criterios de impacto",J45)</f>
        <v>0</v>
      </c>
      <c r="L45" s="353"/>
      <c r="M45" s="350"/>
      <c r="N45" s="356"/>
      <c r="O45" s="170">
        <v>2</v>
      </c>
      <c r="P45" s="138" t="s">
        <v>233</v>
      </c>
      <c r="Q45" s="171" t="str">
        <f>IF(OR(R45="Preventivo",R45="Detectivo"),"Probabilidad",IF(R45="Correctivo","Impacto",""))</f>
        <v>Probabilidad</v>
      </c>
      <c r="R45" s="172" t="s">
        <v>175</v>
      </c>
      <c r="S45" s="172" t="s">
        <v>176</v>
      </c>
      <c r="T45" s="173" t="str">
        <f t="shared" ref="T45:T49" si="41">IF(AND(R45="Preventivo",S45="Automático"),"50%",IF(AND(R45="Preventivo",S45="Manual"),"40%",IF(AND(R45="Detectivo",S45="Automático"),"40%",IF(AND(R45="Detectivo",S45="Manual"),"30%",IF(AND(R45="Correctivo",S45="Automático"),"35%",IF(AND(R45="Correctivo",S45="Manual"),"25%",""))))))</f>
        <v>40%</v>
      </c>
      <c r="U45" s="172" t="s">
        <v>177</v>
      </c>
      <c r="V45" s="172" t="s">
        <v>178</v>
      </c>
      <c r="W45" s="172" t="s">
        <v>179</v>
      </c>
      <c r="X45" s="174">
        <f>IFERROR(IF(AND(Q44="Probabilidad",Q45="Probabilidad"),(Z44-(+Z44*T45)),IF(Q45="Probabilidad",(I44-(+I44*T45)),IF(Q45="Impacto",Z44,""))),"")</f>
        <v>0.216</v>
      </c>
      <c r="Y45" s="175" t="str">
        <f t="shared" si="1"/>
        <v>Baja</v>
      </c>
      <c r="Z45" s="176">
        <f t="shared" ref="Z45:Z49" si="42">+X45</f>
        <v>0.216</v>
      </c>
      <c r="AA45" s="175" t="str">
        <f t="shared" si="3"/>
        <v>Moderado</v>
      </c>
      <c r="AB45" s="176">
        <f>IFERROR(IF(AND(Q44="Impacto",Q45="Impacto"),(AB44-(+AB44*T45)),IF(Q45="Impacto",(M44-(+M44*T45)),IF(Q45="Probabilidad",AB44,""))),"")</f>
        <v>0.6</v>
      </c>
      <c r="AC45" s="177" t="str">
        <f t="shared" ref="AC45:AC46" si="4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78" t="s">
        <v>180</v>
      </c>
      <c r="AE45" s="138" t="s">
        <v>234</v>
      </c>
      <c r="AF45" s="150" t="s">
        <v>231</v>
      </c>
      <c r="AG45" s="168" t="s">
        <v>235</v>
      </c>
      <c r="AH45" s="154">
        <v>45689</v>
      </c>
      <c r="AI45" s="154">
        <v>46010</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72"/>
      <c r="B46" s="574"/>
      <c r="C46" s="574"/>
      <c r="D46" s="574"/>
      <c r="E46" s="576"/>
      <c r="F46" s="574"/>
      <c r="G46" s="587"/>
      <c r="H46" s="353"/>
      <c r="I46" s="350"/>
      <c r="J46" s="578"/>
      <c r="K46" s="350">
        <f>IF(NOT(ISERROR(MATCH(J46,_xlfn.ANCHORARRAY(E57),0))),I59&amp;"Por favor no seleccionar los criterios de impacto",J46)</f>
        <v>0</v>
      </c>
      <c r="L46" s="353"/>
      <c r="M46" s="350"/>
      <c r="N46" s="356"/>
      <c r="O46" s="170">
        <v>3</v>
      </c>
      <c r="P46" s="139"/>
      <c r="Q46" s="179" t="str">
        <f>IF(OR(R46="Preventivo",R46="Detectivo"),"Probabilidad",IF(R46="Correctivo","Impacto",""))</f>
        <v/>
      </c>
      <c r="R46" s="180"/>
      <c r="S46" s="180"/>
      <c r="T46" s="181" t="str">
        <f t="shared" si="41"/>
        <v/>
      </c>
      <c r="U46" s="180"/>
      <c r="V46" s="180"/>
      <c r="W46" s="180"/>
      <c r="X46" s="182" t="str">
        <f>IFERROR(IF(AND(Q45="Probabilidad",Q46="Probabilidad"),(Z45-(+Z45*T46)),IF(AND(Q45="Impacto",Q46="Probabilidad"),(Z44-(+Z44*T46)),IF(Q46="Impacto",Z45,""))),"")</f>
        <v/>
      </c>
      <c r="Y46" s="183" t="str">
        <f t="shared" si="1"/>
        <v/>
      </c>
      <c r="Z46" s="184" t="str">
        <f t="shared" si="42"/>
        <v/>
      </c>
      <c r="AA46" s="183" t="str">
        <f t="shared" si="3"/>
        <v/>
      </c>
      <c r="AB46" s="184" t="str">
        <f>IFERROR(IF(AND(Q45="Impacto",Q46="Impacto"),(AB45-(+AB45*T46)),IF(AND(Q45="Probabilidad",Q46="Impacto"),(AB44-(+AB44*T46)),IF(Q46="Probabilidad",AB45,""))),"")</f>
        <v/>
      </c>
      <c r="AC46" s="185" t="str">
        <f t="shared" si="43"/>
        <v/>
      </c>
      <c r="AD46" s="186"/>
      <c r="AE46" s="134"/>
      <c r="AF46" s="169"/>
      <c r="AG46" s="169"/>
      <c r="AH46" s="156"/>
      <c r="AI46" s="156"/>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72"/>
      <c r="B47" s="574"/>
      <c r="C47" s="574"/>
      <c r="D47" s="574"/>
      <c r="E47" s="576"/>
      <c r="F47" s="574"/>
      <c r="G47" s="587"/>
      <c r="H47" s="353"/>
      <c r="I47" s="350"/>
      <c r="J47" s="578"/>
      <c r="K47" s="350">
        <f>IF(NOT(ISERROR(MATCH(J47,_xlfn.ANCHORARRAY(E58),0))),I60&amp;"Por favor no seleccionar los criterios de impacto",J47)</f>
        <v>0</v>
      </c>
      <c r="L47" s="353"/>
      <c r="M47" s="350"/>
      <c r="N47" s="356"/>
      <c r="O47" s="170">
        <v>4</v>
      </c>
      <c r="P47" s="138"/>
      <c r="Q47" s="179" t="str">
        <f t="shared" ref="Q47:Q49" si="44">IF(OR(R47="Preventivo",R47="Detectivo"),"Probabilidad",IF(R47="Correctivo","Impacto",""))</f>
        <v/>
      </c>
      <c r="R47" s="180"/>
      <c r="S47" s="180"/>
      <c r="T47" s="181" t="str">
        <f t="shared" si="41"/>
        <v/>
      </c>
      <c r="U47" s="180"/>
      <c r="V47" s="180"/>
      <c r="W47" s="180"/>
      <c r="X47" s="182" t="str">
        <f t="shared" ref="X47:X49" si="45">IFERROR(IF(AND(Q46="Probabilidad",Q47="Probabilidad"),(Z46-(+Z46*T47)),IF(AND(Q46="Impacto",Q47="Probabilidad"),(Z45-(+Z45*T47)),IF(Q47="Impacto",Z46,""))),"")</f>
        <v/>
      </c>
      <c r="Y47" s="183" t="str">
        <f t="shared" si="1"/>
        <v/>
      </c>
      <c r="Z47" s="184" t="str">
        <f t="shared" si="42"/>
        <v/>
      </c>
      <c r="AA47" s="183" t="str">
        <f t="shared" si="3"/>
        <v/>
      </c>
      <c r="AB47" s="184" t="str">
        <f t="shared" ref="AB47:AB49" si="46">IFERROR(IF(AND(Q46="Impacto",Q47="Impacto"),(AB46-(+AB46*T47)),IF(AND(Q46="Probabilidad",Q47="Impacto"),(AB45-(+AB45*T47)),IF(Q47="Probabilidad",AB46,""))),"")</f>
        <v/>
      </c>
      <c r="AC47" s="185"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86"/>
      <c r="AE47" s="134"/>
      <c r="AF47" s="169"/>
      <c r="AG47" s="169"/>
      <c r="AH47" s="156"/>
      <c r="AI47" s="156"/>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72"/>
      <c r="B48" s="574"/>
      <c r="C48" s="574"/>
      <c r="D48" s="574"/>
      <c r="E48" s="576"/>
      <c r="F48" s="574"/>
      <c r="G48" s="587"/>
      <c r="H48" s="353"/>
      <c r="I48" s="350"/>
      <c r="J48" s="578"/>
      <c r="K48" s="350">
        <f>IF(NOT(ISERROR(MATCH(J48,_xlfn.ANCHORARRAY(E59),0))),I61&amp;"Por favor no seleccionar los criterios de impacto",J48)</f>
        <v>0</v>
      </c>
      <c r="L48" s="353"/>
      <c r="M48" s="350"/>
      <c r="N48" s="356"/>
      <c r="O48" s="170">
        <v>5</v>
      </c>
      <c r="P48" s="138"/>
      <c r="Q48" s="179" t="str">
        <f t="shared" si="44"/>
        <v/>
      </c>
      <c r="R48" s="180"/>
      <c r="S48" s="180"/>
      <c r="T48" s="181" t="str">
        <f t="shared" si="41"/>
        <v/>
      </c>
      <c r="U48" s="180"/>
      <c r="V48" s="180"/>
      <c r="W48" s="180"/>
      <c r="X48" s="182" t="str">
        <f t="shared" si="45"/>
        <v/>
      </c>
      <c r="Y48" s="183" t="str">
        <f t="shared" si="1"/>
        <v/>
      </c>
      <c r="Z48" s="184" t="str">
        <f t="shared" si="42"/>
        <v/>
      </c>
      <c r="AA48" s="183" t="str">
        <f t="shared" si="3"/>
        <v/>
      </c>
      <c r="AB48" s="184" t="str">
        <f t="shared" si="46"/>
        <v/>
      </c>
      <c r="AC48" s="185" t="str">
        <f t="shared" ref="AC48" si="47">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6"/>
      <c r="AE48" s="134"/>
      <c r="AF48" s="169"/>
      <c r="AG48" s="169"/>
      <c r="AH48" s="156"/>
      <c r="AI48" s="156"/>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73"/>
      <c r="B49" s="579"/>
      <c r="C49" s="579"/>
      <c r="D49" s="579"/>
      <c r="E49" s="576"/>
      <c r="F49" s="579"/>
      <c r="G49" s="589"/>
      <c r="H49" s="354"/>
      <c r="I49" s="351"/>
      <c r="J49" s="583"/>
      <c r="K49" s="351">
        <f>IF(NOT(ISERROR(MATCH(J49,_xlfn.ANCHORARRAY(E60),0))),I62&amp;"Por favor no seleccionar los criterios de impacto",J49)</f>
        <v>0</v>
      </c>
      <c r="L49" s="354"/>
      <c r="M49" s="351"/>
      <c r="N49" s="357"/>
      <c r="O49" s="170">
        <v>6</v>
      </c>
      <c r="P49" s="138"/>
      <c r="Q49" s="179" t="str">
        <f t="shared" si="44"/>
        <v/>
      </c>
      <c r="R49" s="180"/>
      <c r="S49" s="180"/>
      <c r="T49" s="181" t="str">
        <f t="shared" si="41"/>
        <v/>
      </c>
      <c r="U49" s="180"/>
      <c r="V49" s="180"/>
      <c r="W49" s="180"/>
      <c r="X49" s="182" t="str">
        <f t="shared" si="45"/>
        <v/>
      </c>
      <c r="Y49" s="183" t="str">
        <f t="shared" si="1"/>
        <v/>
      </c>
      <c r="Z49" s="184" t="str">
        <f t="shared" si="42"/>
        <v/>
      </c>
      <c r="AA49" s="183" t="str">
        <f>IFERROR(IF(AB49="","",IF(AB49&lt;=0.2,"Leve",IF(AB49&lt;=0.4,"Menor",IF(AB49&lt;=0.6,"Moderado",IF(AB49&lt;=0.8,"Mayor","Catastrófico"))))),"")</f>
        <v/>
      </c>
      <c r="AB49" s="184" t="str">
        <f t="shared" si="46"/>
        <v/>
      </c>
      <c r="AC49" s="185"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6"/>
      <c r="AE49" s="134"/>
      <c r="AF49" s="169"/>
      <c r="AG49" s="169"/>
      <c r="AH49" s="156"/>
      <c r="AI49" s="156"/>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03.5" customHeight="1" x14ac:dyDescent="0.3">
      <c r="A50" s="371">
        <v>7</v>
      </c>
      <c r="B50" s="569" t="s">
        <v>168</v>
      </c>
      <c r="C50" s="569" t="s">
        <v>226</v>
      </c>
      <c r="D50" s="569" t="s">
        <v>236</v>
      </c>
      <c r="E50" s="571" t="s">
        <v>237</v>
      </c>
      <c r="F50" s="569" t="s">
        <v>172</v>
      </c>
      <c r="G50" s="572">
        <v>253</v>
      </c>
      <c r="H50" s="352" t="str">
        <f>IF(G50&lt;=0,"",IF(G50&lt;=2,"Muy Baja",IF(G50&lt;=24,"Baja",IF(G50&lt;=500,"Media",IF(G50&lt;=5000,"Alta","Muy Alta")))))</f>
        <v>Media</v>
      </c>
      <c r="I50" s="349">
        <f>IF(H50="","",IF(H50="Muy Baja",0.2,IF(H50="Baja",0.4,IF(H50="Media",0.6,IF(H50="Alta",0.8,IF(H50="Muy Alta",1,))))))</f>
        <v>0.6</v>
      </c>
      <c r="J50" s="573" t="s">
        <v>173</v>
      </c>
      <c r="K50" s="377" t="str">
        <f>IF(NOT(ISERROR(MATCH(J50,'Tabla Impacto'!$B$221:$B$223,0))),'Tabla Impacto'!$F$223&amp;"Por favor no seleccionar los criterios de impacto(Afectación Económica o presupuestal y Pérdida Reputacional)",J50)</f>
        <v xml:space="preserve">     El riesgo afecta la imagen de la entidad con algunos usuarios de relevancia frente al logro de los objetivos</v>
      </c>
      <c r="L50" s="409" t="str">
        <f>IF(OR(K50='Tabla Impacto'!$C$11,K50='Tabla Impacto'!$D$11),"Leve",IF(OR(K50='Tabla Impacto'!$C$12,K50='Tabla Impacto'!$D$12),"Menor",IF(OR(K50='Tabla Impacto'!$C$13,K50='Tabla Impacto'!$D$13),"Moderado",IF(OR(K50='Tabla Impacto'!$C$14,K50='Tabla Impacto'!$D$14),"Mayor",IF(OR(K50='Tabla Impacto'!$C$15,K50='Tabla Impacto'!$D$15),"Catastrófico","")))))</f>
        <v>Moderado</v>
      </c>
      <c r="M50" s="377">
        <f>IF(L50="","",IF(L50="Leve",0.2,IF(L50="Menor",0.4,IF(L50="Moderado",0.6,IF(L50="Mayor",0.8,IF(L50="Catastrófico",1,))))))</f>
        <v>0.6</v>
      </c>
      <c r="N50" s="380"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Moderado</v>
      </c>
      <c r="O50" s="170">
        <v>1</v>
      </c>
      <c r="P50" s="138" t="s">
        <v>238</v>
      </c>
      <c r="Q50" s="171" t="str">
        <f>IF(OR(R50="Preventivo",R50="Detectivo"),"Probabilidad",IF(R50="Correctivo","Impacto",""))</f>
        <v>Probabilidad</v>
      </c>
      <c r="R50" s="172" t="s">
        <v>175</v>
      </c>
      <c r="S50" s="172" t="s">
        <v>176</v>
      </c>
      <c r="T50" s="173" t="str">
        <f>IF(AND(R50="Preventivo",S50="Automático"),"50%",IF(AND(R50="Preventivo",S50="Manual"),"40%",IF(AND(R50="Detectivo",S50="Automático"),"40%",IF(AND(R50="Detectivo",S50="Manual"),"30%",IF(AND(R50="Correctivo",S50="Automático"),"35%",IF(AND(R50="Correctivo",S50="Manual"),"25%",""))))))</f>
        <v>40%</v>
      </c>
      <c r="U50" s="172" t="s">
        <v>177</v>
      </c>
      <c r="V50" s="172" t="s">
        <v>178</v>
      </c>
      <c r="W50" s="172" t="s">
        <v>179</v>
      </c>
      <c r="X50" s="174">
        <f>IFERROR(IF(Q50="Probabilidad",(I50-(+I50*T50)),IF(Q50="Impacto",I50,"")),"")</f>
        <v>0.36</v>
      </c>
      <c r="Y50" s="175" t="str">
        <f>IFERROR(IF(X50="","",IF(X50&lt;=0.2,"Muy Baja",IF(X50&lt;=0.4,"Baja",IF(X50&lt;=0.6,"Media",IF(X50&lt;=0.8,"Alta","Muy Alta"))))),"")</f>
        <v>Baja</v>
      </c>
      <c r="Z50" s="176">
        <f>+X50</f>
        <v>0.36</v>
      </c>
      <c r="AA50" s="175" t="str">
        <f>IFERROR(IF(AB50="","",IF(AB50&lt;=0.2,"Leve",IF(AB50&lt;=0.4,"Menor",IF(AB50&lt;=0.6,"Moderado",IF(AB50&lt;=0.8,"Mayor","Catastrófico"))))),"")</f>
        <v>Moderado</v>
      </c>
      <c r="AB50" s="176">
        <f>IFERROR(IF(Q50="Impacto",(M50-(+M50*T50)),IF(Q50="Probabilidad",M50,"")),"")</f>
        <v>0.6</v>
      </c>
      <c r="AC50" s="177"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Moderado</v>
      </c>
      <c r="AD50" s="178" t="s">
        <v>180</v>
      </c>
      <c r="AE50" s="138" t="s">
        <v>239</v>
      </c>
      <c r="AF50" s="150" t="s">
        <v>231</v>
      </c>
      <c r="AG50" s="150" t="s">
        <v>240</v>
      </c>
      <c r="AH50" s="154">
        <v>45658</v>
      </c>
      <c r="AI50" s="154">
        <v>46021</v>
      </c>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75" customHeight="1" x14ac:dyDescent="0.3">
      <c r="A51" s="372"/>
      <c r="B51" s="574"/>
      <c r="C51" s="574"/>
      <c r="D51" s="574"/>
      <c r="E51" s="576"/>
      <c r="F51" s="574"/>
      <c r="G51" s="577"/>
      <c r="H51" s="353"/>
      <c r="I51" s="350"/>
      <c r="J51" s="578"/>
      <c r="K51" s="378">
        <f>IF(NOT(ISERROR(MATCH(J51,_xlfn.ANCHORARRAY(E62),0))),I64&amp;"Por favor no seleccionar los criterios de impacto",J51)</f>
        <v>0</v>
      </c>
      <c r="L51" s="410"/>
      <c r="M51" s="378"/>
      <c r="N51" s="381"/>
      <c r="O51" s="170">
        <v>2</v>
      </c>
      <c r="P51" s="612"/>
      <c r="Q51" s="171" t="str">
        <f>IF(OR(R51="Preventivo",R51="Detectivo"),"Probabilidad",IF(R51="Correctivo","Impacto",""))</f>
        <v/>
      </c>
      <c r="R51" s="172"/>
      <c r="S51" s="172"/>
      <c r="T51" s="173" t="str">
        <f t="shared" ref="T51:T55" si="48">IF(AND(R51="Preventivo",S51="Automático"),"50%",IF(AND(R51="Preventivo",S51="Manual"),"40%",IF(AND(R51="Detectivo",S51="Automático"),"40%",IF(AND(R51="Detectivo",S51="Manual"),"30%",IF(AND(R51="Correctivo",S51="Automático"),"35%",IF(AND(R51="Correctivo",S51="Manual"),"25%",""))))))</f>
        <v/>
      </c>
      <c r="U51" s="172"/>
      <c r="V51" s="172"/>
      <c r="W51" s="172"/>
      <c r="X51" s="174" t="str">
        <f>IFERROR(IF(AND(Q50="Probabilidad",Q51="Probabilidad"),(Z50-(+Z50*T51)),IF(Q51="Probabilidad",(I50-(+I50*T51)),IF(Q51="Impacto",Z50,""))),"")</f>
        <v/>
      </c>
      <c r="Y51" s="175" t="str">
        <f t="shared" si="1"/>
        <v/>
      </c>
      <c r="Z51" s="176" t="str">
        <f t="shared" ref="Z51:Z55" si="49">+X51</f>
        <v/>
      </c>
      <c r="AA51" s="175" t="str">
        <f t="shared" si="3"/>
        <v/>
      </c>
      <c r="AB51" s="176" t="str">
        <f>IFERROR(IF(AND(Q50="Impacto",Q51="Impacto"),(AB50-(+AB50*T51)),IF(Q51="Impacto",(M50-(+M50*T51)),IF(Q51="Probabilidad",AB50,""))),"")</f>
        <v/>
      </c>
      <c r="AC51" s="177" t="str">
        <f t="shared" ref="AC51:AC52" si="50">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8"/>
      <c r="AE51" s="612"/>
      <c r="AF51" s="613"/>
      <c r="AG51" s="169"/>
      <c r="AH51" s="156"/>
      <c r="AI51" s="156"/>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372"/>
      <c r="B52" s="574"/>
      <c r="C52" s="574"/>
      <c r="D52" s="574"/>
      <c r="E52" s="576"/>
      <c r="F52" s="574"/>
      <c r="G52" s="577"/>
      <c r="H52" s="353"/>
      <c r="I52" s="350"/>
      <c r="J52" s="578"/>
      <c r="K52" s="378">
        <f>IF(NOT(ISERROR(MATCH(J52,_xlfn.ANCHORARRAY(E63),0))),I65&amp;"Por favor no seleccionar los criterios de impacto",J52)</f>
        <v>0</v>
      </c>
      <c r="L52" s="410"/>
      <c r="M52" s="378"/>
      <c r="N52" s="381"/>
      <c r="O52" s="170">
        <v>3</v>
      </c>
      <c r="P52" s="139"/>
      <c r="Q52" s="179" t="str">
        <f>IF(OR(R52="Preventivo",R52="Detectivo"),"Probabilidad",IF(R52="Correctivo","Impacto",""))</f>
        <v/>
      </c>
      <c r="R52" s="180"/>
      <c r="S52" s="180"/>
      <c r="T52" s="181" t="str">
        <f t="shared" si="48"/>
        <v/>
      </c>
      <c r="U52" s="180"/>
      <c r="V52" s="180"/>
      <c r="W52" s="180"/>
      <c r="X52" s="182" t="str">
        <f>IFERROR(IF(AND(Q51="Probabilidad",Q52="Probabilidad"),(Z51-(+Z51*T52)),IF(AND(Q51="Impacto",Q52="Probabilidad"),(Z50-(+Z50*T52)),IF(Q52="Impacto",Z51,""))),"")</f>
        <v/>
      </c>
      <c r="Y52" s="183" t="str">
        <f t="shared" si="1"/>
        <v/>
      </c>
      <c r="Z52" s="184" t="str">
        <f t="shared" si="49"/>
        <v/>
      </c>
      <c r="AA52" s="183" t="str">
        <f t="shared" si="3"/>
        <v/>
      </c>
      <c r="AB52" s="184" t="str">
        <f>IFERROR(IF(AND(Q51="Impacto",Q52="Impacto"),(AB51-(+AB51*T52)),IF(AND(Q51="Probabilidad",Q52="Impacto"),(AB50-(+AB50*T52)),IF(Q52="Probabilidad",AB51,""))),"")</f>
        <v/>
      </c>
      <c r="AC52" s="185" t="str">
        <f t="shared" si="50"/>
        <v/>
      </c>
      <c r="AD52" s="186"/>
      <c r="AE52" s="134"/>
      <c r="AF52" s="169"/>
      <c r="AG52" s="169"/>
      <c r="AH52" s="156"/>
      <c r="AI52" s="156"/>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372"/>
      <c r="B53" s="574"/>
      <c r="C53" s="574"/>
      <c r="D53" s="574"/>
      <c r="E53" s="576"/>
      <c r="F53" s="574"/>
      <c r="G53" s="577"/>
      <c r="H53" s="353"/>
      <c r="I53" s="350"/>
      <c r="J53" s="578"/>
      <c r="K53" s="378">
        <f>IF(NOT(ISERROR(MATCH(J53,_xlfn.ANCHORARRAY(E64),0))),I66&amp;"Por favor no seleccionar los criterios de impacto",J53)</f>
        <v>0</v>
      </c>
      <c r="L53" s="410"/>
      <c r="M53" s="378"/>
      <c r="N53" s="381"/>
      <c r="O53" s="170">
        <v>4</v>
      </c>
      <c r="P53" s="138"/>
      <c r="Q53" s="179" t="str">
        <f t="shared" ref="Q53:Q55" si="51">IF(OR(R53="Preventivo",R53="Detectivo"),"Probabilidad",IF(R53="Correctivo","Impacto",""))</f>
        <v/>
      </c>
      <c r="R53" s="180"/>
      <c r="S53" s="180"/>
      <c r="T53" s="181" t="str">
        <f t="shared" si="48"/>
        <v/>
      </c>
      <c r="U53" s="180"/>
      <c r="V53" s="180"/>
      <c r="W53" s="180"/>
      <c r="X53" s="182" t="str">
        <f t="shared" ref="X53:X55" si="52">IFERROR(IF(AND(Q52="Probabilidad",Q53="Probabilidad"),(Z52-(+Z52*T53)),IF(AND(Q52="Impacto",Q53="Probabilidad"),(Z51-(+Z51*T53)),IF(Q53="Impacto",Z52,""))),"")</f>
        <v/>
      </c>
      <c r="Y53" s="183" t="str">
        <f t="shared" si="1"/>
        <v/>
      </c>
      <c r="Z53" s="184" t="str">
        <f t="shared" si="49"/>
        <v/>
      </c>
      <c r="AA53" s="183" t="str">
        <f t="shared" si="3"/>
        <v/>
      </c>
      <c r="AB53" s="184" t="str">
        <f t="shared" ref="AB53:AB55" si="53">IFERROR(IF(AND(Q52="Impacto",Q53="Impacto"),(AB52-(+AB52*T53)),IF(AND(Q52="Probabilidad",Q53="Impacto"),(AB51-(+AB51*T53)),IF(Q53="Probabilidad",AB52,""))),"")</f>
        <v/>
      </c>
      <c r="AC53" s="185"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86"/>
      <c r="AE53" s="134"/>
      <c r="AF53" s="169"/>
      <c r="AG53" s="169"/>
      <c r="AH53" s="156"/>
      <c r="AI53" s="156"/>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72"/>
      <c r="B54" s="574"/>
      <c r="C54" s="574"/>
      <c r="D54" s="574"/>
      <c r="E54" s="576"/>
      <c r="F54" s="574"/>
      <c r="G54" s="577"/>
      <c r="H54" s="353"/>
      <c r="I54" s="350"/>
      <c r="J54" s="578"/>
      <c r="K54" s="378">
        <f>IF(NOT(ISERROR(MATCH(J54,_xlfn.ANCHORARRAY(E65),0))),I67&amp;"Por favor no seleccionar los criterios de impacto",J54)</f>
        <v>0</v>
      </c>
      <c r="L54" s="410"/>
      <c r="M54" s="378"/>
      <c r="N54" s="381"/>
      <c r="O54" s="170">
        <v>5</v>
      </c>
      <c r="P54" s="138"/>
      <c r="Q54" s="179" t="str">
        <f t="shared" si="51"/>
        <v/>
      </c>
      <c r="R54" s="180"/>
      <c r="S54" s="180"/>
      <c r="T54" s="181" t="str">
        <f t="shared" si="48"/>
        <v/>
      </c>
      <c r="U54" s="180"/>
      <c r="V54" s="180"/>
      <c r="W54" s="180"/>
      <c r="X54" s="182" t="str">
        <f t="shared" si="52"/>
        <v/>
      </c>
      <c r="Y54" s="183" t="str">
        <f t="shared" si="1"/>
        <v/>
      </c>
      <c r="Z54" s="184" t="str">
        <f t="shared" si="49"/>
        <v/>
      </c>
      <c r="AA54" s="183" t="str">
        <f t="shared" si="3"/>
        <v/>
      </c>
      <c r="AB54" s="184" t="str">
        <f t="shared" si="53"/>
        <v/>
      </c>
      <c r="AC54" s="185" t="str">
        <f t="shared" ref="AC54:AC55" si="54">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6"/>
      <c r="AE54" s="134"/>
      <c r="AF54" s="169"/>
      <c r="AG54" s="169"/>
      <c r="AH54" s="156"/>
      <c r="AI54" s="156"/>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73"/>
      <c r="B55" s="579"/>
      <c r="C55" s="579"/>
      <c r="D55" s="579"/>
      <c r="E55" s="581"/>
      <c r="F55" s="579"/>
      <c r="G55" s="582"/>
      <c r="H55" s="354"/>
      <c r="I55" s="351"/>
      <c r="J55" s="583"/>
      <c r="K55" s="379">
        <f>IF(NOT(ISERROR(MATCH(J55,_xlfn.ANCHORARRAY(E66),0))),I68&amp;"Por favor no seleccionar los criterios de impacto",J55)</f>
        <v>0</v>
      </c>
      <c r="L55" s="411"/>
      <c r="M55" s="379"/>
      <c r="N55" s="382"/>
      <c r="O55" s="170">
        <v>6</v>
      </c>
      <c r="P55" s="138"/>
      <c r="Q55" s="179" t="str">
        <f t="shared" si="51"/>
        <v/>
      </c>
      <c r="R55" s="180"/>
      <c r="S55" s="180"/>
      <c r="T55" s="181" t="str">
        <f t="shared" si="48"/>
        <v/>
      </c>
      <c r="U55" s="180"/>
      <c r="V55" s="180"/>
      <c r="W55" s="180"/>
      <c r="X55" s="182" t="str">
        <f t="shared" si="52"/>
        <v/>
      </c>
      <c r="Y55" s="183" t="str">
        <f t="shared" si="1"/>
        <v/>
      </c>
      <c r="Z55" s="184" t="str">
        <f t="shared" si="49"/>
        <v/>
      </c>
      <c r="AA55" s="183" t="str">
        <f t="shared" si="3"/>
        <v/>
      </c>
      <c r="AB55" s="184" t="str">
        <f t="shared" si="53"/>
        <v/>
      </c>
      <c r="AC55" s="185" t="str">
        <f t="shared" si="54"/>
        <v/>
      </c>
      <c r="AD55" s="186"/>
      <c r="AE55" s="134"/>
      <c r="AF55" s="169"/>
      <c r="AG55" s="169"/>
      <c r="AH55" s="156"/>
      <c r="AI55" s="156"/>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96" customHeight="1" x14ac:dyDescent="0.3">
      <c r="A56" s="371">
        <v>8</v>
      </c>
      <c r="B56" s="569" t="s">
        <v>241</v>
      </c>
      <c r="C56" s="569" t="s">
        <v>242</v>
      </c>
      <c r="D56" s="569" t="s">
        <v>243</v>
      </c>
      <c r="E56" s="571" t="s">
        <v>244</v>
      </c>
      <c r="F56" s="569" t="s">
        <v>172</v>
      </c>
      <c r="G56" s="585">
        <v>5</v>
      </c>
      <c r="H56" s="352" t="str">
        <f>IF(G56&lt;=0,"",IF(G56&lt;=2,"Muy Baja",IF(G56&lt;=24,"Baja",IF(G56&lt;=500,"Media",IF(G56&lt;=5000,"Alta","Muy Alta")))))</f>
        <v>Baja</v>
      </c>
      <c r="I56" s="349">
        <f>IF(H56="","",IF(H56="Muy Baja",0.2,IF(H56="Baja",0.4,IF(H56="Media",0.6,IF(H56="Alta",0.8,IF(H56="Muy Alta",1,))))))</f>
        <v>0.4</v>
      </c>
      <c r="J56" s="573" t="s">
        <v>173</v>
      </c>
      <c r="K56" s="349" t="str">
        <f>IF(NOT(ISERROR(MATCH(J56,'Tabla Impacto'!$B$221:$B$223,0))),'Tabla Impacto'!$F$223&amp;"Por favor no seleccionar los criterios de impacto(Afectación Económica o presupuestal y Pérdida Reputacional)",J56)</f>
        <v xml:space="preserve">     El riesgo afecta la imagen de la entidad con algunos usuarios de relevancia frente al logro de los objetivos</v>
      </c>
      <c r="L56" s="352" t="str">
        <f>IF(OR(K56='Tabla Impacto'!$C$11,K56='Tabla Impacto'!$D$11),"Leve",IF(OR(K56='Tabla Impacto'!$C$12,K56='Tabla Impacto'!$D$12),"Menor",IF(OR(K56='Tabla Impacto'!$C$13,K56='Tabla Impacto'!$D$13),"Moderado",IF(OR(K56='Tabla Impacto'!$C$14,K56='Tabla Impacto'!$D$14),"Mayor",IF(OR(K56='Tabla Impacto'!$C$15,K56='Tabla Impacto'!$D$15),"Catastrófico","")))))</f>
        <v>Moderado</v>
      </c>
      <c r="M56" s="349">
        <f>IF(L56="","",IF(L56="Leve",0.2,IF(L56="Menor",0.4,IF(L56="Moderado",0.6,IF(L56="Mayor",0.8,IF(L56="Catastrófico",1,))))))</f>
        <v>0.6</v>
      </c>
      <c r="N56" s="35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Moderado</v>
      </c>
      <c r="O56" s="170">
        <v>1</v>
      </c>
      <c r="P56" s="138" t="s">
        <v>245</v>
      </c>
      <c r="Q56" s="171" t="str">
        <f>IF(OR(R56="Preventivo",R56="Detectivo"),"Probabilidad",IF(R56="Correctivo","Impacto",""))</f>
        <v>Probabilidad</v>
      </c>
      <c r="R56" s="172" t="s">
        <v>175</v>
      </c>
      <c r="S56" s="172" t="s">
        <v>176</v>
      </c>
      <c r="T56" s="173" t="str">
        <f>IF(AND(R56="Preventivo",S56="Automático"),"50%",IF(AND(R56="Preventivo",S56="Manual"),"40%",IF(AND(R56="Detectivo",S56="Automático"),"40%",IF(AND(R56="Detectivo",S56="Manual"),"30%",IF(AND(R56="Correctivo",S56="Automático"),"35%",IF(AND(R56="Correctivo",S56="Manual"),"25%",""))))))</f>
        <v>40%</v>
      </c>
      <c r="U56" s="172" t="s">
        <v>177</v>
      </c>
      <c r="V56" s="172" t="s">
        <v>178</v>
      </c>
      <c r="W56" s="172" t="s">
        <v>179</v>
      </c>
      <c r="X56" s="174">
        <f>IFERROR(IF(Q56="Probabilidad",(I56-(+I56*T56)),IF(Q56="Impacto",I56,"")),"")</f>
        <v>0.24</v>
      </c>
      <c r="Y56" s="175" t="str">
        <f t="shared" si="1"/>
        <v>Baja</v>
      </c>
      <c r="Z56" s="176">
        <f>+X56</f>
        <v>0.24</v>
      </c>
      <c r="AA56" s="175" t="str">
        <f>IFERROR(IF(AB56="","",IF(AB56&lt;=0.2,"Leve",IF(AB56&lt;=0.4,"Menor",IF(AB56&lt;=0.6,"Moderado",IF(AB56&lt;=0.8,"Mayor","Catastrófico"))))),"")</f>
        <v>Moderado</v>
      </c>
      <c r="AB56" s="176">
        <f>IFERROR(IF(Q56="Impacto",(M56-(+M56*T56)),IF(Q56="Probabilidad",M56,"")),"")</f>
        <v>0.6</v>
      </c>
      <c r="AC56" s="177"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Moderado</v>
      </c>
      <c r="AD56" s="178" t="s">
        <v>180</v>
      </c>
      <c r="AE56" s="147" t="s">
        <v>246</v>
      </c>
      <c r="AF56" s="150" t="s">
        <v>247</v>
      </c>
      <c r="AG56" s="135" t="s">
        <v>248</v>
      </c>
      <c r="AH56" s="136">
        <v>45658</v>
      </c>
      <c r="AI56" s="136">
        <v>46010</v>
      </c>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372"/>
      <c r="B57" s="574"/>
      <c r="C57" s="574"/>
      <c r="D57" s="574"/>
      <c r="E57" s="576"/>
      <c r="F57" s="574"/>
      <c r="G57" s="587"/>
      <c r="H57" s="353"/>
      <c r="I57" s="350"/>
      <c r="J57" s="578"/>
      <c r="K57" s="350">
        <f>IF(NOT(ISERROR(MATCH(J57,_xlfn.ANCHORARRAY(E68),0))),I70&amp;"Por favor no seleccionar los criterios de impacto",J57)</f>
        <v>0</v>
      </c>
      <c r="L57" s="353"/>
      <c r="M57" s="350"/>
      <c r="N57" s="356"/>
      <c r="O57" s="170">
        <v>2</v>
      </c>
      <c r="P57" s="138"/>
      <c r="Q57" s="179" t="str">
        <f>IF(OR(R57="Preventivo",R57="Detectivo"),"Probabilidad",IF(R57="Correctivo","Impacto",""))</f>
        <v/>
      </c>
      <c r="R57" s="180"/>
      <c r="S57" s="180"/>
      <c r="T57" s="181" t="str">
        <f t="shared" ref="T57:T61" si="55">IF(AND(R57="Preventivo",S57="Automático"),"50%",IF(AND(R57="Preventivo",S57="Manual"),"40%",IF(AND(R57="Detectivo",S57="Automático"),"40%",IF(AND(R57="Detectivo",S57="Manual"),"30%",IF(AND(R57="Correctivo",S57="Automático"),"35%",IF(AND(R57="Correctivo",S57="Manual"),"25%",""))))))</f>
        <v/>
      </c>
      <c r="U57" s="180"/>
      <c r="V57" s="180"/>
      <c r="W57" s="180"/>
      <c r="X57" s="182" t="str">
        <f>IFERROR(IF(AND(Q56="Probabilidad",Q57="Probabilidad"),(Z56-(+Z56*T57)),IF(Q57="Probabilidad",(I56-(+I56*T57)),IF(Q57="Impacto",Z56,""))),"")</f>
        <v/>
      </c>
      <c r="Y57" s="183" t="str">
        <f t="shared" si="1"/>
        <v/>
      </c>
      <c r="Z57" s="184" t="str">
        <f t="shared" ref="Z57:Z61" si="56">+X57</f>
        <v/>
      </c>
      <c r="AA57" s="183" t="str">
        <f t="shared" si="3"/>
        <v/>
      </c>
      <c r="AB57" s="184" t="str">
        <f>IFERROR(IF(AND(Q56="Impacto",Q57="Impacto"),(AB56-(+AB56*T57)),IF(Q57="Impacto",(M56-(+M56*T57)),IF(Q57="Probabilidad",AB56,""))),"")</f>
        <v/>
      </c>
      <c r="AC57" s="185" t="str">
        <f t="shared" ref="AC57:AC58" si="57">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86"/>
      <c r="AE57" s="134"/>
      <c r="AF57" s="169"/>
      <c r="AG57" s="169"/>
      <c r="AH57" s="156"/>
      <c r="AI57" s="156"/>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372"/>
      <c r="B58" s="574"/>
      <c r="C58" s="574"/>
      <c r="D58" s="574"/>
      <c r="E58" s="576"/>
      <c r="F58" s="574"/>
      <c r="G58" s="587"/>
      <c r="H58" s="353"/>
      <c r="I58" s="350"/>
      <c r="J58" s="578"/>
      <c r="K58" s="350">
        <f>IF(NOT(ISERROR(MATCH(J58,_xlfn.ANCHORARRAY(E69),0))),I71&amp;"Por favor no seleccionar los criterios de impacto",J58)</f>
        <v>0</v>
      </c>
      <c r="L58" s="353"/>
      <c r="M58" s="350"/>
      <c r="N58" s="356"/>
      <c r="O58" s="170">
        <v>3</v>
      </c>
      <c r="P58" s="139"/>
      <c r="Q58" s="179" t="str">
        <f>IF(OR(R58="Preventivo",R58="Detectivo"),"Probabilidad",IF(R58="Correctivo","Impacto",""))</f>
        <v/>
      </c>
      <c r="R58" s="180"/>
      <c r="S58" s="180"/>
      <c r="T58" s="181" t="str">
        <f t="shared" si="55"/>
        <v/>
      </c>
      <c r="U58" s="180"/>
      <c r="V58" s="180"/>
      <c r="W58" s="180"/>
      <c r="X58" s="182" t="str">
        <f>IFERROR(IF(AND(Q57="Probabilidad",Q58="Probabilidad"),(Z57-(+Z57*T58)),IF(AND(Q57="Impacto",Q58="Probabilidad"),(Z56-(+Z56*T58)),IF(Q58="Impacto",Z57,""))),"")</f>
        <v/>
      </c>
      <c r="Y58" s="183" t="str">
        <f t="shared" si="1"/>
        <v/>
      </c>
      <c r="Z58" s="184" t="str">
        <f t="shared" si="56"/>
        <v/>
      </c>
      <c r="AA58" s="183" t="str">
        <f t="shared" si="3"/>
        <v/>
      </c>
      <c r="AB58" s="184" t="str">
        <f>IFERROR(IF(AND(Q57="Impacto",Q58="Impacto"),(AB57-(+AB57*T58)),IF(AND(Q57="Probabilidad",Q58="Impacto"),(AB56-(+AB56*T58)),IF(Q58="Probabilidad",AB57,""))),"")</f>
        <v/>
      </c>
      <c r="AC58" s="185" t="str">
        <f t="shared" si="57"/>
        <v/>
      </c>
      <c r="AD58" s="186"/>
      <c r="AE58" s="134"/>
      <c r="AF58" s="169"/>
      <c r="AG58" s="169"/>
      <c r="AH58" s="156"/>
      <c r="AI58" s="156"/>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72"/>
      <c r="B59" s="574"/>
      <c r="C59" s="574"/>
      <c r="D59" s="574"/>
      <c r="E59" s="576"/>
      <c r="F59" s="574"/>
      <c r="G59" s="587"/>
      <c r="H59" s="353"/>
      <c r="I59" s="350"/>
      <c r="J59" s="578"/>
      <c r="K59" s="350">
        <f>IF(NOT(ISERROR(MATCH(J59,_xlfn.ANCHORARRAY(E70),0))),I72&amp;"Por favor no seleccionar los criterios de impacto",J59)</f>
        <v>0</v>
      </c>
      <c r="L59" s="353"/>
      <c r="M59" s="350"/>
      <c r="N59" s="356"/>
      <c r="O59" s="170">
        <v>4</v>
      </c>
      <c r="P59" s="138"/>
      <c r="Q59" s="179" t="str">
        <f t="shared" ref="Q59:Q61" si="58">IF(OR(R59="Preventivo",R59="Detectivo"),"Probabilidad",IF(R59="Correctivo","Impacto",""))</f>
        <v/>
      </c>
      <c r="R59" s="180"/>
      <c r="S59" s="180"/>
      <c r="T59" s="181" t="str">
        <f t="shared" si="55"/>
        <v/>
      </c>
      <c r="U59" s="180"/>
      <c r="V59" s="180"/>
      <c r="W59" s="180"/>
      <c r="X59" s="182" t="str">
        <f t="shared" ref="X59:X61" si="59">IFERROR(IF(AND(Q58="Probabilidad",Q59="Probabilidad"),(Z58-(+Z58*T59)),IF(AND(Q58="Impacto",Q59="Probabilidad"),(Z57-(+Z57*T59)),IF(Q59="Impacto",Z58,""))),"")</f>
        <v/>
      </c>
      <c r="Y59" s="183" t="str">
        <f t="shared" si="1"/>
        <v/>
      </c>
      <c r="Z59" s="184" t="str">
        <f t="shared" si="56"/>
        <v/>
      </c>
      <c r="AA59" s="183" t="str">
        <f t="shared" si="3"/>
        <v/>
      </c>
      <c r="AB59" s="184" t="str">
        <f t="shared" ref="AB59:AB61" si="60">IFERROR(IF(AND(Q58="Impacto",Q59="Impacto"),(AB58-(+AB58*T59)),IF(AND(Q58="Probabilidad",Q59="Impacto"),(AB57-(+AB57*T59)),IF(Q59="Probabilidad",AB58,""))),"")</f>
        <v/>
      </c>
      <c r="AC59" s="185"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86"/>
      <c r="AE59" s="134"/>
      <c r="AF59" s="169"/>
      <c r="AG59" s="169"/>
      <c r="AH59" s="156"/>
      <c r="AI59" s="156"/>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72"/>
      <c r="B60" s="574"/>
      <c r="C60" s="574"/>
      <c r="D60" s="574"/>
      <c r="E60" s="576"/>
      <c r="F60" s="574"/>
      <c r="G60" s="587"/>
      <c r="H60" s="353"/>
      <c r="I60" s="350"/>
      <c r="J60" s="578"/>
      <c r="K60" s="350">
        <f>IF(NOT(ISERROR(MATCH(J60,_xlfn.ANCHORARRAY(E71),0))),I73&amp;"Por favor no seleccionar los criterios de impacto",J60)</f>
        <v>0</v>
      </c>
      <c r="L60" s="353"/>
      <c r="M60" s="350"/>
      <c r="N60" s="356"/>
      <c r="O60" s="170">
        <v>5</v>
      </c>
      <c r="P60" s="138"/>
      <c r="Q60" s="179" t="str">
        <f t="shared" si="58"/>
        <v/>
      </c>
      <c r="R60" s="180"/>
      <c r="S60" s="180"/>
      <c r="T60" s="181" t="str">
        <f t="shared" si="55"/>
        <v/>
      </c>
      <c r="U60" s="180"/>
      <c r="V60" s="180"/>
      <c r="W60" s="180"/>
      <c r="X60" s="182" t="str">
        <f t="shared" si="59"/>
        <v/>
      </c>
      <c r="Y60" s="183" t="str">
        <f t="shared" si="1"/>
        <v/>
      </c>
      <c r="Z60" s="184" t="str">
        <f t="shared" si="56"/>
        <v/>
      </c>
      <c r="AA60" s="183" t="str">
        <f t="shared" si="3"/>
        <v/>
      </c>
      <c r="AB60" s="184" t="str">
        <f t="shared" si="60"/>
        <v/>
      </c>
      <c r="AC60" s="185" t="str">
        <f t="shared" ref="AC60:AC61" si="61">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6"/>
      <c r="AE60" s="134"/>
      <c r="AF60" s="169"/>
      <c r="AG60" s="169"/>
      <c r="AH60" s="156"/>
      <c r="AI60" s="156"/>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73"/>
      <c r="B61" s="579"/>
      <c r="C61" s="579"/>
      <c r="D61" s="579"/>
      <c r="E61" s="581"/>
      <c r="F61" s="579"/>
      <c r="G61" s="589"/>
      <c r="H61" s="354"/>
      <c r="I61" s="351"/>
      <c r="J61" s="583"/>
      <c r="K61" s="351">
        <f>IF(NOT(ISERROR(MATCH(J61,_xlfn.ANCHORARRAY(E72),0))),I80&amp;"Por favor no seleccionar los criterios de impacto",J61)</f>
        <v>0</v>
      </c>
      <c r="L61" s="354"/>
      <c r="M61" s="351"/>
      <c r="N61" s="357"/>
      <c r="O61" s="170">
        <v>6</v>
      </c>
      <c r="P61" s="138"/>
      <c r="Q61" s="179" t="str">
        <f t="shared" si="58"/>
        <v/>
      </c>
      <c r="R61" s="180"/>
      <c r="S61" s="180"/>
      <c r="T61" s="181" t="str">
        <f t="shared" si="55"/>
        <v/>
      </c>
      <c r="U61" s="180"/>
      <c r="V61" s="180"/>
      <c r="W61" s="180"/>
      <c r="X61" s="182" t="str">
        <f t="shared" si="59"/>
        <v/>
      </c>
      <c r="Y61" s="183" t="str">
        <f t="shared" si="1"/>
        <v/>
      </c>
      <c r="Z61" s="184" t="str">
        <f t="shared" si="56"/>
        <v/>
      </c>
      <c r="AA61" s="183" t="str">
        <f t="shared" si="3"/>
        <v/>
      </c>
      <c r="AB61" s="184" t="str">
        <f t="shared" si="60"/>
        <v/>
      </c>
      <c r="AC61" s="185" t="str">
        <f t="shared" si="61"/>
        <v/>
      </c>
      <c r="AD61" s="186"/>
      <c r="AE61" s="134"/>
      <c r="AF61" s="169"/>
      <c r="AG61" s="169"/>
      <c r="AH61" s="156"/>
      <c r="AI61" s="156"/>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s="188" customFormat="1" ht="73.5" customHeight="1" x14ac:dyDescent="0.2">
      <c r="A62" s="340">
        <v>9</v>
      </c>
      <c r="B62" s="569" t="s">
        <v>168</v>
      </c>
      <c r="C62" s="569" t="s">
        <v>249</v>
      </c>
      <c r="D62" s="569" t="s">
        <v>250</v>
      </c>
      <c r="E62" s="571" t="s">
        <v>251</v>
      </c>
      <c r="F62" s="569" t="s">
        <v>172</v>
      </c>
      <c r="G62" s="572">
        <v>253</v>
      </c>
      <c r="H62" s="352" t="str">
        <f>IF(G62&lt;=0,"",IF(G62&lt;=2,"Muy Baja",IF(G62&lt;=24,"Baja",IF(G62&lt;=500,"Media",IF(G62&lt;=5000,"Alta","Muy Alta")))))</f>
        <v>Media</v>
      </c>
      <c r="I62" s="349">
        <f>IF(H62="","",IF(H62="Muy Baja",0.2,IF(H62="Baja",0.4,IF(H62="Media",0.6,IF(H62="Alta",0.8,IF(H62="Muy Alta",1,))))))</f>
        <v>0.6</v>
      </c>
      <c r="J62" s="573" t="s">
        <v>173</v>
      </c>
      <c r="K62" s="349" t="str">
        <f>IF(NOT(ISERROR(MATCH(J62,'Tabla Impacto'!$B$221:$B$223,0))),'Tabla Impacto'!$F$223&amp;"Por favor no seleccionar los criterios de impacto(Afectación Económica o presupuestal y Pérdida Reputacional)",J62)</f>
        <v xml:space="preserve">     El riesgo afecta la imagen de la entidad con algunos usuarios de relevancia frente al logro de los objetivos</v>
      </c>
      <c r="L62" s="352" t="str">
        <f>IF(OR(K62='Tabla Impacto'!$C$11,K62='Tabla Impacto'!$D$11),"Leve",IF(OR(K62='Tabla Impacto'!$C$12,K62='Tabla Impacto'!$D$12),"Menor",IF(OR(K62='Tabla Impacto'!$C$13,K62='Tabla Impacto'!$D$13),"Moderado",IF(OR(K62='Tabla Impacto'!$C$14,K62='Tabla Impacto'!$D$14),"Mayor",IF(OR(K62='Tabla Impacto'!$C$15,K62='Tabla Impacto'!$D$15),"Catastrófico","")))))</f>
        <v>Moderado</v>
      </c>
      <c r="M62" s="349">
        <f>IF(L62="","",IF(L62="Leve",0.2,IF(L62="Menor",0.4,IF(L62="Moderado",0.6,IF(L62="Mayor",0.8,IF(L62="Catastrófico",1,))))))</f>
        <v>0.6</v>
      </c>
      <c r="N62" s="355"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Moderado</v>
      </c>
      <c r="O62" s="170">
        <v>1</v>
      </c>
      <c r="P62" s="138" t="s">
        <v>252</v>
      </c>
      <c r="Q62" s="171" t="str">
        <f>IF(OR(R62="Preventivo",R62="Detectivo"),"Probabilidad",IF(R62="Correctivo","Impacto",""))</f>
        <v>Probabilidad</v>
      </c>
      <c r="R62" s="172" t="s">
        <v>175</v>
      </c>
      <c r="S62" s="172" t="s">
        <v>176</v>
      </c>
      <c r="T62" s="173" t="str">
        <f>IF(AND(R62="Preventivo",S62="Automático"),"50%",IF(AND(R62="Preventivo",S62="Manual"),"40%",IF(AND(R62="Detectivo",S62="Automático"),"40%",IF(AND(R62="Detectivo",S62="Manual"),"30%",IF(AND(R62="Correctivo",S62="Automático"),"35%",IF(AND(R62="Correctivo",S62="Manual"),"25%",""))))))</f>
        <v>40%</v>
      </c>
      <c r="U62" s="172" t="s">
        <v>177</v>
      </c>
      <c r="V62" s="172" t="s">
        <v>178</v>
      </c>
      <c r="W62" s="172" t="s">
        <v>179</v>
      </c>
      <c r="X62" s="174">
        <f>IFERROR(IF(Q62="Probabilidad",(I62-(+I62*T62)),IF(Q62="Impacto",I62,"")),"")</f>
        <v>0.36</v>
      </c>
      <c r="Y62" s="175" t="str">
        <f>IFERROR(IF(X62="","",IF(X62&lt;=0.2,"Muy Baja",IF(X62&lt;=0.4,"Baja",IF(X62&lt;=0.6,"Media",IF(X62&lt;=0.8,"Alta","Muy Alta"))))),"")</f>
        <v>Baja</v>
      </c>
      <c r="Z62" s="176">
        <f>+X62</f>
        <v>0.36</v>
      </c>
      <c r="AA62" s="175" t="str">
        <f>IFERROR(IF(AB62="","",IF(AB62&lt;=0.2,"Leve",IF(AB62&lt;=0.4,"Menor",IF(AB62&lt;=0.6,"Moderado",IF(AB62&lt;=0.8,"Mayor","Catastrófico"))))),"")</f>
        <v>Moderado</v>
      </c>
      <c r="AB62" s="176">
        <f>IFERROR(IF(Q62="Impacto",(M62-(+M62*T62)),IF(Q62="Probabilidad",M62,"")),"")</f>
        <v>0.6</v>
      </c>
      <c r="AC62" s="177"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Moderado</v>
      </c>
      <c r="AD62" s="178" t="s">
        <v>180</v>
      </c>
      <c r="AE62" s="147" t="s">
        <v>253</v>
      </c>
      <c r="AF62" s="135" t="s">
        <v>254</v>
      </c>
      <c r="AG62" s="149" t="s">
        <v>255</v>
      </c>
      <c r="AH62" s="136">
        <v>45658</v>
      </c>
      <c r="AI62" s="136">
        <v>46021</v>
      </c>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row>
    <row r="63" spans="1:67" s="188" customFormat="1" ht="18" customHeight="1" x14ac:dyDescent="0.2">
      <c r="A63" s="341"/>
      <c r="B63" s="574"/>
      <c r="C63" s="574"/>
      <c r="D63" s="574"/>
      <c r="E63" s="576"/>
      <c r="F63" s="574"/>
      <c r="G63" s="577"/>
      <c r="H63" s="353"/>
      <c r="I63" s="350"/>
      <c r="J63" s="578"/>
      <c r="K63" s="350">
        <f>IF(NOT(ISERROR(MATCH(J63,_xlfn.ANCHORARRAY(E80),0))),I82&amp;"Por favor no seleccionar los criterios de impacto",J63)</f>
        <v>0</v>
      </c>
      <c r="L63" s="353"/>
      <c r="M63" s="350"/>
      <c r="N63" s="356"/>
      <c r="O63" s="170">
        <v>2</v>
      </c>
      <c r="P63" s="138"/>
      <c r="Q63" s="179" t="str">
        <f>IF(OR(R63="Preventivo",R63="Detectivo"),"Probabilidad",IF(R63="Correctivo","Impacto",""))</f>
        <v/>
      </c>
      <c r="R63" s="180"/>
      <c r="S63" s="180"/>
      <c r="T63" s="181" t="str">
        <f t="shared" ref="T63:T67" si="62">IF(AND(R63="Preventivo",S63="Automático"),"50%",IF(AND(R63="Preventivo",S63="Manual"),"40%",IF(AND(R63="Detectivo",S63="Automático"),"40%",IF(AND(R63="Detectivo",S63="Manual"),"30%",IF(AND(R63="Correctivo",S63="Automático"),"35%",IF(AND(R63="Correctivo",S63="Manual"),"25%",""))))))</f>
        <v/>
      </c>
      <c r="U63" s="180"/>
      <c r="V63" s="180"/>
      <c r="W63" s="180"/>
      <c r="X63" s="182" t="str">
        <f>IFERROR(IF(AND(Q62="Probabilidad",Q63="Probabilidad"),(Z62-(+Z62*T63)),IF(Q63="Probabilidad",(I62-(+I62*T63)),IF(Q63="Impacto",Z62,""))),"")</f>
        <v/>
      </c>
      <c r="Y63" s="183" t="str">
        <f t="shared" si="1"/>
        <v/>
      </c>
      <c r="Z63" s="184" t="str">
        <f t="shared" ref="Z63:Z67" si="63">+X63</f>
        <v/>
      </c>
      <c r="AA63" s="183" t="str">
        <f t="shared" si="3"/>
        <v/>
      </c>
      <c r="AB63" s="184" t="str">
        <f>IFERROR(IF(AND(Q62="Impacto",Q63="Impacto"),(AB62-(+AB62*T63)),IF(Q63="Impacto",(M62-(+M62*T63)),IF(Q63="Probabilidad",AB62,""))),"")</f>
        <v/>
      </c>
      <c r="AC63" s="185" t="str">
        <f t="shared" ref="AC63:AC64" si="64">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86"/>
      <c r="AE63" s="134"/>
      <c r="AF63" s="169"/>
      <c r="AG63" s="169"/>
      <c r="AH63" s="156"/>
      <c r="AI63" s="156"/>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row>
    <row r="64" spans="1:67" s="188" customFormat="1" ht="18" customHeight="1" x14ac:dyDescent="0.2">
      <c r="A64" s="341"/>
      <c r="B64" s="574"/>
      <c r="C64" s="574"/>
      <c r="D64" s="574"/>
      <c r="E64" s="576"/>
      <c r="F64" s="574"/>
      <c r="G64" s="577"/>
      <c r="H64" s="353"/>
      <c r="I64" s="350"/>
      <c r="J64" s="578"/>
      <c r="K64" s="350">
        <f>IF(NOT(ISERROR(MATCH(J64,_xlfn.ANCHORARRAY(E81),0))),I83&amp;"Por favor no seleccionar los criterios de impacto",J64)</f>
        <v>0</v>
      </c>
      <c r="L64" s="353"/>
      <c r="M64" s="350"/>
      <c r="N64" s="356"/>
      <c r="O64" s="170">
        <v>3</v>
      </c>
      <c r="P64" s="139"/>
      <c r="Q64" s="179" t="str">
        <f>IF(OR(R64="Preventivo",R64="Detectivo"),"Probabilidad",IF(R64="Correctivo","Impacto",""))</f>
        <v/>
      </c>
      <c r="R64" s="180"/>
      <c r="S64" s="180"/>
      <c r="T64" s="181" t="str">
        <f t="shared" si="62"/>
        <v/>
      </c>
      <c r="U64" s="180"/>
      <c r="V64" s="180"/>
      <c r="W64" s="180"/>
      <c r="X64" s="182" t="str">
        <f>IFERROR(IF(AND(Q63="Probabilidad",Q64="Probabilidad"),(Z63-(+Z63*T64)),IF(AND(Q63="Impacto",Q64="Probabilidad"),(Z62-(+Z62*T64)),IF(Q64="Impacto",Z63,""))),"")</f>
        <v/>
      </c>
      <c r="Y64" s="183" t="str">
        <f t="shared" si="1"/>
        <v/>
      </c>
      <c r="Z64" s="184" t="str">
        <f t="shared" si="63"/>
        <v/>
      </c>
      <c r="AA64" s="183" t="str">
        <f t="shared" si="3"/>
        <v/>
      </c>
      <c r="AB64" s="184" t="str">
        <f>IFERROR(IF(AND(Q63="Impacto",Q64="Impacto"),(AB63-(+AB63*T64)),IF(AND(Q63="Probabilidad",Q64="Impacto"),(AB62-(+AB62*T64)),IF(Q64="Probabilidad",AB63,""))),"")</f>
        <v/>
      </c>
      <c r="AC64" s="185" t="str">
        <f t="shared" si="64"/>
        <v/>
      </c>
      <c r="AD64" s="186"/>
      <c r="AE64" s="134"/>
      <c r="AF64" s="169"/>
      <c r="AG64" s="169"/>
      <c r="AH64" s="156"/>
      <c r="AI64" s="156"/>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row>
    <row r="65" spans="1:67" s="188" customFormat="1" ht="18" customHeight="1" x14ac:dyDescent="0.2">
      <c r="A65" s="341"/>
      <c r="B65" s="574"/>
      <c r="C65" s="574"/>
      <c r="D65" s="574"/>
      <c r="E65" s="576"/>
      <c r="F65" s="574"/>
      <c r="G65" s="577"/>
      <c r="H65" s="353"/>
      <c r="I65" s="350"/>
      <c r="J65" s="578"/>
      <c r="K65" s="350">
        <f>IF(NOT(ISERROR(MATCH(J65,_xlfn.ANCHORARRAY(E82),0))),I84&amp;"Por favor no seleccionar los criterios de impacto",J65)</f>
        <v>0</v>
      </c>
      <c r="L65" s="353"/>
      <c r="M65" s="350"/>
      <c r="N65" s="356"/>
      <c r="O65" s="170">
        <v>4</v>
      </c>
      <c r="P65" s="138"/>
      <c r="Q65" s="179" t="str">
        <f t="shared" ref="Q65:Q67" si="65">IF(OR(R65="Preventivo",R65="Detectivo"),"Probabilidad",IF(R65="Correctivo","Impacto",""))</f>
        <v/>
      </c>
      <c r="R65" s="180"/>
      <c r="S65" s="180"/>
      <c r="T65" s="181" t="str">
        <f t="shared" si="62"/>
        <v/>
      </c>
      <c r="U65" s="180"/>
      <c r="V65" s="180"/>
      <c r="W65" s="180"/>
      <c r="X65" s="182" t="str">
        <f t="shared" ref="X65:X66" si="66">IFERROR(IF(AND(Q64="Probabilidad",Q65="Probabilidad"),(Z64-(+Z64*T65)),IF(AND(Q64="Impacto",Q65="Probabilidad"),(Z63-(+Z63*T65)),IF(Q65="Impacto",Z64,""))),"")</f>
        <v/>
      </c>
      <c r="Y65" s="183" t="str">
        <f t="shared" si="1"/>
        <v/>
      </c>
      <c r="Z65" s="184" t="str">
        <f t="shared" si="63"/>
        <v/>
      </c>
      <c r="AA65" s="183" t="str">
        <f t="shared" si="3"/>
        <v/>
      </c>
      <c r="AB65" s="184" t="str">
        <f t="shared" ref="AB65:AB66" si="67">IFERROR(IF(AND(Q64="Impacto",Q65="Impacto"),(AB64-(+AB64*T65)),IF(AND(Q64="Probabilidad",Q65="Impacto"),(AB63-(+AB63*T65)),IF(Q65="Probabilidad",AB64,""))),"")</f>
        <v/>
      </c>
      <c r="AC65" s="185"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86"/>
      <c r="AE65" s="134"/>
      <c r="AF65" s="169"/>
      <c r="AG65" s="169"/>
      <c r="AH65" s="156"/>
      <c r="AI65" s="156"/>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row>
    <row r="66" spans="1:67" s="188" customFormat="1" ht="18" customHeight="1" x14ac:dyDescent="0.2">
      <c r="A66" s="341"/>
      <c r="B66" s="574"/>
      <c r="C66" s="574"/>
      <c r="D66" s="574"/>
      <c r="E66" s="576"/>
      <c r="F66" s="574"/>
      <c r="G66" s="577"/>
      <c r="H66" s="353"/>
      <c r="I66" s="350"/>
      <c r="J66" s="578"/>
      <c r="K66" s="350">
        <f>IF(NOT(ISERROR(MATCH(J66,_xlfn.ANCHORARRAY(E83),0))),I85&amp;"Por favor no seleccionar los criterios de impacto",J66)</f>
        <v>0</v>
      </c>
      <c r="L66" s="353"/>
      <c r="M66" s="350"/>
      <c r="N66" s="356"/>
      <c r="O66" s="170">
        <v>5</v>
      </c>
      <c r="P66" s="138"/>
      <c r="Q66" s="179" t="str">
        <f t="shared" si="65"/>
        <v/>
      </c>
      <c r="R66" s="180"/>
      <c r="S66" s="180"/>
      <c r="T66" s="181" t="str">
        <f t="shared" si="62"/>
        <v/>
      </c>
      <c r="U66" s="180"/>
      <c r="V66" s="180"/>
      <c r="W66" s="180"/>
      <c r="X66" s="182" t="str">
        <f t="shared" si="66"/>
        <v/>
      </c>
      <c r="Y66" s="183" t="str">
        <f t="shared" si="1"/>
        <v/>
      </c>
      <c r="Z66" s="184" t="str">
        <f t="shared" si="63"/>
        <v/>
      </c>
      <c r="AA66" s="183" t="str">
        <f t="shared" si="3"/>
        <v/>
      </c>
      <c r="AB66" s="184" t="str">
        <f t="shared" si="67"/>
        <v/>
      </c>
      <c r="AC66" s="185" t="str">
        <f t="shared" ref="AC66:AC67" si="68">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86"/>
      <c r="AE66" s="134"/>
      <c r="AF66" s="169"/>
      <c r="AG66" s="169"/>
      <c r="AH66" s="156"/>
      <c r="AI66" s="156"/>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row>
    <row r="67" spans="1:67" s="188" customFormat="1" ht="18" customHeight="1" x14ac:dyDescent="0.2">
      <c r="A67" s="342"/>
      <c r="B67" s="579"/>
      <c r="C67" s="579"/>
      <c r="D67" s="579"/>
      <c r="E67" s="581"/>
      <c r="F67" s="579"/>
      <c r="G67" s="582"/>
      <c r="H67" s="354"/>
      <c r="I67" s="351"/>
      <c r="J67" s="583"/>
      <c r="K67" s="351">
        <f>IF(NOT(ISERROR(MATCH(J67,_xlfn.ANCHORARRAY(E84),0))),I86&amp;"Por favor no seleccionar los criterios de impacto",J67)</f>
        <v>0</v>
      </c>
      <c r="L67" s="354"/>
      <c r="M67" s="351"/>
      <c r="N67" s="357"/>
      <c r="O67" s="170">
        <v>6</v>
      </c>
      <c r="P67" s="138"/>
      <c r="Q67" s="179" t="str">
        <f t="shared" si="65"/>
        <v/>
      </c>
      <c r="R67" s="180"/>
      <c r="S67" s="180"/>
      <c r="T67" s="181" t="str">
        <f t="shared" si="62"/>
        <v/>
      </c>
      <c r="U67" s="180"/>
      <c r="V67" s="180"/>
      <c r="W67" s="180"/>
      <c r="X67" s="182" t="str">
        <f>IFERROR(IF(AND(Q66="Probabilidad",Q67="Probabilidad"),(Z66-(+Z66*T67)),IF(AND(Q66="Impacto",Q67="Probabilidad"),(Z65-(+Z65*T67)),IF(Q67="Impacto",Z66,""))),"")</f>
        <v/>
      </c>
      <c r="Y67" s="183" t="str">
        <f t="shared" si="1"/>
        <v/>
      </c>
      <c r="Z67" s="184" t="str">
        <f t="shared" si="63"/>
        <v/>
      </c>
      <c r="AA67" s="183" t="str">
        <f t="shared" si="3"/>
        <v/>
      </c>
      <c r="AB67" s="184" t="str">
        <f>IFERROR(IF(AND(Q66="Impacto",Q67="Impacto"),(AB66-(+AB66*T67)),IF(AND(Q66="Probabilidad",Q67="Impacto"),(AB65-(+AB65*T67)),IF(Q67="Probabilidad",AB66,""))),"")</f>
        <v/>
      </c>
      <c r="AC67" s="185" t="str">
        <f t="shared" si="68"/>
        <v/>
      </c>
      <c r="AD67" s="186"/>
      <c r="AE67" s="134"/>
      <c r="AF67" s="169"/>
      <c r="AG67" s="169"/>
      <c r="AH67" s="156"/>
      <c r="AI67" s="156"/>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row>
    <row r="68" spans="1:67" s="188" customFormat="1" ht="81.75" customHeight="1" x14ac:dyDescent="0.2">
      <c r="A68" s="340">
        <v>10</v>
      </c>
      <c r="B68" s="569" t="s">
        <v>168</v>
      </c>
      <c r="C68" s="573" t="s">
        <v>256</v>
      </c>
      <c r="D68" s="573" t="s">
        <v>389</v>
      </c>
      <c r="E68" s="571" t="s">
        <v>257</v>
      </c>
      <c r="F68" s="569" t="s">
        <v>172</v>
      </c>
      <c r="G68" s="572">
        <v>4</v>
      </c>
      <c r="H68" s="352" t="str">
        <f>IF(G68&lt;=0,"",IF(G68&lt;=2,"Muy Baja",IF(G68&lt;=24,"Baja",IF(G68&lt;=500,"Media",IF(G68&lt;=5000,"Alta","Muy Alta")))))</f>
        <v>Baja</v>
      </c>
      <c r="I68" s="349">
        <f>IF(H68="","",IF(H68="Muy Baja",0.2,IF(H68="Baja",0.4,IF(H68="Media",0.6,IF(H68="Alta",0.8,IF(H68="Muy Alta",1,))))))</f>
        <v>0.4</v>
      </c>
      <c r="J68" s="573" t="s">
        <v>173</v>
      </c>
      <c r="K68" s="349" t="str">
        <f>IF(NOT(ISERROR(MATCH(J68,'Tabla Impacto'!$B$221:$B$223,0))),'Tabla Impacto'!$F$223&amp;"Por favor no seleccionar los criterios de impacto(Afectación Económica o presupuestal y Pérdida Reputacional)",J68)</f>
        <v xml:space="preserve">     El riesgo afecta la imagen de la entidad con algunos usuarios de relevancia frente al logro de los objetivos</v>
      </c>
      <c r="L68" s="352" t="str">
        <f>IF(OR(K68='Tabla Impacto'!$C$11,K68='Tabla Impacto'!$D$11),"Leve",IF(OR(K68='Tabla Impacto'!$C$12,K68='Tabla Impacto'!$D$12),"Menor",IF(OR(K68='Tabla Impacto'!$C$13,K68='Tabla Impacto'!$D$13),"Moderado",IF(OR(K68='Tabla Impacto'!$C$14,K68='Tabla Impacto'!$D$14),"Mayor",IF(OR(K68='Tabla Impacto'!$C$15,K68='Tabla Impacto'!$D$15),"Catastrófico","")))))</f>
        <v>Moderado</v>
      </c>
      <c r="M68" s="349">
        <f>IF(L68="","",IF(L68="Leve",0.2,IF(L68="Menor",0.4,IF(L68="Moderado",0.6,IF(L68="Mayor",0.8,IF(L68="Catastrófico",1,))))))</f>
        <v>0.6</v>
      </c>
      <c r="N68" s="355"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Moderado</v>
      </c>
      <c r="O68" s="170">
        <v>1</v>
      </c>
      <c r="P68" s="138" t="s">
        <v>258</v>
      </c>
      <c r="Q68" s="171" t="str">
        <f>IF(OR(R68="Preventivo",R68="Detectivo"),"Probabilidad",IF(R68="Correctivo","Impacto",""))</f>
        <v>Probabilidad</v>
      </c>
      <c r="R68" s="172" t="s">
        <v>175</v>
      </c>
      <c r="S68" s="172" t="s">
        <v>176</v>
      </c>
      <c r="T68" s="173" t="str">
        <f>IF(AND(R68="Preventivo",S68="Automático"),"50%",IF(AND(R68="Preventivo",S68="Manual"),"40%",IF(AND(R68="Detectivo",S68="Automático"),"40%",IF(AND(R68="Detectivo",S68="Manual"),"30%",IF(AND(R68="Correctivo",S68="Automático"),"35%",IF(AND(R68="Correctivo",S68="Manual"),"25%",""))))))</f>
        <v>40%</v>
      </c>
      <c r="U68" s="172" t="s">
        <v>177</v>
      </c>
      <c r="V68" s="172" t="s">
        <v>178</v>
      </c>
      <c r="W68" s="172" t="s">
        <v>179</v>
      </c>
      <c r="X68" s="174">
        <f>IFERROR(IF(Q68="Probabilidad",(I68-(+I68*T68)),IF(Q68="Impacto",I68,"")),"")</f>
        <v>0.24</v>
      </c>
      <c r="Y68" s="175" t="str">
        <f>IFERROR(IF(X68="","",IF(X68&lt;=0.2,"Muy Baja",IF(X68&lt;=0.4,"Baja",IF(X68&lt;=0.6,"Media",IF(X68&lt;=0.8,"Alta","Muy Alta"))))),"")</f>
        <v>Baja</v>
      </c>
      <c r="Z68" s="176">
        <f>+X68</f>
        <v>0.24</v>
      </c>
      <c r="AA68" s="175" t="str">
        <f>IFERROR(IF(AB68="","",IF(AB68&lt;=0.2,"Leve",IF(AB68&lt;=0.4,"Menor",IF(AB68&lt;=0.6,"Moderado",IF(AB68&lt;=0.8,"Mayor","Catastrófico"))))),"")</f>
        <v>Moderado</v>
      </c>
      <c r="AB68" s="176">
        <f>IFERROR(IF(Q68="Impacto",(M68-(+M68*T68)),IF(Q68="Probabilidad",M68,"")),"")</f>
        <v>0.6</v>
      </c>
      <c r="AC68" s="177"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Moderado</v>
      </c>
      <c r="AD68" s="178" t="s">
        <v>180</v>
      </c>
      <c r="AE68" s="147" t="s">
        <v>259</v>
      </c>
      <c r="AF68" s="150" t="s">
        <v>260</v>
      </c>
      <c r="AG68" s="150" t="s">
        <v>261</v>
      </c>
      <c r="AH68" s="155">
        <v>45717</v>
      </c>
      <c r="AI68" s="154">
        <v>46010</v>
      </c>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row>
    <row r="69" spans="1:67" s="188" customFormat="1" ht="18" customHeight="1" x14ac:dyDescent="0.2">
      <c r="A69" s="341"/>
      <c r="B69" s="574"/>
      <c r="C69" s="578"/>
      <c r="D69" s="578"/>
      <c r="E69" s="576"/>
      <c r="F69" s="574"/>
      <c r="G69" s="577"/>
      <c r="H69" s="353"/>
      <c r="I69" s="350"/>
      <c r="J69" s="578"/>
      <c r="K69" s="350">
        <f>IF(NOT(ISERROR(MATCH(J69,_xlfn.ANCHORARRAY(E86),0))),I88&amp;"Por favor no seleccionar los criterios de impacto",J69)</f>
        <v>0</v>
      </c>
      <c r="L69" s="353"/>
      <c r="M69" s="350"/>
      <c r="N69" s="356"/>
      <c r="O69" s="170">
        <v>2</v>
      </c>
      <c r="P69" s="138"/>
      <c r="Q69" s="179" t="str">
        <f>IF(OR(R69="Preventivo",R69="Detectivo"),"Probabilidad",IF(R69="Correctivo","Impacto",""))</f>
        <v/>
      </c>
      <c r="R69" s="180"/>
      <c r="S69" s="180"/>
      <c r="T69" s="181" t="str">
        <f t="shared" ref="T69:T73" si="69">IF(AND(R69="Preventivo",S69="Automático"),"50%",IF(AND(R69="Preventivo",S69="Manual"),"40%",IF(AND(R69="Detectivo",S69="Automático"),"40%",IF(AND(R69="Detectivo",S69="Manual"),"30%",IF(AND(R69="Correctivo",S69="Automático"),"35%",IF(AND(R69="Correctivo",S69="Manual"),"25%",""))))))</f>
        <v/>
      </c>
      <c r="U69" s="180"/>
      <c r="V69" s="180"/>
      <c r="W69" s="180"/>
      <c r="X69" s="182" t="str">
        <f>IFERROR(IF(AND(Q68="Probabilidad",Q69="Probabilidad"),(Z68-(+Z68*T69)),IF(Q69="Probabilidad",(I68-(+I68*T69)),IF(Q69="Impacto",Z68,""))),"")</f>
        <v/>
      </c>
      <c r="Y69" s="183" t="str">
        <f t="shared" si="1"/>
        <v/>
      </c>
      <c r="Z69" s="184" t="str">
        <f t="shared" ref="Z69:Z73" si="70">+X69</f>
        <v/>
      </c>
      <c r="AA69" s="183" t="str">
        <f t="shared" si="3"/>
        <v/>
      </c>
      <c r="AB69" s="184" t="str">
        <f>IFERROR(IF(AND(Q68="Impacto",Q69="Impacto"),(AB68-(+AB68*T69)),IF(Q69="Impacto",(M68-(+M68*T69)),IF(Q69="Probabilidad",AB68,""))),"")</f>
        <v/>
      </c>
      <c r="AC69" s="185" t="str">
        <f t="shared" ref="AC69:AC70" si="71">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86"/>
      <c r="AE69" s="134"/>
      <c r="AF69" s="169"/>
      <c r="AG69" s="169"/>
      <c r="AH69" s="156"/>
      <c r="AI69" s="156"/>
    </row>
    <row r="70" spans="1:67" s="188" customFormat="1" ht="18" customHeight="1" x14ac:dyDescent="0.2">
      <c r="A70" s="341"/>
      <c r="B70" s="574"/>
      <c r="C70" s="578"/>
      <c r="D70" s="578"/>
      <c r="E70" s="576"/>
      <c r="F70" s="574"/>
      <c r="G70" s="577"/>
      <c r="H70" s="353"/>
      <c r="I70" s="350"/>
      <c r="J70" s="578"/>
      <c r="K70" s="350">
        <f>IF(NOT(ISERROR(MATCH(J70,_xlfn.ANCHORARRAY(E87),0))),I89&amp;"Por favor no seleccionar los criterios de impacto",J70)</f>
        <v>0</v>
      </c>
      <c r="L70" s="353"/>
      <c r="M70" s="350"/>
      <c r="N70" s="356"/>
      <c r="O70" s="170">
        <v>3</v>
      </c>
      <c r="P70" s="139"/>
      <c r="Q70" s="179" t="str">
        <f>IF(OR(R70="Preventivo",R70="Detectivo"),"Probabilidad",IF(R70="Correctivo","Impacto",""))</f>
        <v/>
      </c>
      <c r="R70" s="180"/>
      <c r="S70" s="180"/>
      <c r="T70" s="181" t="str">
        <f t="shared" si="69"/>
        <v/>
      </c>
      <c r="U70" s="180"/>
      <c r="V70" s="180"/>
      <c r="W70" s="180"/>
      <c r="X70" s="182" t="str">
        <f>IFERROR(IF(AND(Q69="Probabilidad",Q70="Probabilidad"),(Z69-(+Z69*T70)),IF(AND(Q69="Impacto",Q70="Probabilidad"),(Z68-(+Z68*T70)),IF(Q70="Impacto",Z69,""))),"")</f>
        <v/>
      </c>
      <c r="Y70" s="183" t="str">
        <f t="shared" si="1"/>
        <v/>
      </c>
      <c r="Z70" s="184" t="str">
        <f t="shared" si="70"/>
        <v/>
      </c>
      <c r="AA70" s="183" t="str">
        <f t="shared" si="3"/>
        <v/>
      </c>
      <c r="AB70" s="184" t="str">
        <f>IFERROR(IF(AND(Q69="Impacto",Q70="Impacto"),(AB69-(+AB69*T70)),IF(AND(Q69="Probabilidad",Q70="Impacto"),(AB68-(+AB68*T70)),IF(Q70="Probabilidad",AB69,""))),"")</f>
        <v/>
      </c>
      <c r="AC70" s="185" t="str">
        <f t="shared" si="71"/>
        <v/>
      </c>
      <c r="AD70" s="186"/>
      <c r="AE70" s="134"/>
      <c r="AF70" s="169"/>
      <c r="AG70" s="169"/>
      <c r="AH70" s="156"/>
      <c r="AI70" s="156"/>
    </row>
    <row r="71" spans="1:67" s="188" customFormat="1" ht="18" customHeight="1" x14ac:dyDescent="0.2">
      <c r="A71" s="341"/>
      <c r="B71" s="574"/>
      <c r="C71" s="578"/>
      <c r="D71" s="578"/>
      <c r="E71" s="576"/>
      <c r="F71" s="574"/>
      <c r="G71" s="577"/>
      <c r="H71" s="353"/>
      <c r="I71" s="350"/>
      <c r="J71" s="578"/>
      <c r="K71" s="350">
        <f>IF(NOT(ISERROR(MATCH(J71,_xlfn.ANCHORARRAY(E88),0))),I90&amp;"Por favor no seleccionar los criterios de impacto",J71)</f>
        <v>0</v>
      </c>
      <c r="L71" s="353"/>
      <c r="M71" s="350"/>
      <c r="N71" s="356"/>
      <c r="O71" s="170">
        <v>4</v>
      </c>
      <c r="P71" s="138"/>
      <c r="Q71" s="179" t="str">
        <f t="shared" ref="Q71:Q73" si="72">IF(OR(R71="Preventivo",R71="Detectivo"),"Probabilidad",IF(R71="Correctivo","Impacto",""))</f>
        <v/>
      </c>
      <c r="R71" s="180"/>
      <c r="S71" s="180"/>
      <c r="T71" s="181" t="str">
        <f t="shared" si="69"/>
        <v/>
      </c>
      <c r="U71" s="180"/>
      <c r="V71" s="180"/>
      <c r="W71" s="180"/>
      <c r="X71" s="182" t="str">
        <f t="shared" ref="X71:X72" si="73">IFERROR(IF(AND(Q70="Probabilidad",Q71="Probabilidad"),(Z70-(+Z70*T71)),IF(AND(Q70="Impacto",Q71="Probabilidad"),(Z69-(+Z69*T71)),IF(Q71="Impacto",Z70,""))),"")</f>
        <v/>
      </c>
      <c r="Y71" s="183" t="str">
        <f t="shared" si="1"/>
        <v/>
      </c>
      <c r="Z71" s="184" t="str">
        <f t="shared" si="70"/>
        <v/>
      </c>
      <c r="AA71" s="183" t="str">
        <f t="shared" si="3"/>
        <v/>
      </c>
      <c r="AB71" s="184" t="str">
        <f t="shared" ref="AB71:AB72" si="74">IFERROR(IF(AND(Q70="Impacto",Q71="Impacto"),(AB70-(+AB70*T71)),IF(AND(Q70="Probabilidad",Q71="Impacto"),(AB69-(+AB69*T71)),IF(Q71="Probabilidad",AB70,""))),"")</f>
        <v/>
      </c>
      <c r="AC71" s="185"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86"/>
      <c r="AE71" s="134"/>
      <c r="AF71" s="169"/>
      <c r="AG71" s="169"/>
      <c r="AH71" s="156"/>
      <c r="AI71" s="156"/>
    </row>
    <row r="72" spans="1:67" s="188" customFormat="1" ht="18" customHeight="1" x14ac:dyDescent="0.2">
      <c r="A72" s="341"/>
      <c r="B72" s="574"/>
      <c r="C72" s="578"/>
      <c r="D72" s="578"/>
      <c r="E72" s="576"/>
      <c r="F72" s="574"/>
      <c r="G72" s="577"/>
      <c r="H72" s="353"/>
      <c r="I72" s="350"/>
      <c r="J72" s="578"/>
      <c r="K72" s="350">
        <f>IF(NOT(ISERROR(MATCH(J72,_xlfn.ANCHORARRAY(E89),0))),I91&amp;"Por favor no seleccionar los criterios de impacto",J72)</f>
        <v>0</v>
      </c>
      <c r="L72" s="353"/>
      <c r="M72" s="350"/>
      <c r="N72" s="356"/>
      <c r="O72" s="170">
        <v>5</v>
      </c>
      <c r="P72" s="138"/>
      <c r="Q72" s="179" t="str">
        <f t="shared" si="72"/>
        <v/>
      </c>
      <c r="R72" s="180"/>
      <c r="S72" s="180"/>
      <c r="T72" s="181" t="str">
        <f t="shared" si="69"/>
        <v/>
      </c>
      <c r="U72" s="180"/>
      <c r="V72" s="180"/>
      <c r="W72" s="180"/>
      <c r="X72" s="182" t="str">
        <f t="shared" si="73"/>
        <v/>
      </c>
      <c r="Y72" s="183" t="str">
        <f t="shared" si="1"/>
        <v/>
      </c>
      <c r="Z72" s="184" t="str">
        <f t="shared" si="70"/>
        <v/>
      </c>
      <c r="AA72" s="183" t="str">
        <f t="shared" si="3"/>
        <v/>
      </c>
      <c r="AB72" s="184" t="str">
        <f t="shared" si="74"/>
        <v/>
      </c>
      <c r="AC72" s="185" t="str">
        <f t="shared" ref="AC72:AC73" si="75">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86"/>
      <c r="AE72" s="134"/>
      <c r="AF72" s="169"/>
      <c r="AG72" s="169"/>
      <c r="AH72" s="156"/>
      <c r="AI72" s="156"/>
    </row>
    <row r="73" spans="1:67" s="188" customFormat="1" ht="18" customHeight="1" x14ac:dyDescent="0.2">
      <c r="A73" s="342"/>
      <c r="B73" s="579"/>
      <c r="C73" s="583"/>
      <c r="D73" s="583"/>
      <c r="E73" s="581"/>
      <c r="F73" s="579"/>
      <c r="G73" s="582"/>
      <c r="H73" s="354"/>
      <c r="I73" s="351"/>
      <c r="J73" s="583"/>
      <c r="K73" s="351">
        <f>IF(NOT(ISERROR(MATCH(J73,_xlfn.ANCHORARRAY(E90),0))),I92&amp;"Por favor no seleccionar los criterios de impacto",J73)</f>
        <v>0</v>
      </c>
      <c r="L73" s="354"/>
      <c r="M73" s="351"/>
      <c r="N73" s="357"/>
      <c r="O73" s="170">
        <v>6</v>
      </c>
      <c r="P73" s="138"/>
      <c r="Q73" s="179" t="str">
        <f t="shared" si="72"/>
        <v/>
      </c>
      <c r="R73" s="180"/>
      <c r="S73" s="180"/>
      <c r="T73" s="181" t="str">
        <f t="shared" si="69"/>
        <v/>
      </c>
      <c r="U73" s="180"/>
      <c r="V73" s="180"/>
      <c r="W73" s="180"/>
      <c r="X73" s="182" t="str">
        <f>IFERROR(IF(AND(Q72="Probabilidad",Q73="Probabilidad"),(Z72-(+Z72*T73)),IF(AND(Q72="Impacto",Q73="Probabilidad"),(Z71-(+Z71*T73)),IF(Q73="Impacto",Z72,""))),"")</f>
        <v/>
      </c>
      <c r="Y73" s="183" t="str">
        <f t="shared" si="1"/>
        <v/>
      </c>
      <c r="Z73" s="184" t="str">
        <f t="shared" si="70"/>
        <v/>
      </c>
      <c r="AA73" s="183" t="str">
        <f t="shared" si="3"/>
        <v/>
      </c>
      <c r="AB73" s="184" t="str">
        <f>IFERROR(IF(AND(Q72="Impacto",Q73="Impacto"),(AB72-(+AB72*T73)),IF(AND(Q72="Probabilidad",Q73="Impacto"),(AB71-(+AB71*T73)),IF(Q73="Probabilidad",AB72,""))),"")</f>
        <v/>
      </c>
      <c r="AC73" s="185" t="str">
        <f t="shared" si="75"/>
        <v/>
      </c>
      <c r="AD73" s="186"/>
      <c r="AE73" s="134"/>
      <c r="AF73" s="169"/>
      <c r="AG73" s="169"/>
      <c r="AH73" s="156"/>
      <c r="AI73" s="156"/>
    </row>
    <row r="74" spans="1:67" ht="67.5" customHeight="1" x14ac:dyDescent="0.3">
      <c r="A74" s="371">
        <v>11</v>
      </c>
      <c r="B74" s="569" t="s">
        <v>168</v>
      </c>
      <c r="C74" s="573" t="s">
        <v>262</v>
      </c>
      <c r="D74" s="573" t="s">
        <v>263</v>
      </c>
      <c r="E74" s="571" t="s">
        <v>264</v>
      </c>
      <c r="F74" s="569" t="s">
        <v>172</v>
      </c>
      <c r="G74" s="572">
        <v>253</v>
      </c>
      <c r="H74" s="352" t="str">
        <f>IF(G74&lt;=0,"",IF(G74&lt;=2,"Muy Baja",IF(G74&lt;=24,"Baja",IF(G74&lt;=500,"Media",IF(G74&lt;=5000,"Alta","Muy Alta")))))</f>
        <v>Media</v>
      </c>
      <c r="I74" s="349">
        <f>IF(H74="","",IF(H74="Muy Baja",0.2,IF(H74="Baja",0.4,IF(H74="Media",0.6,IF(H74="Alta",0.8,IF(H74="Muy Alta",1,))))))</f>
        <v>0.6</v>
      </c>
      <c r="J74" s="573" t="s">
        <v>173</v>
      </c>
      <c r="K74" s="349" t="str">
        <f>IF(NOT(ISERROR(MATCH(J74,'Tabla Impacto'!$B$221:$B$223,0))),'Tabla Impacto'!$F$223&amp;"Por favor no seleccionar los criterios de impacto(Afectación Económica o presupuestal y Pérdida Reputacional)",J74)</f>
        <v xml:space="preserve">     El riesgo afecta la imagen de la entidad con algunos usuarios de relevancia frente al logro de los objetivos</v>
      </c>
      <c r="L74" s="352" t="str">
        <f>IF(OR(K74='Tabla Impacto'!$C$11,K74='Tabla Impacto'!$D$11),"Leve",IF(OR(K74='Tabla Impacto'!$C$12,K74='Tabla Impacto'!$D$12),"Menor",IF(OR(K74='Tabla Impacto'!$C$13,K74='Tabla Impacto'!$D$13),"Moderado",IF(OR(K74='Tabla Impacto'!$C$14,K74='Tabla Impacto'!$D$14),"Mayor",IF(OR(K74='Tabla Impacto'!$C$15,K74='Tabla Impacto'!$D$15),"Catastrófico","")))))</f>
        <v>Moderado</v>
      </c>
      <c r="M74" s="349">
        <f>IF(L74="","",IF(L74="Leve",0.2,IF(L74="Menor",0.4,IF(L74="Moderado",0.6,IF(L74="Mayor",0.8,IF(L74="Catastrófico",1,))))))</f>
        <v>0.6</v>
      </c>
      <c r="N74" s="355" t="str">
        <f>IF(OR(AND(H74="Muy Baja",L74="Leve"),AND(H74="Muy Baja",L74="Menor"),AND(H74="Baja",L74="Leve")),"Bajo",IF(OR(AND(H74="Muy baja",L74="Moderado"),AND(H74="Baja",L74="Menor"),AND(H74="Baja",L74="Moderado"),AND(H74="Media",L74="Leve"),AND(H74="Media",L74="Menor"),AND(H74="Media",L74="Moderado"),AND(H74="Alta",L74="Leve"),AND(H74="Alta",L74="Menor")),"Moderado",IF(OR(AND(H74="Muy Baja",L74="Mayor"),AND(H74="Baja",L74="Mayor"),AND(H74="Media",L74="Mayor"),AND(H74="Alta",L74="Moderado"),AND(H74="Alta",L74="Mayor"),AND(H74="Muy Alta",L74="Leve"),AND(H74="Muy Alta",L74="Menor"),AND(H74="Muy Alta",L74="Moderado"),AND(H74="Muy Alta",L74="Mayor")),"Alto",IF(OR(AND(H74="Muy Baja",L74="Catastrófico"),AND(H74="Baja",L74="Catastrófico"),AND(H74="Media",L74="Catastrófico"),AND(H74="Alta",L74="Catastrófico"),AND(H74="Muy Alta",L74="Catastrófico")),"Extremo",""))))</f>
        <v>Moderado</v>
      </c>
      <c r="O74" s="170">
        <v>1</v>
      </c>
      <c r="P74" s="138" t="s">
        <v>265</v>
      </c>
      <c r="Q74" s="171" t="str">
        <f t="shared" ref="Q74" si="76">IF(OR(R74="Preventivo",R74="Detectivo"),"Probabilidad",IF(R74="Correctivo","Impacto",""))</f>
        <v>Probabilidad</v>
      </c>
      <c r="R74" s="172" t="s">
        <v>175</v>
      </c>
      <c r="S74" s="172" t="s">
        <v>176</v>
      </c>
      <c r="T74" s="173" t="str">
        <f>IF(AND(R74="Preventivo",S74="Automático"),"50%",IF(AND(R74="Preventivo",S74="Manual"),"40%",IF(AND(R74="Detectivo",S74="Automático"),"40%",IF(AND(R74="Detectivo",S74="Manual"),"30%",IF(AND(R74="Correctivo",S74="Automático"),"35%",IF(AND(R74="Correctivo",S74="Manual"),"25%",""))))))</f>
        <v>40%</v>
      </c>
      <c r="U74" s="172" t="s">
        <v>177</v>
      </c>
      <c r="V74" s="172" t="s">
        <v>178</v>
      </c>
      <c r="W74" s="172" t="s">
        <v>179</v>
      </c>
      <c r="X74" s="174">
        <f>IFERROR(IF(Q74="Probabilidad",(I74-(+I74*T74)),IF(Q74="Impacto",I74,"")),"")</f>
        <v>0.36</v>
      </c>
      <c r="Y74" s="175" t="str">
        <f>IFERROR(IF(X74="","",IF(X74&lt;=0.2,"Muy Baja",IF(X74&lt;=0.4,"Baja",IF(X74&lt;=0.6,"Media",IF(X74&lt;=0.8,"Alta","Muy Alta"))))),"")</f>
        <v>Baja</v>
      </c>
      <c r="Z74" s="176">
        <f>+X74</f>
        <v>0.36</v>
      </c>
      <c r="AA74" s="175" t="str">
        <f>IFERROR(IF(AB74="","",IF(AB74&lt;=0.2,"Leve",IF(AB74&lt;=0.4,"Menor",IF(AB74&lt;=0.6,"Moderado",IF(AB74&lt;=0.8,"Mayor","Catastrófico"))))),"")</f>
        <v>Moderado</v>
      </c>
      <c r="AB74" s="176">
        <f>IFERROR(IF(Q74="Impacto",(M74-(+M74*T74)),IF(Q74="Probabilidad",M74,"")),"")</f>
        <v>0.6</v>
      </c>
      <c r="AC74" s="177"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Moderado</v>
      </c>
      <c r="AD74" s="178" t="s">
        <v>180</v>
      </c>
      <c r="AE74" s="138" t="s">
        <v>266</v>
      </c>
      <c r="AF74" s="150" t="s">
        <v>191</v>
      </c>
      <c r="AG74" s="150" t="s">
        <v>267</v>
      </c>
      <c r="AH74" s="155">
        <v>45748</v>
      </c>
      <c r="AI74" s="154">
        <v>46010</v>
      </c>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row>
    <row r="75" spans="1:67" ht="16.5" customHeight="1" x14ac:dyDescent="0.3">
      <c r="A75" s="372"/>
      <c r="B75" s="574"/>
      <c r="C75" s="578"/>
      <c r="D75" s="578"/>
      <c r="E75" s="576"/>
      <c r="F75" s="574"/>
      <c r="G75" s="577"/>
      <c r="H75" s="353"/>
      <c r="I75" s="350"/>
      <c r="J75" s="578"/>
      <c r="K75" s="350">
        <f>IF(NOT(ISERROR(MATCH(J75,_xlfn.ANCHORARRAY(E86),0))),I88&amp;"Por favor no seleccionar los criterios de impacto",J75)</f>
        <v>0</v>
      </c>
      <c r="L75" s="353"/>
      <c r="M75" s="350"/>
      <c r="N75" s="356"/>
      <c r="O75" s="170">
        <v>2</v>
      </c>
      <c r="P75" s="138"/>
      <c r="Q75" s="179" t="str">
        <f>IF(OR(R75="Preventivo",R75="Detectivo"),"Probabilidad",IF(R75="Correctivo","Impacto",""))</f>
        <v/>
      </c>
      <c r="R75" s="180"/>
      <c r="S75" s="180"/>
      <c r="T75" s="181" t="str">
        <f t="shared" ref="T75:T79" si="77">IF(AND(R75="Preventivo",S75="Automático"),"50%",IF(AND(R75="Preventivo",S75="Manual"),"40%",IF(AND(R75="Detectivo",S75="Automático"),"40%",IF(AND(R75="Detectivo",S75="Manual"),"30%",IF(AND(R75="Correctivo",S75="Automático"),"35%",IF(AND(R75="Correctivo",S75="Manual"),"25%",""))))))</f>
        <v/>
      </c>
      <c r="U75" s="180"/>
      <c r="V75" s="180"/>
      <c r="W75" s="180"/>
      <c r="X75" s="182" t="str">
        <f>IFERROR(IF(AND(Q74="Probabilidad",Q75="Probabilidad"),(Z74-(+Z74*T75)),IF(Q75="Probabilidad",(I74-(+I74*T75)),IF(Q75="Impacto",Z74,""))),"")</f>
        <v/>
      </c>
      <c r="Y75" s="183" t="str">
        <f t="shared" ref="Y75:Y79" si="78">IFERROR(IF(X75="","",IF(X75&lt;=0.2,"Muy Baja",IF(X75&lt;=0.4,"Baja",IF(X75&lt;=0.6,"Media",IF(X75&lt;=0.8,"Alta","Muy Alta"))))),"")</f>
        <v/>
      </c>
      <c r="Z75" s="184" t="str">
        <f t="shared" ref="Z75:Z79" si="79">+X75</f>
        <v/>
      </c>
      <c r="AA75" s="183" t="str">
        <f t="shared" ref="AA75:AA79" si="80">IFERROR(IF(AB75="","",IF(AB75&lt;=0.2,"Leve",IF(AB75&lt;=0.4,"Menor",IF(AB75&lt;=0.6,"Moderado",IF(AB75&lt;=0.8,"Mayor","Catastrófico"))))),"")</f>
        <v/>
      </c>
      <c r="AB75" s="184" t="str">
        <f>IFERROR(IF(AND(Q74="Impacto",Q75="Impacto"),(AB74-(+AB74*T75)),IF(Q75="Impacto",(M74-(+M74*T75)),IF(Q75="Probabilidad",AB74,""))),"")</f>
        <v/>
      </c>
      <c r="AC75" s="185" t="str">
        <f t="shared" ref="AC75:AC76" si="81">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86"/>
      <c r="AE75" s="613"/>
      <c r="AF75" s="613"/>
      <c r="AG75" s="169"/>
      <c r="AH75" s="156"/>
      <c r="AI75" s="156"/>
    </row>
    <row r="76" spans="1:67" ht="18" customHeight="1" x14ac:dyDescent="0.3">
      <c r="A76" s="372"/>
      <c r="B76" s="574"/>
      <c r="C76" s="578"/>
      <c r="D76" s="578"/>
      <c r="E76" s="576"/>
      <c r="F76" s="574"/>
      <c r="G76" s="577"/>
      <c r="H76" s="353"/>
      <c r="I76" s="350"/>
      <c r="J76" s="578"/>
      <c r="K76" s="350">
        <f>IF(NOT(ISERROR(MATCH(J76,_xlfn.ANCHORARRAY(E87),0))),I89&amp;"Por favor no seleccionar los criterios de impacto",J76)</f>
        <v>0</v>
      </c>
      <c r="L76" s="353"/>
      <c r="M76" s="350"/>
      <c r="N76" s="356"/>
      <c r="O76" s="170">
        <v>3</v>
      </c>
      <c r="P76" s="139"/>
      <c r="Q76" s="179" t="str">
        <f>IF(OR(R76="Preventivo",R76="Detectivo"),"Probabilidad",IF(R76="Correctivo","Impacto",""))</f>
        <v/>
      </c>
      <c r="R76" s="180"/>
      <c r="S76" s="180"/>
      <c r="T76" s="181" t="str">
        <f t="shared" si="77"/>
        <v/>
      </c>
      <c r="U76" s="180"/>
      <c r="V76" s="180"/>
      <c r="W76" s="180"/>
      <c r="X76" s="182" t="str">
        <f>IFERROR(IF(AND(Q75="Probabilidad",Q76="Probabilidad"),(Z75-(+Z75*T76)),IF(AND(Q75="Impacto",Q76="Probabilidad"),(Z74-(+Z74*T76)),IF(Q76="Impacto",Z75,""))),"")</f>
        <v/>
      </c>
      <c r="Y76" s="183" t="str">
        <f t="shared" si="78"/>
        <v/>
      </c>
      <c r="Z76" s="184" t="str">
        <f t="shared" si="79"/>
        <v/>
      </c>
      <c r="AA76" s="183" t="str">
        <f t="shared" si="80"/>
        <v/>
      </c>
      <c r="AB76" s="184" t="str">
        <f>IFERROR(IF(AND(Q75="Impacto",Q76="Impacto"),(AB75-(+AB75*T76)),IF(AND(Q75="Probabilidad",Q76="Impacto"),(AB74-(+AB74*T76)),IF(Q76="Probabilidad",AB75,""))),"")</f>
        <v/>
      </c>
      <c r="AC76" s="185" t="str">
        <f t="shared" si="81"/>
        <v/>
      </c>
      <c r="AD76" s="186"/>
      <c r="AE76" s="134"/>
      <c r="AF76" s="169"/>
      <c r="AG76" s="169"/>
      <c r="AH76" s="156"/>
      <c r="AI76" s="156"/>
    </row>
    <row r="77" spans="1:67" ht="18" customHeight="1" x14ac:dyDescent="0.3">
      <c r="A77" s="372"/>
      <c r="B77" s="574"/>
      <c r="C77" s="578"/>
      <c r="D77" s="578"/>
      <c r="E77" s="576"/>
      <c r="F77" s="574"/>
      <c r="G77" s="577"/>
      <c r="H77" s="353"/>
      <c r="I77" s="350"/>
      <c r="J77" s="578"/>
      <c r="K77" s="350">
        <f>IF(NOT(ISERROR(MATCH(J77,_xlfn.ANCHORARRAY(E88),0))),I90&amp;"Por favor no seleccionar los criterios de impacto",J77)</f>
        <v>0</v>
      </c>
      <c r="L77" s="353"/>
      <c r="M77" s="350"/>
      <c r="N77" s="356"/>
      <c r="O77" s="170">
        <v>4</v>
      </c>
      <c r="P77" s="138"/>
      <c r="Q77" s="179" t="str">
        <f t="shared" ref="Q77:Q79" si="82">IF(OR(R77="Preventivo",R77="Detectivo"),"Probabilidad",IF(R77="Correctivo","Impacto",""))</f>
        <v/>
      </c>
      <c r="R77" s="180"/>
      <c r="S77" s="180"/>
      <c r="T77" s="181" t="str">
        <f t="shared" si="77"/>
        <v/>
      </c>
      <c r="U77" s="180"/>
      <c r="V77" s="180"/>
      <c r="W77" s="180"/>
      <c r="X77" s="182" t="str">
        <f t="shared" ref="X77:X78" si="83">IFERROR(IF(AND(Q76="Probabilidad",Q77="Probabilidad"),(Z76-(+Z76*T77)),IF(AND(Q76="Impacto",Q77="Probabilidad"),(Z75-(+Z75*T77)),IF(Q77="Impacto",Z76,""))),"")</f>
        <v/>
      </c>
      <c r="Y77" s="183" t="str">
        <f t="shared" si="78"/>
        <v/>
      </c>
      <c r="Z77" s="184" t="str">
        <f t="shared" si="79"/>
        <v/>
      </c>
      <c r="AA77" s="183" t="str">
        <f t="shared" si="80"/>
        <v/>
      </c>
      <c r="AB77" s="184" t="str">
        <f t="shared" ref="AB77:AB78" si="84">IFERROR(IF(AND(Q76="Impacto",Q77="Impacto"),(AB76-(+AB76*T77)),IF(AND(Q76="Probabilidad",Q77="Impacto"),(AB75-(+AB75*T77)),IF(Q77="Probabilidad",AB76,""))),"")</f>
        <v/>
      </c>
      <c r="AC77" s="185" t="str">
        <f>IFERROR(IF(OR(AND(Y77="Muy Baja",AA77="Leve"),AND(Y77="Muy Baja",AA77="Menor"),AND(Y77="Baja",AA77="Leve")),"Bajo",IF(OR(AND(Y77="Muy baja",AA77="Moderado"),AND(Y77="Baja",AA77="Menor"),AND(Y77="Baja",AA77="Moderado"),AND(Y77="Media",AA77="Leve"),AND(Y77="Media",AA77="Menor"),AND(Y77="Media",AA77="Moderado"),AND(Y77="Alta",AA77="Leve"),AND(Y77="Alta",AA77="Menor")),"Moderado",IF(OR(AND(Y77="Muy Baja",AA77="Mayor"),AND(Y77="Baja",AA77="Mayor"),AND(Y77="Media",AA77="Mayor"),AND(Y77="Alta",AA77="Moderado"),AND(Y77="Alta",AA77="Mayor"),AND(Y77="Muy Alta",AA77="Leve"),AND(Y77="Muy Alta",AA77="Menor"),AND(Y77="Muy Alta",AA77="Moderado"),AND(Y77="Muy Alta",AA77="Mayor")),"Alto",IF(OR(AND(Y77="Muy Baja",AA77="Catastrófico"),AND(Y77="Baja",AA77="Catastrófico"),AND(Y77="Media",AA77="Catastrófico"),AND(Y77="Alta",AA77="Catastrófico"),AND(Y77="Muy Alta",AA77="Catastrófico")),"Extremo","")))),"")</f>
        <v/>
      </c>
      <c r="AD77" s="186"/>
      <c r="AE77" s="134"/>
      <c r="AF77" s="169"/>
      <c r="AG77" s="169"/>
      <c r="AH77" s="156"/>
      <c r="AI77" s="156"/>
    </row>
    <row r="78" spans="1:67" ht="18" customHeight="1" x14ac:dyDescent="0.3">
      <c r="A78" s="372"/>
      <c r="B78" s="574"/>
      <c r="C78" s="578"/>
      <c r="D78" s="578"/>
      <c r="E78" s="576"/>
      <c r="F78" s="574"/>
      <c r="G78" s="577"/>
      <c r="H78" s="353"/>
      <c r="I78" s="350"/>
      <c r="J78" s="578"/>
      <c r="K78" s="350">
        <f>IF(NOT(ISERROR(MATCH(J78,_xlfn.ANCHORARRAY(E89),0))),I91&amp;"Por favor no seleccionar los criterios de impacto",J78)</f>
        <v>0</v>
      </c>
      <c r="L78" s="353"/>
      <c r="M78" s="350"/>
      <c r="N78" s="356"/>
      <c r="O78" s="170">
        <v>5</v>
      </c>
      <c r="P78" s="138"/>
      <c r="Q78" s="179" t="str">
        <f t="shared" si="82"/>
        <v/>
      </c>
      <c r="R78" s="180"/>
      <c r="S78" s="180"/>
      <c r="T78" s="181" t="str">
        <f t="shared" si="77"/>
        <v/>
      </c>
      <c r="U78" s="180"/>
      <c r="V78" s="180"/>
      <c r="W78" s="180"/>
      <c r="X78" s="182" t="str">
        <f t="shared" si="83"/>
        <v/>
      </c>
      <c r="Y78" s="183" t="str">
        <f t="shared" si="78"/>
        <v/>
      </c>
      <c r="Z78" s="184" t="str">
        <f t="shared" si="79"/>
        <v/>
      </c>
      <c r="AA78" s="183" t="str">
        <f t="shared" si="80"/>
        <v/>
      </c>
      <c r="AB78" s="184" t="str">
        <f t="shared" si="84"/>
        <v/>
      </c>
      <c r="AC78" s="185" t="str">
        <f t="shared" ref="AC78:AC79" si="85">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86"/>
      <c r="AE78" s="134"/>
      <c r="AF78" s="169"/>
      <c r="AG78" s="169"/>
      <c r="AH78" s="156"/>
      <c r="AI78" s="156"/>
    </row>
    <row r="79" spans="1:67" ht="18" customHeight="1" x14ac:dyDescent="0.3">
      <c r="A79" s="373"/>
      <c r="B79" s="579"/>
      <c r="C79" s="583"/>
      <c r="D79" s="583"/>
      <c r="E79" s="581"/>
      <c r="F79" s="579"/>
      <c r="G79" s="582"/>
      <c r="H79" s="354"/>
      <c r="I79" s="351"/>
      <c r="J79" s="583"/>
      <c r="K79" s="351">
        <f>IF(NOT(ISERROR(MATCH(J79,_xlfn.ANCHORARRAY(E90),0))),I92&amp;"Por favor no seleccionar los criterios de impacto",J79)</f>
        <v>0</v>
      </c>
      <c r="L79" s="354"/>
      <c r="M79" s="351"/>
      <c r="N79" s="357"/>
      <c r="O79" s="170">
        <v>6</v>
      </c>
      <c r="P79" s="138"/>
      <c r="Q79" s="179" t="str">
        <f t="shared" si="82"/>
        <v/>
      </c>
      <c r="R79" s="180"/>
      <c r="S79" s="180"/>
      <c r="T79" s="181" t="str">
        <f t="shared" si="77"/>
        <v/>
      </c>
      <c r="U79" s="180"/>
      <c r="V79" s="180"/>
      <c r="W79" s="180"/>
      <c r="X79" s="182" t="str">
        <f>IFERROR(IF(AND(Q78="Probabilidad",Q79="Probabilidad"),(Z78-(+Z78*T79)),IF(AND(Q78="Impacto",Q79="Probabilidad"),(Z77-(+Z77*T79)),IF(Q79="Impacto",Z78,""))),"")</f>
        <v/>
      </c>
      <c r="Y79" s="183" t="str">
        <f t="shared" si="78"/>
        <v/>
      </c>
      <c r="Z79" s="184" t="str">
        <f t="shared" si="79"/>
        <v/>
      </c>
      <c r="AA79" s="183" t="str">
        <f t="shared" si="80"/>
        <v/>
      </c>
      <c r="AB79" s="184" t="str">
        <f>IFERROR(IF(AND(Q78="Impacto",Q79="Impacto"),(AB78-(+AB78*T79)),IF(AND(Q78="Probabilidad",Q79="Impacto"),(AB77-(+AB77*T79)),IF(Q79="Probabilidad",AB78,""))),"")</f>
        <v/>
      </c>
      <c r="AC79" s="185" t="str">
        <f t="shared" si="85"/>
        <v/>
      </c>
      <c r="AD79" s="186"/>
      <c r="AE79" s="134"/>
      <c r="AF79" s="169"/>
      <c r="AG79" s="169"/>
      <c r="AH79" s="156"/>
      <c r="AI79" s="156"/>
    </row>
    <row r="80" spans="1:67" ht="34.5" customHeight="1" x14ac:dyDescent="0.3">
      <c r="A80" s="6"/>
      <c r="B80" s="374" t="s">
        <v>268</v>
      </c>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6"/>
    </row>
    <row r="82" spans="1:6" x14ac:dyDescent="0.3">
      <c r="A82" s="1"/>
      <c r="B82" s="24" t="s">
        <v>269</v>
      </c>
      <c r="C82" s="1"/>
      <c r="D82" s="1"/>
      <c r="F82" s="1"/>
    </row>
  </sheetData>
  <dataConsolidate/>
  <mergeCells count="219">
    <mergeCell ref="M24:M31"/>
    <mergeCell ref="N24:N31"/>
    <mergeCell ref="F24:F31"/>
    <mergeCell ref="G24:G31"/>
    <mergeCell ref="H24:H31"/>
    <mergeCell ref="I24:I31"/>
    <mergeCell ref="L24:L31"/>
    <mergeCell ref="B18:B23"/>
    <mergeCell ref="C18:C23"/>
    <mergeCell ref="D18:D23"/>
    <mergeCell ref="E18:E23"/>
    <mergeCell ref="F18:F23"/>
    <mergeCell ref="G18:G23"/>
    <mergeCell ref="H18:H23"/>
    <mergeCell ref="I18:I23"/>
    <mergeCell ref="J18:J23"/>
    <mergeCell ref="K18:K23"/>
    <mergeCell ref="L18:L23"/>
    <mergeCell ref="K24:K31"/>
    <mergeCell ref="A74:A79"/>
    <mergeCell ref="B74:B79"/>
    <mergeCell ref="C74:C79"/>
    <mergeCell ref="D74:D79"/>
    <mergeCell ref="E74:E79"/>
    <mergeCell ref="F74:F79"/>
    <mergeCell ref="G74:G79"/>
    <mergeCell ref="B24:B31"/>
    <mergeCell ref="C24:C31"/>
    <mergeCell ref="D24:D31"/>
    <mergeCell ref="E24:E31"/>
    <mergeCell ref="D56:D61"/>
    <mergeCell ref="G32:G37"/>
    <mergeCell ref="E56:E61"/>
    <mergeCell ref="A32:A37"/>
    <mergeCell ref="B32:B37"/>
    <mergeCell ref="D32:D37"/>
    <mergeCell ref="E32:E37"/>
    <mergeCell ref="F32:F37"/>
    <mergeCell ref="C50:C55"/>
    <mergeCell ref="B44:B49"/>
    <mergeCell ref="E50:E55"/>
    <mergeCell ref="D50:D55"/>
    <mergeCell ref="A50:A55"/>
    <mergeCell ref="H74:H79"/>
    <mergeCell ref="I74:I79"/>
    <mergeCell ref="J74:J79"/>
    <mergeCell ref="K74:K79"/>
    <mergeCell ref="L74:L79"/>
    <mergeCell ref="M74:M79"/>
    <mergeCell ref="N74:N79"/>
    <mergeCell ref="L44:L49"/>
    <mergeCell ref="H32:H37"/>
    <mergeCell ref="I32:I37"/>
    <mergeCell ref="K44:K49"/>
    <mergeCell ref="L68:L73"/>
    <mergeCell ref="M68:M73"/>
    <mergeCell ref="N68:N73"/>
    <mergeCell ref="I68:I73"/>
    <mergeCell ref="N38:N43"/>
    <mergeCell ref="M44:M49"/>
    <mergeCell ref="J50:J55"/>
    <mergeCell ref="K50:K55"/>
    <mergeCell ref="L50:L55"/>
    <mergeCell ref="J44:J49"/>
    <mergeCell ref="A12:A17"/>
    <mergeCell ref="B12:B17"/>
    <mergeCell ref="C12:C17"/>
    <mergeCell ref="D12:D17"/>
    <mergeCell ref="E12:E17"/>
    <mergeCell ref="N12:N17"/>
    <mergeCell ref="I12:I17"/>
    <mergeCell ref="J12:J17"/>
    <mergeCell ref="K12:K17"/>
    <mergeCell ref="L12:L17"/>
    <mergeCell ref="M12:M17"/>
    <mergeCell ref="F12:F17"/>
    <mergeCell ref="G12:G17"/>
    <mergeCell ref="H12:H17"/>
    <mergeCell ref="G10:G11"/>
    <mergeCell ref="H10:H11"/>
    <mergeCell ref="B10:B11"/>
    <mergeCell ref="N10:N11"/>
    <mergeCell ref="AG1:AI1"/>
    <mergeCell ref="J10:J11"/>
    <mergeCell ref="K10:K11"/>
    <mergeCell ref="Q10:Q11"/>
    <mergeCell ref="R10:W10"/>
    <mergeCell ref="L10:L11"/>
    <mergeCell ref="M10:M11"/>
    <mergeCell ref="AG2:AI2"/>
    <mergeCell ref="AG3:AI3"/>
    <mergeCell ref="AG4:AI4"/>
    <mergeCell ref="E1:AF4"/>
    <mergeCell ref="AE10:AE11"/>
    <mergeCell ref="AH10:AH11"/>
    <mergeCell ref="I10:I11"/>
    <mergeCell ref="AF10:AF11"/>
    <mergeCell ref="A6:B6"/>
    <mergeCell ref="A7:B7"/>
    <mergeCell ref="A8:B8"/>
    <mergeCell ref="A10:A11"/>
    <mergeCell ref="C7:N7"/>
    <mergeCell ref="G38:G43"/>
    <mergeCell ref="H38:H43"/>
    <mergeCell ref="F10:F11"/>
    <mergeCell ref="E10:E11"/>
    <mergeCell ref="D10:D11"/>
    <mergeCell ref="C10:C11"/>
    <mergeCell ref="AD10:AD11"/>
    <mergeCell ref="P24:P26"/>
    <mergeCell ref="O24:O26"/>
    <mergeCell ref="Q24:Q26"/>
    <mergeCell ref="R24:R26"/>
    <mergeCell ref="S24:S26"/>
    <mergeCell ref="T24:T26"/>
    <mergeCell ref="U24:U26"/>
    <mergeCell ref="V24:V26"/>
    <mergeCell ref="W24:W26"/>
    <mergeCell ref="Y24:Y26"/>
    <mergeCell ref="Z24:Z26"/>
    <mergeCell ref="AA24:AA26"/>
    <mergeCell ref="AB24:AB26"/>
    <mergeCell ref="AC24:AC26"/>
    <mergeCell ref="AD24:AD26"/>
    <mergeCell ref="C32:C37"/>
    <mergeCell ref="M38:M43"/>
    <mergeCell ref="B50:B55"/>
    <mergeCell ref="A38:A43"/>
    <mergeCell ref="B38:B43"/>
    <mergeCell ref="C38:C43"/>
    <mergeCell ref="A44:A49"/>
    <mergeCell ref="C44:C49"/>
    <mergeCell ref="D44:D49"/>
    <mergeCell ref="E44:E49"/>
    <mergeCell ref="F44:F49"/>
    <mergeCell ref="D38:D43"/>
    <mergeCell ref="E38:E43"/>
    <mergeCell ref="F38:F43"/>
    <mergeCell ref="A24:A31"/>
    <mergeCell ref="A18:A23"/>
    <mergeCell ref="B80:AI80"/>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K68:K73"/>
    <mergeCell ref="AI10:AI11"/>
    <mergeCell ref="O6:Q6"/>
    <mergeCell ref="O9:W9"/>
    <mergeCell ref="X9:AD9"/>
    <mergeCell ref="J32:J37"/>
    <mergeCell ref="K32:K37"/>
    <mergeCell ref="L32:L37"/>
    <mergeCell ref="M32:M37"/>
    <mergeCell ref="N32:N37"/>
    <mergeCell ref="AG10:AG11"/>
    <mergeCell ref="AE9:AI9"/>
    <mergeCell ref="AC10:AC11"/>
    <mergeCell ref="AB10:AB11"/>
    <mergeCell ref="X10:X11"/>
    <mergeCell ref="P10:P11"/>
    <mergeCell ref="AA10:AA11"/>
    <mergeCell ref="Y10:Y11"/>
    <mergeCell ref="Z10:Z11"/>
    <mergeCell ref="C8:N8"/>
    <mergeCell ref="O10:O11"/>
    <mergeCell ref="M18:M23"/>
    <mergeCell ref="N18:N23"/>
    <mergeCell ref="X24:X26"/>
    <mergeCell ref="J24:J31"/>
    <mergeCell ref="A62:A67"/>
    <mergeCell ref="B62:B67"/>
    <mergeCell ref="C62:C67"/>
    <mergeCell ref="D62:D67"/>
    <mergeCell ref="E62:E67"/>
    <mergeCell ref="F62:F67"/>
    <mergeCell ref="G62:G67"/>
    <mergeCell ref="H62:H67"/>
    <mergeCell ref="I62:I67"/>
  </mergeCells>
  <conditionalFormatting sqref="H12 H18 Y27:Y73 Y18:Y24">
    <cfRule type="cellIs" dxfId="141" priority="554" operator="equal">
      <formula>"Muy Alta"</formula>
    </cfRule>
    <cfRule type="cellIs" dxfId="140" priority="555" operator="equal">
      <formula>"Alta"</formula>
    </cfRule>
    <cfRule type="cellIs" dxfId="139" priority="556" operator="equal">
      <formula>"Media"</formula>
    </cfRule>
    <cfRule type="cellIs" dxfId="138" priority="557" operator="equal">
      <formula>"Baja"</formula>
    </cfRule>
    <cfRule type="cellIs" dxfId="137" priority="558" operator="equal">
      <formula>"Muy Baja"</formula>
    </cfRule>
  </conditionalFormatting>
  <conditionalFormatting sqref="H24">
    <cfRule type="cellIs" dxfId="136" priority="456" operator="equal">
      <formula>"Muy Alta"</formula>
    </cfRule>
    <cfRule type="cellIs" dxfId="135" priority="457" operator="equal">
      <formula>"Alta"</formula>
    </cfRule>
    <cfRule type="cellIs" dxfId="134" priority="458" operator="equal">
      <formula>"Media"</formula>
    </cfRule>
    <cfRule type="cellIs" dxfId="133" priority="459" operator="equal">
      <formula>"Baja"</formula>
    </cfRule>
    <cfRule type="cellIs" dxfId="132" priority="460" operator="equal">
      <formula>"Muy Baja"</formula>
    </cfRule>
  </conditionalFormatting>
  <conditionalFormatting sqref="H32 H38">
    <cfRule type="cellIs" dxfId="131" priority="428" operator="equal">
      <formula>"Muy Alta"</formula>
    </cfRule>
    <cfRule type="cellIs" dxfId="130" priority="429" operator="equal">
      <formula>"Alta"</formula>
    </cfRule>
    <cfRule type="cellIs" dxfId="129" priority="430" operator="equal">
      <formula>"Media"</formula>
    </cfRule>
    <cfRule type="cellIs" dxfId="128" priority="431" operator="equal">
      <formula>"Baja"</formula>
    </cfRule>
    <cfRule type="cellIs" dxfId="127" priority="432" operator="equal">
      <formula>"Muy Baja"</formula>
    </cfRule>
  </conditionalFormatting>
  <conditionalFormatting sqref="H44">
    <cfRule type="cellIs" dxfId="126" priority="372" operator="equal">
      <formula>"Muy Alta"</formula>
    </cfRule>
    <cfRule type="cellIs" dxfId="125" priority="373" operator="equal">
      <formula>"Alta"</formula>
    </cfRule>
    <cfRule type="cellIs" dxfId="124" priority="374" operator="equal">
      <formula>"Media"</formula>
    </cfRule>
    <cfRule type="cellIs" dxfId="123" priority="375" operator="equal">
      <formula>"Baja"</formula>
    </cfRule>
    <cfRule type="cellIs" dxfId="122" priority="376" operator="equal">
      <formula>"Muy Baja"</formula>
    </cfRule>
  </conditionalFormatting>
  <conditionalFormatting sqref="H50">
    <cfRule type="cellIs" dxfId="121" priority="344" operator="equal">
      <formula>"Muy Alta"</formula>
    </cfRule>
    <cfRule type="cellIs" dxfId="120" priority="345" operator="equal">
      <formula>"Alta"</formula>
    </cfRule>
    <cfRule type="cellIs" dxfId="119" priority="346" operator="equal">
      <formula>"Media"</formula>
    </cfRule>
    <cfRule type="cellIs" dxfId="118" priority="347" operator="equal">
      <formula>"Baja"</formula>
    </cfRule>
    <cfRule type="cellIs" dxfId="117" priority="348" operator="equal">
      <formula>"Muy Baja"</formula>
    </cfRule>
  </conditionalFormatting>
  <conditionalFormatting sqref="H56">
    <cfRule type="cellIs" dxfId="116" priority="316" operator="equal">
      <formula>"Muy Alta"</formula>
    </cfRule>
    <cfRule type="cellIs" dxfId="115" priority="317" operator="equal">
      <formula>"Alta"</formula>
    </cfRule>
    <cfRule type="cellIs" dxfId="114" priority="318" operator="equal">
      <formula>"Media"</formula>
    </cfRule>
    <cfRule type="cellIs" dxfId="113" priority="319" operator="equal">
      <formula>"Baja"</formula>
    </cfRule>
    <cfRule type="cellIs" dxfId="112" priority="320" operator="equal">
      <formula>"Muy Baja"</formula>
    </cfRule>
  </conditionalFormatting>
  <conditionalFormatting sqref="H62">
    <cfRule type="cellIs" dxfId="111" priority="288" operator="equal">
      <formula>"Muy Alta"</formula>
    </cfRule>
    <cfRule type="cellIs" dxfId="110" priority="289" operator="equal">
      <formula>"Alta"</formula>
    </cfRule>
    <cfRule type="cellIs" dxfId="109" priority="290" operator="equal">
      <formula>"Media"</formula>
    </cfRule>
    <cfRule type="cellIs" dxfId="108" priority="291" operator="equal">
      <formula>"Baja"</formula>
    </cfRule>
    <cfRule type="cellIs" dxfId="107" priority="292" operator="equal">
      <formula>"Muy Baja"</formula>
    </cfRule>
  </conditionalFormatting>
  <conditionalFormatting sqref="H68">
    <cfRule type="cellIs" dxfId="106" priority="260" operator="equal">
      <formula>"Muy Alta"</formula>
    </cfRule>
    <cfRule type="cellIs" dxfId="105" priority="261" operator="equal">
      <formula>"Alta"</formula>
    </cfRule>
    <cfRule type="cellIs" dxfId="104" priority="262" operator="equal">
      <formula>"Media"</formula>
    </cfRule>
    <cfRule type="cellIs" dxfId="103" priority="263" operator="equal">
      <formula>"Baja"</formula>
    </cfRule>
    <cfRule type="cellIs" dxfId="102" priority="264" operator="equal">
      <formula>"Muy Baja"</formula>
    </cfRule>
  </conditionalFormatting>
  <conditionalFormatting sqref="K32:K73 K12:K24">
    <cfRule type="containsText" dxfId="101" priority="236" operator="containsText" text="❌">
      <formula>NOT(ISERROR(SEARCH("❌",K12)))</formula>
    </cfRule>
  </conditionalFormatting>
  <conditionalFormatting sqref="L12 L24 L32 L38 L44 L50 L56 L62 L68 AA27:AA73 AA18:AA24 L18">
    <cfRule type="cellIs" dxfId="100" priority="549" operator="equal">
      <formula>"Catastrófico"</formula>
    </cfRule>
    <cfRule type="cellIs" dxfId="99" priority="550" operator="equal">
      <formula>"Mayor"</formula>
    </cfRule>
    <cfRule type="cellIs" dxfId="98" priority="551" operator="equal">
      <formula>"Moderado"</formula>
    </cfRule>
    <cfRule type="cellIs" dxfId="97" priority="552" operator="equal">
      <formula>"Menor"</formula>
    </cfRule>
    <cfRule type="cellIs" dxfId="96" priority="553" operator="equal">
      <formula>"Leve"</formula>
    </cfRule>
  </conditionalFormatting>
  <conditionalFormatting sqref="N12 AC27:AC73 AC18:AC24">
    <cfRule type="cellIs" dxfId="95" priority="545" operator="equal">
      <formula>"Extremo"</formula>
    </cfRule>
    <cfRule type="cellIs" dxfId="94" priority="546" operator="equal">
      <formula>"Alto"</formula>
    </cfRule>
    <cfRule type="cellIs" dxfId="93" priority="547" operator="equal">
      <formula>"Moderado"</formula>
    </cfRule>
    <cfRule type="cellIs" dxfId="92" priority="548" operator="equal">
      <formula>"Bajo"</formula>
    </cfRule>
  </conditionalFormatting>
  <conditionalFormatting sqref="N18">
    <cfRule type="cellIs" dxfId="91" priority="475" operator="equal">
      <formula>"Extremo"</formula>
    </cfRule>
    <cfRule type="cellIs" dxfId="90" priority="476" operator="equal">
      <formula>"Alto"</formula>
    </cfRule>
    <cfRule type="cellIs" dxfId="89" priority="477" operator="equal">
      <formula>"Moderado"</formula>
    </cfRule>
    <cfRule type="cellIs" dxfId="88" priority="478" operator="equal">
      <formula>"Bajo"</formula>
    </cfRule>
  </conditionalFormatting>
  <conditionalFormatting sqref="N24">
    <cfRule type="cellIs" dxfId="87" priority="447" operator="equal">
      <formula>"Extremo"</formula>
    </cfRule>
    <cfRule type="cellIs" dxfId="86" priority="448" operator="equal">
      <formula>"Alto"</formula>
    </cfRule>
    <cfRule type="cellIs" dxfId="85" priority="449" operator="equal">
      <formula>"Moderado"</formula>
    </cfRule>
    <cfRule type="cellIs" dxfId="84" priority="450" operator="equal">
      <formula>"Bajo"</formula>
    </cfRule>
  </conditionalFormatting>
  <conditionalFormatting sqref="N32">
    <cfRule type="cellIs" dxfId="83" priority="419" operator="equal">
      <formula>"Extremo"</formula>
    </cfRule>
    <cfRule type="cellIs" dxfId="82" priority="420" operator="equal">
      <formula>"Alto"</formula>
    </cfRule>
    <cfRule type="cellIs" dxfId="81" priority="421" operator="equal">
      <formula>"Moderado"</formula>
    </cfRule>
    <cfRule type="cellIs" dxfId="80" priority="422" operator="equal">
      <formula>"Bajo"</formula>
    </cfRule>
  </conditionalFormatting>
  <conditionalFormatting sqref="N38">
    <cfRule type="cellIs" dxfId="79" priority="391" operator="equal">
      <formula>"Extremo"</formula>
    </cfRule>
    <cfRule type="cellIs" dxfId="78" priority="392" operator="equal">
      <formula>"Alto"</formula>
    </cfRule>
    <cfRule type="cellIs" dxfId="77" priority="393" operator="equal">
      <formula>"Moderado"</formula>
    </cfRule>
    <cfRule type="cellIs" dxfId="76" priority="394" operator="equal">
      <formula>"Bajo"</formula>
    </cfRule>
  </conditionalFormatting>
  <conditionalFormatting sqref="N44">
    <cfRule type="cellIs" dxfId="75" priority="363" operator="equal">
      <formula>"Extremo"</formula>
    </cfRule>
    <cfRule type="cellIs" dxfId="74" priority="364" operator="equal">
      <formula>"Alto"</formula>
    </cfRule>
    <cfRule type="cellIs" dxfId="73" priority="365" operator="equal">
      <formula>"Moderado"</formula>
    </cfRule>
    <cfRule type="cellIs" dxfId="72" priority="366" operator="equal">
      <formula>"Bajo"</formula>
    </cfRule>
  </conditionalFormatting>
  <conditionalFormatting sqref="N50">
    <cfRule type="cellIs" dxfId="71" priority="335" operator="equal">
      <formula>"Extremo"</formula>
    </cfRule>
    <cfRule type="cellIs" dxfId="70" priority="336" operator="equal">
      <formula>"Alto"</formula>
    </cfRule>
    <cfRule type="cellIs" dxfId="69" priority="337" operator="equal">
      <formula>"Moderado"</formula>
    </cfRule>
    <cfRule type="cellIs" dxfId="68" priority="338" operator="equal">
      <formula>"Bajo"</formula>
    </cfRule>
  </conditionalFormatting>
  <conditionalFormatting sqref="N56">
    <cfRule type="cellIs" dxfId="67" priority="307" operator="equal">
      <formula>"Extremo"</formula>
    </cfRule>
    <cfRule type="cellIs" dxfId="66" priority="308" operator="equal">
      <formula>"Alto"</formula>
    </cfRule>
    <cfRule type="cellIs" dxfId="65" priority="309" operator="equal">
      <formula>"Moderado"</formula>
    </cfRule>
    <cfRule type="cellIs" dxfId="64" priority="310" operator="equal">
      <formula>"Bajo"</formula>
    </cfRule>
  </conditionalFormatting>
  <conditionalFormatting sqref="N62">
    <cfRule type="cellIs" dxfId="63" priority="279" operator="equal">
      <formula>"Extremo"</formula>
    </cfRule>
    <cfRule type="cellIs" dxfId="62" priority="280" operator="equal">
      <formula>"Alto"</formula>
    </cfRule>
    <cfRule type="cellIs" dxfId="61" priority="281" operator="equal">
      <formula>"Moderado"</formula>
    </cfRule>
    <cfRule type="cellIs" dxfId="60" priority="282" operator="equal">
      <formula>"Bajo"</formula>
    </cfRule>
  </conditionalFormatting>
  <conditionalFormatting sqref="N68">
    <cfRule type="cellIs" dxfId="59" priority="251" operator="equal">
      <formula>"Extremo"</formula>
    </cfRule>
    <cfRule type="cellIs" dxfId="58" priority="252" operator="equal">
      <formula>"Alto"</formula>
    </cfRule>
    <cfRule type="cellIs" dxfId="57" priority="253" operator="equal">
      <formula>"Moderado"</formula>
    </cfRule>
    <cfRule type="cellIs" dxfId="56" priority="254" operator="equal">
      <formula>"Bajo"</formula>
    </cfRule>
  </conditionalFormatting>
  <conditionalFormatting sqref="Y12:Y13 Y15:Y17">
    <cfRule type="cellIs" dxfId="55" priority="246" operator="equal">
      <formula>"Muy Alta"</formula>
    </cfRule>
    <cfRule type="cellIs" dxfId="54" priority="247" operator="equal">
      <formula>"Alta"</formula>
    </cfRule>
    <cfRule type="cellIs" dxfId="53" priority="248" operator="equal">
      <formula>"Media"</formula>
    </cfRule>
    <cfRule type="cellIs" dxfId="52" priority="249" operator="equal">
      <formula>"Baja"</formula>
    </cfRule>
    <cfRule type="cellIs" dxfId="51" priority="250" operator="equal">
      <formula>"Muy Baja"</formula>
    </cfRule>
  </conditionalFormatting>
  <conditionalFormatting sqref="AA12:AA13 AA15:AA17">
    <cfRule type="cellIs" dxfId="50" priority="241" operator="equal">
      <formula>"Catastrófico"</formula>
    </cfRule>
    <cfRule type="cellIs" dxfId="49" priority="242" operator="equal">
      <formula>"Mayor"</formula>
    </cfRule>
    <cfRule type="cellIs" dxfId="48" priority="243" operator="equal">
      <formula>"Moderado"</formula>
    </cfRule>
    <cfRule type="cellIs" dxfId="47" priority="244" operator="equal">
      <formula>"Menor"</formula>
    </cfRule>
    <cfRule type="cellIs" dxfId="46" priority="245" operator="equal">
      <formula>"Leve"</formula>
    </cfRule>
  </conditionalFormatting>
  <conditionalFormatting sqref="AC12:AC13 AC15:AC17">
    <cfRule type="cellIs" dxfId="45" priority="237" operator="equal">
      <formula>"Extremo"</formula>
    </cfRule>
    <cfRule type="cellIs" dxfId="44" priority="238" operator="equal">
      <formula>"Alto"</formula>
    </cfRule>
    <cfRule type="cellIs" dxfId="43" priority="239" operator="equal">
      <formula>"Moderado"</formula>
    </cfRule>
    <cfRule type="cellIs" dxfId="42" priority="240" operator="equal">
      <formula>"Bajo"</formula>
    </cfRule>
  </conditionalFormatting>
  <conditionalFormatting sqref="Y14">
    <cfRule type="cellIs" dxfId="41" priority="43" operator="equal">
      <formula>"Muy Alta"</formula>
    </cfRule>
    <cfRule type="cellIs" dxfId="40" priority="44" operator="equal">
      <formula>"Alta"</formula>
    </cfRule>
    <cfRule type="cellIs" dxfId="39" priority="45" operator="equal">
      <formula>"Media"</formula>
    </cfRule>
    <cfRule type="cellIs" dxfId="38" priority="46" operator="equal">
      <formula>"Baja"</formula>
    </cfRule>
    <cfRule type="cellIs" dxfId="37" priority="47" operator="equal">
      <formula>"Muy Baja"</formula>
    </cfRule>
  </conditionalFormatting>
  <conditionalFormatting sqref="AA14">
    <cfRule type="cellIs" dxfId="36" priority="38" operator="equal">
      <formula>"Catastrófico"</formula>
    </cfRule>
    <cfRule type="cellIs" dxfId="35" priority="39" operator="equal">
      <formula>"Mayor"</formula>
    </cfRule>
    <cfRule type="cellIs" dxfId="34" priority="40" operator="equal">
      <formula>"Moderado"</formula>
    </cfRule>
    <cfRule type="cellIs" dxfId="33" priority="41" operator="equal">
      <formula>"Menor"</formula>
    </cfRule>
    <cfRule type="cellIs" dxfId="32" priority="42" operator="equal">
      <formula>"Leve"</formula>
    </cfRule>
  </conditionalFormatting>
  <conditionalFormatting sqref="AC14">
    <cfRule type="cellIs" dxfId="31" priority="34" operator="equal">
      <formula>"Extremo"</formula>
    </cfRule>
    <cfRule type="cellIs" dxfId="30" priority="35" operator="equal">
      <formula>"Alto"</formula>
    </cfRule>
    <cfRule type="cellIs" dxfId="29" priority="36" operator="equal">
      <formula>"Moderado"</formula>
    </cfRule>
    <cfRule type="cellIs" dxfId="28" priority="37" operator="equal">
      <formula>"Bajo"</formula>
    </cfRule>
  </conditionalFormatting>
  <conditionalFormatting sqref="Y74:Y79">
    <cfRule type="cellIs" dxfId="27" priority="29" operator="equal">
      <formula>"Muy Alta"</formula>
    </cfRule>
    <cfRule type="cellIs" dxfId="26" priority="30" operator="equal">
      <formula>"Alta"</formula>
    </cfRule>
    <cfRule type="cellIs" dxfId="25" priority="31" operator="equal">
      <formula>"Media"</formula>
    </cfRule>
    <cfRule type="cellIs" dxfId="24" priority="32" operator="equal">
      <formula>"Baja"</formula>
    </cfRule>
    <cfRule type="cellIs" dxfId="23" priority="33" operator="equal">
      <formula>"Muy Baja"</formula>
    </cfRule>
  </conditionalFormatting>
  <conditionalFormatting sqref="K74:K79">
    <cfRule type="containsText" dxfId="22" priority="10" operator="containsText" text="❌">
      <formula>NOT(ISERROR(SEARCH("❌",K74)))</formula>
    </cfRule>
  </conditionalFormatting>
  <conditionalFormatting sqref="L74 AA74:AA79">
    <cfRule type="cellIs" dxfId="21" priority="24" operator="equal">
      <formula>"Catastrófico"</formula>
    </cfRule>
    <cfRule type="cellIs" dxfId="20" priority="25" operator="equal">
      <formula>"Mayor"</formula>
    </cfRule>
    <cfRule type="cellIs" dxfId="19" priority="26" operator="equal">
      <formula>"Moderado"</formula>
    </cfRule>
    <cfRule type="cellIs" dxfId="18" priority="27" operator="equal">
      <formula>"Menor"</formula>
    </cfRule>
    <cfRule type="cellIs" dxfId="17" priority="28" operator="equal">
      <formula>"Leve"</formula>
    </cfRule>
  </conditionalFormatting>
  <conditionalFormatting sqref="AC74:AC79">
    <cfRule type="cellIs" dxfId="16" priority="20" operator="equal">
      <formula>"Extremo"</formula>
    </cfRule>
    <cfRule type="cellIs" dxfId="15" priority="21" operator="equal">
      <formula>"Alto"</formula>
    </cfRule>
    <cfRule type="cellIs" dxfId="14" priority="22" operator="equal">
      <formula>"Moderado"</formula>
    </cfRule>
    <cfRule type="cellIs" dxfId="13" priority="23" operator="equal">
      <formula>"Bajo"</formula>
    </cfRule>
  </conditionalFormatting>
  <conditionalFormatting sqref="H74">
    <cfRule type="cellIs" dxfId="12" priority="5" operator="equal">
      <formula>"Muy Alta"</formula>
    </cfRule>
    <cfRule type="cellIs" dxfId="11" priority="6" operator="equal">
      <formula>"Alta"</formula>
    </cfRule>
    <cfRule type="cellIs" dxfId="10" priority="7" operator="equal">
      <formula>"Media"</formula>
    </cfRule>
    <cfRule type="cellIs" dxfId="9" priority="8" operator="equal">
      <formula>"Baja"</formula>
    </cfRule>
    <cfRule type="cellIs" dxfId="8" priority="9" operator="equal">
      <formula>"Muy Baja"</formula>
    </cfRule>
  </conditionalFormatting>
  <conditionalFormatting sqref="N74">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R12:R24 R27:R79</xm:sqref>
        </x14:dataValidation>
        <x14:dataValidation type="list" allowBlank="1" showInputMessage="1" showErrorMessage="1" xr:uid="{00000000-0002-0000-0200-000001000000}">
          <x14:formula1>
            <xm:f>'Tabla Valoración controles'!$D$7:$D$8</xm:f>
          </x14:formula1>
          <xm:sqref>S12:S24 S27:S79</xm:sqref>
        </x14:dataValidation>
        <x14:dataValidation type="list" allowBlank="1" showInputMessage="1" showErrorMessage="1" xr:uid="{00000000-0002-0000-0200-000002000000}">
          <x14:formula1>
            <xm:f>'Tabla Valoración controles'!$D$9:$D$10</xm:f>
          </x14:formula1>
          <xm:sqref>U12:U24 U27:U79</xm:sqref>
        </x14:dataValidation>
        <x14:dataValidation type="list" allowBlank="1" showInputMessage="1" showErrorMessage="1" xr:uid="{00000000-0002-0000-0200-000003000000}">
          <x14:formula1>
            <xm:f>'Tabla Valoración controles'!$D$11:$D$12</xm:f>
          </x14:formula1>
          <xm:sqref>V12:V24 V27:V79</xm:sqref>
        </x14:dataValidation>
        <x14:dataValidation type="list" allowBlank="1" showInputMessage="1" showErrorMessage="1" xr:uid="{00000000-0002-0000-0200-000004000000}">
          <x14:formula1>
            <xm:f>'Tabla Valoración controles'!$D$13:$D$14</xm:f>
          </x14:formula1>
          <xm:sqref>W12:W24 W27:W79</xm:sqref>
        </x14:dataValidation>
        <x14:dataValidation type="list" allowBlank="1" showInputMessage="1" showErrorMessage="1" xr:uid="{00000000-0002-0000-0200-000005000000}">
          <x14:formula1>
            <xm:f>'Opciones Tratamiento'!$B$13:$B$19</xm:f>
          </x14:formula1>
          <xm:sqref>F24 F12:F18 F32:F79</xm:sqref>
        </x14:dataValidation>
        <x14:dataValidation type="list" allowBlank="1" showInputMessage="1" showErrorMessage="1" xr:uid="{00000000-0002-0000-0200-000006000000}">
          <x14:formula1>
            <xm:f>'Opciones Tratamiento'!$E$2:$E$4</xm:f>
          </x14:formula1>
          <xm:sqref>B24 B12:B18 B32:B79</xm:sqref>
        </x14:dataValidation>
        <x14:dataValidation type="list" allowBlank="1" showInputMessage="1" showErrorMessage="1" xr:uid="{00000000-0002-0000-0200-000007000000}">
          <x14:formula1>
            <xm:f>'Opciones Tratamiento'!$B$2:$B$5</xm:f>
          </x14:formula1>
          <xm:sqref>AD12:AD24 AD27:AD79</xm:sqref>
        </x14:dataValidation>
        <x14:dataValidation type="list" allowBlank="1" showInputMessage="1" showErrorMessage="1" xr:uid="{00000000-0002-0000-0200-000008000000}">
          <x14:formula1>
            <xm:f>'Tabla Impacto'!$F$210:$F$221</xm:f>
          </x14:formula1>
          <xm:sqref>J24 J12:J18 J32:J79</xm:sqref>
        </x14:dataValidation>
        <x14:dataValidation type="custom" allowBlank="1" showInputMessage="1" showErrorMessage="1" error="Recuerde que las acciones se generan bajo la medida de mitigar el riesgo" xr:uid="{00000000-0002-0000-0200-000009000000}">
          <x14:formula1>
            <xm:f>IF(OR(AD15='Opciones Tratamiento'!$B$2,AD15='Opciones Tratamiento'!$B$3,AD15='Opciones Tratamiento'!$B$4),ISBLANK(AD15),ISTEXT(AD15))</xm:f>
          </x14:formula1>
          <xm:sqref>AE15:AE17 AE19:AE23 AE27:AE31 AE33:AE37 AE57:AE61 AE63:AE67 AE41:AE43 AE52:AE55 AE46:AE49 AE69:AE73 AE76:AE79</xm:sqref>
        </x14:dataValidation>
        <x14:dataValidation type="custom" allowBlank="1" showInputMessage="1" showErrorMessage="1" error="Recuerde que las acciones se generan bajo la medida de mitigar el riesgo" xr:uid="{00000000-0002-0000-0200-00000A000000}">
          <x14:formula1>
            <xm:f>IF(OR(AD15='Opciones Tratamiento'!$B$2,AD15='Opciones Tratamiento'!$B$3,AD15='Opciones Tratamiento'!$B$4),ISBLANK(AD15),ISTEXT(AD15))</xm:f>
          </x14:formula1>
          <xm:sqref>AF15:AG17 AF19:AG23 AF27:AG31 AF33:AG37 AF63:AG67 AF52:AF55 AF46:AG49 AF57:AG61 AG51:AG55 AF41:AG43 AF69:AG73 AF76:AF79 AG75:AG79</xm:sqref>
        </x14:dataValidation>
        <x14:dataValidation type="custom" allowBlank="1" showInputMessage="1" showErrorMessage="1" error="Recuerde que las acciones se generan bajo la medida de mitigar el riesgo" xr:uid="{00000000-0002-0000-0200-00000B000000}">
          <x14:formula1>
            <xm:f>IF(OR(AD15='Opciones Tratamiento'!$B$2,AD15='Opciones Tratamiento'!$B$3,AD15='Opciones Tratamiento'!$B$4),ISBLANK(AD15),ISTEXT(AD15))</xm:f>
          </x14:formula1>
          <xm:sqref>AH15:AI17 AH19:AI23 AH27:AI31 AH33:AI37 AH63:AI67 AH46:AI49 AH57:AI61 AH51:AI55 AH41:AI43 AH69:AI73 AH75:AI79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BI43" sqref="BI4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97" t="s">
        <v>270</v>
      </c>
      <c r="C2" s="497"/>
      <c r="D2" s="497"/>
      <c r="E2" s="497"/>
      <c r="F2" s="497"/>
      <c r="G2" s="497"/>
      <c r="H2" s="497"/>
      <c r="I2" s="497"/>
      <c r="J2" s="465" t="s">
        <v>26</v>
      </c>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97"/>
      <c r="C3" s="497"/>
      <c r="D3" s="497"/>
      <c r="E3" s="497"/>
      <c r="F3" s="497"/>
      <c r="G3" s="497"/>
      <c r="H3" s="497"/>
      <c r="I3" s="497"/>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97"/>
      <c r="C4" s="497"/>
      <c r="D4" s="497"/>
      <c r="E4" s="497"/>
      <c r="F4" s="497"/>
      <c r="G4" s="497"/>
      <c r="H4" s="497"/>
      <c r="I4" s="497"/>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12" t="s">
        <v>271</v>
      </c>
      <c r="C6" s="412"/>
      <c r="D6" s="413"/>
      <c r="E6" s="450" t="s">
        <v>272</v>
      </c>
      <c r="F6" s="451"/>
      <c r="G6" s="451"/>
      <c r="H6" s="451"/>
      <c r="I6" s="452"/>
      <c r="J6" s="461" t="str">
        <f>IF(AND('Mapa de Riesgos'!$H$12="Muy Alta",'Mapa de Riesgos'!$L$12="Leve"),CONCATENATE("R",'Mapa de Riesgos'!$A$12),"")</f>
        <v/>
      </c>
      <c r="K6" s="462"/>
      <c r="L6" s="462" t="str">
        <f>IF(AND('Mapa de Riesgos'!$H$18="Muy Alta",'Mapa de Riesgos'!$L$18="Leve"),CONCATENATE("R",'Mapa de Riesgos'!$A$18),"")</f>
        <v/>
      </c>
      <c r="M6" s="462"/>
      <c r="N6" s="462" t="str">
        <f>IF(AND('Mapa de Riesgos'!$H$24="Muy Alta",'Mapa de Riesgos'!$L$24="Leve"),CONCATENATE("R",'Mapa de Riesgos'!$A$24),"")</f>
        <v/>
      </c>
      <c r="O6" s="464"/>
      <c r="P6" s="461" t="str">
        <f>IF(AND('Mapa de Riesgos'!$H$12="Muy Alta",'Mapa de Riesgos'!$L$12="Menor"),CONCATENATE("R",'Mapa de Riesgos'!$A$12),"")</f>
        <v/>
      </c>
      <c r="Q6" s="462"/>
      <c r="R6" s="462" t="str">
        <f>IF(AND('Mapa de Riesgos'!$H$18="Muy Alta",'Mapa de Riesgos'!$L$18="Menor"),CONCATENATE("R",'Mapa de Riesgos'!$A$18),"")</f>
        <v/>
      </c>
      <c r="S6" s="462"/>
      <c r="T6" s="462" t="str">
        <f>IF(AND('Mapa de Riesgos'!$H$24="Muy Alta",'Mapa de Riesgos'!$L$24="Menor"),CONCATENATE("R",'Mapa de Riesgos'!$A$24),"")</f>
        <v/>
      </c>
      <c r="U6" s="464"/>
      <c r="V6" s="461" t="str">
        <f>IF(AND('Mapa de Riesgos'!$H$12="Muy Alta",'Mapa de Riesgos'!$L$12="Moderado"),CONCATENATE("R",'Mapa de Riesgos'!$A$12),"")</f>
        <v/>
      </c>
      <c r="W6" s="462"/>
      <c r="X6" s="462" t="str">
        <f>IF(AND('Mapa de Riesgos'!$H$18="Muy Alta",'Mapa de Riesgos'!$L$18="Moderado"),CONCATENATE("R",'Mapa de Riesgos'!$A$18),"")</f>
        <v/>
      </c>
      <c r="Y6" s="462"/>
      <c r="Z6" s="462" t="str">
        <f>IF(AND('Mapa de Riesgos'!$H$24="Muy Alta",'Mapa de Riesgos'!$L$24="Moderado"),CONCATENATE("R",'Mapa de Riesgos'!$A$24),"")</f>
        <v/>
      </c>
      <c r="AA6" s="464"/>
      <c r="AB6" s="461" t="str">
        <f>IF(AND('Mapa de Riesgos'!$H$12="Muy Alta",'Mapa de Riesgos'!$L$12="Mayor"),CONCATENATE("R",'Mapa de Riesgos'!$A$12),"")</f>
        <v/>
      </c>
      <c r="AC6" s="462"/>
      <c r="AD6" s="462" t="str">
        <f>IF(AND('Mapa de Riesgos'!$H$18="Muy Alta",'Mapa de Riesgos'!$L$18="Mayor"),CONCATENATE("R",'Mapa de Riesgos'!$A$18),"")</f>
        <v/>
      </c>
      <c r="AE6" s="462"/>
      <c r="AF6" s="462" t="str">
        <f>IF(AND('Mapa de Riesgos'!$H$24="Muy Alta",'Mapa de Riesgos'!$L$24="Mayor"),CONCATENATE("R",'Mapa de Riesgos'!$A$24),"")</f>
        <v/>
      </c>
      <c r="AG6" s="464"/>
      <c r="AH6" s="476" t="str">
        <f>IF(AND('Mapa de Riesgos'!$H$12="Muy Alta",'Mapa de Riesgos'!$L$12="Catastrófico"),CONCATENATE("R",'Mapa de Riesgos'!$A$12),"")</f>
        <v/>
      </c>
      <c r="AI6" s="477"/>
      <c r="AJ6" s="477" t="str">
        <f>IF(AND('Mapa de Riesgos'!$H$18="Muy Alta",'Mapa de Riesgos'!$L$18="Catastrófico"),CONCATENATE("R",'Mapa de Riesgos'!$A$18),"")</f>
        <v/>
      </c>
      <c r="AK6" s="477"/>
      <c r="AL6" s="477" t="str">
        <f>IF(AND('Mapa de Riesgos'!$H$24="Muy Alta",'Mapa de Riesgos'!$L$24="Catastrófico"),CONCATENATE("R",'Mapa de Riesgos'!$A$24),"")</f>
        <v/>
      </c>
      <c r="AM6" s="478"/>
      <c r="AO6" s="414" t="s">
        <v>273</v>
      </c>
      <c r="AP6" s="415"/>
      <c r="AQ6" s="415"/>
      <c r="AR6" s="415"/>
      <c r="AS6" s="415"/>
      <c r="AT6" s="41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12"/>
      <c r="C7" s="412"/>
      <c r="D7" s="413"/>
      <c r="E7" s="453"/>
      <c r="F7" s="454"/>
      <c r="G7" s="454"/>
      <c r="H7" s="454"/>
      <c r="I7" s="455"/>
      <c r="J7" s="463"/>
      <c r="K7" s="459"/>
      <c r="L7" s="459"/>
      <c r="M7" s="459"/>
      <c r="N7" s="459"/>
      <c r="O7" s="460"/>
      <c r="P7" s="463"/>
      <c r="Q7" s="459"/>
      <c r="R7" s="459"/>
      <c r="S7" s="459"/>
      <c r="T7" s="459"/>
      <c r="U7" s="460"/>
      <c r="V7" s="463"/>
      <c r="W7" s="459"/>
      <c r="X7" s="459"/>
      <c r="Y7" s="459"/>
      <c r="Z7" s="459"/>
      <c r="AA7" s="460"/>
      <c r="AB7" s="463"/>
      <c r="AC7" s="459"/>
      <c r="AD7" s="459"/>
      <c r="AE7" s="459"/>
      <c r="AF7" s="459"/>
      <c r="AG7" s="460"/>
      <c r="AH7" s="470"/>
      <c r="AI7" s="471"/>
      <c r="AJ7" s="471"/>
      <c r="AK7" s="471"/>
      <c r="AL7" s="471"/>
      <c r="AM7" s="472"/>
      <c r="AN7" s="83"/>
      <c r="AO7" s="417"/>
      <c r="AP7" s="418"/>
      <c r="AQ7" s="418"/>
      <c r="AR7" s="418"/>
      <c r="AS7" s="418"/>
      <c r="AT7" s="41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12"/>
      <c r="C8" s="412"/>
      <c r="D8" s="413"/>
      <c r="E8" s="453"/>
      <c r="F8" s="454"/>
      <c r="G8" s="454"/>
      <c r="H8" s="454"/>
      <c r="I8" s="455"/>
      <c r="J8" s="463" t="str">
        <f>IF(AND('Mapa de Riesgos'!$H$32="Muy Alta",'Mapa de Riesgos'!$L$32="Leve"),CONCATENATE("R",'Mapa de Riesgos'!$A$32),"")</f>
        <v/>
      </c>
      <c r="K8" s="459"/>
      <c r="L8" s="459" t="str">
        <f>IF(AND('Mapa de Riesgos'!$H$38="Muy Alta",'Mapa de Riesgos'!$L$38="Leve"),CONCATENATE("R",'Mapa de Riesgos'!$A$38),"")</f>
        <v/>
      </c>
      <c r="M8" s="459"/>
      <c r="N8" s="459" t="str">
        <f>IF(AND('Mapa de Riesgos'!$H$44="Muy Alta",'Mapa de Riesgos'!$L$44="Leve"),CONCATENATE("R",'Mapa de Riesgos'!$A$44),"")</f>
        <v/>
      </c>
      <c r="O8" s="460"/>
      <c r="P8" s="463" t="str">
        <f>IF(AND('Mapa de Riesgos'!$H$32="Muy Alta",'Mapa de Riesgos'!$L$32="Menor"),CONCATENATE("R",'Mapa de Riesgos'!$A$32),"")</f>
        <v/>
      </c>
      <c r="Q8" s="459"/>
      <c r="R8" s="459" t="str">
        <f>IF(AND('Mapa de Riesgos'!$H$38="Muy Alta",'Mapa de Riesgos'!$L$38="Menor"),CONCATENATE("R",'Mapa de Riesgos'!$A$38),"")</f>
        <v/>
      </c>
      <c r="S8" s="459"/>
      <c r="T8" s="459" t="str">
        <f>IF(AND('Mapa de Riesgos'!$H$44="Muy Alta",'Mapa de Riesgos'!$L$44="Menor"),CONCATENATE("R",'Mapa de Riesgos'!$A$44),"")</f>
        <v/>
      </c>
      <c r="U8" s="460"/>
      <c r="V8" s="463" t="str">
        <f>IF(AND('Mapa de Riesgos'!$H$32="Muy Alta",'Mapa de Riesgos'!$L$32="Moderado"),CONCATENATE("R",'Mapa de Riesgos'!$A$32),"")</f>
        <v/>
      </c>
      <c r="W8" s="459"/>
      <c r="X8" s="459" t="str">
        <f>IF(AND('Mapa de Riesgos'!$H$38="Muy Alta",'Mapa de Riesgos'!$L$38="Moderado"),CONCATENATE("R",'Mapa de Riesgos'!$A$38),"")</f>
        <v/>
      </c>
      <c r="Y8" s="459"/>
      <c r="Z8" s="459" t="str">
        <f>IF(AND('Mapa de Riesgos'!$H$44="Muy Alta",'Mapa de Riesgos'!$L$44="Moderado"),CONCATENATE("R",'Mapa de Riesgos'!$A$44),"")</f>
        <v/>
      </c>
      <c r="AA8" s="460"/>
      <c r="AB8" s="463" t="str">
        <f>IF(AND('Mapa de Riesgos'!$H$32="Muy Alta",'Mapa de Riesgos'!$L$32="Mayor"),CONCATENATE("R",'Mapa de Riesgos'!$A$32),"")</f>
        <v/>
      </c>
      <c r="AC8" s="459"/>
      <c r="AD8" s="459" t="str">
        <f>IF(AND('Mapa de Riesgos'!$H$38="Muy Alta",'Mapa de Riesgos'!$L$38="Mayor"),CONCATENATE("R",'Mapa de Riesgos'!$A$38),"")</f>
        <v/>
      </c>
      <c r="AE8" s="459"/>
      <c r="AF8" s="459" t="str">
        <f>IF(AND('Mapa de Riesgos'!$H$44="Muy Alta",'Mapa de Riesgos'!$L$44="Mayor"),CONCATENATE("R",'Mapa de Riesgos'!$A$44),"")</f>
        <v/>
      </c>
      <c r="AG8" s="460"/>
      <c r="AH8" s="470" t="str">
        <f>IF(AND('Mapa de Riesgos'!$H$32="Muy Alta",'Mapa de Riesgos'!$L$32="Catastrófico"),CONCATENATE("R",'Mapa de Riesgos'!$A$32),"")</f>
        <v/>
      </c>
      <c r="AI8" s="471"/>
      <c r="AJ8" s="471" t="str">
        <f>IF(AND('Mapa de Riesgos'!$H$38="Muy Alta",'Mapa de Riesgos'!$L$38="Catastrófico"),CONCATENATE("R",'Mapa de Riesgos'!$A$38),"")</f>
        <v/>
      </c>
      <c r="AK8" s="471"/>
      <c r="AL8" s="471" t="str">
        <f>IF(AND('Mapa de Riesgos'!$H$44="Muy Alta",'Mapa de Riesgos'!$L$44="Catastrófico"),CONCATENATE("R",'Mapa de Riesgos'!$A$44),"")</f>
        <v/>
      </c>
      <c r="AM8" s="472"/>
      <c r="AN8" s="83"/>
      <c r="AO8" s="417"/>
      <c r="AP8" s="418"/>
      <c r="AQ8" s="418"/>
      <c r="AR8" s="418"/>
      <c r="AS8" s="418"/>
      <c r="AT8" s="41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12"/>
      <c r="C9" s="412"/>
      <c r="D9" s="413"/>
      <c r="E9" s="453"/>
      <c r="F9" s="454"/>
      <c r="G9" s="454"/>
      <c r="H9" s="454"/>
      <c r="I9" s="455"/>
      <c r="J9" s="463"/>
      <c r="K9" s="459"/>
      <c r="L9" s="459"/>
      <c r="M9" s="459"/>
      <c r="N9" s="459"/>
      <c r="O9" s="460"/>
      <c r="P9" s="463"/>
      <c r="Q9" s="459"/>
      <c r="R9" s="459"/>
      <c r="S9" s="459"/>
      <c r="T9" s="459"/>
      <c r="U9" s="460"/>
      <c r="V9" s="463"/>
      <c r="W9" s="459"/>
      <c r="X9" s="459"/>
      <c r="Y9" s="459"/>
      <c r="Z9" s="459"/>
      <c r="AA9" s="460"/>
      <c r="AB9" s="463"/>
      <c r="AC9" s="459"/>
      <c r="AD9" s="459"/>
      <c r="AE9" s="459"/>
      <c r="AF9" s="459"/>
      <c r="AG9" s="460"/>
      <c r="AH9" s="470"/>
      <c r="AI9" s="471"/>
      <c r="AJ9" s="471"/>
      <c r="AK9" s="471"/>
      <c r="AL9" s="471"/>
      <c r="AM9" s="472"/>
      <c r="AN9" s="83"/>
      <c r="AO9" s="417"/>
      <c r="AP9" s="418"/>
      <c r="AQ9" s="418"/>
      <c r="AR9" s="418"/>
      <c r="AS9" s="418"/>
      <c r="AT9" s="41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12"/>
      <c r="C10" s="412"/>
      <c r="D10" s="413"/>
      <c r="E10" s="453"/>
      <c r="F10" s="454"/>
      <c r="G10" s="454"/>
      <c r="H10" s="454"/>
      <c r="I10" s="455"/>
      <c r="J10" s="463" t="str">
        <f>IF(AND('Mapa de Riesgos'!$H$50="Muy Alta",'Mapa de Riesgos'!$L$50="Leve"),CONCATENATE("R",'Mapa de Riesgos'!$A$50),"")</f>
        <v/>
      </c>
      <c r="K10" s="459"/>
      <c r="L10" s="459" t="str">
        <f>IF(AND('Mapa de Riesgos'!$H$56="Muy Alta",'Mapa de Riesgos'!$L$56="Leve"),CONCATENATE("R",'Mapa de Riesgos'!$A$56),"")</f>
        <v/>
      </c>
      <c r="M10" s="459"/>
      <c r="N10" s="459" t="str">
        <f>IF(AND('Mapa de Riesgos'!$H$62="Muy Alta",'Mapa de Riesgos'!$L$62="Leve"),CONCATENATE("R",'Mapa de Riesgos'!$A$62),"")</f>
        <v/>
      </c>
      <c r="O10" s="460"/>
      <c r="P10" s="463" t="str">
        <f>IF(AND('Mapa de Riesgos'!$H$50="Muy Alta",'Mapa de Riesgos'!$L$50="Menor"),CONCATENATE("R",'Mapa de Riesgos'!$A$50),"")</f>
        <v/>
      </c>
      <c r="Q10" s="459"/>
      <c r="R10" s="459" t="str">
        <f>IF(AND('Mapa de Riesgos'!$H$56="Muy Alta",'Mapa de Riesgos'!$L$56="Menor"),CONCATENATE("R",'Mapa de Riesgos'!$A$56),"")</f>
        <v/>
      </c>
      <c r="S10" s="459"/>
      <c r="T10" s="459" t="str">
        <f>IF(AND('Mapa de Riesgos'!$H$62="Muy Alta",'Mapa de Riesgos'!$L$62="Menor"),CONCATENATE("R",'Mapa de Riesgos'!$A$62),"")</f>
        <v/>
      </c>
      <c r="U10" s="460"/>
      <c r="V10" s="463" t="str">
        <f>IF(AND('Mapa de Riesgos'!$H$50="Muy Alta",'Mapa de Riesgos'!$L$50="Moderado"),CONCATENATE("R",'Mapa de Riesgos'!$A$50),"")</f>
        <v/>
      </c>
      <c r="W10" s="459"/>
      <c r="X10" s="459" t="str">
        <f>IF(AND('Mapa de Riesgos'!$H$56="Muy Alta",'Mapa de Riesgos'!$L$56="Moderado"),CONCATENATE("R",'Mapa de Riesgos'!$A$56),"")</f>
        <v/>
      </c>
      <c r="Y10" s="459"/>
      <c r="Z10" s="459" t="str">
        <f>IF(AND('Mapa de Riesgos'!$H$62="Muy Alta",'Mapa de Riesgos'!$L$62="Moderado"),CONCATENATE("R",'Mapa de Riesgos'!$A$62),"")</f>
        <v/>
      </c>
      <c r="AA10" s="460"/>
      <c r="AB10" s="463" t="str">
        <f>IF(AND('Mapa de Riesgos'!$H$50="Muy Alta",'Mapa de Riesgos'!$L$50="Mayor"),CONCATENATE("R",'Mapa de Riesgos'!$A$50),"")</f>
        <v/>
      </c>
      <c r="AC10" s="459"/>
      <c r="AD10" s="459" t="str">
        <f>IF(AND('Mapa de Riesgos'!$H$56="Muy Alta",'Mapa de Riesgos'!$L$56="Mayor"),CONCATENATE("R",'Mapa de Riesgos'!$A$56),"")</f>
        <v/>
      </c>
      <c r="AE10" s="459"/>
      <c r="AF10" s="459" t="str">
        <f>IF(AND('Mapa de Riesgos'!$H$62="Muy Alta",'Mapa de Riesgos'!$L$62="Mayor"),CONCATENATE("R",'Mapa de Riesgos'!$A$62),"")</f>
        <v/>
      </c>
      <c r="AG10" s="460"/>
      <c r="AH10" s="470" t="str">
        <f>IF(AND('Mapa de Riesgos'!$H$50="Muy Alta",'Mapa de Riesgos'!$L$50="Catastrófico"),CONCATENATE("R",'Mapa de Riesgos'!$A$50),"")</f>
        <v/>
      </c>
      <c r="AI10" s="471"/>
      <c r="AJ10" s="471" t="str">
        <f>IF(AND('Mapa de Riesgos'!$H$56="Muy Alta",'Mapa de Riesgos'!$L$56="Catastrófico"),CONCATENATE("R",'Mapa de Riesgos'!$A$56),"")</f>
        <v/>
      </c>
      <c r="AK10" s="471"/>
      <c r="AL10" s="471" t="str">
        <f>IF(AND('Mapa de Riesgos'!$H$62="Muy Alta",'Mapa de Riesgos'!$L$62="Catastrófico"),CONCATENATE("R",'Mapa de Riesgos'!$A$62),"")</f>
        <v/>
      </c>
      <c r="AM10" s="472"/>
      <c r="AN10" s="83"/>
      <c r="AO10" s="417"/>
      <c r="AP10" s="418"/>
      <c r="AQ10" s="418"/>
      <c r="AR10" s="418"/>
      <c r="AS10" s="418"/>
      <c r="AT10" s="41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12"/>
      <c r="C11" s="412"/>
      <c r="D11" s="413"/>
      <c r="E11" s="453"/>
      <c r="F11" s="454"/>
      <c r="G11" s="454"/>
      <c r="H11" s="454"/>
      <c r="I11" s="455"/>
      <c r="J11" s="463"/>
      <c r="K11" s="459"/>
      <c r="L11" s="459"/>
      <c r="M11" s="459"/>
      <c r="N11" s="459"/>
      <c r="O11" s="460"/>
      <c r="P11" s="463"/>
      <c r="Q11" s="459"/>
      <c r="R11" s="459"/>
      <c r="S11" s="459"/>
      <c r="T11" s="459"/>
      <c r="U11" s="460"/>
      <c r="V11" s="463"/>
      <c r="W11" s="459"/>
      <c r="X11" s="459"/>
      <c r="Y11" s="459"/>
      <c r="Z11" s="459"/>
      <c r="AA11" s="460"/>
      <c r="AB11" s="463"/>
      <c r="AC11" s="459"/>
      <c r="AD11" s="459"/>
      <c r="AE11" s="459"/>
      <c r="AF11" s="459"/>
      <c r="AG11" s="460"/>
      <c r="AH11" s="470"/>
      <c r="AI11" s="471"/>
      <c r="AJ11" s="471"/>
      <c r="AK11" s="471"/>
      <c r="AL11" s="471"/>
      <c r="AM11" s="472"/>
      <c r="AN11" s="83"/>
      <c r="AO11" s="417"/>
      <c r="AP11" s="418"/>
      <c r="AQ11" s="418"/>
      <c r="AR11" s="418"/>
      <c r="AS11" s="418"/>
      <c r="AT11" s="41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12"/>
      <c r="C12" s="412"/>
      <c r="D12" s="413"/>
      <c r="E12" s="453"/>
      <c r="F12" s="454"/>
      <c r="G12" s="454"/>
      <c r="H12" s="454"/>
      <c r="I12" s="455"/>
      <c r="J12" s="463" t="str">
        <f>IF(AND('Mapa de Riesgos'!$H$68="Muy Alta",'Mapa de Riesgos'!$L$68="Leve"),CONCATENATE("R",'Mapa de Riesgos'!$A$68),"")</f>
        <v/>
      </c>
      <c r="K12" s="459"/>
      <c r="L12" s="459" t="str">
        <f>IF(AND('Mapa de Riesgos'!$H$80="Muy Alta",'Mapa de Riesgos'!$L$80="Leve"),CONCATENATE("R",'Mapa de Riesgos'!$A$80),"")</f>
        <v/>
      </c>
      <c r="M12" s="459"/>
      <c r="N12" s="459" t="str">
        <f>IF(AND('Mapa de Riesgos'!$H$86="Muy Alta",'Mapa de Riesgos'!$L$86="Leve"),CONCATENATE("R",'Mapa de Riesgos'!$A$86),"")</f>
        <v/>
      </c>
      <c r="O12" s="460"/>
      <c r="P12" s="463" t="str">
        <f>IF(AND('Mapa de Riesgos'!$H$68="Muy Alta",'Mapa de Riesgos'!$L$68="Menor"),CONCATENATE("R",'Mapa de Riesgos'!$A$68),"")</f>
        <v/>
      </c>
      <c r="Q12" s="459"/>
      <c r="R12" s="459" t="str">
        <f>IF(AND('Mapa de Riesgos'!$H$80="Muy Alta",'Mapa de Riesgos'!$L$80="Menor"),CONCATENATE("R",'Mapa de Riesgos'!$A$80),"")</f>
        <v/>
      </c>
      <c r="S12" s="459"/>
      <c r="T12" s="459" t="str">
        <f>IF(AND('Mapa de Riesgos'!$H$86="Muy Alta",'Mapa de Riesgos'!$L$86="Menor"),CONCATENATE("R",'Mapa de Riesgos'!$A$86),"")</f>
        <v/>
      </c>
      <c r="U12" s="460"/>
      <c r="V12" s="463" t="str">
        <f>IF(AND('Mapa de Riesgos'!$H$68="Muy Alta",'Mapa de Riesgos'!$L$68="Moderado"),CONCATENATE("R",'Mapa de Riesgos'!$A$68),"")</f>
        <v/>
      </c>
      <c r="W12" s="459"/>
      <c r="X12" s="459" t="str">
        <f>IF(AND('Mapa de Riesgos'!$H$80="Muy Alta",'Mapa de Riesgos'!$L$80="Moderado"),CONCATENATE("R",'Mapa de Riesgos'!$A$80),"")</f>
        <v/>
      </c>
      <c r="Y12" s="459"/>
      <c r="Z12" s="459" t="str">
        <f>IF(AND('Mapa de Riesgos'!$H$86="Muy Alta",'Mapa de Riesgos'!$L$86="Moderado"),CONCATENATE("R",'Mapa de Riesgos'!$A$86),"")</f>
        <v/>
      </c>
      <c r="AA12" s="460"/>
      <c r="AB12" s="463" t="str">
        <f>IF(AND('Mapa de Riesgos'!$H$68="Muy Alta",'Mapa de Riesgos'!$L$68="Mayor"),CONCATENATE("R",'Mapa de Riesgos'!$A$68),"")</f>
        <v/>
      </c>
      <c r="AC12" s="459"/>
      <c r="AD12" s="459" t="str">
        <f>IF(AND('Mapa de Riesgos'!$H$80="Muy Alta",'Mapa de Riesgos'!$L$80="Mayor"),CONCATENATE("R",'Mapa de Riesgos'!$A$80),"")</f>
        <v/>
      </c>
      <c r="AE12" s="459"/>
      <c r="AF12" s="459" t="str">
        <f>IF(AND('Mapa de Riesgos'!$H$86="Muy Alta",'Mapa de Riesgos'!$L$86="Mayor"),CONCATENATE("R",'Mapa de Riesgos'!$A$86),"")</f>
        <v/>
      </c>
      <c r="AG12" s="460"/>
      <c r="AH12" s="470" t="str">
        <f>IF(AND('Mapa de Riesgos'!$H$68="Muy Alta",'Mapa de Riesgos'!$L$68="Catastrófico"),CONCATENATE("R",'Mapa de Riesgos'!$A$68),"")</f>
        <v/>
      </c>
      <c r="AI12" s="471"/>
      <c r="AJ12" s="471" t="str">
        <f>IF(AND('Mapa de Riesgos'!$H$80="Muy Alta",'Mapa de Riesgos'!$L$80="Catastrófico"),CONCATENATE("R",'Mapa de Riesgos'!$A$80),"")</f>
        <v/>
      </c>
      <c r="AK12" s="471"/>
      <c r="AL12" s="471" t="str">
        <f>IF(AND('Mapa de Riesgos'!$H$86="Muy Alta",'Mapa de Riesgos'!$L$86="Catastrófico"),CONCATENATE("R",'Mapa de Riesgos'!$A$86),"")</f>
        <v/>
      </c>
      <c r="AM12" s="472"/>
      <c r="AN12" s="83"/>
      <c r="AO12" s="417"/>
      <c r="AP12" s="418"/>
      <c r="AQ12" s="418"/>
      <c r="AR12" s="418"/>
      <c r="AS12" s="418"/>
      <c r="AT12" s="41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12"/>
      <c r="C13" s="412"/>
      <c r="D13" s="413"/>
      <c r="E13" s="456"/>
      <c r="F13" s="457"/>
      <c r="G13" s="457"/>
      <c r="H13" s="457"/>
      <c r="I13" s="458"/>
      <c r="J13" s="463"/>
      <c r="K13" s="459"/>
      <c r="L13" s="459"/>
      <c r="M13" s="459"/>
      <c r="N13" s="459"/>
      <c r="O13" s="460"/>
      <c r="P13" s="463"/>
      <c r="Q13" s="459"/>
      <c r="R13" s="459"/>
      <c r="S13" s="459"/>
      <c r="T13" s="459"/>
      <c r="U13" s="460"/>
      <c r="V13" s="463"/>
      <c r="W13" s="459"/>
      <c r="X13" s="459"/>
      <c r="Y13" s="459"/>
      <c r="Z13" s="459"/>
      <c r="AA13" s="460"/>
      <c r="AB13" s="463"/>
      <c r="AC13" s="459"/>
      <c r="AD13" s="459"/>
      <c r="AE13" s="459"/>
      <c r="AF13" s="459"/>
      <c r="AG13" s="460"/>
      <c r="AH13" s="473"/>
      <c r="AI13" s="474"/>
      <c r="AJ13" s="474"/>
      <c r="AK13" s="474"/>
      <c r="AL13" s="474"/>
      <c r="AM13" s="475"/>
      <c r="AN13" s="83"/>
      <c r="AO13" s="420"/>
      <c r="AP13" s="421"/>
      <c r="AQ13" s="421"/>
      <c r="AR13" s="421"/>
      <c r="AS13" s="421"/>
      <c r="AT13" s="42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12"/>
      <c r="C14" s="412"/>
      <c r="D14" s="413"/>
      <c r="E14" s="450" t="s">
        <v>274</v>
      </c>
      <c r="F14" s="451"/>
      <c r="G14" s="451"/>
      <c r="H14" s="451"/>
      <c r="I14" s="451"/>
      <c r="J14" s="485" t="str">
        <f>IF(AND('Mapa de Riesgos'!$H$12="Alta",'Mapa de Riesgos'!$L$12="Leve"),CONCATENATE("R",'Mapa de Riesgos'!$A$12),"")</f>
        <v/>
      </c>
      <c r="K14" s="486"/>
      <c r="L14" s="486" t="str">
        <f>IF(AND('Mapa de Riesgos'!$H$18="Alta",'Mapa de Riesgos'!$L$18="Leve"),CONCATENATE("R",'Mapa de Riesgos'!$A$18),"")</f>
        <v/>
      </c>
      <c r="M14" s="486"/>
      <c r="N14" s="486" t="str">
        <f>IF(AND('Mapa de Riesgos'!$H$24="Alta",'Mapa de Riesgos'!$L$24="Leve"),CONCATENATE("R",'Mapa de Riesgos'!$A$24),"")</f>
        <v/>
      </c>
      <c r="O14" s="487"/>
      <c r="P14" s="485" t="str">
        <f>IF(AND('Mapa de Riesgos'!$H$12="Alta",'Mapa de Riesgos'!$L$12="Menor"),CONCATENATE("R",'Mapa de Riesgos'!$A$12),"")</f>
        <v/>
      </c>
      <c r="Q14" s="486"/>
      <c r="R14" s="486" t="str">
        <f>IF(AND('Mapa de Riesgos'!$H$18="Alta",'Mapa de Riesgos'!$L$18="Menor"),CONCATENATE("R",'Mapa de Riesgos'!$A$18),"")</f>
        <v/>
      </c>
      <c r="S14" s="486"/>
      <c r="T14" s="486" t="str">
        <f>IF(AND('Mapa de Riesgos'!$H$24="Alta",'Mapa de Riesgos'!$L$24="Menor"),CONCATENATE("R",'Mapa de Riesgos'!$A$24),"")</f>
        <v/>
      </c>
      <c r="U14" s="487"/>
      <c r="V14" s="461" t="str">
        <f>IF(AND('Mapa de Riesgos'!$H$12="Alta",'Mapa de Riesgos'!$L$12="Moderado"),CONCATENATE("R",'Mapa de Riesgos'!$A$12),"")</f>
        <v/>
      </c>
      <c r="W14" s="462"/>
      <c r="X14" s="462" t="str">
        <f>IF(AND('Mapa de Riesgos'!$H$18="Alta",'Mapa de Riesgos'!$L$18="Moderado"),CONCATENATE("R",'Mapa de Riesgos'!$A$18),"")</f>
        <v/>
      </c>
      <c r="Y14" s="462"/>
      <c r="Z14" s="462" t="str">
        <f>IF(AND('Mapa de Riesgos'!$H$24="Alta",'Mapa de Riesgos'!$L$24="Moderado"),CONCATENATE("R",'Mapa de Riesgos'!$A$24),"")</f>
        <v/>
      </c>
      <c r="AA14" s="464"/>
      <c r="AB14" s="461" t="str">
        <f>IF(AND('Mapa de Riesgos'!$H$12="Alta",'Mapa de Riesgos'!$L$12="Mayor"),CONCATENATE("R",'Mapa de Riesgos'!$A$12),"")</f>
        <v/>
      </c>
      <c r="AC14" s="462"/>
      <c r="AD14" s="462" t="str">
        <f>IF(AND('Mapa de Riesgos'!$H$18="Alta",'Mapa de Riesgos'!$L$18="Mayor"),CONCATENATE("R",'Mapa de Riesgos'!$A$18),"")</f>
        <v/>
      </c>
      <c r="AE14" s="462"/>
      <c r="AF14" s="462" t="str">
        <f>IF(AND('Mapa de Riesgos'!$H$24="Alta",'Mapa de Riesgos'!$L$24="Mayor"),CONCATENATE("R",'Mapa de Riesgos'!$A$24),"")</f>
        <v/>
      </c>
      <c r="AG14" s="464"/>
      <c r="AH14" s="476" t="str">
        <f>IF(AND('Mapa de Riesgos'!$H$12="Alta",'Mapa de Riesgos'!$L$12="Catastrófico"),CONCATENATE("R",'Mapa de Riesgos'!$A$12),"")</f>
        <v/>
      </c>
      <c r="AI14" s="477"/>
      <c r="AJ14" s="477" t="str">
        <f>IF(AND('Mapa de Riesgos'!$H$18="Alta",'Mapa de Riesgos'!$L$18="Catastrófico"),CONCATENATE("R",'Mapa de Riesgos'!$A$18),"")</f>
        <v/>
      </c>
      <c r="AK14" s="477"/>
      <c r="AL14" s="477" t="str">
        <f>IF(AND('Mapa de Riesgos'!$H$24="Alta",'Mapa de Riesgos'!$L$24="Catastrófico"),CONCATENATE("R",'Mapa de Riesgos'!$A$24),"")</f>
        <v/>
      </c>
      <c r="AM14" s="478"/>
      <c r="AN14" s="83"/>
      <c r="AO14" s="423" t="s">
        <v>275</v>
      </c>
      <c r="AP14" s="424"/>
      <c r="AQ14" s="424"/>
      <c r="AR14" s="424"/>
      <c r="AS14" s="424"/>
      <c r="AT14" s="42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12"/>
      <c r="C15" s="412"/>
      <c r="D15" s="413"/>
      <c r="E15" s="453"/>
      <c r="F15" s="454"/>
      <c r="G15" s="454"/>
      <c r="H15" s="454"/>
      <c r="I15" s="454"/>
      <c r="J15" s="479"/>
      <c r="K15" s="480"/>
      <c r="L15" s="480"/>
      <c r="M15" s="480"/>
      <c r="N15" s="480"/>
      <c r="O15" s="481"/>
      <c r="P15" s="479"/>
      <c r="Q15" s="480"/>
      <c r="R15" s="480"/>
      <c r="S15" s="480"/>
      <c r="T15" s="480"/>
      <c r="U15" s="481"/>
      <c r="V15" s="463"/>
      <c r="W15" s="459"/>
      <c r="X15" s="459"/>
      <c r="Y15" s="459"/>
      <c r="Z15" s="459"/>
      <c r="AA15" s="460"/>
      <c r="AB15" s="463"/>
      <c r="AC15" s="459"/>
      <c r="AD15" s="459"/>
      <c r="AE15" s="459"/>
      <c r="AF15" s="459"/>
      <c r="AG15" s="460"/>
      <c r="AH15" s="470"/>
      <c r="AI15" s="471"/>
      <c r="AJ15" s="471"/>
      <c r="AK15" s="471"/>
      <c r="AL15" s="471"/>
      <c r="AM15" s="472"/>
      <c r="AN15" s="83"/>
      <c r="AO15" s="426"/>
      <c r="AP15" s="427"/>
      <c r="AQ15" s="427"/>
      <c r="AR15" s="427"/>
      <c r="AS15" s="427"/>
      <c r="AT15" s="42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12"/>
      <c r="C16" s="412"/>
      <c r="D16" s="413"/>
      <c r="E16" s="453"/>
      <c r="F16" s="454"/>
      <c r="G16" s="454"/>
      <c r="H16" s="454"/>
      <c r="I16" s="454"/>
      <c r="J16" s="479" t="str">
        <f>IF(AND('Mapa de Riesgos'!$H$32="Alta",'Mapa de Riesgos'!$L$32="Leve"),CONCATENATE("R",'Mapa de Riesgos'!$A$32),"")</f>
        <v/>
      </c>
      <c r="K16" s="480"/>
      <c r="L16" s="480" t="str">
        <f>IF(AND('Mapa de Riesgos'!$H$38="Alta",'Mapa de Riesgos'!$L$38="Leve"),CONCATENATE("R",'Mapa de Riesgos'!$A$38),"")</f>
        <v/>
      </c>
      <c r="M16" s="480"/>
      <c r="N16" s="480" t="str">
        <f>IF(AND('Mapa de Riesgos'!$H$44="Alta",'Mapa de Riesgos'!$L$44="Leve"),CONCATENATE("R",'Mapa de Riesgos'!$A$44),"")</f>
        <v/>
      </c>
      <c r="O16" s="481"/>
      <c r="P16" s="479" t="str">
        <f>IF(AND('Mapa de Riesgos'!$H$32="Alta",'Mapa de Riesgos'!$L$32="Menor"),CONCATENATE("R",'Mapa de Riesgos'!$A$32),"")</f>
        <v/>
      </c>
      <c r="Q16" s="480"/>
      <c r="R16" s="480" t="str">
        <f>IF(AND('Mapa de Riesgos'!$H$38="Alta",'Mapa de Riesgos'!$L$38="Menor"),CONCATENATE("R",'Mapa de Riesgos'!$A$38),"")</f>
        <v/>
      </c>
      <c r="S16" s="480"/>
      <c r="T16" s="480" t="str">
        <f>IF(AND('Mapa de Riesgos'!$H$44="Alta",'Mapa de Riesgos'!$L$44="Menor"),CONCATENATE("R",'Mapa de Riesgos'!$A$44),"")</f>
        <v/>
      </c>
      <c r="U16" s="481"/>
      <c r="V16" s="463" t="str">
        <f>IF(AND('Mapa de Riesgos'!$H$32="Alta",'Mapa de Riesgos'!$L$32="Moderado"),CONCATENATE("R",'Mapa de Riesgos'!$A$32),"")</f>
        <v/>
      </c>
      <c r="W16" s="459"/>
      <c r="X16" s="459" t="str">
        <f>IF(AND('Mapa de Riesgos'!$H$38="Alta",'Mapa de Riesgos'!$L$38="Moderado"),CONCATENATE("R",'Mapa de Riesgos'!$A$38),"")</f>
        <v/>
      </c>
      <c r="Y16" s="459"/>
      <c r="Z16" s="459" t="str">
        <f>IF(AND('Mapa de Riesgos'!$H$44="Alta",'Mapa de Riesgos'!$L$44="Moderado"),CONCATENATE("R",'Mapa de Riesgos'!$A$44),"")</f>
        <v/>
      </c>
      <c r="AA16" s="460"/>
      <c r="AB16" s="463" t="str">
        <f>IF(AND('Mapa de Riesgos'!$H$32="Alta",'Mapa de Riesgos'!$L$32="Mayor"),CONCATENATE("R",'Mapa de Riesgos'!$A$32),"")</f>
        <v/>
      </c>
      <c r="AC16" s="459"/>
      <c r="AD16" s="459" t="str">
        <f>IF(AND('Mapa de Riesgos'!$H$38="Alta",'Mapa de Riesgos'!$L$38="Mayor"),CONCATENATE("R",'Mapa de Riesgos'!$A$38),"")</f>
        <v/>
      </c>
      <c r="AE16" s="459"/>
      <c r="AF16" s="459" t="str">
        <f>IF(AND('Mapa de Riesgos'!$H$44="Alta",'Mapa de Riesgos'!$L$44="Mayor"),CONCATENATE("R",'Mapa de Riesgos'!$A$44),"")</f>
        <v/>
      </c>
      <c r="AG16" s="460"/>
      <c r="AH16" s="470" t="str">
        <f>IF(AND('Mapa de Riesgos'!$H$32="Alta",'Mapa de Riesgos'!$L$32="Catastrófico"),CONCATENATE("R",'Mapa de Riesgos'!$A$32),"")</f>
        <v/>
      </c>
      <c r="AI16" s="471"/>
      <c r="AJ16" s="471" t="str">
        <f>IF(AND('Mapa de Riesgos'!$H$38="Alta",'Mapa de Riesgos'!$L$38="Catastrófico"),CONCATENATE("R",'Mapa de Riesgos'!$A$38),"")</f>
        <v/>
      </c>
      <c r="AK16" s="471"/>
      <c r="AL16" s="471" t="str">
        <f>IF(AND('Mapa de Riesgos'!$H$44="Alta",'Mapa de Riesgos'!$L$44="Catastrófico"),CONCATENATE("R",'Mapa de Riesgos'!$A$44),"")</f>
        <v/>
      </c>
      <c r="AM16" s="472"/>
      <c r="AN16" s="83"/>
      <c r="AO16" s="426"/>
      <c r="AP16" s="427"/>
      <c r="AQ16" s="427"/>
      <c r="AR16" s="427"/>
      <c r="AS16" s="427"/>
      <c r="AT16" s="42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12"/>
      <c r="C17" s="412"/>
      <c r="D17" s="413"/>
      <c r="E17" s="453"/>
      <c r="F17" s="454"/>
      <c r="G17" s="454"/>
      <c r="H17" s="454"/>
      <c r="I17" s="454"/>
      <c r="J17" s="479"/>
      <c r="K17" s="480"/>
      <c r="L17" s="480"/>
      <c r="M17" s="480"/>
      <c r="N17" s="480"/>
      <c r="O17" s="481"/>
      <c r="P17" s="479"/>
      <c r="Q17" s="480"/>
      <c r="R17" s="480"/>
      <c r="S17" s="480"/>
      <c r="T17" s="480"/>
      <c r="U17" s="481"/>
      <c r="V17" s="463"/>
      <c r="W17" s="459"/>
      <c r="X17" s="459"/>
      <c r="Y17" s="459"/>
      <c r="Z17" s="459"/>
      <c r="AA17" s="460"/>
      <c r="AB17" s="463"/>
      <c r="AC17" s="459"/>
      <c r="AD17" s="459"/>
      <c r="AE17" s="459"/>
      <c r="AF17" s="459"/>
      <c r="AG17" s="460"/>
      <c r="AH17" s="470"/>
      <c r="AI17" s="471"/>
      <c r="AJ17" s="471"/>
      <c r="AK17" s="471"/>
      <c r="AL17" s="471"/>
      <c r="AM17" s="472"/>
      <c r="AN17" s="83"/>
      <c r="AO17" s="426"/>
      <c r="AP17" s="427"/>
      <c r="AQ17" s="427"/>
      <c r="AR17" s="427"/>
      <c r="AS17" s="427"/>
      <c r="AT17" s="42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12"/>
      <c r="C18" s="412"/>
      <c r="D18" s="413"/>
      <c r="E18" s="453"/>
      <c r="F18" s="454"/>
      <c r="G18" s="454"/>
      <c r="H18" s="454"/>
      <c r="I18" s="454"/>
      <c r="J18" s="479" t="str">
        <f>IF(AND('Mapa de Riesgos'!$H$50="Alta",'Mapa de Riesgos'!$L$50="Leve"),CONCATENATE("R",'Mapa de Riesgos'!$A$50),"")</f>
        <v/>
      </c>
      <c r="K18" s="480"/>
      <c r="L18" s="480" t="str">
        <f>IF(AND('Mapa de Riesgos'!$H$56="Alta",'Mapa de Riesgos'!$L$56="Leve"),CONCATENATE("R",'Mapa de Riesgos'!$A$56),"")</f>
        <v/>
      </c>
      <c r="M18" s="480"/>
      <c r="N18" s="480" t="str">
        <f>IF(AND('Mapa de Riesgos'!$H$62="Alta",'Mapa de Riesgos'!$L$62="Leve"),CONCATENATE("R",'Mapa de Riesgos'!$A$62),"")</f>
        <v/>
      </c>
      <c r="O18" s="481"/>
      <c r="P18" s="479" t="str">
        <f>IF(AND('Mapa de Riesgos'!$H$50="Alta",'Mapa de Riesgos'!$L$50="Menor"),CONCATENATE("R",'Mapa de Riesgos'!$A$50),"")</f>
        <v/>
      </c>
      <c r="Q18" s="480"/>
      <c r="R18" s="480" t="str">
        <f>IF(AND('Mapa de Riesgos'!$H$56="Alta",'Mapa de Riesgos'!$L$56="Menor"),CONCATENATE("R",'Mapa de Riesgos'!$A$56),"")</f>
        <v/>
      </c>
      <c r="S18" s="480"/>
      <c r="T18" s="480" t="str">
        <f>IF(AND('Mapa de Riesgos'!$H$62="Alta",'Mapa de Riesgos'!$L$62="Menor"),CONCATENATE("R",'Mapa de Riesgos'!$A$62),"")</f>
        <v/>
      </c>
      <c r="U18" s="481"/>
      <c r="V18" s="463" t="str">
        <f>IF(AND('Mapa de Riesgos'!$H$50="Alta",'Mapa de Riesgos'!$L$50="Moderado"),CONCATENATE("R",'Mapa de Riesgos'!$A$50),"")</f>
        <v/>
      </c>
      <c r="W18" s="459"/>
      <c r="X18" s="459" t="str">
        <f>IF(AND('Mapa de Riesgos'!$H$56="Alta",'Mapa de Riesgos'!$L$56="Moderado"),CONCATENATE("R",'Mapa de Riesgos'!$A$56),"")</f>
        <v/>
      </c>
      <c r="Y18" s="459"/>
      <c r="Z18" s="459" t="str">
        <f>IF(AND('Mapa de Riesgos'!$H$62="Alta",'Mapa de Riesgos'!$L$62="Moderado"),CONCATENATE("R",'Mapa de Riesgos'!$A$62),"")</f>
        <v/>
      </c>
      <c r="AA18" s="460"/>
      <c r="AB18" s="463" t="str">
        <f>IF(AND('Mapa de Riesgos'!$H$50="Alta",'Mapa de Riesgos'!$L$50="Mayor"),CONCATENATE("R",'Mapa de Riesgos'!$A$50),"")</f>
        <v/>
      </c>
      <c r="AC18" s="459"/>
      <c r="AD18" s="459" t="str">
        <f>IF(AND('Mapa de Riesgos'!$H$56="Alta",'Mapa de Riesgos'!$L$56="Mayor"),CONCATENATE("R",'Mapa de Riesgos'!$A$56),"")</f>
        <v/>
      </c>
      <c r="AE18" s="459"/>
      <c r="AF18" s="459" t="str">
        <f>IF(AND('Mapa de Riesgos'!$H$62="Alta",'Mapa de Riesgos'!$L$62="Mayor"),CONCATENATE("R",'Mapa de Riesgos'!$A$62),"")</f>
        <v/>
      </c>
      <c r="AG18" s="460"/>
      <c r="AH18" s="470" t="str">
        <f>IF(AND('Mapa de Riesgos'!$H$50="Alta",'Mapa de Riesgos'!$L$50="Catastrófico"),CONCATENATE("R",'Mapa de Riesgos'!$A$50),"")</f>
        <v/>
      </c>
      <c r="AI18" s="471"/>
      <c r="AJ18" s="471" t="str">
        <f>IF(AND('Mapa de Riesgos'!$H$56="Alta",'Mapa de Riesgos'!$L$56="Catastrófico"),CONCATENATE("R",'Mapa de Riesgos'!$A$56),"")</f>
        <v/>
      </c>
      <c r="AK18" s="471"/>
      <c r="AL18" s="471" t="str">
        <f>IF(AND('Mapa de Riesgos'!$H$62="Alta",'Mapa de Riesgos'!$L$62="Catastrófico"),CONCATENATE("R",'Mapa de Riesgos'!$A$62),"")</f>
        <v/>
      </c>
      <c r="AM18" s="472"/>
      <c r="AN18" s="83"/>
      <c r="AO18" s="426"/>
      <c r="AP18" s="427"/>
      <c r="AQ18" s="427"/>
      <c r="AR18" s="427"/>
      <c r="AS18" s="427"/>
      <c r="AT18" s="42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12"/>
      <c r="C19" s="412"/>
      <c r="D19" s="413"/>
      <c r="E19" s="453"/>
      <c r="F19" s="454"/>
      <c r="G19" s="454"/>
      <c r="H19" s="454"/>
      <c r="I19" s="454"/>
      <c r="J19" s="479"/>
      <c r="K19" s="480"/>
      <c r="L19" s="480"/>
      <c r="M19" s="480"/>
      <c r="N19" s="480"/>
      <c r="O19" s="481"/>
      <c r="P19" s="479"/>
      <c r="Q19" s="480"/>
      <c r="R19" s="480"/>
      <c r="S19" s="480"/>
      <c r="T19" s="480"/>
      <c r="U19" s="481"/>
      <c r="V19" s="463"/>
      <c r="W19" s="459"/>
      <c r="X19" s="459"/>
      <c r="Y19" s="459"/>
      <c r="Z19" s="459"/>
      <c r="AA19" s="460"/>
      <c r="AB19" s="463"/>
      <c r="AC19" s="459"/>
      <c r="AD19" s="459"/>
      <c r="AE19" s="459"/>
      <c r="AF19" s="459"/>
      <c r="AG19" s="460"/>
      <c r="AH19" s="470"/>
      <c r="AI19" s="471"/>
      <c r="AJ19" s="471"/>
      <c r="AK19" s="471"/>
      <c r="AL19" s="471"/>
      <c r="AM19" s="472"/>
      <c r="AN19" s="83"/>
      <c r="AO19" s="426"/>
      <c r="AP19" s="427"/>
      <c r="AQ19" s="427"/>
      <c r="AR19" s="427"/>
      <c r="AS19" s="427"/>
      <c r="AT19" s="42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12"/>
      <c r="C20" s="412"/>
      <c r="D20" s="413"/>
      <c r="E20" s="453"/>
      <c r="F20" s="454"/>
      <c r="G20" s="454"/>
      <c r="H20" s="454"/>
      <c r="I20" s="454"/>
      <c r="J20" s="479" t="str">
        <f>IF(AND('Mapa de Riesgos'!$H$68="Alta",'Mapa de Riesgos'!$L$68="Leve"),CONCATENATE("R",'Mapa de Riesgos'!$A$68),"")</f>
        <v/>
      </c>
      <c r="K20" s="480"/>
      <c r="L20" s="480" t="str">
        <f>IF(AND('Mapa de Riesgos'!$H$80="Alta",'Mapa de Riesgos'!$L$80="Leve"),CONCATENATE("R",'Mapa de Riesgos'!$A$80),"")</f>
        <v/>
      </c>
      <c r="M20" s="480"/>
      <c r="N20" s="480" t="str">
        <f>IF(AND('Mapa de Riesgos'!$H$86="Alta",'Mapa de Riesgos'!$L$86="Leve"),CONCATENATE("R",'Mapa de Riesgos'!$A$86),"")</f>
        <v/>
      </c>
      <c r="O20" s="481"/>
      <c r="P20" s="479" t="str">
        <f>IF(AND('Mapa de Riesgos'!$H$68="Alta",'Mapa de Riesgos'!$L$68="Menor"),CONCATENATE("R",'Mapa de Riesgos'!$A$68),"")</f>
        <v/>
      </c>
      <c r="Q20" s="480"/>
      <c r="R20" s="480" t="str">
        <f>IF(AND('Mapa de Riesgos'!$H$80="Alta",'Mapa de Riesgos'!$L$80="Menor"),CONCATENATE("R",'Mapa de Riesgos'!$A$80),"")</f>
        <v/>
      </c>
      <c r="S20" s="480"/>
      <c r="T20" s="480" t="str">
        <f>IF(AND('Mapa de Riesgos'!$H$86="Alta",'Mapa de Riesgos'!$L$86="Menor"),CONCATENATE("R",'Mapa de Riesgos'!$A$86),"")</f>
        <v/>
      </c>
      <c r="U20" s="481"/>
      <c r="V20" s="463" t="str">
        <f>IF(AND('Mapa de Riesgos'!$H$68="Alta",'Mapa de Riesgos'!$L$68="Moderado"),CONCATENATE("R",'Mapa de Riesgos'!$A$68),"")</f>
        <v/>
      </c>
      <c r="W20" s="459"/>
      <c r="X20" s="459" t="str">
        <f>IF(AND('Mapa de Riesgos'!$H$80="Alta",'Mapa de Riesgos'!$L$80="Moderado"),CONCATENATE("R",'Mapa de Riesgos'!$A$80),"")</f>
        <v/>
      </c>
      <c r="Y20" s="459"/>
      <c r="Z20" s="459" t="str">
        <f>IF(AND('Mapa de Riesgos'!$H$86="Alta",'Mapa de Riesgos'!$L$86="Moderado"),CONCATENATE("R",'Mapa de Riesgos'!$A$86),"")</f>
        <v/>
      </c>
      <c r="AA20" s="460"/>
      <c r="AB20" s="463" t="str">
        <f>IF(AND('Mapa de Riesgos'!$H$68="Alta",'Mapa de Riesgos'!$L$68="Mayor"),CONCATENATE("R",'Mapa de Riesgos'!$A$68),"")</f>
        <v/>
      </c>
      <c r="AC20" s="459"/>
      <c r="AD20" s="459" t="str">
        <f>IF(AND('Mapa de Riesgos'!$H$80="Alta",'Mapa de Riesgos'!$L$80="Mayor"),CONCATENATE("R",'Mapa de Riesgos'!$A$80),"")</f>
        <v/>
      </c>
      <c r="AE20" s="459"/>
      <c r="AF20" s="459" t="str">
        <f>IF(AND('Mapa de Riesgos'!$H$86="Alta",'Mapa de Riesgos'!$L$86="Mayor"),CONCATENATE("R",'Mapa de Riesgos'!$A$86),"")</f>
        <v/>
      </c>
      <c r="AG20" s="460"/>
      <c r="AH20" s="470" t="str">
        <f>IF(AND('Mapa de Riesgos'!$H$68="Alta",'Mapa de Riesgos'!$L$68="Catastrófico"),CONCATENATE("R",'Mapa de Riesgos'!$A$68),"")</f>
        <v/>
      </c>
      <c r="AI20" s="471"/>
      <c r="AJ20" s="471" t="str">
        <f>IF(AND('Mapa de Riesgos'!$H$80="Alta",'Mapa de Riesgos'!$L$80="Catastrófico"),CONCATENATE("R",'Mapa de Riesgos'!$A$80),"")</f>
        <v/>
      </c>
      <c r="AK20" s="471"/>
      <c r="AL20" s="471" t="str">
        <f>IF(AND('Mapa de Riesgos'!$H$86="Alta",'Mapa de Riesgos'!$L$86="Catastrófico"),CONCATENATE("R",'Mapa de Riesgos'!$A$86),"")</f>
        <v/>
      </c>
      <c r="AM20" s="472"/>
      <c r="AN20" s="83"/>
      <c r="AO20" s="426"/>
      <c r="AP20" s="427"/>
      <c r="AQ20" s="427"/>
      <c r="AR20" s="427"/>
      <c r="AS20" s="427"/>
      <c r="AT20" s="42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12"/>
      <c r="C21" s="412"/>
      <c r="D21" s="413"/>
      <c r="E21" s="456"/>
      <c r="F21" s="457"/>
      <c r="G21" s="457"/>
      <c r="H21" s="457"/>
      <c r="I21" s="457"/>
      <c r="J21" s="482"/>
      <c r="K21" s="483"/>
      <c r="L21" s="483"/>
      <c r="M21" s="483"/>
      <c r="N21" s="483"/>
      <c r="O21" s="484"/>
      <c r="P21" s="482"/>
      <c r="Q21" s="483"/>
      <c r="R21" s="483"/>
      <c r="S21" s="483"/>
      <c r="T21" s="483"/>
      <c r="U21" s="484"/>
      <c r="V21" s="467"/>
      <c r="W21" s="468"/>
      <c r="X21" s="468"/>
      <c r="Y21" s="468"/>
      <c r="Z21" s="468"/>
      <c r="AA21" s="469"/>
      <c r="AB21" s="467"/>
      <c r="AC21" s="468"/>
      <c r="AD21" s="468"/>
      <c r="AE21" s="468"/>
      <c r="AF21" s="468"/>
      <c r="AG21" s="469"/>
      <c r="AH21" s="473"/>
      <c r="AI21" s="474"/>
      <c r="AJ21" s="474"/>
      <c r="AK21" s="474"/>
      <c r="AL21" s="474"/>
      <c r="AM21" s="475"/>
      <c r="AN21" s="83"/>
      <c r="AO21" s="429"/>
      <c r="AP21" s="430"/>
      <c r="AQ21" s="430"/>
      <c r="AR21" s="430"/>
      <c r="AS21" s="430"/>
      <c r="AT21" s="43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12"/>
      <c r="C22" s="412"/>
      <c r="D22" s="413"/>
      <c r="E22" s="450" t="s">
        <v>276</v>
      </c>
      <c r="F22" s="451"/>
      <c r="G22" s="451"/>
      <c r="H22" s="451"/>
      <c r="I22" s="452"/>
      <c r="J22" s="485" t="str">
        <f>IF(AND('Mapa de Riesgos'!$H$12="Media",'Mapa de Riesgos'!$L$12="Leve"),CONCATENATE("R",'Mapa de Riesgos'!$A$12),"")</f>
        <v/>
      </c>
      <c r="K22" s="486"/>
      <c r="L22" s="486" t="str">
        <f>IF(AND('Mapa de Riesgos'!$H$18="Media",'Mapa de Riesgos'!$L$18="Leve"),CONCATENATE("R",'Mapa de Riesgos'!$A$18),"")</f>
        <v/>
      </c>
      <c r="M22" s="486"/>
      <c r="N22" s="486" t="str">
        <f>IF(AND('Mapa de Riesgos'!$H$24="Media",'Mapa de Riesgos'!$L$24="Leve"),CONCATENATE("R",'Mapa de Riesgos'!$A$24),"")</f>
        <v/>
      </c>
      <c r="O22" s="487"/>
      <c r="P22" s="485" t="str">
        <f>IF(AND('Mapa de Riesgos'!$H$12="Media",'Mapa de Riesgos'!$L$12="Menor"),CONCATENATE("R",'Mapa de Riesgos'!$A$12),"")</f>
        <v/>
      </c>
      <c r="Q22" s="486"/>
      <c r="R22" s="486" t="str">
        <f>IF(AND('Mapa de Riesgos'!$H$18="Media",'Mapa de Riesgos'!$L$18="Menor"),CONCATENATE("R",'Mapa de Riesgos'!$A$18),"")</f>
        <v/>
      </c>
      <c r="S22" s="486"/>
      <c r="T22" s="486" t="str">
        <f>IF(AND('Mapa de Riesgos'!$H$24="Media",'Mapa de Riesgos'!$L$24="Menor"),CONCATENATE("R",'Mapa de Riesgos'!$A$24),"")</f>
        <v/>
      </c>
      <c r="U22" s="487"/>
      <c r="V22" s="485" t="str">
        <f>IF(AND('Mapa de Riesgos'!$H$12="Media",'Mapa de Riesgos'!$L$12="Moderado"),CONCATENATE("R",'Mapa de Riesgos'!$A$12),"")</f>
        <v>R1</v>
      </c>
      <c r="W22" s="486"/>
      <c r="X22" s="486" t="str">
        <f>IF(AND('Mapa de Riesgos'!$H$18="Media",'Mapa de Riesgos'!$L$18="Moderado"),CONCATENATE("R",'Mapa de Riesgos'!$A$18),"")</f>
        <v/>
      </c>
      <c r="Y22" s="486"/>
      <c r="Z22" s="486" t="str">
        <f>IF(AND('Mapa de Riesgos'!$H$24="Media",'Mapa de Riesgos'!$L$24="Moderado"),CONCATENATE("R",'Mapa de Riesgos'!$A$24),"")</f>
        <v>R3</v>
      </c>
      <c r="AA22" s="487"/>
      <c r="AB22" s="461" t="str">
        <f>IF(AND('Mapa de Riesgos'!$H$12="Media",'Mapa de Riesgos'!$L$12="Mayor"),CONCATENATE("R",'Mapa de Riesgos'!$A$12),"")</f>
        <v/>
      </c>
      <c r="AC22" s="462"/>
      <c r="AD22" s="462" t="str">
        <f>IF(AND('Mapa de Riesgos'!$H$18="Media",'Mapa de Riesgos'!$L$18="Mayor"),CONCATENATE("R",'Mapa de Riesgos'!$A$18),"")</f>
        <v/>
      </c>
      <c r="AE22" s="462"/>
      <c r="AF22" s="462" t="str">
        <f>IF(AND('Mapa de Riesgos'!$H$24="Media",'Mapa de Riesgos'!$L$24="Mayor"),CONCATENATE("R",'Mapa de Riesgos'!$A$24),"")</f>
        <v/>
      </c>
      <c r="AG22" s="464"/>
      <c r="AH22" s="476" t="str">
        <f>IF(AND('Mapa de Riesgos'!$H$12="Media",'Mapa de Riesgos'!$L$12="Catastrófico"),CONCATENATE("R",'Mapa de Riesgos'!$A$12),"")</f>
        <v/>
      </c>
      <c r="AI22" s="477"/>
      <c r="AJ22" s="477" t="str">
        <f>IF(AND('Mapa de Riesgos'!$H$18="Media",'Mapa de Riesgos'!$L$18="Catastrófico"),CONCATENATE("R",'Mapa de Riesgos'!$A$18),"")</f>
        <v/>
      </c>
      <c r="AK22" s="477"/>
      <c r="AL22" s="477" t="str">
        <f>IF(AND('Mapa de Riesgos'!$H$24="Media",'Mapa de Riesgos'!$L$24="Catastrófico"),CONCATENATE("R",'Mapa de Riesgos'!$A$24),"")</f>
        <v/>
      </c>
      <c r="AM22" s="478"/>
      <c r="AN22" s="83"/>
      <c r="AO22" s="432" t="s">
        <v>277</v>
      </c>
      <c r="AP22" s="433"/>
      <c r="AQ22" s="433"/>
      <c r="AR22" s="433"/>
      <c r="AS22" s="433"/>
      <c r="AT22" s="43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12"/>
      <c r="C23" s="412"/>
      <c r="D23" s="413"/>
      <c r="E23" s="453"/>
      <c r="F23" s="454"/>
      <c r="G23" s="454"/>
      <c r="H23" s="454"/>
      <c r="I23" s="455"/>
      <c r="J23" s="479"/>
      <c r="K23" s="480"/>
      <c r="L23" s="480"/>
      <c r="M23" s="480"/>
      <c r="N23" s="480"/>
      <c r="O23" s="481"/>
      <c r="P23" s="479"/>
      <c r="Q23" s="480"/>
      <c r="R23" s="480"/>
      <c r="S23" s="480"/>
      <c r="T23" s="480"/>
      <c r="U23" s="481"/>
      <c r="V23" s="479"/>
      <c r="W23" s="480"/>
      <c r="X23" s="480"/>
      <c r="Y23" s="480"/>
      <c r="Z23" s="480"/>
      <c r="AA23" s="481"/>
      <c r="AB23" s="463"/>
      <c r="AC23" s="459"/>
      <c r="AD23" s="459"/>
      <c r="AE23" s="459"/>
      <c r="AF23" s="459"/>
      <c r="AG23" s="460"/>
      <c r="AH23" s="470"/>
      <c r="AI23" s="471"/>
      <c r="AJ23" s="471"/>
      <c r="AK23" s="471"/>
      <c r="AL23" s="471"/>
      <c r="AM23" s="472"/>
      <c r="AN23" s="83"/>
      <c r="AO23" s="435"/>
      <c r="AP23" s="436"/>
      <c r="AQ23" s="436"/>
      <c r="AR23" s="436"/>
      <c r="AS23" s="436"/>
      <c r="AT23" s="43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12"/>
      <c r="C24" s="412"/>
      <c r="D24" s="413"/>
      <c r="E24" s="453"/>
      <c r="F24" s="454"/>
      <c r="G24" s="454"/>
      <c r="H24" s="454"/>
      <c r="I24" s="455"/>
      <c r="J24" s="479" t="str">
        <f>IF(AND('Mapa de Riesgos'!$H$32="Media",'Mapa de Riesgos'!$L$32="Leve"),CONCATENATE("R",'Mapa de Riesgos'!$A$32),"")</f>
        <v/>
      </c>
      <c r="K24" s="480"/>
      <c r="L24" s="480" t="str">
        <f>IF(AND('Mapa de Riesgos'!$H$38="Media",'Mapa de Riesgos'!$L$38="Leve"),CONCATENATE("R",'Mapa de Riesgos'!$A$38),"")</f>
        <v/>
      </c>
      <c r="M24" s="480"/>
      <c r="N24" s="480" t="str">
        <f>IF(AND('Mapa de Riesgos'!$H$44="Media",'Mapa de Riesgos'!$L$44="Leve"),CONCATENATE("R",'Mapa de Riesgos'!$A$44),"")</f>
        <v/>
      </c>
      <c r="O24" s="481"/>
      <c r="P24" s="479" t="str">
        <f>IF(AND('Mapa de Riesgos'!$H$32="Media",'Mapa de Riesgos'!$L$32="Menor"),CONCATENATE("R",'Mapa de Riesgos'!$A$32),"")</f>
        <v/>
      </c>
      <c r="Q24" s="480"/>
      <c r="R24" s="480" t="str">
        <f>IF(AND('Mapa de Riesgos'!$H$38="Media",'Mapa de Riesgos'!$L$38="Menor"),CONCATENATE("R",'Mapa de Riesgos'!$A$38),"")</f>
        <v/>
      </c>
      <c r="S24" s="480"/>
      <c r="T24" s="480" t="str">
        <f>IF(AND('Mapa de Riesgos'!$H$44="Media",'Mapa de Riesgos'!$L$44="Menor"),CONCATENATE("R",'Mapa de Riesgos'!$A$44),"")</f>
        <v/>
      </c>
      <c r="U24" s="481"/>
      <c r="V24" s="479" t="str">
        <f>IF(AND('Mapa de Riesgos'!$H$32="Media",'Mapa de Riesgos'!$L$32="Moderado"),CONCATENATE("R",'Mapa de Riesgos'!$A$32),"")</f>
        <v/>
      </c>
      <c r="W24" s="480"/>
      <c r="X24" s="480" t="str">
        <f>IF(AND('Mapa de Riesgos'!$H$38="Media",'Mapa de Riesgos'!$L$38="Moderado"),CONCATENATE("R",'Mapa de Riesgos'!$A$38),"")</f>
        <v>R5</v>
      </c>
      <c r="Y24" s="480"/>
      <c r="Z24" s="480" t="str">
        <f>IF(AND('Mapa de Riesgos'!$H$44="Media",'Mapa de Riesgos'!$L$44="Moderado"),CONCATENATE("R",'Mapa de Riesgos'!$A$44),"")</f>
        <v>R6</v>
      </c>
      <c r="AA24" s="481"/>
      <c r="AB24" s="463" t="str">
        <f>IF(AND('Mapa de Riesgos'!$H$32="Media",'Mapa de Riesgos'!$L$32="Mayor"),CONCATENATE("R",'Mapa de Riesgos'!$A$32),"")</f>
        <v/>
      </c>
      <c r="AC24" s="459"/>
      <c r="AD24" s="459" t="str">
        <f>IF(AND('Mapa de Riesgos'!$H$38="Media",'Mapa de Riesgos'!$L$38="Mayor"),CONCATENATE("R",'Mapa de Riesgos'!$A$38),"")</f>
        <v/>
      </c>
      <c r="AE24" s="459"/>
      <c r="AF24" s="459" t="str">
        <f>IF(AND('Mapa de Riesgos'!$H$44="Media",'Mapa de Riesgos'!$L$44="Mayor"),CONCATENATE("R",'Mapa de Riesgos'!$A$44),"")</f>
        <v/>
      </c>
      <c r="AG24" s="460"/>
      <c r="AH24" s="470" t="str">
        <f>IF(AND('Mapa de Riesgos'!$H$32="Media",'Mapa de Riesgos'!$L$32="Catastrófico"),CONCATENATE("R",'Mapa de Riesgos'!$A$32),"")</f>
        <v/>
      </c>
      <c r="AI24" s="471"/>
      <c r="AJ24" s="471" t="str">
        <f>IF(AND('Mapa de Riesgos'!$H$38="Media",'Mapa de Riesgos'!$L$38="Catastrófico"),CONCATENATE("R",'Mapa de Riesgos'!$A$38),"")</f>
        <v/>
      </c>
      <c r="AK24" s="471"/>
      <c r="AL24" s="471" t="str">
        <f>IF(AND('Mapa de Riesgos'!$H$44="Media",'Mapa de Riesgos'!$L$44="Catastrófico"),CONCATENATE("R",'Mapa de Riesgos'!$A$44),"")</f>
        <v/>
      </c>
      <c r="AM24" s="472"/>
      <c r="AN24" s="83"/>
      <c r="AO24" s="435"/>
      <c r="AP24" s="436"/>
      <c r="AQ24" s="436"/>
      <c r="AR24" s="436"/>
      <c r="AS24" s="436"/>
      <c r="AT24" s="43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12"/>
      <c r="C25" s="412"/>
      <c r="D25" s="413"/>
      <c r="E25" s="453"/>
      <c r="F25" s="454"/>
      <c r="G25" s="454"/>
      <c r="H25" s="454"/>
      <c r="I25" s="455"/>
      <c r="J25" s="479"/>
      <c r="K25" s="480"/>
      <c r="L25" s="480"/>
      <c r="M25" s="480"/>
      <c r="N25" s="480"/>
      <c r="O25" s="481"/>
      <c r="P25" s="479"/>
      <c r="Q25" s="480"/>
      <c r="R25" s="480"/>
      <c r="S25" s="480"/>
      <c r="T25" s="480"/>
      <c r="U25" s="481"/>
      <c r="V25" s="479"/>
      <c r="W25" s="480"/>
      <c r="X25" s="480"/>
      <c r="Y25" s="480"/>
      <c r="Z25" s="480"/>
      <c r="AA25" s="481"/>
      <c r="AB25" s="463"/>
      <c r="AC25" s="459"/>
      <c r="AD25" s="459"/>
      <c r="AE25" s="459"/>
      <c r="AF25" s="459"/>
      <c r="AG25" s="460"/>
      <c r="AH25" s="470"/>
      <c r="AI25" s="471"/>
      <c r="AJ25" s="471"/>
      <c r="AK25" s="471"/>
      <c r="AL25" s="471"/>
      <c r="AM25" s="472"/>
      <c r="AN25" s="83"/>
      <c r="AO25" s="435"/>
      <c r="AP25" s="436"/>
      <c r="AQ25" s="436"/>
      <c r="AR25" s="436"/>
      <c r="AS25" s="436"/>
      <c r="AT25" s="43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12"/>
      <c r="C26" s="412"/>
      <c r="D26" s="413"/>
      <c r="E26" s="453"/>
      <c r="F26" s="454"/>
      <c r="G26" s="454"/>
      <c r="H26" s="454"/>
      <c r="I26" s="455"/>
      <c r="J26" s="479" t="str">
        <f>IF(AND('Mapa de Riesgos'!$H$50="Media",'Mapa de Riesgos'!$L$50="Leve"),CONCATENATE("R",'Mapa de Riesgos'!$A$50),"")</f>
        <v/>
      </c>
      <c r="K26" s="480"/>
      <c r="L26" s="480" t="str">
        <f>IF(AND('Mapa de Riesgos'!$H$56="Media",'Mapa de Riesgos'!$L$56="Leve"),CONCATENATE("R",'Mapa de Riesgos'!$A$56),"")</f>
        <v/>
      </c>
      <c r="M26" s="480"/>
      <c r="N26" s="480" t="str">
        <f>IF(AND('Mapa de Riesgos'!$H$62="Media",'Mapa de Riesgos'!$L$62="Leve"),CONCATENATE("R",'Mapa de Riesgos'!$A$62),"")</f>
        <v/>
      </c>
      <c r="O26" s="481"/>
      <c r="P26" s="479" t="str">
        <f>IF(AND('Mapa de Riesgos'!$H$50="Media",'Mapa de Riesgos'!$L$50="Menor"),CONCATENATE("R",'Mapa de Riesgos'!$A$50),"")</f>
        <v/>
      </c>
      <c r="Q26" s="480"/>
      <c r="R26" s="480" t="str">
        <f>IF(AND('Mapa de Riesgos'!$H$56="Media",'Mapa de Riesgos'!$L$56="Menor"),CONCATENATE("R",'Mapa de Riesgos'!$A$56),"")</f>
        <v/>
      </c>
      <c r="S26" s="480"/>
      <c r="T26" s="480" t="str">
        <f>IF(AND('Mapa de Riesgos'!$H$62="Media",'Mapa de Riesgos'!$L$62="Menor"),CONCATENATE("R",'Mapa de Riesgos'!$A$62),"")</f>
        <v/>
      </c>
      <c r="U26" s="481"/>
      <c r="V26" s="479" t="str">
        <f>IF(AND('Mapa de Riesgos'!$H$50="Media",'Mapa de Riesgos'!$L$50="Moderado"),CONCATENATE("R",'Mapa de Riesgos'!$A$50),"")</f>
        <v>R7</v>
      </c>
      <c r="W26" s="480"/>
      <c r="X26" s="480" t="str">
        <f>IF(AND('Mapa de Riesgos'!$H$56="Media",'Mapa de Riesgos'!$L$56="Moderado"),CONCATENATE("R",'Mapa de Riesgos'!$A$56),"")</f>
        <v/>
      </c>
      <c r="Y26" s="480"/>
      <c r="Z26" s="480" t="str">
        <f>IF(AND('Mapa de Riesgos'!$H$62="Media",'Mapa de Riesgos'!$L$62="Moderado"),CONCATENATE("R",'Mapa de Riesgos'!$A$62),"")</f>
        <v>R9</v>
      </c>
      <c r="AA26" s="481"/>
      <c r="AB26" s="463" t="str">
        <f>IF(AND('Mapa de Riesgos'!$H$50="Media",'Mapa de Riesgos'!$L$50="Mayor"),CONCATENATE("R",'Mapa de Riesgos'!$A$50),"")</f>
        <v/>
      </c>
      <c r="AC26" s="459"/>
      <c r="AD26" s="459" t="str">
        <f>IF(AND('Mapa de Riesgos'!$H$56="Media",'Mapa de Riesgos'!$L$56="Mayor"),CONCATENATE("R",'Mapa de Riesgos'!$A$56),"")</f>
        <v/>
      </c>
      <c r="AE26" s="459"/>
      <c r="AF26" s="459" t="str">
        <f>IF(AND('Mapa de Riesgos'!$H$62="Media",'Mapa de Riesgos'!$L$62="Mayor"),CONCATENATE("R",'Mapa de Riesgos'!$A$62),"")</f>
        <v/>
      </c>
      <c r="AG26" s="460"/>
      <c r="AH26" s="470" t="str">
        <f>IF(AND('Mapa de Riesgos'!$H$50="Media",'Mapa de Riesgos'!$L$50="Catastrófico"),CONCATENATE("R",'Mapa de Riesgos'!$A$50),"")</f>
        <v/>
      </c>
      <c r="AI26" s="471"/>
      <c r="AJ26" s="471" t="str">
        <f>IF(AND('Mapa de Riesgos'!$H$56="Media",'Mapa de Riesgos'!$L$56="Catastrófico"),CONCATENATE("R",'Mapa de Riesgos'!$A$56),"")</f>
        <v/>
      </c>
      <c r="AK26" s="471"/>
      <c r="AL26" s="471" t="str">
        <f>IF(AND('Mapa de Riesgos'!$H$62="Media",'Mapa de Riesgos'!$L$62="Catastrófico"),CONCATENATE("R",'Mapa de Riesgos'!$A$62),"")</f>
        <v/>
      </c>
      <c r="AM26" s="472"/>
      <c r="AN26" s="83"/>
      <c r="AO26" s="435"/>
      <c r="AP26" s="436"/>
      <c r="AQ26" s="436"/>
      <c r="AR26" s="436"/>
      <c r="AS26" s="436"/>
      <c r="AT26" s="43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12"/>
      <c r="C27" s="412"/>
      <c r="D27" s="413"/>
      <c r="E27" s="453"/>
      <c r="F27" s="454"/>
      <c r="G27" s="454"/>
      <c r="H27" s="454"/>
      <c r="I27" s="455"/>
      <c r="J27" s="479"/>
      <c r="K27" s="480"/>
      <c r="L27" s="480"/>
      <c r="M27" s="480"/>
      <c r="N27" s="480"/>
      <c r="O27" s="481"/>
      <c r="P27" s="479"/>
      <c r="Q27" s="480"/>
      <c r="R27" s="480"/>
      <c r="S27" s="480"/>
      <c r="T27" s="480"/>
      <c r="U27" s="481"/>
      <c r="V27" s="479"/>
      <c r="W27" s="480"/>
      <c r="X27" s="480"/>
      <c r="Y27" s="480"/>
      <c r="Z27" s="480"/>
      <c r="AA27" s="481"/>
      <c r="AB27" s="463"/>
      <c r="AC27" s="459"/>
      <c r="AD27" s="459"/>
      <c r="AE27" s="459"/>
      <c r="AF27" s="459"/>
      <c r="AG27" s="460"/>
      <c r="AH27" s="470"/>
      <c r="AI27" s="471"/>
      <c r="AJ27" s="471"/>
      <c r="AK27" s="471"/>
      <c r="AL27" s="471"/>
      <c r="AM27" s="472"/>
      <c r="AN27" s="83"/>
      <c r="AO27" s="435"/>
      <c r="AP27" s="436"/>
      <c r="AQ27" s="436"/>
      <c r="AR27" s="436"/>
      <c r="AS27" s="436"/>
      <c r="AT27" s="43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12"/>
      <c r="C28" s="412"/>
      <c r="D28" s="413"/>
      <c r="E28" s="453"/>
      <c r="F28" s="454"/>
      <c r="G28" s="454"/>
      <c r="H28" s="454"/>
      <c r="I28" s="455"/>
      <c r="J28" s="479" t="str">
        <f>IF(AND('Mapa de Riesgos'!$H$68="Media",'Mapa de Riesgos'!$L$68="Leve"),CONCATENATE("R",'Mapa de Riesgos'!$A$68),"")</f>
        <v/>
      </c>
      <c r="K28" s="480"/>
      <c r="L28" s="480" t="str">
        <f>IF(AND('Mapa de Riesgos'!$H$80="Media",'Mapa de Riesgos'!$L$80="Leve"),CONCATENATE("R",'Mapa de Riesgos'!$A$80),"")</f>
        <v/>
      </c>
      <c r="M28" s="480"/>
      <c r="N28" s="480" t="str">
        <f>IF(AND('Mapa de Riesgos'!$H$86="Media",'Mapa de Riesgos'!$L$86="Leve"),CONCATENATE("R",'Mapa de Riesgos'!$A$86),"")</f>
        <v/>
      </c>
      <c r="O28" s="481"/>
      <c r="P28" s="479" t="str">
        <f>IF(AND('Mapa de Riesgos'!$H$68="Media",'Mapa de Riesgos'!$L$68="Menor"),CONCATENATE("R",'Mapa de Riesgos'!$A$68),"")</f>
        <v/>
      </c>
      <c r="Q28" s="480"/>
      <c r="R28" s="480" t="str">
        <f>IF(AND('Mapa de Riesgos'!$H$80="Media",'Mapa de Riesgos'!$L$80="Menor"),CONCATENATE("R",'Mapa de Riesgos'!$A$80),"")</f>
        <v/>
      </c>
      <c r="S28" s="480"/>
      <c r="T28" s="480" t="str">
        <f>IF(AND('Mapa de Riesgos'!$H$86="Media",'Mapa de Riesgos'!$L$86="Menor"),CONCATENATE("R",'Mapa de Riesgos'!$A$86),"")</f>
        <v/>
      </c>
      <c r="U28" s="481"/>
      <c r="V28" s="479" t="str">
        <f>IF(AND('Mapa de Riesgos'!$H$68="Media",'Mapa de Riesgos'!$L$68="Moderado"),CONCATENATE("R",'Mapa de Riesgos'!$A$68),"")</f>
        <v/>
      </c>
      <c r="W28" s="480"/>
      <c r="X28" s="480" t="str">
        <f>IF(AND('Mapa de Riesgos'!$H$80="Media",'Mapa de Riesgos'!$L$80="Moderado"),CONCATENATE("R",'Mapa de Riesgos'!$A$80),"")</f>
        <v/>
      </c>
      <c r="Y28" s="480"/>
      <c r="Z28" s="480" t="str">
        <f>IF(AND('Mapa de Riesgos'!$H$86="Media",'Mapa de Riesgos'!$L$86="Moderado"),CONCATENATE("R",'Mapa de Riesgos'!$A$86),"")</f>
        <v/>
      </c>
      <c r="AA28" s="481"/>
      <c r="AB28" s="463" t="str">
        <f>IF(AND('Mapa de Riesgos'!$H$68="Media",'Mapa de Riesgos'!$L$68="Mayor"),CONCATENATE("R",'Mapa de Riesgos'!$A$68),"")</f>
        <v/>
      </c>
      <c r="AC28" s="459"/>
      <c r="AD28" s="459" t="str">
        <f>IF(AND('Mapa de Riesgos'!$H$80="Media",'Mapa de Riesgos'!$L$80="Mayor"),CONCATENATE("R",'Mapa de Riesgos'!$A$80),"")</f>
        <v/>
      </c>
      <c r="AE28" s="459"/>
      <c r="AF28" s="459" t="str">
        <f>IF(AND('Mapa de Riesgos'!$H$86="Media",'Mapa de Riesgos'!$L$86="Mayor"),CONCATENATE("R",'Mapa de Riesgos'!$A$86),"")</f>
        <v/>
      </c>
      <c r="AG28" s="460"/>
      <c r="AH28" s="470" t="str">
        <f>IF(AND('Mapa de Riesgos'!$H$68="Media",'Mapa de Riesgos'!$L$68="Catastrófico"),CONCATENATE("R",'Mapa de Riesgos'!$A$68),"")</f>
        <v/>
      </c>
      <c r="AI28" s="471"/>
      <c r="AJ28" s="471" t="str">
        <f>IF(AND('Mapa de Riesgos'!$H$80="Media",'Mapa de Riesgos'!$L$80="Catastrófico"),CONCATENATE("R",'Mapa de Riesgos'!$A$80),"")</f>
        <v/>
      </c>
      <c r="AK28" s="471"/>
      <c r="AL28" s="471" t="str">
        <f>IF(AND('Mapa de Riesgos'!$H$86="Media",'Mapa de Riesgos'!$L$86="Catastrófico"),CONCATENATE("R",'Mapa de Riesgos'!$A$86),"")</f>
        <v/>
      </c>
      <c r="AM28" s="472"/>
      <c r="AN28" s="83"/>
      <c r="AO28" s="435"/>
      <c r="AP28" s="436"/>
      <c r="AQ28" s="436"/>
      <c r="AR28" s="436"/>
      <c r="AS28" s="436"/>
      <c r="AT28" s="43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12"/>
      <c r="C29" s="412"/>
      <c r="D29" s="413"/>
      <c r="E29" s="456"/>
      <c r="F29" s="457"/>
      <c r="G29" s="457"/>
      <c r="H29" s="457"/>
      <c r="I29" s="458"/>
      <c r="J29" s="479"/>
      <c r="K29" s="480"/>
      <c r="L29" s="480"/>
      <c r="M29" s="480"/>
      <c r="N29" s="480"/>
      <c r="O29" s="481"/>
      <c r="P29" s="482"/>
      <c r="Q29" s="483"/>
      <c r="R29" s="483"/>
      <c r="S29" s="483"/>
      <c r="T29" s="483"/>
      <c r="U29" s="484"/>
      <c r="V29" s="482"/>
      <c r="W29" s="483"/>
      <c r="X29" s="483"/>
      <c r="Y29" s="483"/>
      <c r="Z29" s="483"/>
      <c r="AA29" s="484"/>
      <c r="AB29" s="467"/>
      <c r="AC29" s="468"/>
      <c r="AD29" s="468"/>
      <c r="AE29" s="468"/>
      <c r="AF29" s="468"/>
      <c r="AG29" s="469"/>
      <c r="AH29" s="473"/>
      <c r="AI29" s="474"/>
      <c r="AJ29" s="474"/>
      <c r="AK29" s="474"/>
      <c r="AL29" s="474"/>
      <c r="AM29" s="475"/>
      <c r="AN29" s="83"/>
      <c r="AO29" s="438"/>
      <c r="AP29" s="439"/>
      <c r="AQ29" s="439"/>
      <c r="AR29" s="439"/>
      <c r="AS29" s="439"/>
      <c r="AT29" s="44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12"/>
      <c r="C30" s="412"/>
      <c r="D30" s="413"/>
      <c r="E30" s="450" t="s">
        <v>278</v>
      </c>
      <c r="F30" s="451"/>
      <c r="G30" s="451"/>
      <c r="H30" s="451"/>
      <c r="I30" s="451"/>
      <c r="J30" s="494" t="str">
        <f>IF(AND('Mapa de Riesgos'!$H$12="Baja",'Mapa de Riesgos'!$L$12="Leve"),CONCATENATE("R",'Mapa de Riesgos'!$A$12),"")</f>
        <v/>
      </c>
      <c r="K30" s="495"/>
      <c r="L30" s="495" t="str">
        <f>IF(AND('Mapa de Riesgos'!$H$18="Baja",'Mapa de Riesgos'!$L$18="Leve"),CONCATENATE("R",'Mapa de Riesgos'!$A$18),"")</f>
        <v/>
      </c>
      <c r="M30" s="495"/>
      <c r="N30" s="495" t="str">
        <f>IF(AND('Mapa de Riesgos'!$H$24="Baja",'Mapa de Riesgos'!$L$24="Leve"),CONCATENATE("R",'Mapa de Riesgos'!$A$24),"")</f>
        <v/>
      </c>
      <c r="O30" s="496"/>
      <c r="P30" s="486" t="str">
        <f>IF(AND('Mapa de Riesgos'!$H$12="Baja",'Mapa de Riesgos'!$L$12="Menor"),CONCATENATE("R",'Mapa de Riesgos'!$A$12),"")</f>
        <v/>
      </c>
      <c r="Q30" s="486"/>
      <c r="R30" s="486" t="str">
        <f>IF(AND('Mapa de Riesgos'!$H$18="Baja",'Mapa de Riesgos'!$L$18="Menor"),CONCATENATE("R",'Mapa de Riesgos'!$A$18),"")</f>
        <v/>
      </c>
      <c r="S30" s="486"/>
      <c r="T30" s="486" t="str">
        <f>IF(AND('Mapa de Riesgos'!$H$24="Baja",'Mapa de Riesgos'!$L$24="Menor"),CONCATENATE("R",'Mapa de Riesgos'!$A$24),"")</f>
        <v/>
      </c>
      <c r="U30" s="487"/>
      <c r="V30" s="485" t="str">
        <f>IF(AND('Mapa de Riesgos'!$H$12="Baja",'Mapa de Riesgos'!$L$12="Moderado"),CONCATENATE("R",'Mapa de Riesgos'!$A$12),"")</f>
        <v/>
      </c>
      <c r="W30" s="486"/>
      <c r="X30" s="486" t="str">
        <f>IF(AND('Mapa de Riesgos'!$H$18="Baja",'Mapa de Riesgos'!$L$18="Moderado"),CONCATENATE("R",'Mapa de Riesgos'!$A$18),"")</f>
        <v>R2</v>
      </c>
      <c r="Y30" s="486"/>
      <c r="Z30" s="486" t="str">
        <f>IF(AND('Mapa de Riesgos'!$H$24="Baja",'Mapa de Riesgos'!$L$24="Moderado"),CONCATENATE("R",'Mapa de Riesgos'!$A$24),"")</f>
        <v/>
      </c>
      <c r="AA30" s="487"/>
      <c r="AB30" s="461" t="str">
        <f>IF(AND('Mapa de Riesgos'!$H$12="Baja",'Mapa de Riesgos'!$L$12="Mayor"),CONCATENATE("R",'Mapa de Riesgos'!$A$12),"")</f>
        <v/>
      </c>
      <c r="AC30" s="462"/>
      <c r="AD30" s="462" t="str">
        <f>IF(AND('Mapa de Riesgos'!$H$18="Baja",'Mapa de Riesgos'!$L$18="Mayor"),CONCATENATE("R",'Mapa de Riesgos'!$A$18),"")</f>
        <v/>
      </c>
      <c r="AE30" s="462"/>
      <c r="AF30" s="462" t="str">
        <f>IF(AND('Mapa de Riesgos'!$H$24="Baja",'Mapa de Riesgos'!$L$24="Mayor"),CONCATENATE("R",'Mapa de Riesgos'!$A$24),"")</f>
        <v/>
      </c>
      <c r="AG30" s="464"/>
      <c r="AH30" s="476" t="str">
        <f>IF(AND('Mapa de Riesgos'!$H$12="Baja",'Mapa de Riesgos'!$L$12="Catastrófico"),CONCATENATE("R",'Mapa de Riesgos'!$A$12),"")</f>
        <v/>
      </c>
      <c r="AI30" s="477"/>
      <c r="AJ30" s="477" t="str">
        <f>IF(AND('Mapa de Riesgos'!$H$18="Baja",'Mapa de Riesgos'!$L$18="Catastrófico"),CONCATENATE("R",'Mapa de Riesgos'!$A$18),"")</f>
        <v/>
      </c>
      <c r="AK30" s="477"/>
      <c r="AL30" s="477" t="str">
        <f>IF(AND('Mapa de Riesgos'!$H$24="Baja",'Mapa de Riesgos'!$L$24="Catastrófico"),CONCATENATE("R",'Mapa de Riesgos'!$A$24),"")</f>
        <v/>
      </c>
      <c r="AM30" s="478"/>
      <c r="AN30" s="83"/>
      <c r="AO30" s="441" t="s">
        <v>279</v>
      </c>
      <c r="AP30" s="442"/>
      <c r="AQ30" s="442"/>
      <c r="AR30" s="442"/>
      <c r="AS30" s="442"/>
      <c r="AT30" s="44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12"/>
      <c r="C31" s="412"/>
      <c r="D31" s="413"/>
      <c r="E31" s="453"/>
      <c r="F31" s="454"/>
      <c r="G31" s="454"/>
      <c r="H31" s="454"/>
      <c r="I31" s="454"/>
      <c r="J31" s="490"/>
      <c r="K31" s="488"/>
      <c r="L31" s="488"/>
      <c r="M31" s="488"/>
      <c r="N31" s="488"/>
      <c r="O31" s="489"/>
      <c r="P31" s="480"/>
      <c r="Q31" s="480"/>
      <c r="R31" s="480"/>
      <c r="S31" s="480"/>
      <c r="T31" s="480"/>
      <c r="U31" s="481"/>
      <c r="V31" s="479"/>
      <c r="W31" s="480"/>
      <c r="X31" s="480"/>
      <c r="Y31" s="480"/>
      <c r="Z31" s="480"/>
      <c r="AA31" s="481"/>
      <c r="AB31" s="463"/>
      <c r="AC31" s="459"/>
      <c r="AD31" s="459"/>
      <c r="AE31" s="459"/>
      <c r="AF31" s="459"/>
      <c r="AG31" s="460"/>
      <c r="AH31" s="470"/>
      <c r="AI31" s="471"/>
      <c r="AJ31" s="471"/>
      <c r="AK31" s="471"/>
      <c r="AL31" s="471"/>
      <c r="AM31" s="472"/>
      <c r="AN31" s="83"/>
      <c r="AO31" s="444"/>
      <c r="AP31" s="445"/>
      <c r="AQ31" s="445"/>
      <c r="AR31" s="445"/>
      <c r="AS31" s="445"/>
      <c r="AT31" s="44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12"/>
      <c r="C32" s="412"/>
      <c r="D32" s="413"/>
      <c r="E32" s="453"/>
      <c r="F32" s="454"/>
      <c r="G32" s="454"/>
      <c r="H32" s="454"/>
      <c r="I32" s="454"/>
      <c r="J32" s="490" t="str">
        <f>IF(AND('Mapa de Riesgos'!$H$32="Baja",'Mapa de Riesgos'!$L$32="Leve"),CONCATENATE("R",'Mapa de Riesgos'!$A$32),"")</f>
        <v/>
      </c>
      <c r="K32" s="488"/>
      <c r="L32" s="488" t="str">
        <f>IF(AND('Mapa de Riesgos'!$H$38="Baja",'Mapa de Riesgos'!$L$38="Leve"),CONCATENATE("R",'Mapa de Riesgos'!$A$38),"")</f>
        <v/>
      </c>
      <c r="M32" s="488"/>
      <c r="N32" s="488" t="str">
        <f>IF(AND('Mapa de Riesgos'!$H$44="Baja",'Mapa de Riesgos'!$L$44="Leve"),CONCATENATE("R",'Mapa de Riesgos'!$A$44),"")</f>
        <v/>
      </c>
      <c r="O32" s="489"/>
      <c r="P32" s="480" t="str">
        <f>IF(AND('Mapa de Riesgos'!$H$32="Baja",'Mapa de Riesgos'!$L$32="Menor"),CONCATENATE("R",'Mapa de Riesgos'!$A$32),"")</f>
        <v/>
      </c>
      <c r="Q32" s="480"/>
      <c r="R32" s="480" t="str">
        <f>IF(AND('Mapa de Riesgos'!$H$38="Baja",'Mapa de Riesgos'!$L$38="Menor"),CONCATENATE("R",'Mapa de Riesgos'!$A$38),"")</f>
        <v/>
      </c>
      <c r="S32" s="480"/>
      <c r="T32" s="480" t="str">
        <f>IF(AND('Mapa de Riesgos'!$H$44="Baja",'Mapa de Riesgos'!$L$44="Menor"),CONCATENATE("R",'Mapa de Riesgos'!$A$44),"")</f>
        <v/>
      </c>
      <c r="U32" s="481"/>
      <c r="V32" s="479" t="str">
        <f>IF(AND('Mapa de Riesgos'!$H$32="Baja",'Mapa de Riesgos'!$L$32="Moderado"),CONCATENATE("R",'Mapa de Riesgos'!$A$32),"")</f>
        <v>R4</v>
      </c>
      <c r="W32" s="480"/>
      <c r="X32" s="480" t="str">
        <f>IF(AND('Mapa de Riesgos'!$H$38="Baja",'Mapa de Riesgos'!$L$38="Moderado"),CONCATENATE("R",'Mapa de Riesgos'!$A$38),"")</f>
        <v/>
      </c>
      <c r="Y32" s="480"/>
      <c r="Z32" s="480" t="str">
        <f>IF(AND('Mapa de Riesgos'!$H$44="Baja",'Mapa de Riesgos'!$L$44="Moderado"),CONCATENATE("R",'Mapa de Riesgos'!$A$44),"")</f>
        <v/>
      </c>
      <c r="AA32" s="481"/>
      <c r="AB32" s="463" t="str">
        <f>IF(AND('Mapa de Riesgos'!$H$32="Baja",'Mapa de Riesgos'!$L$32="Mayor"),CONCATENATE("R",'Mapa de Riesgos'!$A$32),"")</f>
        <v/>
      </c>
      <c r="AC32" s="459"/>
      <c r="AD32" s="459" t="str">
        <f>IF(AND('Mapa de Riesgos'!$H$38="Baja",'Mapa de Riesgos'!$L$38="Mayor"),CONCATENATE("R",'Mapa de Riesgos'!$A$38),"")</f>
        <v/>
      </c>
      <c r="AE32" s="459"/>
      <c r="AF32" s="459" t="str">
        <f>IF(AND('Mapa de Riesgos'!$H$44="Baja",'Mapa de Riesgos'!$L$44="Mayor"),CONCATENATE("R",'Mapa de Riesgos'!$A$44),"")</f>
        <v/>
      </c>
      <c r="AG32" s="460"/>
      <c r="AH32" s="470" t="str">
        <f>IF(AND('Mapa de Riesgos'!$H$32="Baja",'Mapa de Riesgos'!$L$32="Catastrófico"),CONCATENATE("R",'Mapa de Riesgos'!$A$32),"")</f>
        <v/>
      </c>
      <c r="AI32" s="471"/>
      <c r="AJ32" s="471" t="str">
        <f>IF(AND('Mapa de Riesgos'!$H$38="Baja",'Mapa de Riesgos'!$L$38="Catastrófico"),CONCATENATE("R",'Mapa de Riesgos'!$A$38),"")</f>
        <v/>
      </c>
      <c r="AK32" s="471"/>
      <c r="AL32" s="471" t="str">
        <f>IF(AND('Mapa de Riesgos'!$H$44="Baja",'Mapa de Riesgos'!$L$44="Catastrófico"),CONCATENATE("R",'Mapa de Riesgos'!$A$44),"")</f>
        <v/>
      </c>
      <c r="AM32" s="472"/>
      <c r="AN32" s="83"/>
      <c r="AO32" s="444"/>
      <c r="AP32" s="445"/>
      <c r="AQ32" s="445"/>
      <c r="AR32" s="445"/>
      <c r="AS32" s="445"/>
      <c r="AT32" s="44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12"/>
      <c r="C33" s="412"/>
      <c r="D33" s="413"/>
      <c r="E33" s="453"/>
      <c r="F33" s="454"/>
      <c r="G33" s="454"/>
      <c r="H33" s="454"/>
      <c r="I33" s="454"/>
      <c r="J33" s="490"/>
      <c r="K33" s="488"/>
      <c r="L33" s="488"/>
      <c r="M33" s="488"/>
      <c r="N33" s="488"/>
      <c r="O33" s="489"/>
      <c r="P33" s="480"/>
      <c r="Q33" s="480"/>
      <c r="R33" s="480"/>
      <c r="S33" s="480"/>
      <c r="T33" s="480"/>
      <c r="U33" s="481"/>
      <c r="V33" s="479"/>
      <c r="W33" s="480"/>
      <c r="X33" s="480"/>
      <c r="Y33" s="480"/>
      <c r="Z33" s="480"/>
      <c r="AA33" s="481"/>
      <c r="AB33" s="463"/>
      <c r="AC33" s="459"/>
      <c r="AD33" s="459"/>
      <c r="AE33" s="459"/>
      <c r="AF33" s="459"/>
      <c r="AG33" s="460"/>
      <c r="AH33" s="470"/>
      <c r="AI33" s="471"/>
      <c r="AJ33" s="471"/>
      <c r="AK33" s="471"/>
      <c r="AL33" s="471"/>
      <c r="AM33" s="472"/>
      <c r="AN33" s="83"/>
      <c r="AO33" s="444"/>
      <c r="AP33" s="445"/>
      <c r="AQ33" s="445"/>
      <c r="AR33" s="445"/>
      <c r="AS33" s="445"/>
      <c r="AT33" s="44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12"/>
      <c r="C34" s="412"/>
      <c r="D34" s="413"/>
      <c r="E34" s="453"/>
      <c r="F34" s="454"/>
      <c r="G34" s="454"/>
      <c r="H34" s="454"/>
      <c r="I34" s="454"/>
      <c r="J34" s="490" t="str">
        <f>IF(AND('Mapa de Riesgos'!$H$50="Baja",'Mapa de Riesgos'!$L$50="Leve"),CONCATENATE("R",'Mapa de Riesgos'!$A$50),"")</f>
        <v/>
      </c>
      <c r="K34" s="488"/>
      <c r="L34" s="488" t="str">
        <f>IF(AND('Mapa de Riesgos'!$H$56="Baja",'Mapa de Riesgos'!$L$56="Leve"),CONCATENATE("R",'Mapa de Riesgos'!$A$56),"")</f>
        <v/>
      </c>
      <c r="M34" s="488"/>
      <c r="N34" s="488" t="str">
        <f>IF(AND('Mapa de Riesgos'!$H$62="Baja",'Mapa de Riesgos'!$L$62="Leve"),CONCATENATE("R",'Mapa de Riesgos'!$A$62),"")</f>
        <v/>
      </c>
      <c r="O34" s="489"/>
      <c r="P34" s="480" t="str">
        <f>IF(AND('Mapa de Riesgos'!$H$50="Baja",'Mapa de Riesgos'!$L$50="Menor"),CONCATENATE("R",'Mapa de Riesgos'!$A$50),"")</f>
        <v/>
      </c>
      <c r="Q34" s="480"/>
      <c r="R34" s="480" t="str">
        <f>IF(AND('Mapa de Riesgos'!$H$56="Baja",'Mapa de Riesgos'!$L$56="Menor"),CONCATENATE("R",'Mapa de Riesgos'!$A$56),"")</f>
        <v/>
      </c>
      <c r="S34" s="480"/>
      <c r="T34" s="480" t="str">
        <f>IF(AND('Mapa de Riesgos'!$H$62="Baja",'Mapa de Riesgos'!$L$62="Menor"),CONCATENATE("R",'Mapa de Riesgos'!$A$62),"")</f>
        <v/>
      </c>
      <c r="U34" s="481"/>
      <c r="V34" s="479" t="str">
        <f>IF(AND('Mapa de Riesgos'!$H$50="Baja",'Mapa de Riesgos'!$L$50="Moderado"),CONCATENATE("R",'Mapa de Riesgos'!$A$50),"")</f>
        <v/>
      </c>
      <c r="W34" s="480"/>
      <c r="X34" s="480" t="str">
        <f>IF(AND('Mapa de Riesgos'!$H$56="Baja",'Mapa de Riesgos'!$L$56="Moderado"),CONCATENATE("R",'Mapa de Riesgos'!$A$56),"")</f>
        <v>R8</v>
      </c>
      <c r="Y34" s="480"/>
      <c r="Z34" s="480" t="str">
        <f>IF(AND('Mapa de Riesgos'!$H$62="Baja",'Mapa de Riesgos'!$L$62="Moderado"),CONCATENATE("R",'Mapa de Riesgos'!$A$62),"")</f>
        <v/>
      </c>
      <c r="AA34" s="481"/>
      <c r="AB34" s="463" t="str">
        <f>IF(AND('Mapa de Riesgos'!$H$50="Baja",'Mapa de Riesgos'!$L$50="Mayor"),CONCATENATE("R",'Mapa de Riesgos'!$A$50),"")</f>
        <v/>
      </c>
      <c r="AC34" s="459"/>
      <c r="AD34" s="459" t="str">
        <f>IF(AND('Mapa de Riesgos'!$H$56="Baja",'Mapa de Riesgos'!$L$56="Mayor"),CONCATENATE("R",'Mapa de Riesgos'!$A$56),"")</f>
        <v/>
      </c>
      <c r="AE34" s="459"/>
      <c r="AF34" s="459" t="str">
        <f>IF(AND('Mapa de Riesgos'!$H$62="Baja",'Mapa de Riesgos'!$L$62="Mayor"),CONCATENATE("R",'Mapa de Riesgos'!$A$62),"")</f>
        <v/>
      </c>
      <c r="AG34" s="460"/>
      <c r="AH34" s="470" t="str">
        <f>IF(AND('Mapa de Riesgos'!$H$50="Baja",'Mapa de Riesgos'!$L$50="Catastrófico"),CONCATENATE("R",'Mapa de Riesgos'!$A$50),"")</f>
        <v/>
      </c>
      <c r="AI34" s="471"/>
      <c r="AJ34" s="471" t="str">
        <f>IF(AND('Mapa de Riesgos'!$H$56="Baja",'Mapa de Riesgos'!$L$56="Catastrófico"),CONCATENATE("R",'Mapa de Riesgos'!$A$56),"")</f>
        <v/>
      </c>
      <c r="AK34" s="471"/>
      <c r="AL34" s="471" t="str">
        <f>IF(AND('Mapa de Riesgos'!$H$62="Baja",'Mapa de Riesgos'!$L$62="Catastrófico"),CONCATENATE("R",'Mapa de Riesgos'!$A$62),"")</f>
        <v/>
      </c>
      <c r="AM34" s="472"/>
      <c r="AN34" s="83"/>
      <c r="AO34" s="444"/>
      <c r="AP34" s="445"/>
      <c r="AQ34" s="445"/>
      <c r="AR34" s="445"/>
      <c r="AS34" s="445"/>
      <c r="AT34" s="44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12"/>
      <c r="C35" s="412"/>
      <c r="D35" s="413"/>
      <c r="E35" s="453"/>
      <c r="F35" s="454"/>
      <c r="G35" s="454"/>
      <c r="H35" s="454"/>
      <c r="I35" s="454"/>
      <c r="J35" s="490"/>
      <c r="K35" s="488"/>
      <c r="L35" s="488"/>
      <c r="M35" s="488"/>
      <c r="N35" s="488"/>
      <c r="O35" s="489"/>
      <c r="P35" s="480"/>
      <c r="Q35" s="480"/>
      <c r="R35" s="480"/>
      <c r="S35" s="480"/>
      <c r="T35" s="480"/>
      <c r="U35" s="481"/>
      <c r="V35" s="479"/>
      <c r="W35" s="480"/>
      <c r="X35" s="480"/>
      <c r="Y35" s="480"/>
      <c r="Z35" s="480"/>
      <c r="AA35" s="481"/>
      <c r="AB35" s="463"/>
      <c r="AC35" s="459"/>
      <c r="AD35" s="459"/>
      <c r="AE35" s="459"/>
      <c r="AF35" s="459"/>
      <c r="AG35" s="460"/>
      <c r="AH35" s="470"/>
      <c r="AI35" s="471"/>
      <c r="AJ35" s="471"/>
      <c r="AK35" s="471"/>
      <c r="AL35" s="471"/>
      <c r="AM35" s="472"/>
      <c r="AN35" s="83"/>
      <c r="AO35" s="444"/>
      <c r="AP35" s="445"/>
      <c r="AQ35" s="445"/>
      <c r="AR35" s="445"/>
      <c r="AS35" s="445"/>
      <c r="AT35" s="44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12"/>
      <c r="C36" s="412"/>
      <c r="D36" s="413"/>
      <c r="E36" s="453"/>
      <c r="F36" s="454"/>
      <c r="G36" s="454"/>
      <c r="H36" s="454"/>
      <c r="I36" s="454"/>
      <c r="J36" s="490" t="str">
        <f>IF(AND('Mapa de Riesgos'!$H$68="Baja",'Mapa de Riesgos'!$L$68="Leve"),CONCATENATE("R",'Mapa de Riesgos'!$A$68),"")</f>
        <v/>
      </c>
      <c r="K36" s="488"/>
      <c r="L36" s="488" t="str">
        <f>IF(AND('Mapa de Riesgos'!$H$80="Baja",'Mapa de Riesgos'!$L$80="Leve"),CONCATENATE("R",'Mapa de Riesgos'!$A$80),"")</f>
        <v/>
      </c>
      <c r="M36" s="488"/>
      <c r="N36" s="488" t="str">
        <f>IF(AND('Mapa de Riesgos'!$H$86="Baja",'Mapa de Riesgos'!$L$86="Leve"),CONCATENATE("R",'Mapa de Riesgos'!$A$86),"")</f>
        <v/>
      </c>
      <c r="O36" s="489"/>
      <c r="P36" s="480" t="str">
        <f>IF(AND('Mapa de Riesgos'!$H$68="Baja",'Mapa de Riesgos'!$L$68="Menor"),CONCATENATE("R",'Mapa de Riesgos'!$A$68),"")</f>
        <v/>
      </c>
      <c r="Q36" s="480"/>
      <c r="R36" s="480" t="str">
        <f>IF(AND('Mapa de Riesgos'!$H$80="Baja",'Mapa de Riesgos'!$L$80="Menor"),CONCATENATE("R",'Mapa de Riesgos'!$A$80),"")</f>
        <v/>
      </c>
      <c r="S36" s="480"/>
      <c r="T36" s="480" t="str">
        <f>IF(AND('Mapa de Riesgos'!$H$86="Baja",'Mapa de Riesgos'!$L$86="Menor"),CONCATENATE("R",'Mapa de Riesgos'!$A$86),"")</f>
        <v/>
      </c>
      <c r="U36" s="481"/>
      <c r="V36" s="479" t="str">
        <f>IF(AND('Mapa de Riesgos'!$H$68="Baja",'Mapa de Riesgos'!$L$68="Moderado"),CONCATENATE("R",'Mapa de Riesgos'!$A$68),"")</f>
        <v>R10</v>
      </c>
      <c r="W36" s="480"/>
      <c r="X36" s="480" t="str">
        <f>IF(AND('Mapa de Riesgos'!$H$80="Baja",'Mapa de Riesgos'!$L$80="Moderado"),CONCATENATE("R",'Mapa de Riesgos'!$A$80),"")</f>
        <v/>
      </c>
      <c r="Y36" s="480"/>
      <c r="Z36" s="480" t="str">
        <f>IF(AND('Mapa de Riesgos'!$H$86="Baja",'Mapa de Riesgos'!$L$86="Moderado"),CONCATENATE("R",'Mapa de Riesgos'!$A$86),"")</f>
        <v/>
      </c>
      <c r="AA36" s="481"/>
      <c r="AB36" s="463" t="str">
        <f>IF(AND('Mapa de Riesgos'!$H$68="Baja",'Mapa de Riesgos'!$L$68="Mayor"),CONCATENATE("R",'Mapa de Riesgos'!$A$68),"")</f>
        <v/>
      </c>
      <c r="AC36" s="459"/>
      <c r="AD36" s="459" t="str">
        <f>IF(AND('Mapa de Riesgos'!$H$80="Baja",'Mapa de Riesgos'!$L$80="Mayor"),CONCATENATE("R",'Mapa de Riesgos'!$A$80),"")</f>
        <v/>
      </c>
      <c r="AE36" s="459"/>
      <c r="AF36" s="459" t="str">
        <f>IF(AND('Mapa de Riesgos'!$H$86="Baja",'Mapa de Riesgos'!$L$86="Mayor"),CONCATENATE("R",'Mapa de Riesgos'!$A$86),"")</f>
        <v/>
      </c>
      <c r="AG36" s="460"/>
      <c r="AH36" s="470" t="str">
        <f>IF(AND('Mapa de Riesgos'!$H$68="Baja",'Mapa de Riesgos'!$L$68="Catastrófico"),CONCATENATE("R",'Mapa de Riesgos'!$A$68),"")</f>
        <v/>
      </c>
      <c r="AI36" s="471"/>
      <c r="AJ36" s="471" t="str">
        <f>IF(AND('Mapa de Riesgos'!$H$80="Baja",'Mapa de Riesgos'!$L$80="Catastrófico"),CONCATENATE("R",'Mapa de Riesgos'!$A$80),"")</f>
        <v/>
      </c>
      <c r="AK36" s="471"/>
      <c r="AL36" s="471" t="str">
        <f>IF(AND('Mapa de Riesgos'!$H$86="Baja",'Mapa de Riesgos'!$L$86="Catastrófico"),CONCATENATE("R",'Mapa de Riesgos'!$A$86),"")</f>
        <v/>
      </c>
      <c r="AM36" s="472"/>
      <c r="AN36" s="83"/>
      <c r="AO36" s="444"/>
      <c r="AP36" s="445"/>
      <c r="AQ36" s="445"/>
      <c r="AR36" s="445"/>
      <c r="AS36" s="445"/>
      <c r="AT36" s="44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12"/>
      <c r="C37" s="412"/>
      <c r="D37" s="413"/>
      <c r="E37" s="456"/>
      <c r="F37" s="457"/>
      <c r="G37" s="457"/>
      <c r="H37" s="457"/>
      <c r="I37" s="457"/>
      <c r="J37" s="491"/>
      <c r="K37" s="492"/>
      <c r="L37" s="492"/>
      <c r="M37" s="492"/>
      <c r="N37" s="492"/>
      <c r="O37" s="493"/>
      <c r="P37" s="483"/>
      <c r="Q37" s="483"/>
      <c r="R37" s="483"/>
      <c r="S37" s="483"/>
      <c r="T37" s="483"/>
      <c r="U37" s="484"/>
      <c r="V37" s="482"/>
      <c r="W37" s="483"/>
      <c r="X37" s="483"/>
      <c r="Y37" s="483"/>
      <c r="Z37" s="483"/>
      <c r="AA37" s="484"/>
      <c r="AB37" s="467"/>
      <c r="AC37" s="468"/>
      <c r="AD37" s="468"/>
      <c r="AE37" s="468"/>
      <c r="AF37" s="468"/>
      <c r="AG37" s="469"/>
      <c r="AH37" s="473"/>
      <c r="AI37" s="474"/>
      <c r="AJ37" s="474"/>
      <c r="AK37" s="474"/>
      <c r="AL37" s="474"/>
      <c r="AM37" s="475"/>
      <c r="AN37" s="83"/>
      <c r="AO37" s="447"/>
      <c r="AP37" s="448"/>
      <c r="AQ37" s="448"/>
      <c r="AR37" s="448"/>
      <c r="AS37" s="448"/>
      <c r="AT37" s="44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12"/>
      <c r="C38" s="412"/>
      <c r="D38" s="413"/>
      <c r="E38" s="450" t="s">
        <v>280</v>
      </c>
      <c r="F38" s="451"/>
      <c r="G38" s="451"/>
      <c r="H38" s="451"/>
      <c r="I38" s="452"/>
      <c r="J38" s="494" t="str">
        <f>IF(AND('Mapa de Riesgos'!$H$12="Muy Baja",'Mapa de Riesgos'!$L$12="Leve"),CONCATENATE("R",'Mapa de Riesgos'!$A$12),"")</f>
        <v/>
      </c>
      <c r="K38" s="495"/>
      <c r="L38" s="495" t="str">
        <f>IF(AND('Mapa de Riesgos'!$H$18="Muy Baja",'Mapa de Riesgos'!$L$18="Leve"),CONCATENATE("R",'Mapa de Riesgos'!$A$18),"")</f>
        <v/>
      </c>
      <c r="M38" s="495"/>
      <c r="N38" s="495" t="str">
        <f>IF(AND('Mapa de Riesgos'!$H$24="Muy Baja",'Mapa de Riesgos'!$L$24="Leve"),CONCATENATE("R",'Mapa de Riesgos'!$A$24),"")</f>
        <v/>
      </c>
      <c r="O38" s="496"/>
      <c r="P38" s="494" t="str">
        <f>IF(AND('Mapa de Riesgos'!$H$12="Muy Baja",'Mapa de Riesgos'!$L$12="Menor"),CONCATENATE("R",'Mapa de Riesgos'!$A$12),"")</f>
        <v/>
      </c>
      <c r="Q38" s="495"/>
      <c r="R38" s="495" t="str">
        <f>IF(AND('Mapa de Riesgos'!$H$18="Muy Baja",'Mapa de Riesgos'!$L$18="Menor"),CONCATENATE("R",'Mapa de Riesgos'!$A$18),"")</f>
        <v/>
      </c>
      <c r="S38" s="495"/>
      <c r="T38" s="495" t="str">
        <f>IF(AND('Mapa de Riesgos'!$H$24="Muy Baja",'Mapa de Riesgos'!$L$24="Menor"),CONCATENATE("R",'Mapa de Riesgos'!$A$24),"")</f>
        <v/>
      </c>
      <c r="U38" s="496"/>
      <c r="V38" s="485" t="str">
        <f>IF(AND('Mapa de Riesgos'!$H$12="Muy Baja",'Mapa de Riesgos'!$L$12="Moderado"),CONCATENATE("R",'Mapa de Riesgos'!$A$12),"")</f>
        <v/>
      </c>
      <c r="W38" s="486"/>
      <c r="X38" s="486" t="str">
        <f>IF(AND('Mapa de Riesgos'!$H$18="Muy Baja",'Mapa de Riesgos'!$L$18="Moderado"),CONCATENATE("R",'Mapa de Riesgos'!$A$18),"")</f>
        <v/>
      </c>
      <c r="Y38" s="486"/>
      <c r="Z38" s="486" t="str">
        <f>IF(AND('Mapa de Riesgos'!$H$24="Muy Baja",'Mapa de Riesgos'!$L$24="Moderado"),CONCATENATE("R",'Mapa de Riesgos'!$A$24),"")</f>
        <v/>
      </c>
      <c r="AA38" s="487"/>
      <c r="AB38" s="461" t="str">
        <f>IF(AND('Mapa de Riesgos'!$H$12="Muy Baja",'Mapa de Riesgos'!$L$12="Mayor"),CONCATENATE("R",'Mapa de Riesgos'!$A$12),"")</f>
        <v/>
      </c>
      <c r="AC38" s="462"/>
      <c r="AD38" s="462" t="str">
        <f>IF(AND('Mapa de Riesgos'!$H$18="Muy Baja",'Mapa de Riesgos'!$L$18="Mayor"),CONCATENATE("R",'Mapa de Riesgos'!$A$18),"")</f>
        <v/>
      </c>
      <c r="AE38" s="462"/>
      <c r="AF38" s="462" t="str">
        <f>IF(AND('Mapa de Riesgos'!$H$24="Muy Baja",'Mapa de Riesgos'!$L$24="Mayor"),CONCATENATE("R",'Mapa de Riesgos'!$A$24),"")</f>
        <v/>
      </c>
      <c r="AG38" s="464"/>
      <c r="AH38" s="476" t="str">
        <f>IF(AND('Mapa de Riesgos'!$H$12="Muy Baja",'Mapa de Riesgos'!$L$12="Catastrófico"),CONCATENATE("R",'Mapa de Riesgos'!$A$12),"")</f>
        <v/>
      </c>
      <c r="AI38" s="477"/>
      <c r="AJ38" s="477" t="str">
        <f>IF(AND('Mapa de Riesgos'!$H$18="Muy Baja",'Mapa de Riesgos'!$L$18="Catastrófico"),CONCATENATE("R",'Mapa de Riesgos'!$A$18),"")</f>
        <v/>
      </c>
      <c r="AK38" s="477"/>
      <c r="AL38" s="477" t="str">
        <f>IF(AND('Mapa de Riesgos'!$H$24="Muy Baja",'Mapa de Riesgos'!$L$24="Catastrófico"),CONCATENATE("R",'Mapa de Riesgos'!$A$24),"")</f>
        <v/>
      </c>
      <c r="AM38" s="47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12"/>
      <c r="C39" s="412"/>
      <c r="D39" s="413"/>
      <c r="E39" s="453"/>
      <c r="F39" s="454"/>
      <c r="G39" s="454"/>
      <c r="H39" s="454"/>
      <c r="I39" s="455"/>
      <c r="J39" s="490"/>
      <c r="K39" s="488"/>
      <c r="L39" s="488"/>
      <c r="M39" s="488"/>
      <c r="N39" s="488"/>
      <c r="O39" s="489"/>
      <c r="P39" s="490"/>
      <c r="Q39" s="488"/>
      <c r="R39" s="488"/>
      <c r="S39" s="488"/>
      <c r="T39" s="488"/>
      <c r="U39" s="489"/>
      <c r="V39" s="479"/>
      <c r="W39" s="480"/>
      <c r="X39" s="480"/>
      <c r="Y39" s="480"/>
      <c r="Z39" s="480"/>
      <c r="AA39" s="481"/>
      <c r="AB39" s="463"/>
      <c r="AC39" s="459"/>
      <c r="AD39" s="459"/>
      <c r="AE39" s="459"/>
      <c r="AF39" s="459"/>
      <c r="AG39" s="460"/>
      <c r="AH39" s="470"/>
      <c r="AI39" s="471"/>
      <c r="AJ39" s="471"/>
      <c r="AK39" s="471"/>
      <c r="AL39" s="471"/>
      <c r="AM39" s="47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12"/>
      <c r="C40" s="412"/>
      <c r="D40" s="413"/>
      <c r="E40" s="453"/>
      <c r="F40" s="454"/>
      <c r="G40" s="454"/>
      <c r="H40" s="454"/>
      <c r="I40" s="455"/>
      <c r="J40" s="490" t="str">
        <f>IF(AND('Mapa de Riesgos'!$H$32="Muy Baja",'Mapa de Riesgos'!$L$32="Leve"),CONCATENATE("R",'Mapa de Riesgos'!$A$32),"")</f>
        <v/>
      </c>
      <c r="K40" s="488"/>
      <c r="L40" s="488" t="str">
        <f>IF(AND('Mapa de Riesgos'!$H$38="Muy Baja",'Mapa de Riesgos'!$L$38="Leve"),CONCATENATE("R",'Mapa de Riesgos'!$A$38),"")</f>
        <v/>
      </c>
      <c r="M40" s="488"/>
      <c r="N40" s="488" t="str">
        <f>IF(AND('Mapa de Riesgos'!$H$44="Muy Baja",'Mapa de Riesgos'!$L$44="Leve"),CONCATENATE("R",'Mapa de Riesgos'!$A$44),"")</f>
        <v/>
      </c>
      <c r="O40" s="489"/>
      <c r="P40" s="490" t="str">
        <f>IF(AND('Mapa de Riesgos'!$H$32="Muy Baja",'Mapa de Riesgos'!$L$32="Menor"),CONCATENATE("R",'Mapa de Riesgos'!$A$32),"")</f>
        <v/>
      </c>
      <c r="Q40" s="488"/>
      <c r="R40" s="488" t="str">
        <f>IF(AND('Mapa de Riesgos'!$H$38="Muy Baja",'Mapa de Riesgos'!$L$38="Menor"),CONCATENATE("R",'Mapa de Riesgos'!$A$38),"")</f>
        <v/>
      </c>
      <c r="S40" s="488"/>
      <c r="T40" s="488" t="str">
        <f>IF(AND('Mapa de Riesgos'!$H$44="Muy Baja",'Mapa de Riesgos'!$L$44="Menor"),CONCATENATE("R",'Mapa de Riesgos'!$A$44),"")</f>
        <v/>
      </c>
      <c r="U40" s="489"/>
      <c r="V40" s="479" t="str">
        <f>IF(AND('Mapa de Riesgos'!$H$32="Muy Baja",'Mapa de Riesgos'!$L$32="Moderado"),CONCATENATE("R",'Mapa de Riesgos'!$A$32),"")</f>
        <v/>
      </c>
      <c r="W40" s="480"/>
      <c r="X40" s="480" t="str">
        <f>IF(AND('Mapa de Riesgos'!$H$38="Muy Baja",'Mapa de Riesgos'!$L$38="Moderado"),CONCATENATE("R",'Mapa de Riesgos'!$A$38),"")</f>
        <v/>
      </c>
      <c r="Y40" s="480"/>
      <c r="Z40" s="480" t="str">
        <f>IF(AND('Mapa de Riesgos'!$H$44="Muy Baja",'Mapa de Riesgos'!$L$44="Moderado"),CONCATENATE("R",'Mapa de Riesgos'!$A$44),"")</f>
        <v/>
      </c>
      <c r="AA40" s="481"/>
      <c r="AB40" s="463" t="str">
        <f>IF(AND('Mapa de Riesgos'!$H$32="Muy Baja",'Mapa de Riesgos'!$L$32="Mayor"),CONCATENATE("R",'Mapa de Riesgos'!$A$32),"")</f>
        <v/>
      </c>
      <c r="AC40" s="459"/>
      <c r="AD40" s="459" t="str">
        <f>IF(AND('Mapa de Riesgos'!$H$38="Muy Baja",'Mapa de Riesgos'!$L$38="Mayor"),CONCATENATE("R",'Mapa de Riesgos'!$A$38),"")</f>
        <v/>
      </c>
      <c r="AE40" s="459"/>
      <c r="AF40" s="459" t="str">
        <f>IF(AND('Mapa de Riesgos'!$H$44="Muy Baja",'Mapa de Riesgos'!$L$44="Mayor"),CONCATENATE("R",'Mapa de Riesgos'!$A$44),"")</f>
        <v/>
      </c>
      <c r="AG40" s="460"/>
      <c r="AH40" s="470" t="str">
        <f>IF(AND('Mapa de Riesgos'!$H$32="Muy Baja",'Mapa de Riesgos'!$L$32="Catastrófico"),CONCATENATE("R",'Mapa de Riesgos'!$A$32),"")</f>
        <v/>
      </c>
      <c r="AI40" s="471"/>
      <c r="AJ40" s="471" t="str">
        <f>IF(AND('Mapa de Riesgos'!$H$38="Muy Baja",'Mapa de Riesgos'!$L$38="Catastrófico"),CONCATENATE("R",'Mapa de Riesgos'!$A$38),"")</f>
        <v/>
      </c>
      <c r="AK40" s="471"/>
      <c r="AL40" s="471" t="str">
        <f>IF(AND('Mapa de Riesgos'!$H$44="Muy Baja",'Mapa de Riesgos'!$L$44="Catastrófico"),CONCATENATE("R",'Mapa de Riesgos'!$A$44),"")</f>
        <v/>
      </c>
      <c r="AM40" s="47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12"/>
      <c r="C41" s="412"/>
      <c r="D41" s="413"/>
      <c r="E41" s="453"/>
      <c r="F41" s="454"/>
      <c r="G41" s="454"/>
      <c r="H41" s="454"/>
      <c r="I41" s="455"/>
      <c r="J41" s="490"/>
      <c r="K41" s="488"/>
      <c r="L41" s="488"/>
      <c r="M41" s="488"/>
      <c r="N41" s="488"/>
      <c r="O41" s="489"/>
      <c r="P41" s="490"/>
      <c r="Q41" s="488"/>
      <c r="R41" s="488"/>
      <c r="S41" s="488"/>
      <c r="T41" s="488"/>
      <c r="U41" s="489"/>
      <c r="V41" s="479"/>
      <c r="W41" s="480"/>
      <c r="X41" s="480"/>
      <c r="Y41" s="480"/>
      <c r="Z41" s="480"/>
      <c r="AA41" s="481"/>
      <c r="AB41" s="463"/>
      <c r="AC41" s="459"/>
      <c r="AD41" s="459"/>
      <c r="AE41" s="459"/>
      <c r="AF41" s="459"/>
      <c r="AG41" s="460"/>
      <c r="AH41" s="470"/>
      <c r="AI41" s="471"/>
      <c r="AJ41" s="471"/>
      <c r="AK41" s="471"/>
      <c r="AL41" s="471"/>
      <c r="AM41" s="47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12"/>
      <c r="C42" s="412"/>
      <c r="D42" s="413"/>
      <c r="E42" s="453"/>
      <c r="F42" s="454"/>
      <c r="G42" s="454"/>
      <c r="H42" s="454"/>
      <c r="I42" s="455"/>
      <c r="J42" s="490" t="str">
        <f>IF(AND('Mapa de Riesgos'!$H$50="Muy Baja",'Mapa de Riesgos'!$L$50="Leve"),CONCATENATE("R",'Mapa de Riesgos'!$A$50),"")</f>
        <v/>
      </c>
      <c r="K42" s="488"/>
      <c r="L42" s="488" t="str">
        <f>IF(AND('Mapa de Riesgos'!$H$56="Muy Baja",'Mapa de Riesgos'!$L$56="Leve"),CONCATENATE("R",'Mapa de Riesgos'!$A$56),"")</f>
        <v/>
      </c>
      <c r="M42" s="488"/>
      <c r="N42" s="488" t="str">
        <f>IF(AND('Mapa de Riesgos'!$H$62="Muy Baja",'Mapa de Riesgos'!$L$62="Leve"),CONCATENATE("R",'Mapa de Riesgos'!$A$62),"")</f>
        <v/>
      </c>
      <c r="O42" s="489"/>
      <c r="P42" s="490" t="str">
        <f>IF(AND('Mapa de Riesgos'!$H$50="Muy Baja",'Mapa de Riesgos'!$L$50="Menor"),CONCATENATE("R",'Mapa de Riesgos'!$A$50),"")</f>
        <v/>
      </c>
      <c r="Q42" s="488"/>
      <c r="R42" s="488" t="str">
        <f>IF(AND('Mapa de Riesgos'!$H$56="Muy Baja",'Mapa de Riesgos'!$L$56="Menor"),CONCATENATE("R",'Mapa de Riesgos'!$A$56),"")</f>
        <v/>
      </c>
      <c r="S42" s="488"/>
      <c r="T42" s="488" t="str">
        <f>IF(AND('Mapa de Riesgos'!$H$62="Muy Baja",'Mapa de Riesgos'!$L$62="Menor"),CONCATENATE("R",'Mapa de Riesgos'!$A$62),"")</f>
        <v/>
      </c>
      <c r="U42" s="489"/>
      <c r="V42" s="479" t="str">
        <f>IF(AND('Mapa de Riesgos'!$H$50="Muy Baja",'Mapa de Riesgos'!$L$50="Moderado"),CONCATENATE("R",'Mapa de Riesgos'!$A$50),"")</f>
        <v/>
      </c>
      <c r="W42" s="480"/>
      <c r="X42" s="480" t="str">
        <f>IF(AND('Mapa de Riesgos'!$H$56="Muy Baja",'Mapa de Riesgos'!$L$56="Moderado"),CONCATENATE("R",'Mapa de Riesgos'!$A$56),"")</f>
        <v/>
      </c>
      <c r="Y42" s="480"/>
      <c r="Z42" s="480" t="str">
        <f>IF(AND('Mapa de Riesgos'!$H$62="Muy Baja",'Mapa de Riesgos'!$L$62="Moderado"),CONCATENATE("R",'Mapa de Riesgos'!$A$62),"")</f>
        <v/>
      </c>
      <c r="AA42" s="481"/>
      <c r="AB42" s="463" t="str">
        <f>IF(AND('Mapa de Riesgos'!$H$50="Muy Baja",'Mapa de Riesgos'!$L$50="Mayor"),CONCATENATE("R",'Mapa de Riesgos'!$A$50),"")</f>
        <v/>
      </c>
      <c r="AC42" s="459"/>
      <c r="AD42" s="459" t="str">
        <f>IF(AND('Mapa de Riesgos'!$H$56="Muy Baja",'Mapa de Riesgos'!$L$56="Mayor"),CONCATENATE("R",'Mapa de Riesgos'!$A$56),"")</f>
        <v/>
      </c>
      <c r="AE42" s="459"/>
      <c r="AF42" s="459" t="str">
        <f>IF(AND('Mapa de Riesgos'!$H$62="Muy Baja",'Mapa de Riesgos'!$L$62="Mayor"),CONCATENATE("R",'Mapa de Riesgos'!$A$62),"")</f>
        <v/>
      </c>
      <c r="AG42" s="460"/>
      <c r="AH42" s="470" t="str">
        <f>IF(AND('Mapa de Riesgos'!$H$50="Muy Baja",'Mapa de Riesgos'!$L$50="Catastrófico"),CONCATENATE("R",'Mapa de Riesgos'!$A$50),"")</f>
        <v/>
      </c>
      <c r="AI42" s="471"/>
      <c r="AJ42" s="471" t="str">
        <f>IF(AND('Mapa de Riesgos'!$H$56="Muy Baja",'Mapa de Riesgos'!$L$56="Catastrófico"),CONCATENATE("R",'Mapa de Riesgos'!$A$56),"")</f>
        <v/>
      </c>
      <c r="AK42" s="471"/>
      <c r="AL42" s="471" t="str">
        <f>IF(AND('Mapa de Riesgos'!$H$62="Muy Baja",'Mapa de Riesgos'!$L$62="Catastrófico"),CONCATENATE("R",'Mapa de Riesgos'!$A$62),"")</f>
        <v/>
      </c>
      <c r="AM42" s="47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12"/>
      <c r="C43" s="412"/>
      <c r="D43" s="413"/>
      <c r="E43" s="453"/>
      <c r="F43" s="454"/>
      <c r="G43" s="454"/>
      <c r="H43" s="454"/>
      <c r="I43" s="455"/>
      <c r="J43" s="490"/>
      <c r="K43" s="488"/>
      <c r="L43" s="488"/>
      <c r="M43" s="488"/>
      <c r="N43" s="488"/>
      <c r="O43" s="489"/>
      <c r="P43" s="490"/>
      <c r="Q43" s="488"/>
      <c r="R43" s="488"/>
      <c r="S43" s="488"/>
      <c r="T43" s="488"/>
      <c r="U43" s="489"/>
      <c r="V43" s="479"/>
      <c r="W43" s="480"/>
      <c r="X43" s="480"/>
      <c r="Y43" s="480"/>
      <c r="Z43" s="480"/>
      <c r="AA43" s="481"/>
      <c r="AB43" s="463"/>
      <c r="AC43" s="459"/>
      <c r="AD43" s="459"/>
      <c r="AE43" s="459"/>
      <c r="AF43" s="459"/>
      <c r="AG43" s="460"/>
      <c r="AH43" s="470"/>
      <c r="AI43" s="471"/>
      <c r="AJ43" s="471"/>
      <c r="AK43" s="471"/>
      <c r="AL43" s="471"/>
      <c r="AM43" s="47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12"/>
      <c r="C44" s="412"/>
      <c r="D44" s="413"/>
      <c r="E44" s="453"/>
      <c r="F44" s="454"/>
      <c r="G44" s="454"/>
      <c r="H44" s="454"/>
      <c r="I44" s="455"/>
      <c r="J44" s="490" t="str">
        <f>IF(AND('Mapa de Riesgos'!$H$68="Muy Baja",'Mapa de Riesgos'!$L$68="Leve"),CONCATENATE("R",'Mapa de Riesgos'!$A$68),"")</f>
        <v/>
      </c>
      <c r="K44" s="488"/>
      <c r="L44" s="488" t="str">
        <f>IF(AND('Mapa de Riesgos'!$H$80="Muy Baja",'Mapa de Riesgos'!$L$80="Leve"),CONCATENATE("R",'Mapa de Riesgos'!$A$80),"")</f>
        <v/>
      </c>
      <c r="M44" s="488"/>
      <c r="N44" s="488" t="str">
        <f>IF(AND('Mapa de Riesgos'!$H$86="Muy Baja",'Mapa de Riesgos'!$L$86="Leve"),CONCATENATE("R",'Mapa de Riesgos'!$A$86),"")</f>
        <v/>
      </c>
      <c r="O44" s="489"/>
      <c r="P44" s="490" t="str">
        <f>IF(AND('Mapa de Riesgos'!$H$68="Muy Baja",'Mapa de Riesgos'!$L$68="Menor"),CONCATENATE("R",'Mapa de Riesgos'!$A$68),"")</f>
        <v/>
      </c>
      <c r="Q44" s="488"/>
      <c r="R44" s="488" t="str">
        <f>IF(AND('Mapa de Riesgos'!$H$80="Muy Baja",'Mapa de Riesgos'!$L$80="Menor"),CONCATENATE("R",'Mapa de Riesgos'!$A$80),"")</f>
        <v/>
      </c>
      <c r="S44" s="488"/>
      <c r="T44" s="488" t="str">
        <f>IF(AND('Mapa de Riesgos'!$H$86="Muy Baja",'Mapa de Riesgos'!$L$86="Menor"),CONCATENATE("R",'Mapa de Riesgos'!$A$86),"")</f>
        <v/>
      </c>
      <c r="U44" s="489"/>
      <c r="V44" s="479" t="str">
        <f>IF(AND('Mapa de Riesgos'!$H$68="Muy Baja",'Mapa de Riesgos'!$L$68="Moderado"),CONCATENATE("R",'Mapa de Riesgos'!$A$68),"")</f>
        <v/>
      </c>
      <c r="W44" s="480"/>
      <c r="X44" s="480" t="str">
        <f>IF(AND('Mapa de Riesgos'!$H$80="Muy Baja",'Mapa de Riesgos'!$L$80="Moderado"),CONCATENATE("R",'Mapa de Riesgos'!$A$80),"")</f>
        <v/>
      </c>
      <c r="Y44" s="480"/>
      <c r="Z44" s="480" t="str">
        <f>IF(AND('Mapa de Riesgos'!$H$86="Muy Baja",'Mapa de Riesgos'!$L$86="Moderado"),CONCATENATE("R",'Mapa de Riesgos'!$A$86),"")</f>
        <v/>
      </c>
      <c r="AA44" s="481"/>
      <c r="AB44" s="463" t="str">
        <f>IF(AND('Mapa de Riesgos'!$H$68="Muy Baja",'Mapa de Riesgos'!$L$68="Mayor"),CONCATENATE("R",'Mapa de Riesgos'!$A$68),"")</f>
        <v/>
      </c>
      <c r="AC44" s="459"/>
      <c r="AD44" s="459" t="str">
        <f>IF(AND('Mapa de Riesgos'!$H$80="Muy Baja",'Mapa de Riesgos'!$L$80="Mayor"),CONCATENATE("R",'Mapa de Riesgos'!$A$80),"")</f>
        <v/>
      </c>
      <c r="AE44" s="459"/>
      <c r="AF44" s="459" t="str">
        <f>IF(AND('Mapa de Riesgos'!$H$86="Muy Baja",'Mapa de Riesgos'!$L$86="Mayor"),CONCATENATE("R",'Mapa de Riesgos'!$A$86),"")</f>
        <v/>
      </c>
      <c r="AG44" s="460"/>
      <c r="AH44" s="470" t="str">
        <f>IF(AND('Mapa de Riesgos'!$H$68="Muy Baja",'Mapa de Riesgos'!$L$68="Catastrófico"),CONCATENATE("R",'Mapa de Riesgos'!$A$68),"")</f>
        <v/>
      </c>
      <c r="AI44" s="471"/>
      <c r="AJ44" s="471" t="str">
        <f>IF(AND('Mapa de Riesgos'!$H$80="Muy Baja",'Mapa de Riesgos'!$L$80="Catastrófico"),CONCATENATE("R",'Mapa de Riesgos'!$A$80),"")</f>
        <v/>
      </c>
      <c r="AK44" s="471"/>
      <c r="AL44" s="471" t="str">
        <f>IF(AND('Mapa de Riesgos'!$H$86="Muy Baja",'Mapa de Riesgos'!$L$86="Catastrófico"),CONCATENATE("R",'Mapa de Riesgos'!$A$86),"")</f>
        <v/>
      </c>
      <c r="AM44" s="47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12"/>
      <c r="C45" s="412"/>
      <c r="D45" s="413"/>
      <c r="E45" s="456"/>
      <c r="F45" s="457"/>
      <c r="G45" s="457"/>
      <c r="H45" s="457"/>
      <c r="I45" s="458"/>
      <c r="J45" s="491"/>
      <c r="K45" s="492"/>
      <c r="L45" s="492"/>
      <c r="M45" s="492"/>
      <c r="N45" s="492"/>
      <c r="O45" s="493"/>
      <c r="P45" s="491"/>
      <c r="Q45" s="492"/>
      <c r="R45" s="492"/>
      <c r="S45" s="492"/>
      <c r="T45" s="492"/>
      <c r="U45" s="493"/>
      <c r="V45" s="482"/>
      <c r="W45" s="483"/>
      <c r="X45" s="483"/>
      <c r="Y45" s="483"/>
      <c r="Z45" s="483"/>
      <c r="AA45" s="484"/>
      <c r="AB45" s="467"/>
      <c r="AC45" s="468"/>
      <c r="AD45" s="468"/>
      <c r="AE45" s="468"/>
      <c r="AF45" s="468"/>
      <c r="AG45" s="469"/>
      <c r="AH45" s="473"/>
      <c r="AI45" s="474"/>
      <c r="AJ45" s="474"/>
      <c r="AK45" s="474"/>
      <c r="AL45" s="474"/>
      <c r="AM45" s="47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0" t="s">
        <v>281</v>
      </c>
      <c r="K46" s="451"/>
      <c r="L46" s="451"/>
      <c r="M46" s="451"/>
      <c r="N46" s="451"/>
      <c r="O46" s="452"/>
      <c r="P46" s="450" t="s">
        <v>282</v>
      </c>
      <c r="Q46" s="451"/>
      <c r="R46" s="451"/>
      <c r="S46" s="451"/>
      <c r="T46" s="451"/>
      <c r="U46" s="452"/>
      <c r="V46" s="450" t="s">
        <v>283</v>
      </c>
      <c r="W46" s="451"/>
      <c r="X46" s="451"/>
      <c r="Y46" s="451"/>
      <c r="Z46" s="451"/>
      <c r="AA46" s="452"/>
      <c r="AB46" s="450" t="s">
        <v>284</v>
      </c>
      <c r="AC46" s="466"/>
      <c r="AD46" s="451"/>
      <c r="AE46" s="451"/>
      <c r="AF46" s="451"/>
      <c r="AG46" s="452"/>
      <c r="AH46" s="450" t="s">
        <v>285</v>
      </c>
      <c r="AI46" s="451"/>
      <c r="AJ46" s="451"/>
      <c r="AK46" s="451"/>
      <c r="AL46" s="451"/>
      <c r="AM46" s="45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53"/>
      <c r="K47" s="454"/>
      <c r="L47" s="454"/>
      <c r="M47" s="454"/>
      <c r="N47" s="454"/>
      <c r="O47" s="455"/>
      <c r="P47" s="453"/>
      <c r="Q47" s="454"/>
      <c r="R47" s="454"/>
      <c r="S47" s="454"/>
      <c r="T47" s="454"/>
      <c r="U47" s="455"/>
      <c r="V47" s="453"/>
      <c r="W47" s="454"/>
      <c r="X47" s="454"/>
      <c r="Y47" s="454"/>
      <c r="Z47" s="454"/>
      <c r="AA47" s="455"/>
      <c r="AB47" s="453"/>
      <c r="AC47" s="454"/>
      <c r="AD47" s="454"/>
      <c r="AE47" s="454"/>
      <c r="AF47" s="454"/>
      <c r="AG47" s="455"/>
      <c r="AH47" s="453"/>
      <c r="AI47" s="454"/>
      <c r="AJ47" s="454"/>
      <c r="AK47" s="454"/>
      <c r="AL47" s="454"/>
      <c r="AM47" s="45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53"/>
      <c r="K48" s="454"/>
      <c r="L48" s="454"/>
      <c r="M48" s="454"/>
      <c r="N48" s="454"/>
      <c r="O48" s="455"/>
      <c r="P48" s="453"/>
      <c r="Q48" s="454"/>
      <c r="R48" s="454"/>
      <c r="S48" s="454"/>
      <c r="T48" s="454"/>
      <c r="U48" s="455"/>
      <c r="V48" s="453"/>
      <c r="W48" s="454"/>
      <c r="X48" s="454"/>
      <c r="Y48" s="454"/>
      <c r="Z48" s="454"/>
      <c r="AA48" s="455"/>
      <c r="AB48" s="453"/>
      <c r="AC48" s="454"/>
      <c r="AD48" s="454"/>
      <c r="AE48" s="454"/>
      <c r="AF48" s="454"/>
      <c r="AG48" s="455"/>
      <c r="AH48" s="453"/>
      <c r="AI48" s="454"/>
      <c r="AJ48" s="454"/>
      <c r="AK48" s="454"/>
      <c r="AL48" s="454"/>
      <c r="AM48" s="45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53"/>
      <c r="K49" s="454"/>
      <c r="L49" s="454"/>
      <c r="M49" s="454"/>
      <c r="N49" s="454"/>
      <c r="O49" s="455"/>
      <c r="P49" s="453"/>
      <c r="Q49" s="454"/>
      <c r="R49" s="454"/>
      <c r="S49" s="454"/>
      <c r="T49" s="454"/>
      <c r="U49" s="455"/>
      <c r="V49" s="453"/>
      <c r="W49" s="454"/>
      <c r="X49" s="454"/>
      <c r="Y49" s="454"/>
      <c r="Z49" s="454"/>
      <c r="AA49" s="455"/>
      <c r="AB49" s="453"/>
      <c r="AC49" s="454"/>
      <c r="AD49" s="454"/>
      <c r="AE49" s="454"/>
      <c r="AF49" s="454"/>
      <c r="AG49" s="455"/>
      <c r="AH49" s="453"/>
      <c r="AI49" s="454"/>
      <c r="AJ49" s="454"/>
      <c r="AK49" s="454"/>
      <c r="AL49" s="454"/>
      <c r="AM49" s="45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53"/>
      <c r="K50" s="454"/>
      <c r="L50" s="454"/>
      <c r="M50" s="454"/>
      <c r="N50" s="454"/>
      <c r="O50" s="455"/>
      <c r="P50" s="453"/>
      <c r="Q50" s="454"/>
      <c r="R50" s="454"/>
      <c r="S50" s="454"/>
      <c r="T50" s="454"/>
      <c r="U50" s="455"/>
      <c r="V50" s="453"/>
      <c r="W50" s="454"/>
      <c r="X50" s="454"/>
      <c r="Y50" s="454"/>
      <c r="Z50" s="454"/>
      <c r="AA50" s="455"/>
      <c r="AB50" s="453"/>
      <c r="AC50" s="454"/>
      <c r="AD50" s="454"/>
      <c r="AE50" s="454"/>
      <c r="AF50" s="454"/>
      <c r="AG50" s="455"/>
      <c r="AH50" s="453"/>
      <c r="AI50" s="454"/>
      <c r="AJ50" s="454"/>
      <c r="AK50" s="454"/>
      <c r="AL50" s="454"/>
      <c r="AM50" s="45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6"/>
      <c r="K51" s="457"/>
      <c r="L51" s="457"/>
      <c r="M51" s="457"/>
      <c r="N51" s="457"/>
      <c r="O51" s="458"/>
      <c r="P51" s="456"/>
      <c r="Q51" s="457"/>
      <c r="R51" s="457"/>
      <c r="S51" s="457"/>
      <c r="T51" s="457"/>
      <c r="U51" s="458"/>
      <c r="V51" s="456"/>
      <c r="W51" s="457"/>
      <c r="X51" s="457"/>
      <c r="Y51" s="457"/>
      <c r="Z51" s="457"/>
      <c r="AA51" s="458"/>
      <c r="AB51" s="456"/>
      <c r="AC51" s="457"/>
      <c r="AD51" s="457"/>
      <c r="AE51" s="457"/>
      <c r="AF51" s="457"/>
      <c r="AG51" s="458"/>
      <c r="AH51" s="456"/>
      <c r="AI51" s="457"/>
      <c r="AJ51" s="457"/>
      <c r="AK51" s="457"/>
      <c r="AL51" s="457"/>
      <c r="AM51" s="45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23" t="s">
        <v>286</v>
      </c>
      <c r="C2" s="524"/>
      <c r="D2" s="524"/>
      <c r="E2" s="524"/>
      <c r="F2" s="524"/>
      <c r="G2" s="524"/>
      <c r="H2" s="524"/>
      <c r="I2" s="524"/>
      <c r="J2" s="465" t="s">
        <v>26</v>
      </c>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24"/>
      <c r="C3" s="524"/>
      <c r="D3" s="524"/>
      <c r="E3" s="524"/>
      <c r="F3" s="524"/>
      <c r="G3" s="524"/>
      <c r="H3" s="524"/>
      <c r="I3" s="524"/>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24"/>
      <c r="C4" s="524"/>
      <c r="D4" s="524"/>
      <c r="E4" s="524"/>
      <c r="F4" s="524"/>
      <c r="G4" s="524"/>
      <c r="H4" s="524"/>
      <c r="I4" s="524"/>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12" t="s">
        <v>271</v>
      </c>
      <c r="C6" s="412"/>
      <c r="D6" s="413"/>
      <c r="E6" s="507" t="s">
        <v>272</v>
      </c>
      <c r="F6" s="508"/>
      <c r="G6" s="508"/>
      <c r="H6" s="508"/>
      <c r="I6" s="525"/>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14" t="s">
        <v>273</v>
      </c>
      <c r="AP6" s="515"/>
      <c r="AQ6" s="515"/>
      <c r="AR6" s="515"/>
      <c r="AS6" s="515"/>
      <c r="AT6" s="51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12"/>
      <c r="C7" s="412"/>
      <c r="D7" s="413"/>
      <c r="E7" s="511"/>
      <c r="F7" s="510"/>
      <c r="G7" s="510"/>
      <c r="H7" s="510"/>
      <c r="I7" s="526"/>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17"/>
      <c r="AP7" s="518"/>
      <c r="AQ7" s="518"/>
      <c r="AR7" s="518"/>
      <c r="AS7" s="518"/>
      <c r="AT7" s="51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12"/>
      <c r="C8" s="412"/>
      <c r="D8" s="413"/>
      <c r="E8" s="511"/>
      <c r="F8" s="510"/>
      <c r="G8" s="510"/>
      <c r="H8" s="510"/>
      <c r="I8" s="526"/>
      <c r="J8" s="52" t="str">
        <f>IF(AND('Mapa de Riesgos'!$Y$24="Muy Alta",'Mapa de Riesgos'!$AA$24="Leve"),CONCATENATE("R3C",'Mapa de Riesgos'!$O$24),"")</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Riesgos'!$Y$24="Muy Alta",'Mapa de Riesgos'!$AA$24="Menor"),CONCATENATE("R3C",'Mapa de Riesgos'!$O$24),"")</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Riesgos'!$Y$24="Muy Alta",'Mapa de Riesgos'!$AA$24="Moderado"),CONCATENATE("R3C",'Mapa de Riesgos'!$O$24),"")</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Riesgos'!$Y$24="Muy Alta",'Mapa de Riesgos'!$AA$24="Mayor"),CONCATENATE("R3C",'Mapa de Riesgos'!$O$24),"")</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Riesgos'!$Y$24="Muy Alta",'Mapa de Riesgos'!$AA$24="Catastrófico"),CONCATENATE("R3C",'Mapa de Riesgos'!$O$24),"")</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17"/>
      <c r="AP8" s="518"/>
      <c r="AQ8" s="518"/>
      <c r="AR8" s="518"/>
      <c r="AS8" s="518"/>
      <c r="AT8" s="51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12"/>
      <c r="C9" s="412"/>
      <c r="D9" s="413"/>
      <c r="E9" s="511"/>
      <c r="F9" s="510"/>
      <c r="G9" s="510"/>
      <c r="H9" s="510"/>
      <c r="I9" s="526"/>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17"/>
      <c r="AP9" s="518"/>
      <c r="AQ9" s="518"/>
      <c r="AR9" s="518"/>
      <c r="AS9" s="518"/>
      <c r="AT9" s="51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12"/>
      <c r="C10" s="412"/>
      <c r="D10" s="413"/>
      <c r="E10" s="511"/>
      <c r="F10" s="510"/>
      <c r="G10" s="510"/>
      <c r="H10" s="510"/>
      <c r="I10" s="526"/>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17"/>
      <c r="AP10" s="518"/>
      <c r="AQ10" s="518"/>
      <c r="AR10" s="518"/>
      <c r="AS10" s="518"/>
      <c r="AT10" s="51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12"/>
      <c r="C11" s="412"/>
      <c r="D11" s="413"/>
      <c r="E11" s="511"/>
      <c r="F11" s="510"/>
      <c r="G11" s="510"/>
      <c r="H11" s="510"/>
      <c r="I11" s="526"/>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17"/>
      <c r="AP11" s="518"/>
      <c r="AQ11" s="518"/>
      <c r="AR11" s="518"/>
      <c r="AS11" s="518"/>
      <c r="AT11" s="51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12"/>
      <c r="C12" s="412"/>
      <c r="D12" s="413"/>
      <c r="E12" s="511"/>
      <c r="F12" s="510"/>
      <c r="G12" s="510"/>
      <c r="H12" s="510"/>
      <c r="I12" s="526"/>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17"/>
      <c r="AP12" s="518"/>
      <c r="AQ12" s="518"/>
      <c r="AR12" s="518"/>
      <c r="AS12" s="518"/>
      <c r="AT12" s="51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12"/>
      <c r="C13" s="412"/>
      <c r="D13" s="413"/>
      <c r="E13" s="511"/>
      <c r="F13" s="510"/>
      <c r="G13" s="510"/>
      <c r="H13" s="510"/>
      <c r="I13" s="526"/>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17"/>
      <c r="AP13" s="518"/>
      <c r="AQ13" s="518"/>
      <c r="AR13" s="518"/>
      <c r="AS13" s="518"/>
      <c r="AT13" s="51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12"/>
      <c r="C14" s="412"/>
      <c r="D14" s="413"/>
      <c r="E14" s="511"/>
      <c r="F14" s="510"/>
      <c r="G14" s="510"/>
      <c r="H14" s="510"/>
      <c r="I14" s="526"/>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17"/>
      <c r="AP14" s="518"/>
      <c r="AQ14" s="518"/>
      <c r="AR14" s="518"/>
      <c r="AS14" s="518"/>
      <c r="AT14" s="51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12"/>
      <c r="C15" s="412"/>
      <c r="D15" s="413"/>
      <c r="E15" s="512"/>
      <c r="F15" s="513"/>
      <c r="G15" s="513"/>
      <c r="H15" s="513"/>
      <c r="I15" s="527"/>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20"/>
      <c r="AP15" s="521"/>
      <c r="AQ15" s="521"/>
      <c r="AR15" s="521"/>
      <c r="AS15" s="521"/>
      <c r="AT15" s="52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12"/>
      <c r="C16" s="412"/>
      <c r="D16" s="413"/>
      <c r="E16" s="507" t="s">
        <v>274</v>
      </c>
      <c r="F16" s="508"/>
      <c r="G16" s="508"/>
      <c r="H16" s="508"/>
      <c r="I16" s="508"/>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98" t="s">
        <v>275</v>
      </c>
      <c r="AP16" s="499"/>
      <c r="AQ16" s="499"/>
      <c r="AR16" s="499"/>
      <c r="AS16" s="499"/>
      <c r="AT16" s="50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12"/>
      <c r="C17" s="412"/>
      <c r="D17" s="413"/>
      <c r="E17" s="509"/>
      <c r="F17" s="510"/>
      <c r="G17" s="510"/>
      <c r="H17" s="510"/>
      <c r="I17" s="510"/>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01"/>
      <c r="AP17" s="502"/>
      <c r="AQ17" s="502"/>
      <c r="AR17" s="502"/>
      <c r="AS17" s="502"/>
      <c r="AT17" s="50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12"/>
      <c r="C18" s="412"/>
      <c r="D18" s="413"/>
      <c r="E18" s="511"/>
      <c r="F18" s="510"/>
      <c r="G18" s="510"/>
      <c r="H18" s="510"/>
      <c r="I18" s="510"/>
      <c r="J18" s="67" t="str">
        <f>IF(AND('Mapa de Riesgos'!$Y$24="Alta",'Mapa de Riesgos'!$AA$24="Leve"),CONCATENATE("R3C",'Mapa de Riesgos'!$O$24),"")</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Riesgos'!$Y$24="Alta",'Mapa de Riesgos'!$AA$24="Menor"),CONCATENATE("R3C",'Mapa de Riesgos'!$O$24),"")</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Riesgos'!$Y$24="Alta",'Mapa de Riesgos'!$AA$24="Moderado"),CONCATENATE("R3C",'Mapa de Riesgos'!$O$24),"")</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Riesgos'!$Y$24="Alta",'Mapa de Riesgos'!$AA$24="Mayor"),CONCATENATE("R3C",'Mapa de Riesgos'!$O$24),"")</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Riesgos'!$Y$24="Alta",'Mapa de Riesgos'!$AA$24="Catastrófico"),CONCATENATE("R3C",'Mapa de Riesgos'!$O$24),"")</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01"/>
      <c r="AP18" s="502"/>
      <c r="AQ18" s="502"/>
      <c r="AR18" s="502"/>
      <c r="AS18" s="502"/>
      <c r="AT18" s="50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12"/>
      <c r="C19" s="412"/>
      <c r="D19" s="413"/>
      <c r="E19" s="511"/>
      <c r="F19" s="510"/>
      <c r="G19" s="510"/>
      <c r="H19" s="510"/>
      <c r="I19" s="510"/>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01"/>
      <c r="AP19" s="502"/>
      <c r="AQ19" s="502"/>
      <c r="AR19" s="502"/>
      <c r="AS19" s="502"/>
      <c r="AT19" s="50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12"/>
      <c r="C20" s="412"/>
      <c r="D20" s="413"/>
      <c r="E20" s="511"/>
      <c r="F20" s="510"/>
      <c r="G20" s="510"/>
      <c r="H20" s="510"/>
      <c r="I20" s="510"/>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01"/>
      <c r="AP20" s="502"/>
      <c r="AQ20" s="502"/>
      <c r="AR20" s="502"/>
      <c r="AS20" s="502"/>
      <c r="AT20" s="50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12"/>
      <c r="C21" s="412"/>
      <c r="D21" s="413"/>
      <c r="E21" s="511"/>
      <c r="F21" s="510"/>
      <c r="G21" s="510"/>
      <c r="H21" s="510"/>
      <c r="I21" s="510"/>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01"/>
      <c r="AP21" s="502"/>
      <c r="AQ21" s="502"/>
      <c r="AR21" s="502"/>
      <c r="AS21" s="502"/>
      <c r="AT21" s="50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12"/>
      <c r="C22" s="412"/>
      <c r="D22" s="413"/>
      <c r="E22" s="511"/>
      <c r="F22" s="510"/>
      <c r="G22" s="510"/>
      <c r="H22" s="510"/>
      <c r="I22" s="510"/>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01"/>
      <c r="AP22" s="502"/>
      <c r="AQ22" s="502"/>
      <c r="AR22" s="502"/>
      <c r="AS22" s="502"/>
      <c r="AT22" s="50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12"/>
      <c r="C23" s="412"/>
      <c r="D23" s="413"/>
      <c r="E23" s="511"/>
      <c r="F23" s="510"/>
      <c r="G23" s="510"/>
      <c r="H23" s="510"/>
      <c r="I23" s="510"/>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01"/>
      <c r="AP23" s="502"/>
      <c r="AQ23" s="502"/>
      <c r="AR23" s="502"/>
      <c r="AS23" s="502"/>
      <c r="AT23" s="50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12"/>
      <c r="C24" s="412"/>
      <c r="D24" s="413"/>
      <c r="E24" s="511"/>
      <c r="F24" s="510"/>
      <c r="G24" s="510"/>
      <c r="H24" s="510"/>
      <c r="I24" s="510"/>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01"/>
      <c r="AP24" s="502"/>
      <c r="AQ24" s="502"/>
      <c r="AR24" s="502"/>
      <c r="AS24" s="502"/>
      <c r="AT24" s="50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12"/>
      <c r="C25" s="412"/>
      <c r="D25" s="413"/>
      <c r="E25" s="512"/>
      <c r="F25" s="513"/>
      <c r="G25" s="513"/>
      <c r="H25" s="513"/>
      <c r="I25" s="513"/>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04"/>
      <c r="AP25" s="505"/>
      <c r="AQ25" s="505"/>
      <c r="AR25" s="505"/>
      <c r="AS25" s="505"/>
      <c r="AT25" s="50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12"/>
      <c r="C26" s="412"/>
      <c r="D26" s="413"/>
      <c r="E26" s="507" t="s">
        <v>276</v>
      </c>
      <c r="F26" s="508"/>
      <c r="G26" s="508"/>
      <c r="H26" s="508"/>
      <c r="I26" s="525"/>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37" t="s">
        <v>277</v>
      </c>
      <c r="AP26" s="538"/>
      <c r="AQ26" s="538"/>
      <c r="AR26" s="538"/>
      <c r="AS26" s="538"/>
      <c r="AT26" s="53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12"/>
      <c r="C27" s="412"/>
      <c r="D27" s="413"/>
      <c r="E27" s="509"/>
      <c r="F27" s="510"/>
      <c r="G27" s="510"/>
      <c r="H27" s="510"/>
      <c r="I27" s="526"/>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40"/>
      <c r="AP27" s="541"/>
      <c r="AQ27" s="541"/>
      <c r="AR27" s="541"/>
      <c r="AS27" s="541"/>
      <c r="AT27" s="54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12"/>
      <c r="C28" s="412"/>
      <c r="D28" s="413"/>
      <c r="E28" s="511"/>
      <c r="F28" s="510"/>
      <c r="G28" s="510"/>
      <c r="H28" s="510"/>
      <c r="I28" s="526"/>
      <c r="J28" s="67" t="str">
        <f>IF(AND('Mapa de Riesgos'!$Y$24="Media",'Mapa de Riesgos'!$AA$24="Leve"),CONCATENATE("R3C",'Mapa de Riesgos'!$O$24),"")</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Riesgos'!$Y$24="Media",'Mapa de Riesgos'!$AA$24="Menor"),CONCATENATE("R3C",'Mapa de Riesgos'!$O$24),"")</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Riesgos'!$Y$24="Media",'Mapa de Riesgos'!$AA$24="Moderado"),CONCATENATE("R3C",'Mapa de Riesgos'!$O$24),"")</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Riesgos'!$Y$24="Media",'Mapa de Riesgos'!$AA$24="Mayor"),CONCATENATE("R3C",'Mapa de Riesgos'!$O$24),"")</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Riesgos'!$Y$24="Media",'Mapa de Riesgos'!$AA$24="Catastrófico"),CONCATENATE("R3C",'Mapa de Riesgos'!$O$24),"")</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40"/>
      <c r="AP28" s="541"/>
      <c r="AQ28" s="541"/>
      <c r="AR28" s="541"/>
      <c r="AS28" s="541"/>
      <c r="AT28" s="54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12"/>
      <c r="C29" s="412"/>
      <c r="D29" s="413"/>
      <c r="E29" s="511"/>
      <c r="F29" s="510"/>
      <c r="G29" s="510"/>
      <c r="H29" s="510"/>
      <c r="I29" s="526"/>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40"/>
      <c r="AP29" s="541"/>
      <c r="AQ29" s="541"/>
      <c r="AR29" s="541"/>
      <c r="AS29" s="541"/>
      <c r="AT29" s="54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12"/>
      <c r="C30" s="412"/>
      <c r="D30" s="413"/>
      <c r="E30" s="511"/>
      <c r="F30" s="510"/>
      <c r="G30" s="510"/>
      <c r="H30" s="510"/>
      <c r="I30" s="526"/>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40"/>
      <c r="AP30" s="541"/>
      <c r="AQ30" s="541"/>
      <c r="AR30" s="541"/>
      <c r="AS30" s="541"/>
      <c r="AT30" s="54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12"/>
      <c r="C31" s="412"/>
      <c r="D31" s="413"/>
      <c r="E31" s="511"/>
      <c r="F31" s="510"/>
      <c r="G31" s="510"/>
      <c r="H31" s="510"/>
      <c r="I31" s="526"/>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40"/>
      <c r="AP31" s="541"/>
      <c r="AQ31" s="541"/>
      <c r="AR31" s="541"/>
      <c r="AS31" s="541"/>
      <c r="AT31" s="54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12"/>
      <c r="C32" s="412"/>
      <c r="D32" s="413"/>
      <c r="E32" s="511"/>
      <c r="F32" s="510"/>
      <c r="G32" s="510"/>
      <c r="H32" s="510"/>
      <c r="I32" s="526"/>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40"/>
      <c r="AP32" s="541"/>
      <c r="AQ32" s="541"/>
      <c r="AR32" s="541"/>
      <c r="AS32" s="541"/>
      <c r="AT32" s="54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12"/>
      <c r="C33" s="412"/>
      <c r="D33" s="413"/>
      <c r="E33" s="511"/>
      <c r="F33" s="510"/>
      <c r="G33" s="510"/>
      <c r="H33" s="510"/>
      <c r="I33" s="526"/>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40"/>
      <c r="AP33" s="541"/>
      <c r="AQ33" s="541"/>
      <c r="AR33" s="541"/>
      <c r="AS33" s="541"/>
      <c r="AT33" s="54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12"/>
      <c r="C34" s="412"/>
      <c r="D34" s="413"/>
      <c r="E34" s="511"/>
      <c r="F34" s="510"/>
      <c r="G34" s="510"/>
      <c r="H34" s="510"/>
      <c r="I34" s="526"/>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40"/>
      <c r="AP34" s="541"/>
      <c r="AQ34" s="541"/>
      <c r="AR34" s="541"/>
      <c r="AS34" s="541"/>
      <c r="AT34" s="54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12"/>
      <c r="C35" s="412"/>
      <c r="D35" s="413"/>
      <c r="E35" s="512"/>
      <c r="F35" s="513"/>
      <c r="G35" s="513"/>
      <c r="H35" s="513"/>
      <c r="I35" s="527"/>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43"/>
      <c r="AP35" s="544"/>
      <c r="AQ35" s="544"/>
      <c r="AR35" s="544"/>
      <c r="AS35" s="544"/>
      <c r="AT35" s="54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12"/>
      <c r="C36" s="412"/>
      <c r="D36" s="413"/>
      <c r="E36" s="507" t="s">
        <v>278</v>
      </c>
      <c r="F36" s="508"/>
      <c r="G36" s="508"/>
      <c r="H36" s="508"/>
      <c r="I36" s="508"/>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28" t="s">
        <v>279</v>
      </c>
      <c r="AP36" s="529"/>
      <c r="AQ36" s="529"/>
      <c r="AR36" s="529"/>
      <c r="AS36" s="529"/>
      <c r="AT36" s="53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12"/>
      <c r="C37" s="412"/>
      <c r="D37" s="413"/>
      <c r="E37" s="509"/>
      <c r="F37" s="510"/>
      <c r="G37" s="510"/>
      <c r="H37" s="510"/>
      <c r="I37" s="510"/>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31"/>
      <c r="AP37" s="532"/>
      <c r="AQ37" s="532"/>
      <c r="AR37" s="532"/>
      <c r="AS37" s="532"/>
      <c r="AT37" s="53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12"/>
      <c r="C38" s="412"/>
      <c r="D38" s="413"/>
      <c r="E38" s="511"/>
      <c r="F38" s="510"/>
      <c r="G38" s="510"/>
      <c r="H38" s="510"/>
      <c r="I38" s="510"/>
      <c r="J38" s="76" t="str">
        <f>IF(AND('Mapa de Riesgos'!$Y$24="Baja",'Mapa de Riesgos'!$AA$24="Leve"),CONCATENATE("R3C",'Mapa de Riesgos'!$O$24),"")</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Riesgos'!$Y$24="Baja",'Mapa de Riesgos'!$AA$24="Menor"),CONCATENATE("R3C",'Mapa de Riesgos'!$O$24),"")</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Riesgos'!$Y$24="Baja",'Mapa de Riesgos'!$AA$24="Moderado"),CONCATENATE("R3C",'Mapa de Riesgos'!$O$24),"")</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Riesgos'!$Y$24="Baja",'Mapa de Riesgos'!$AA$24="Mayor"),CONCATENATE("R3C",'Mapa de Riesgos'!$O$24),"")</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Riesgos'!$Y$24="Baja",'Mapa de Riesgos'!$AA$24="Catastrófico"),CONCATENATE("R3C",'Mapa de Riesgos'!$O$24),"")</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31"/>
      <c r="AP38" s="532"/>
      <c r="AQ38" s="532"/>
      <c r="AR38" s="532"/>
      <c r="AS38" s="532"/>
      <c r="AT38" s="53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12"/>
      <c r="C39" s="412"/>
      <c r="D39" s="413"/>
      <c r="E39" s="511"/>
      <c r="F39" s="510"/>
      <c r="G39" s="510"/>
      <c r="H39" s="510"/>
      <c r="I39" s="510"/>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31"/>
      <c r="AP39" s="532"/>
      <c r="AQ39" s="532"/>
      <c r="AR39" s="532"/>
      <c r="AS39" s="532"/>
      <c r="AT39" s="53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12"/>
      <c r="C40" s="412"/>
      <c r="D40" s="413"/>
      <c r="E40" s="511"/>
      <c r="F40" s="510"/>
      <c r="G40" s="510"/>
      <c r="H40" s="510"/>
      <c r="I40" s="510"/>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R5C1</v>
      </c>
      <c r="W40" s="68" t="str">
        <f>IF(AND('Mapa de Riesgos'!$Y$39="Baja",'Mapa de Riesgos'!$AA$39="Moderado"),CONCATENATE("R5C",'Mapa de Riesgos'!$O$39),"")</f>
        <v>R5C2</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31"/>
      <c r="AP40" s="532"/>
      <c r="AQ40" s="532"/>
      <c r="AR40" s="532"/>
      <c r="AS40" s="532"/>
      <c r="AT40" s="53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12"/>
      <c r="C41" s="412"/>
      <c r="D41" s="413"/>
      <c r="E41" s="511"/>
      <c r="F41" s="510"/>
      <c r="G41" s="510"/>
      <c r="H41" s="510"/>
      <c r="I41" s="510"/>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R6C1</v>
      </c>
      <c r="W41" s="68" t="str">
        <f>IF(AND('Mapa de Riesgos'!$Y$45="Baja",'Mapa de Riesgos'!$AA$45="Moderado"),CONCATENATE("R6C",'Mapa de Riesgos'!$O$45),"")</f>
        <v>R6C2</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31"/>
      <c r="AP41" s="532"/>
      <c r="AQ41" s="532"/>
      <c r="AR41" s="532"/>
      <c r="AS41" s="532"/>
      <c r="AT41" s="53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12"/>
      <c r="C42" s="412"/>
      <c r="D42" s="413"/>
      <c r="E42" s="511"/>
      <c r="F42" s="510"/>
      <c r="G42" s="510"/>
      <c r="H42" s="510"/>
      <c r="I42" s="510"/>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R7C1</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31"/>
      <c r="AP42" s="532"/>
      <c r="AQ42" s="532"/>
      <c r="AR42" s="532"/>
      <c r="AS42" s="532"/>
      <c r="AT42" s="53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12"/>
      <c r="C43" s="412"/>
      <c r="D43" s="413"/>
      <c r="E43" s="511"/>
      <c r="F43" s="510"/>
      <c r="G43" s="510"/>
      <c r="H43" s="510"/>
      <c r="I43" s="510"/>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R8C1</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31"/>
      <c r="AP43" s="532"/>
      <c r="AQ43" s="532"/>
      <c r="AR43" s="532"/>
      <c r="AS43" s="532"/>
      <c r="AT43" s="53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12"/>
      <c r="C44" s="412"/>
      <c r="D44" s="413"/>
      <c r="E44" s="511"/>
      <c r="F44" s="510"/>
      <c r="G44" s="510"/>
      <c r="H44" s="510"/>
      <c r="I44" s="510"/>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R9C1</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31"/>
      <c r="AP44" s="532"/>
      <c r="AQ44" s="532"/>
      <c r="AR44" s="532"/>
      <c r="AS44" s="532"/>
      <c r="AT44" s="53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12"/>
      <c r="C45" s="412"/>
      <c r="D45" s="413"/>
      <c r="E45" s="512"/>
      <c r="F45" s="513"/>
      <c r="G45" s="513"/>
      <c r="H45" s="513"/>
      <c r="I45" s="513"/>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R10C1</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34"/>
      <c r="AP45" s="535"/>
      <c r="AQ45" s="535"/>
      <c r="AR45" s="535"/>
      <c r="AS45" s="535"/>
      <c r="AT45" s="536"/>
    </row>
    <row r="46" spans="1:80" ht="46.5" customHeight="1" x14ac:dyDescent="0.35">
      <c r="A46" s="83"/>
      <c r="B46" s="412"/>
      <c r="C46" s="412"/>
      <c r="D46" s="413"/>
      <c r="E46" s="507" t="s">
        <v>280</v>
      </c>
      <c r="F46" s="508"/>
      <c r="G46" s="508"/>
      <c r="H46" s="508"/>
      <c r="I46" s="525"/>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12"/>
      <c r="C47" s="412"/>
      <c r="D47" s="413"/>
      <c r="E47" s="509"/>
      <c r="F47" s="510"/>
      <c r="G47" s="510"/>
      <c r="H47" s="510"/>
      <c r="I47" s="526"/>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12"/>
      <c r="C48" s="412"/>
      <c r="D48" s="413"/>
      <c r="E48" s="509"/>
      <c r="F48" s="510"/>
      <c r="G48" s="510"/>
      <c r="H48" s="510"/>
      <c r="I48" s="526"/>
      <c r="J48" s="76" t="str">
        <f>IF(AND('Mapa de Riesgos'!$Y$24="Muy Baja",'Mapa de Riesgos'!$AA$24="Leve"),CONCATENATE("R3C",'Mapa de Riesgos'!$O$24),"")</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Riesgos'!$Y$24="Muy Baja",'Mapa de Riesgos'!$AA$24="Menor"),CONCATENATE("R3C",'Mapa de Riesgos'!$O$24),"")</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Riesgos'!$Y$24="Muy Baja",'Mapa de Riesgos'!$AA$24="Moderado"),CONCATENATE("R3C",'Mapa de Riesgos'!$O$24),"")</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Riesgos'!$Y$24="Muy Baja",'Mapa de Riesgos'!$AA$24="Mayor"),CONCATENATE("R3C",'Mapa de Riesgos'!$O$24),"")</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Riesgos'!$Y$24="Muy Baja",'Mapa de Riesgos'!$AA$24="Catastrófico"),CONCATENATE("R3C",'Mapa de Riesgos'!$O$24),"")</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12"/>
      <c r="C49" s="412"/>
      <c r="D49" s="413"/>
      <c r="E49" s="511"/>
      <c r="F49" s="510"/>
      <c r="G49" s="510"/>
      <c r="H49" s="510"/>
      <c r="I49" s="526"/>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12"/>
      <c r="C50" s="412"/>
      <c r="D50" s="413"/>
      <c r="E50" s="511"/>
      <c r="F50" s="510"/>
      <c r="G50" s="510"/>
      <c r="H50" s="510"/>
      <c r="I50" s="526"/>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R5C3</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12"/>
      <c r="C51" s="412"/>
      <c r="D51" s="413"/>
      <c r="E51" s="511"/>
      <c r="F51" s="510"/>
      <c r="G51" s="510"/>
      <c r="H51" s="510"/>
      <c r="I51" s="526"/>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12"/>
      <c r="C52" s="412"/>
      <c r="D52" s="413"/>
      <c r="E52" s="511"/>
      <c r="F52" s="510"/>
      <c r="G52" s="510"/>
      <c r="H52" s="510"/>
      <c r="I52" s="526"/>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12"/>
      <c r="C53" s="412"/>
      <c r="D53" s="413"/>
      <c r="E53" s="511"/>
      <c r="F53" s="510"/>
      <c r="G53" s="510"/>
      <c r="H53" s="510"/>
      <c r="I53" s="526"/>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12"/>
      <c r="C54" s="412"/>
      <c r="D54" s="413"/>
      <c r="E54" s="511"/>
      <c r="F54" s="510"/>
      <c r="G54" s="510"/>
      <c r="H54" s="510"/>
      <c r="I54" s="526"/>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12"/>
      <c r="C55" s="412"/>
      <c r="D55" s="413"/>
      <c r="E55" s="512"/>
      <c r="F55" s="513"/>
      <c r="G55" s="513"/>
      <c r="H55" s="513"/>
      <c r="I55" s="527"/>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7" t="s">
        <v>281</v>
      </c>
      <c r="K56" s="508"/>
      <c r="L56" s="508"/>
      <c r="M56" s="508"/>
      <c r="N56" s="508"/>
      <c r="O56" s="525"/>
      <c r="P56" s="507" t="s">
        <v>282</v>
      </c>
      <c r="Q56" s="508"/>
      <c r="R56" s="508"/>
      <c r="S56" s="508"/>
      <c r="T56" s="508"/>
      <c r="U56" s="525"/>
      <c r="V56" s="507" t="s">
        <v>283</v>
      </c>
      <c r="W56" s="508"/>
      <c r="X56" s="508"/>
      <c r="Y56" s="508"/>
      <c r="Z56" s="508"/>
      <c r="AA56" s="525"/>
      <c r="AB56" s="507" t="s">
        <v>284</v>
      </c>
      <c r="AC56" s="546"/>
      <c r="AD56" s="508"/>
      <c r="AE56" s="508"/>
      <c r="AF56" s="508"/>
      <c r="AG56" s="525"/>
      <c r="AH56" s="507" t="s">
        <v>285</v>
      </c>
      <c r="AI56" s="508"/>
      <c r="AJ56" s="508"/>
      <c r="AK56" s="508"/>
      <c r="AL56" s="508"/>
      <c r="AM56" s="525"/>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11"/>
      <c r="K57" s="510"/>
      <c r="L57" s="510"/>
      <c r="M57" s="510"/>
      <c r="N57" s="510"/>
      <c r="O57" s="526"/>
      <c r="P57" s="511"/>
      <c r="Q57" s="510"/>
      <c r="R57" s="510"/>
      <c r="S57" s="510"/>
      <c r="T57" s="510"/>
      <c r="U57" s="526"/>
      <c r="V57" s="511"/>
      <c r="W57" s="510"/>
      <c r="X57" s="510"/>
      <c r="Y57" s="510"/>
      <c r="Z57" s="510"/>
      <c r="AA57" s="526"/>
      <c r="AB57" s="511"/>
      <c r="AC57" s="510"/>
      <c r="AD57" s="510"/>
      <c r="AE57" s="510"/>
      <c r="AF57" s="510"/>
      <c r="AG57" s="526"/>
      <c r="AH57" s="511"/>
      <c r="AI57" s="510"/>
      <c r="AJ57" s="510"/>
      <c r="AK57" s="510"/>
      <c r="AL57" s="510"/>
      <c r="AM57" s="52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11"/>
      <c r="K58" s="510"/>
      <c r="L58" s="510"/>
      <c r="M58" s="510"/>
      <c r="N58" s="510"/>
      <c r="O58" s="526"/>
      <c r="P58" s="511"/>
      <c r="Q58" s="510"/>
      <c r="R58" s="510"/>
      <c r="S58" s="510"/>
      <c r="T58" s="510"/>
      <c r="U58" s="526"/>
      <c r="V58" s="511"/>
      <c r="W58" s="510"/>
      <c r="X58" s="510"/>
      <c r="Y58" s="510"/>
      <c r="Z58" s="510"/>
      <c r="AA58" s="526"/>
      <c r="AB58" s="511"/>
      <c r="AC58" s="510"/>
      <c r="AD58" s="510"/>
      <c r="AE58" s="510"/>
      <c r="AF58" s="510"/>
      <c r="AG58" s="526"/>
      <c r="AH58" s="511"/>
      <c r="AI58" s="510"/>
      <c r="AJ58" s="510"/>
      <c r="AK58" s="510"/>
      <c r="AL58" s="510"/>
      <c r="AM58" s="52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11"/>
      <c r="K59" s="510"/>
      <c r="L59" s="510"/>
      <c r="M59" s="510"/>
      <c r="N59" s="510"/>
      <c r="O59" s="526"/>
      <c r="P59" s="511"/>
      <c r="Q59" s="510"/>
      <c r="R59" s="510"/>
      <c r="S59" s="510"/>
      <c r="T59" s="510"/>
      <c r="U59" s="526"/>
      <c r="V59" s="511"/>
      <c r="W59" s="510"/>
      <c r="X59" s="510"/>
      <c r="Y59" s="510"/>
      <c r="Z59" s="510"/>
      <c r="AA59" s="526"/>
      <c r="AB59" s="511"/>
      <c r="AC59" s="510"/>
      <c r="AD59" s="510"/>
      <c r="AE59" s="510"/>
      <c r="AF59" s="510"/>
      <c r="AG59" s="526"/>
      <c r="AH59" s="511"/>
      <c r="AI59" s="510"/>
      <c r="AJ59" s="510"/>
      <c r="AK59" s="510"/>
      <c r="AL59" s="510"/>
      <c r="AM59" s="52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11"/>
      <c r="K60" s="510"/>
      <c r="L60" s="510"/>
      <c r="M60" s="510"/>
      <c r="N60" s="510"/>
      <c r="O60" s="526"/>
      <c r="P60" s="511"/>
      <c r="Q60" s="510"/>
      <c r="R60" s="510"/>
      <c r="S60" s="510"/>
      <c r="T60" s="510"/>
      <c r="U60" s="526"/>
      <c r="V60" s="511"/>
      <c r="W60" s="510"/>
      <c r="X60" s="510"/>
      <c r="Y60" s="510"/>
      <c r="Z60" s="510"/>
      <c r="AA60" s="526"/>
      <c r="AB60" s="511"/>
      <c r="AC60" s="510"/>
      <c r="AD60" s="510"/>
      <c r="AE60" s="510"/>
      <c r="AF60" s="510"/>
      <c r="AG60" s="526"/>
      <c r="AH60" s="511"/>
      <c r="AI60" s="510"/>
      <c r="AJ60" s="510"/>
      <c r="AK60" s="510"/>
      <c r="AL60" s="510"/>
      <c r="AM60" s="52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12"/>
      <c r="K61" s="513"/>
      <c r="L61" s="513"/>
      <c r="M61" s="513"/>
      <c r="N61" s="513"/>
      <c r="O61" s="527"/>
      <c r="P61" s="512"/>
      <c r="Q61" s="513"/>
      <c r="R61" s="513"/>
      <c r="S61" s="513"/>
      <c r="T61" s="513"/>
      <c r="U61" s="527"/>
      <c r="V61" s="512"/>
      <c r="W61" s="513"/>
      <c r="X61" s="513"/>
      <c r="Y61" s="513"/>
      <c r="Z61" s="513"/>
      <c r="AA61" s="527"/>
      <c r="AB61" s="512"/>
      <c r="AC61" s="513"/>
      <c r="AD61" s="513"/>
      <c r="AE61" s="513"/>
      <c r="AF61" s="513"/>
      <c r="AG61" s="527"/>
      <c r="AH61" s="512"/>
      <c r="AI61" s="513"/>
      <c r="AJ61" s="513"/>
      <c r="AK61" s="513"/>
      <c r="AL61" s="513"/>
      <c r="AM61" s="52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47" t="s">
        <v>287</v>
      </c>
      <c r="C1" s="547"/>
      <c r="D1" s="54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288</v>
      </c>
      <c r="D3" s="12" t="s">
        <v>271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289</v>
      </c>
      <c r="C4" s="14" t="s">
        <v>290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291</v>
      </c>
      <c r="C5" s="17" t="s">
        <v>292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293</v>
      </c>
      <c r="C6" s="17" t="s">
        <v>294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295</v>
      </c>
      <c r="C7" s="17" t="s">
        <v>296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297</v>
      </c>
      <c r="C8" s="17" t="s">
        <v>298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48" t="s">
        <v>299</v>
      </c>
      <c r="C1" s="548"/>
      <c r="D1" s="54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300</v>
      </c>
      <c r="D3" s="36" t="s">
        <v>301</v>
      </c>
      <c r="E3" s="83"/>
      <c r="F3" s="83"/>
      <c r="G3" s="83"/>
      <c r="H3" s="83"/>
      <c r="I3" s="83"/>
      <c r="J3" s="83"/>
      <c r="K3" s="83"/>
      <c r="L3" s="83"/>
      <c r="M3" s="83"/>
      <c r="N3" s="83"/>
      <c r="O3" s="83"/>
      <c r="P3" s="83"/>
      <c r="Q3" s="83"/>
      <c r="R3" s="83"/>
      <c r="S3" s="83"/>
      <c r="T3" s="83"/>
      <c r="U3" s="83"/>
    </row>
    <row r="4" spans="1:21" ht="33.75" x14ac:dyDescent="0.25">
      <c r="A4" s="100" t="s">
        <v>302</v>
      </c>
      <c r="B4" s="39" t="s">
        <v>303</v>
      </c>
      <c r="C4" s="44" t="s">
        <v>304</v>
      </c>
      <c r="D4" s="37" t="s">
        <v>305</v>
      </c>
      <c r="E4" s="83"/>
      <c r="F4" s="83"/>
      <c r="G4" s="83"/>
      <c r="H4" s="83"/>
      <c r="I4" s="83"/>
      <c r="J4" s="83"/>
      <c r="K4" s="83"/>
      <c r="L4" s="83"/>
      <c r="M4" s="83"/>
      <c r="N4" s="83"/>
      <c r="O4" s="83"/>
      <c r="P4" s="83"/>
      <c r="Q4" s="83"/>
      <c r="R4" s="83"/>
      <c r="S4" s="83"/>
      <c r="T4" s="83"/>
      <c r="U4" s="83"/>
    </row>
    <row r="5" spans="1:21" ht="67.5" x14ac:dyDescent="0.25">
      <c r="A5" s="100" t="s">
        <v>306</v>
      </c>
      <c r="B5" s="40" t="s">
        <v>307</v>
      </c>
      <c r="C5" s="45" t="s">
        <v>308</v>
      </c>
      <c r="D5" s="38" t="s">
        <v>309</v>
      </c>
      <c r="E5" s="83"/>
      <c r="F5" s="83"/>
      <c r="G5" s="83"/>
      <c r="H5" s="83"/>
      <c r="I5" s="83"/>
      <c r="J5" s="83"/>
      <c r="K5" s="83"/>
      <c r="L5" s="83"/>
      <c r="M5" s="83"/>
      <c r="N5" s="83"/>
      <c r="O5" s="83"/>
      <c r="P5" s="83"/>
      <c r="Q5" s="83"/>
      <c r="R5" s="83"/>
      <c r="S5" s="83"/>
      <c r="T5" s="83"/>
      <c r="U5" s="83"/>
    </row>
    <row r="6" spans="1:21" ht="67.5" x14ac:dyDescent="0.25">
      <c r="A6" s="100" t="s">
        <v>277</v>
      </c>
      <c r="B6" s="41" t="s">
        <v>310</v>
      </c>
      <c r="C6" s="45" t="s">
        <v>311</v>
      </c>
      <c r="D6" s="38" t="s">
        <v>312</v>
      </c>
      <c r="E6" s="83"/>
      <c r="F6" s="83"/>
      <c r="G6" s="83"/>
      <c r="H6" s="83"/>
      <c r="I6" s="83"/>
      <c r="J6" s="83"/>
      <c r="K6" s="83"/>
      <c r="L6" s="83"/>
      <c r="M6" s="83"/>
      <c r="N6" s="83"/>
      <c r="O6" s="83"/>
      <c r="P6" s="83"/>
      <c r="Q6" s="83"/>
      <c r="R6" s="83"/>
      <c r="S6" s="83"/>
      <c r="T6" s="83"/>
      <c r="U6" s="83"/>
    </row>
    <row r="7" spans="1:21" ht="101.25" x14ac:dyDescent="0.25">
      <c r="A7" s="100" t="s">
        <v>313</v>
      </c>
      <c r="B7" s="42" t="s">
        <v>314</v>
      </c>
      <c r="C7" s="45" t="s">
        <v>315</v>
      </c>
      <c r="D7" s="38" t="s">
        <v>316</v>
      </c>
      <c r="E7" s="83"/>
      <c r="F7" s="83"/>
      <c r="G7" s="83"/>
      <c r="H7" s="83"/>
      <c r="I7" s="83"/>
      <c r="J7" s="83"/>
      <c r="K7" s="83"/>
      <c r="L7" s="83"/>
      <c r="M7" s="83"/>
      <c r="N7" s="83"/>
      <c r="O7" s="83"/>
      <c r="P7" s="83"/>
      <c r="Q7" s="83"/>
      <c r="R7" s="83"/>
      <c r="S7" s="83"/>
      <c r="T7" s="83"/>
      <c r="U7" s="83"/>
    </row>
    <row r="8" spans="1:21" ht="67.5" x14ac:dyDescent="0.25">
      <c r="A8" s="100" t="s">
        <v>317</v>
      </c>
      <c r="B8" s="43" t="s">
        <v>318</v>
      </c>
      <c r="C8" s="45" t="s">
        <v>319</v>
      </c>
      <c r="D8" s="38" t="s">
        <v>320</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321</v>
      </c>
      <c r="C11" s="100" t="s">
        <v>322</v>
      </c>
      <c r="D11" s="100" t="s">
        <v>323</v>
      </c>
      <c r="E11" s="83"/>
      <c r="F11" s="83"/>
      <c r="G11" s="83"/>
      <c r="H11" s="83"/>
      <c r="I11" s="83"/>
      <c r="J11" s="83"/>
      <c r="K11" s="83"/>
      <c r="L11" s="83"/>
      <c r="M11" s="83"/>
      <c r="N11" s="83"/>
      <c r="O11" s="83"/>
      <c r="P11" s="83"/>
      <c r="Q11" s="83"/>
      <c r="R11" s="83"/>
      <c r="S11" s="83"/>
      <c r="T11" s="83"/>
      <c r="U11" s="83"/>
    </row>
    <row r="12" spans="1:21" x14ac:dyDescent="0.25">
      <c r="A12" s="100"/>
      <c r="B12" s="100" t="s">
        <v>324</v>
      </c>
      <c r="C12" s="100" t="s">
        <v>325</v>
      </c>
      <c r="D12" s="100" t="s">
        <v>326</v>
      </c>
      <c r="E12" s="83"/>
      <c r="F12" s="83"/>
      <c r="G12" s="83"/>
      <c r="H12" s="83"/>
      <c r="I12" s="83"/>
      <c r="J12" s="83"/>
      <c r="K12" s="83"/>
      <c r="L12" s="83"/>
      <c r="M12" s="83"/>
      <c r="N12" s="83"/>
      <c r="O12" s="83"/>
      <c r="P12" s="83"/>
      <c r="Q12" s="83"/>
      <c r="R12" s="83"/>
      <c r="S12" s="83"/>
      <c r="T12" s="83"/>
      <c r="U12" s="83"/>
    </row>
    <row r="13" spans="1:21" x14ac:dyDescent="0.25">
      <c r="A13" s="100"/>
      <c r="B13" s="100"/>
      <c r="C13" s="100" t="s">
        <v>327</v>
      </c>
      <c r="D13" s="100" t="s">
        <v>173</v>
      </c>
      <c r="E13" s="83"/>
      <c r="F13" s="83"/>
      <c r="G13" s="83"/>
      <c r="H13" s="83"/>
      <c r="I13" s="83"/>
      <c r="J13" s="83"/>
      <c r="K13" s="83"/>
      <c r="L13" s="83"/>
      <c r="M13" s="83"/>
      <c r="N13" s="83"/>
      <c r="O13" s="83"/>
      <c r="P13" s="83"/>
      <c r="Q13" s="83"/>
      <c r="R13" s="83"/>
      <c r="S13" s="83"/>
      <c r="T13" s="83"/>
      <c r="U13" s="83"/>
    </row>
    <row r="14" spans="1:21" x14ac:dyDescent="0.25">
      <c r="A14" s="100"/>
      <c r="B14" s="100"/>
      <c r="C14" s="100" t="s">
        <v>328</v>
      </c>
      <c r="D14" s="100" t="s">
        <v>329</v>
      </c>
      <c r="E14" s="83"/>
      <c r="F14" s="83"/>
      <c r="G14" s="83"/>
      <c r="H14" s="83"/>
      <c r="I14" s="83"/>
      <c r="J14" s="83"/>
      <c r="K14" s="83"/>
      <c r="L14" s="83"/>
      <c r="M14" s="83"/>
      <c r="N14" s="83"/>
      <c r="O14" s="83"/>
      <c r="P14" s="83"/>
      <c r="Q14" s="83"/>
      <c r="R14" s="83"/>
      <c r="S14" s="83"/>
      <c r="T14" s="83"/>
      <c r="U14" s="83"/>
    </row>
    <row r="15" spans="1:21" x14ac:dyDescent="0.25">
      <c r="A15" s="100"/>
      <c r="B15" s="100"/>
      <c r="C15" s="100" t="s">
        <v>330</v>
      </c>
      <c r="D15" s="100" t="s">
        <v>331</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332</v>
      </c>
      <c r="C209" s="30" t="s">
        <v>333</v>
      </c>
      <c r="D209" s="33" t="s">
        <v>332</v>
      </c>
      <c r="E209" s="33" t="s">
        <v>333</v>
      </c>
    </row>
    <row r="210" spans="1:8" ht="21" x14ac:dyDescent="0.35">
      <c r="A210" s="83"/>
      <c r="B210" s="31" t="s">
        <v>334</v>
      </c>
      <c r="C210" s="31" t="s">
        <v>335</v>
      </c>
      <c r="D210" t="s">
        <v>334</v>
      </c>
      <c r="F210" t="str">
        <f>IF(NOT(ISBLANK(D210)),D210,IF(NOT(ISBLANK(E210)),"     "&amp;E210,FALSE))</f>
        <v>Afectación Económica o presupuestal</v>
      </c>
      <c r="G210" t="s">
        <v>334</v>
      </c>
      <c r="H210" t="str">
        <f>IF(NOT(ISERROR(MATCH(G210,_xlfn.ANCHORARRAY(B221),0))),F223&amp;"Por favor no seleccionar los criterios de impacto",G210)</f>
        <v>❌Por favor no seleccionar los criterios de impacto</v>
      </c>
    </row>
    <row r="211" spans="1:8" ht="21" x14ac:dyDescent="0.35">
      <c r="A211" s="83"/>
      <c r="B211" s="31" t="s">
        <v>334</v>
      </c>
      <c r="C211" s="31" t="s">
        <v>308</v>
      </c>
      <c r="E211" t="s">
        <v>335</v>
      </c>
      <c r="F211" t="str">
        <f t="shared" ref="F211:F221" si="0">IF(NOT(ISBLANK(D211)),D211,IF(NOT(ISBLANK(E211)),"     "&amp;E211,FALSE))</f>
        <v xml:space="preserve">     Afectación menor a 10 SMLMV .</v>
      </c>
    </row>
    <row r="212" spans="1:8" ht="21" x14ac:dyDescent="0.35">
      <c r="A212" s="83"/>
      <c r="B212" s="31" t="s">
        <v>334</v>
      </c>
      <c r="C212" s="31" t="s">
        <v>311</v>
      </c>
      <c r="E212" t="s">
        <v>308</v>
      </c>
      <c r="F212" t="str">
        <f t="shared" si="0"/>
        <v xml:space="preserve">     Entre 10 y 50 SMLMV </v>
      </c>
    </row>
    <row r="213" spans="1:8" ht="21" x14ac:dyDescent="0.35">
      <c r="A213" s="83"/>
      <c r="B213" s="31" t="s">
        <v>334</v>
      </c>
      <c r="C213" s="31" t="s">
        <v>315</v>
      </c>
      <c r="E213" t="s">
        <v>311</v>
      </c>
      <c r="F213" t="str">
        <f t="shared" si="0"/>
        <v xml:space="preserve">     Entre 50 y 100 SMLMV </v>
      </c>
    </row>
    <row r="214" spans="1:8" ht="21" x14ac:dyDescent="0.35">
      <c r="A214" s="83"/>
      <c r="B214" s="31" t="s">
        <v>334</v>
      </c>
      <c r="C214" s="31" t="s">
        <v>319</v>
      </c>
      <c r="E214" t="s">
        <v>315</v>
      </c>
      <c r="F214" t="str">
        <f t="shared" si="0"/>
        <v xml:space="preserve">     Entre 100 y 500 SMLMV </v>
      </c>
    </row>
    <row r="215" spans="1:8" ht="21" x14ac:dyDescent="0.35">
      <c r="A215" s="83"/>
      <c r="B215" s="31" t="s">
        <v>301</v>
      </c>
      <c r="C215" s="31" t="s">
        <v>305</v>
      </c>
      <c r="E215" t="s">
        <v>319</v>
      </c>
      <c r="F215" t="str">
        <f t="shared" si="0"/>
        <v xml:space="preserve">     Mayor a 500 SMLMV </v>
      </c>
    </row>
    <row r="216" spans="1:8" ht="21" x14ac:dyDescent="0.35">
      <c r="A216" s="83"/>
      <c r="B216" s="31" t="s">
        <v>301</v>
      </c>
      <c r="C216" s="31" t="s">
        <v>309</v>
      </c>
      <c r="D216" t="s">
        <v>301</v>
      </c>
      <c r="F216" t="str">
        <f t="shared" si="0"/>
        <v>Pérdida Reputacional</v>
      </c>
    </row>
    <row r="217" spans="1:8" ht="21" x14ac:dyDescent="0.35">
      <c r="A217" s="83"/>
      <c r="B217" s="31" t="s">
        <v>301</v>
      </c>
      <c r="C217" s="31" t="s">
        <v>312</v>
      </c>
      <c r="E217" t="s">
        <v>305</v>
      </c>
      <c r="F217" t="str">
        <f t="shared" si="0"/>
        <v xml:space="preserve">     El riesgo afecta la imagen de alguna área de la organización</v>
      </c>
    </row>
    <row r="218" spans="1:8" ht="21" x14ac:dyDescent="0.35">
      <c r="A218" s="83"/>
      <c r="B218" s="31" t="s">
        <v>301</v>
      </c>
      <c r="C218" s="31" t="s">
        <v>316</v>
      </c>
      <c r="E218" t="s">
        <v>309</v>
      </c>
      <c r="F218" t="str">
        <f t="shared" si="0"/>
        <v xml:space="preserve">     El riesgo afecta la imagen de la entidad internamente, de conocimiento general, nivel interno, de junta dircetiva y accionistas y/o de provedores</v>
      </c>
    </row>
    <row r="219" spans="1:8" ht="21" x14ac:dyDescent="0.35">
      <c r="A219" s="83"/>
      <c r="B219" s="31" t="s">
        <v>301</v>
      </c>
      <c r="C219" s="31" t="s">
        <v>320</v>
      </c>
      <c r="E219" t="s">
        <v>312</v>
      </c>
      <c r="F219" t="str">
        <f t="shared" si="0"/>
        <v xml:space="preserve">     El riesgo afecta la imagen de la entidad con algunos usuarios de relevancia frente al logro de los objetivos</v>
      </c>
    </row>
    <row r="220" spans="1:8" x14ac:dyDescent="0.25">
      <c r="A220" s="83"/>
      <c r="B220" s="32"/>
      <c r="C220" s="32"/>
      <c r="E220" t="s">
        <v>316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320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336</v>
      </c>
    </row>
    <row r="224" spans="1:8" x14ac:dyDescent="0.25">
      <c r="B224" s="22"/>
      <c r="C224" s="22"/>
      <c r="F224" s="35" t="s">
        <v>337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49" t="s">
        <v>338</v>
      </c>
      <c r="C1" s="550"/>
      <c r="D1" s="550"/>
      <c r="E1" s="550"/>
      <c r="F1" s="551"/>
    </row>
    <row r="2" spans="2:6" ht="16.5" thickBot="1" x14ac:dyDescent="0.3">
      <c r="B2" s="86"/>
      <c r="C2" s="86"/>
      <c r="D2" s="86"/>
      <c r="E2" s="86"/>
      <c r="F2" s="86"/>
    </row>
    <row r="3" spans="2:6" ht="16.5" thickBot="1" x14ac:dyDescent="0.25">
      <c r="B3" s="553" t="s">
        <v>339</v>
      </c>
      <c r="C3" s="554"/>
      <c r="D3" s="554"/>
      <c r="E3" s="98" t="s">
        <v>340</v>
      </c>
      <c r="F3" s="99" t="s">
        <v>341</v>
      </c>
    </row>
    <row r="4" spans="2:6" ht="31.5" x14ac:dyDescent="0.2">
      <c r="B4" s="555" t="s">
        <v>342</v>
      </c>
      <c r="C4" s="557" t="s">
        <v>162</v>
      </c>
      <c r="D4" s="87" t="s">
        <v>175</v>
      </c>
      <c r="E4" s="88" t="s">
        <v>343</v>
      </c>
      <c r="F4" s="89">
        <v>0.25</v>
      </c>
    </row>
    <row r="5" spans="2:6" ht="47.25" x14ac:dyDescent="0.2">
      <c r="B5" s="556"/>
      <c r="C5" s="558"/>
      <c r="D5" s="90" t="s">
        <v>344</v>
      </c>
      <c r="E5" s="91" t="s">
        <v>345</v>
      </c>
      <c r="F5" s="92">
        <v>0.15</v>
      </c>
    </row>
    <row r="6" spans="2:6" ht="47.25" x14ac:dyDescent="0.2">
      <c r="B6" s="556"/>
      <c r="C6" s="558"/>
      <c r="D6" s="90" t="s">
        <v>346</v>
      </c>
      <c r="E6" s="91" t="s">
        <v>347</v>
      </c>
      <c r="F6" s="92">
        <v>0.1</v>
      </c>
    </row>
    <row r="7" spans="2:6" ht="63" x14ac:dyDescent="0.2">
      <c r="B7" s="556"/>
      <c r="C7" s="558" t="s">
        <v>163</v>
      </c>
      <c r="D7" s="90" t="s">
        <v>348</v>
      </c>
      <c r="E7" s="91" t="s">
        <v>349</v>
      </c>
      <c r="F7" s="92">
        <v>0.25</v>
      </c>
    </row>
    <row r="8" spans="2:6" ht="31.5" x14ac:dyDescent="0.2">
      <c r="B8" s="556"/>
      <c r="C8" s="558"/>
      <c r="D8" s="90" t="s">
        <v>176</v>
      </c>
      <c r="E8" s="91" t="s">
        <v>350</v>
      </c>
      <c r="F8" s="92">
        <v>0.15</v>
      </c>
    </row>
    <row r="9" spans="2:6" ht="47.25" x14ac:dyDescent="0.2">
      <c r="B9" s="556" t="s">
        <v>351</v>
      </c>
      <c r="C9" s="558" t="s">
        <v>165</v>
      </c>
      <c r="D9" s="90" t="s">
        <v>177</v>
      </c>
      <c r="E9" s="91" t="s">
        <v>352</v>
      </c>
      <c r="F9" s="93" t="s">
        <v>353</v>
      </c>
    </row>
    <row r="10" spans="2:6" ht="63" x14ac:dyDescent="0.2">
      <c r="B10" s="556"/>
      <c r="C10" s="558"/>
      <c r="D10" s="90" t="s">
        <v>354</v>
      </c>
      <c r="E10" s="91" t="s">
        <v>355</v>
      </c>
      <c r="F10" s="93" t="s">
        <v>353</v>
      </c>
    </row>
    <row r="11" spans="2:6" ht="47.25" x14ac:dyDescent="0.2">
      <c r="B11" s="556"/>
      <c r="C11" s="558" t="s">
        <v>166</v>
      </c>
      <c r="D11" s="90" t="s">
        <v>178</v>
      </c>
      <c r="E11" s="91" t="s">
        <v>356</v>
      </c>
      <c r="F11" s="93" t="s">
        <v>353</v>
      </c>
    </row>
    <row r="12" spans="2:6" ht="47.25" x14ac:dyDescent="0.2">
      <c r="B12" s="556"/>
      <c r="C12" s="558"/>
      <c r="D12" s="90" t="s">
        <v>357</v>
      </c>
      <c r="E12" s="91" t="s">
        <v>358</v>
      </c>
      <c r="F12" s="93" t="s">
        <v>353</v>
      </c>
    </row>
    <row r="13" spans="2:6" ht="31.5" x14ac:dyDescent="0.2">
      <c r="B13" s="556"/>
      <c r="C13" s="558" t="s">
        <v>167</v>
      </c>
      <c r="D13" s="90" t="s">
        <v>179</v>
      </c>
      <c r="E13" s="91" t="s">
        <v>359</v>
      </c>
      <c r="F13" s="93" t="s">
        <v>353</v>
      </c>
    </row>
    <row r="14" spans="2:6" ht="32.25" thickBot="1" x14ac:dyDescent="0.25">
      <c r="B14" s="559"/>
      <c r="C14" s="560"/>
      <c r="D14" s="94" t="s">
        <v>360</v>
      </c>
      <c r="E14" s="95" t="s">
        <v>361</v>
      </c>
      <c r="F14" s="96" t="s">
        <v>353</v>
      </c>
    </row>
    <row r="15" spans="2:6" ht="49.5" customHeight="1" x14ac:dyDescent="0.2">
      <c r="B15" s="552" t="s">
        <v>362</v>
      </c>
      <c r="C15" s="552"/>
      <c r="D15" s="552"/>
      <c r="E15" s="552"/>
      <c r="F15" s="55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363</v>
      </c>
      <c r="E2" t="s">
        <v>364</v>
      </c>
    </row>
    <row r="3" spans="2:5" x14ac:dyDescent="0.25">
      <c r="B3" t="s">
        <v>365</v>
      </c>
      <c r="E3" t="s">
        <v>168</v>
      </c>
    </row>
    <row r="4" spans="2:5" x14ac:dyDescent="0.25">
      <c r="B4" t="s">
        <v>366</v>
      </c>
      <c r="E4" t="s">
        <v>241</v>
      </c>
    </row>
    <row r="5" spans="2:5" x14ac:dyDescent="0.25">
      <c r="B5" t="s">
        <v>180</v>
      </c>
    </row>
    <row r="8" spans="2:5" x14ac:dyDescent="0.25">
      <c r="B8" t="s">
        <v>367</v>
      </c>
    </row>
    <row r="9" spans="2:5" x14ac:dyDescent="0.25">
      <c r="B9" t="s">
        <v>368</v>
      </c>
    </row>
    <row r="10" spans="2:5" x14ac:dyDescent="0.25">
      <c r="B10" t="s">
        <v>369</v>
      </c>
    </row>
    <row r="13" spans="2:5" x14ac:dyDescent="0.25">
      <c r="B13" t="s">
        <v>370</v>
      </c>
    </row>
    <row r="14" spans="2:5" x14ac:dyDescent="0.25">
      <c r="B14" t="s">
        <v>172</v>
      </c>
    </row>
    <row r="15" spans="2:5" x14ac:dyDescent="0.25">
      <c r="B15" t="s">
        <v>371</v>
      </c>
    </row>
    <row r="16" spans="2:5" x14ac:dyDescent="0.25">
      <c r="B16" t="s">
        <v>372</v>
      </c>
    </row>
    <row r="17" spans="2:2" x14ac:dyDescent="0.25">
      <c r="B17" t="s">
        <v>373</v>
      </c>
    </row>
    <row r="18" spans="2:2" x14ac:dyDescent="0.25">
      <c r="B18" t="s">
        <v>374</v>
      </c>
    </row>
    <row r="19" spans="2:2" x14ac:dyDescent="0.25">
      <c r="B19" t="s">
        <v>375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2025-04-24T22:23:53Z</dcterms:modified>
  <cp:category/>
  <cp:contentStatus/>
</cp:coreProperties>
</file>